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etetitromso-my.sharepoint.com/personal/saa054_uit_no/Documents/0 - Forskerlinjen/.2--MW_Sleep-Article/data/"/>
    </mc:Choice>
  </mc:AlternateContent>
  <xr:revisionPtr revIDLastSave="116" documentId="13_ncr:1_{B47041FC-72E8-4808-BC79-8E8F737847B8}" xr6:coauthVersionLast="47" xr6:coauthVersionMax="47" xr10:uidLastSave="{61E33E19-A4A5-4668-B0A2-7775FF1356D6}"/>
  <bookViews>
    <workbookView xWindow="-120" yWindow="-120" windowWidth="29040" windowHeight="15840" activeTab="3" xr2:uid="{AD6D089E-9814-4872-BBFB-296E4CC5E2AD}"/>
  </bookViews>
  <sheets>
    <sheet name="DataSheet" sheetId="4" r:id="rId1"/>
    <sheet name="Sleep Quiz" sheetId="1" r:id="rId2"/>
    <sheet name="Sleep Diary" sheetId="3" r:id="rId3"/>
    <sheet name="sleepdiary2" sheetId="6" r:id="rId4"/>
    <sheet name="PANAS" sheetId="2" r:id="rId5"/>
    <sheet name="Feedback-comments" sheetId="5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13" i="3" l="1"/>
  <c r="S12" i="3"/>
  <c r="S11" i="3"/>
  <c r="L10" i="1"/>
  <c r="H13" i="4"/>
  <c r="H8" i="4"/>
  <c r="H10" i="4"/>
  <c r="M13" i="3"/>
  <c r="N13" i="3" s="1"/>
  <c r="M14" i="3"/>
  <c r="N14" i="3" s="1"/>
  <c r="M15" i="3"/>
  <c r="N15" i="3" s="1"/>
  <c r="M16" i="3"/>
  <c r="N16" i="3" s="1"/>
  <c r="M17" i="3"/>
  <c r="N17" i="3" s="1"/>
  <c r="M18" i="3"/>
  <c r="N18" i="3" s="1"/>
  <c r="M19" i="3"/>
  <c r="N19" i="3" s="1"/>
  <c r="M20" i="3"/>
  <c r="N20" i="3" s="1"/>
  <c r="B1" i="3"/>
  <c r="U63" i="3"/>
  <c r="T63" i="3"/>
  <c r="Q63" i="3"/>
  <c r="P63" i="3"/>
  <c r="O63" i="3"/>
  <c r="N63" i="3"/>
  <c r="M63" i="3"/>
  <c r="J63" i="3"/>
  <c r="I63" i="3"/>
  <c r="H63" i="3"/>
  <c r="G63" i="3"/>
  <c r="C63" i="3"/>
  <c r="B63" i="3"/>
  <c r="S20" i="3"/>
  <c r="H20" i="3"/>
  <c r="G20" i="3"/>
  <c r="S19" i="3"/>
  <c r="H19" i="3"/>
  <c r="G19" i="3"/>
  <c r="I19" i="3" s="1"/>
  <c r="J19" i="3" s="1"/>
  <c r="S18" i="3"/>
  <c r="H18" i="3"/>
  <c r="G18" i="3"/>
  <c r="S17" i="3"/>
  <c r="H17" i="3"/>
  <c r="G17" i="3"/>
  <c r="S16" i="3"/>
  <c r="H16" i="3"/>
  <c r="G16" i="3"/>
  <c r="S15" i="3"/>
  <c r="H15" i="3"/>
  <c r="G15" i="3"/>
  <c r="S14" i="3"/>
  <c r="H14" i="3"/>
  <c r="G14" i="3"/>
  <c r="H13" i="3"/>
  <c r="G13" i="3"/>
  <c r="M12" i="3"/>
  <c r="N12" i="3" s="1"/>
  <c r="H12" i="3"/>
  <c r="G12" i="3"/>
  <c r="M11" i="3"/>
  <c r="N11" i="3" s="1"/>
  <c r="H11" i="3"/>
  <c r="G11" i="3"/>
  <c r="S10" i="3"/>
  <c r="M10" i="3"/>
  <c r="N10" i="3" s="1"/>
  <c r="H10" i="3"/>
  <c r="G10" i="3"/>
  <c r="S9" i="3"/>
  <c r="M9" i="3"/>
  <c r="N9" i="3" s="1"/>
  <c r="H9" i="3"/>
  <c r="G9" i="3"/>
  <c r="S8" i="3"/>
  <c r="M8" i="3"/>
  <c r="N8" i="3" s="1"/>
  <c r="H8" i="3"/>
  <c r="G8" i="3"/>
  <c r="S7" i="3"/>
  <c r="M7" i="3"/>
  <c r="N7" i="3" s="1"/>
  <c r="H7" i="3"/>
  <c r="G7" i="3"/>
  <c r="S6" i="3"/>
  <c r="M6" i="3"/>
  <c r="N6" i="3" s="1"/>
  <c r="H6" i="3"/>
  <c r="G6" i="3"/>
  <c r="S5" i="3"/>
  <c r="M5" i="3"/>
  <c r="N5" i="3" s="1"/>
  <c r="H5" i="3"/>
  <c r="G5" i="3"/>
  <c r="S4" i="3"/>
  <c r="M4" i="3"/>
  <c r="N4" i="3" s="1"/>
  <c r="H4" i="3"/>
  <c r="G4" i="3"/>
  <c r="I5" i="3" l="1"/>
  <c r="J5" i="3" s="1"/>
  <c r="O5" i="3" s="1"/>
  <c r="P5" i="3" s="1"/>
  <c r="T5" i="3" s="1"/>
  <c r="I9" i="3"/>
  <c r="J9" i="3" s="1"/>
  <c r="O9" i="3" s="1"/>
  <c r="P9" i="3" s="1"/>
  <c r="T9" i="3" s="1"/>
  <c r="I14" i="3"/>
  <c r="J14" i="3" s="1"/>
  <c r="O14" i="3" s="1"/>
  <c r="I6" i="3"/>
  <c r="J6" i="3" s="1"/>
  <c r="O6" i="3" s="1"/>
  <c r="I8" i="3"/>
  <c r="J8" i="3" s="1"/>
  <c r="O8" i="3" s="1"/>
  <c r="I18" i="3"/>
  <c r="J18" i="3" s="1"/>
  <c r="O18" i="3" s="1"/>
  <c r="P18" i="3" s="1"/>
  <c r="T18" i="3" s="1"/>
  <c r="O19" i="3"/>
  <c r="I15" i="3"/>
  <c r="J15" i="3" s="1"/>
  <c r="O15" i="3" s="1"/>
  <c r="I7" i="3"/>
  <c r="J7" i="3" s="1"/>
  <c r="O7" i="3" s="1"/>
  <c r="I4" i="3"/>
  <c r="J4" i="3" s="1"/>
  <c r="O4" i="3" s="1"/>
  <c r="I11" i="3"/>
  <c r="J11" i="3" s="1"/>
  <c r="O11" i="3" s="1"/>
  <c r="I13" i="3"/>
  <c r="J13" i="3" s="1"/>
  <c r="O13" i="3" s="1"/>
  <c r="I16" i="3"/>
  <c r="J16" i="3" s="1"/>
  <c r="O16" i="3" s="1"/>
  <c r="I17" i="3"/>
  <c r="J17" i="3" s="1"/>
  <c r="O17" i="3" s="1"/>
  <c r="I10" i="3"/>
  <c r="J10" i="3" s="1"/>
  <c r="O10" i="3" s="1"/>
  <c r="I12" i="3"/>
  <c r="J12" i="3" s="1"/>
  <c r="O12" i="3" s="1"/>
  <c r="I20" i="3"/>
  <c r="J20" i="3" s="1"/>
  <c r="O20" i="3" s="1"/>
  <c r="P20" i="3" s="1"/>
  <c r="T20" i="3" s="1"/>
  <c r="Y14" i="3"/>
  <c r="Y7" i="3"/>
  <c r="Z9" i="3"/>
  <c r="Y12" i="3"/>
  <c r="Z10" i="3"/>
  <c r="X7" i="3"/>
  <c r="W8" i="3"/>
  <c r="W10" i="3"/>
  <c r="W13" i="3"/>
  <c r="Z14" i="3"/>
  <c r="Y10" i="3"/>
  <c r="Z12" i="3"/>
  <c r="Y8" i="3"/>
  <c r="W11" i="3"/>
  <c r="Y13" i="3"/>
  <c r="Z13" i="3"/>
  <c r="Y9" i="3"/>
  <c r="Z8" i="3"/>
  <c r="X11" i="3"/>
  <c r="W14" i="3"/>
  <c r="Z11" i="3"/>
  <c r="W9" i="3"/>
  <c r="Y11" i="3"/>
  <c r="Z7" i="3"/>
  <c r="W7" i="3"/>
  <c r="W12" i="3"/>
  <c r="D27" i="4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10" i="1"/>
  <c r="X9" i="3" l="1"/>
  <c r="X8" i="3"/>
  <c r="X10" i="3"/>
  <c r="P16" i="3"/>
  <c r="T16" i="3" s="1"/>
  <c r="X14" i="3"/>
  <c r="X13" i="3"/>
  <c r="P11" i="3"/>
  <c r="T11" i="3" s="1"/>
  <c r="P12" i="3"/>
  <c r="T12" i="3" s="1"/>
  <c r="P4" i="3"/>
  <c r="T4" i="3" s="1"/>
  <c r="X12" i="3"/>
  <c r="Q18" i="3"/>
  <c r="U18" i="3" s="1"/>
  <c r="P7" i="3"/>
  <c r="T7" i="3" s="1"/>
  <c r="Q9" i="3"/>
  <c r="U9" i="3" s="1"/>
  <c r="Q20" i="3"/>
  <c r="U20" i="3" s="1"/>
  <c r="P13" i="3"/>
  <c r="T13" i="3" s="1"/>
  <c r="P10" i="3"/>
  <c r="T10" i="3" s="1"/>
  <c r="P6" i="3"/>
  <c r="T6" i="3" s="1"/>
  <c r="Q5" i="3"/>
  <c r="U5" i="3" s="1"/>
  <c r="P19" i="3"/>
  <c r="T19" i="3" s="1"/>
  <c r="P17" i="3"/>
  <c r="T17" i="3" s="1"/>
  <c r="P14" i="3"/>
  <c r="T14" i="3" s="1"/>
  <c r="P8" i="3"/>
  <c r="T8" i="3" s="1"/>
  <c r="P15" i="3"/>
  <c r="T15" i="3" s="1"/>
  <c r="G8" i="2"/>
  <c r="C8" i="2"/>
  <c r="O8" i="2"/>
  <c r="K8" i="2"/>
  <c r="G5" i="2"/>
  <c r="C5" i="2"/>
  <c r="O5" i="2"/>
  <c r="K5" i="2"/>
  <c r="R17" i="1"/>
  <c r="R12" i="1"/>
  <c r="F12" i="1"/>
  <c r="I11" i="1"/>
  <c r="I12" i="1" s="1"/>
  <c r="V9" i="1" a="1"/>
  <c r="V9" i="1" s="1"/>
  <c r="V8" i="1" a="1"/>
  <c r="V8" i="1" s="1"/>
  <c r="Q8" i="1"/>
  <c r="Q5" i="1" s="1" a="1"/>
  <c r="Q5" i="1" s="1"/>
  <c r="R14" i="1" s="1"/>
  <c r="Z7" i="1"/>
  <c r="V7" i="1"/>
  <c r="Q7" i="1"/>
  <c r="AC6" i="1"/>
  <c r="V6" i="1"/>
  <c r="V5" i="1" a="1"/>
  <c r="V5" i="1" s="1"/>
  <c r="P5" i="1" a="1"/>
  <c r="P5" i="1" s="1"/>
  <c r="Q10" i="1" s="1"/>
  <c r="R13" i="1" s="1" a="1"/>
  <c r="R13" i="1" s="1"/>
  <c r="Z4" i="1"/>
  <c r="V4" i="1"/>
  <c r="V3" i="1" a="1"/>
  <c r="V3" i="1" s="1"/>
  <c r="Q3" i="1"/>
  <c r="Q8" i="3" l="1"/>
  <c r="U8" i="3" s="1"/>
  <c r="V10" i="1"/>
  <c r="Q11" i="3"/>
  <c r="U11" i="3" s="1"/>
  <c r="X15" i="3" a="1"/>
  <c r="X15" i="3" s="1"/>
  <c r="Z15" i="3" a="1"/>
  <c r="Z15" i="3" s="1"/>
  <c r="Q4" i="3"/>
  <c r="U4" i="3" s="1"/>
  <c r="Q16" i="3"/>
  <c r="U16" i="3" s="1"/>
  <c r="Q12" i="3"/>
  <c r="U12" i="3" s="1"/>
  <c r="Q14" i="3"/>
  <c r="U14" i="3" s="1"/>
  <c r="Q6" i="3"/>
  <c r="U6" i="3" s="1"/>
  <c r="Q7" i="3"/>
  <c r="U7" i="3" s="1"/>
  <c r="Q19" i="3"/>
  <c r="U19" i="3" s="1"/>
  <c r="Q13" i="3"/>
  <c r="U13" i="3" s="1"/>
  <c r="Q15" i="3"/>
  <c r="U15" i="3" s="1"/>
  <c r="Q17" i="3"/>
  <c r="U17" i="3" s="1"/>
  <c r="Q10" i="3"/>
  <c r="U10" i="3" s="1"/>
  <c r="Q21" i="1"/>
  <c r="R16" i="1" s="1" a="1"/>
  <c r="R16" i="1" s="1"/>
  <c r="Q23" i="1"/>
  <c r="R18" i="1" s="1" a="1"/>
  <c r="R18" i="1" s="1"/>
  <c r="R7" i="1"/>
  <c r="R15" i="1" s="1" a="1"/>
  <c r="R15" i="1" s="1"/>
  <c r="R19" i="1" l="1"/>
  <c r="L1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<sst xmlns="http://schemas.openxmlformats.org/spreadsheetml/2006/main" count="552" uniqueCount="306">
  <si>
    <t>2 - Fatigue</t>
  </si>
  <si>
    <t>3 - Søvnighet</t>
  </si>
  <si>
    <t>4 - Søvn</t>
  </si>
  <si>
    <t>5 - Døgnrytme</t>
  </si>
  <si>
    <t>6 - Positive &amp; negative affect</t>
  </si>
  <si>
    <t>7 - Alchohol</t>
  </si>
  <si>
    <t>Fatigue</t>
  </si>
  <si>
    <t>Value</t>
  </si>
  <si>
    <t>Sleepiness</t>
  </si>
  <si>
    <t>Insomnia</t>
  </si>
  <si>
    <t>Sleep Qual</t>
  </si>
  <si>
    <t>hour</t>
  </si>
  <si>
    <t>min</t>
  </si>
  <si>
    <t>t-m calc</t>
  </si>
  <si>
    <t>Dinural</t>
  </si>
  <si>
    <t>Verdi</t>
  </si>
  <si>
    <t>Calc</t>
  </si>
  <si>
    <t>PANAS</t>
  </si>
  <si>
    <t>Utregning</t>
  </si>
  <si>
    <t>Alkoholbruk</t>
  </si>
  <si>
    <t>Q1</t>
  </si>
  <si>
    <t>Q1 (1)</t>
  </si>
  <si>
    <r>
      <t xml:space="preserve">Q6 </t>
    </r>
    <r>
      <rPr>
        <sz val="11"/>
        <color theme="5" tint="0.59999389629810485"/>
        <rFont val="Arial"/>
        <family val="2"/>
      </rPr>
      <t>(C4)</t>
    </r>
  </si>
  <si>
    <t>Positiv SUM</t>
  </si>
  <si>
    <t>Q2</t>
  </si>
  <si>
    <t>Q1 (2)</t>
  </si>
  <si>
    <t>value</t>
  </si>
  <si>
    <t>Category</t>
  </si>
  <si>
    <t>Q3</t>
  </si>
  <si>
    <t>Q1 (3)</t>
  </si>
  <si>
    <r>
      <t xml:space="preserve">Q7 </t>
    </r>
    <r>
      <rPr>
        <sz val="11"/>
        <color theme="5" tint="0.59999389629810485"/>
        <rFont val="Arial"/>
        <family val="2"/>
      </rPr>
      <t>(C2a)</t>
    </r>
  </si>
  <si>
    <t>Q4</t>
  </si>
  <si>
    <t>C4 calc</t>
  </si>
  <si>
    <t>Negativ SUM</t>
  </si>
  <si>
    <t>Sum</t>
  </si>
  <si>
    <t>Q5</t>
  </si>
  <si>
    <r>
      <t xml:space="preserve">Q8 </t>
    </r>
    <r>
      <rPr>
        <sz val="11"/>
        <color theme="5" tint="0.59999389629810485"/>
        <rFont val="Arial"/>
        <family val="2"/>
      </rPr>
      <t>(C4)</t>
    </r>
  </si>
  <si>
    <t>Q6</t>
  </si>
  <si>
    <r>
      <t xml:space="preserve">Q9 </t>
    </r>
    <r>
      <rPr>
        <sz val="11"/>
        <color theme="5" tint="0.59999389629810485"/>
        <rFont val="Arial"/>
        <family val="2"/>
      </rPr>
      <t>(C3)</t>
    </r>
  </si>
  <si>
    <t>Q7</t>
  </si>
  <si>
    <t>Q8</t>
  </si>
  <si>
    <t>SUM</t>
  </si>
  <si>
    <r>
      <t xml:space="preserve">Q10/1 </t>
    </r>
    <r>
      <rPr>
        <sz val="11"/>
        <color theme="5" tint="0.59999389629810485"/>
        <rFont val="Arial"/>
        <family val="2"/>
      </rPr>
      <t>(C2b)</t>
    </r>
  </si>
  <si>
    <t>Q9</t>
  </si>
  <si>
    <r>
      <t xml:space="preserve">Q10/2 </t>
    </r>
    <r>
      <rPr>
        <sz val="11"/>
        <color theme="5" tint="0.59999389629810485"/>
        <rFont val="Arial"/>
        <family val="2"/>
      </rPr>
      <t>(C5)</t>
    </r>
  </si>
  <si>
    <r>
      <t xml:space="preserve">Q10/3 </t>
    </r>
    <r>
      <rPr>
        <sz val="11"/>
        <color theme="5" tint="0.59999389629810485"/>
        <rFont val="Arial"/>
        <family val="2"/>
      </rPr>
      <t>(C5)</t>
    </r>
  </si>
  <si>
    <t>C1</t>
  </si>
  <si>
    <t>Q10</t>
  </si>
  <si>
    <r>
      <t>Q10/4</t>
    </r>
    <r>
      <rPr>
        <sz val="11"/>
        <color theme="5" tint="0.59999389629810485"/>
        <rFont val="Arial"/>
        <family val="2"/>
      </rPr>
      <t xml:space="preserve"> (C5)</t>
    </r>
  </si>
  <si>
    <t>C2</t>
  </si>
  <si>
    <t>Q11</t>
  </si>
  <si>
    <r>
      <t xml:space="preserve">Q10/5 </t>
    </r>
    <r>
      <rPr>
        <sz val="11"/>
        <color theme="5" tint="0.59999389629810485"/>
        <rFont val="Arial"/>
        <family val="2"/>
      </rPr>
      <t>(C5)</t>
    </r>
  </si>
  <si>
    <t>C3</t>
  </si>
  <si>
    <t>Q12</t>
  </si>
  <si>
    <r>
      <t xml:space="preserve">Q10/6 </t>
    </r>
    <r>
      <rPr>
        <sz val="11"/>
        <color theme="5" tint="0.59999389629810485"/>
        <rFont val="Arial"/>
        <family val="2"/>
      </rPr>
      <t>(C5)</t>
    </r>
  </si>
  <si>
    <t>C4</t>
  </si>
  <si>
    <t>Q13</t>
  </si>
  <si>
    <r>
      <t xml:space="preserve">Q10/7 </t>
    </r>
    <r>
      <rPr>
        <sz val="11"/>
        <color theme="5" tint="0.59999389629810485"/>
        <rFont val="Arial"/>
        <family val="2"/>
      </rPr>
      <t>(C5)</t>
    </r>
  </si>
  <si>
    <t>C5</t>
  </si>
  <si>
    <t>Q14</t>
  </si>
  <si>
    <r>
      <t xml:space="preserve">Q10/8 </t>
    </r>
    <r>
      <rPr>
        <sz val="11"/>
        <color theme="5" tint="0.59999389629810485"/>
        <rFont val="Arial"/>
        <family val="2"/>
      </rPr>
      <t>(C5)</t>
    </r>
  </si>
  <si>
    <t>C6</t>
  </si>
  <si>
    <t>Q15</t>
  </si>
  <si>
    <r>
      <t xml:space="preserve">Q10/9 </t>
    </r>
    <r>
      <rPr>
        <sz val="11"/>
        <color theme="5" tint="0.59999389629810485"/>
        <rFont val="Arial"/>
        <family val="2"/>
      </rPr>
      <t>(C5)</t>
    </r>
  </si>
  <si>
    <t>C7</t>
  </si>
  <si>
    <t>Q16</t>
  </si>
  <si>
    <r>
      <t xml:space="preserve">Q10/11 </t>
    </r>
    <r>
      <rPr>
        <sz val="11"/>
        <color theme="5" tint="0.59999389629810485"/>
        <rFont val="Arial"/>
        <family val="2"/>
      </rPr>
      <t>(C5)</t>
    </r>
  </si>
  <si>
    <t>C Sum</t>
  </si>
  <si>
    <t>Q17</t>
  </si>
  <si>
    <r>
      <t xml:space="preserve">Q11 </t>
    </r>
    <r>
      <rPr>
        <sz val="11"/>
        <color theme="5" tint="0.59999389629810485"/>
        <rFont val="Arial"/>
        <family val="2"/>
      </rPr>
      <t>(C1)</t>
    </r>
  </si>
  <si>
    <t>Sum Calc</t>
  </si>
  <si>
    <t>Q18</t>
  </si>
  <si>
    <r>
      <t xml:space="preserve">Q12/1 </t>
    </r>
    <r>
      <rPr>
        <sz val="11"/>
        <color theme="5" tint="0.59999389629810485"/>
        <rFont val="Arial"/>
        <family val="2"/>
      </rPr>
      <t>(C6)</t>
    </r>
  </si>
  <si>
    <t>Q19</t>
  </si>
  <si>
    <r>
      <t xml:space="preserve">Q12/2 </t>
    </r>
    <r>
      <rPr>
        <sz val="11"/>
        <color theme="5" tint="0.59999389629810485"/>
        <rFont val="Arial"/>
        <family val="2"/>
      </rPr>
      <t>(C7)</t>
    </r>
  </si>
  <si>
    <t>Q20</t>
  </si>
  <si>
    <r>
      <t xml:space="preserve">Q13 </t>
    </r>
    <r>
      <rPr>
        <sz val="11"/>
        <color theme="5" tint="0.59999389629810485"/>
        <rFont val="Arial"/>
        <family val="2"/>
      </rPr>
      <t>(C7)</t>
    </r>
  </si>
  <si>
    <t>Gruppe</t>
  </si>
  <si>
    <t>Leggetid</t>
  </si>
  <si>
    <t>Våknetid</t>
  </si>
  <si>
    <t>VIKTIG!</t>
  </si>
  <si>
    <t>Skriv inn tallet foran komma på ruten til venstre</t>
  </si>
  <si>
    <t>dag</t>
  </si>
  <si>
    <t>24 t</t>
  </si>
  <si>
    <t>Q2_Time</t>
  </si>
  <si>
    <t>Q2_Min</t>
  </si>
  <si>
    <t>Q3 _Min</t>
  </si>
  <si>
    <t>Q2_min - Omgjøring til mattematisk klokke</t>
  </si>
  <si>
    <t>Q3_min - Omgjøring til riktig mattematisk klokke</t>
  </si>
  <si>
    <t>Mattematisk klokketid</t>
  </si>
  <si>
    <t>Leggetid fra 24 timer</t>
  </si>
  <si>
    <t>Q6_Time</t>
  </si>
  <si>
    <t>Q6_Min</t>
  </si>
  <si>
    <t>Omgjøring til mattematisk klokke</t>
  </si>
  <si>
    <t>N celle omgjøring til time</t>
  </si>
  <si>
    <t>Omgjøring - Mattematisk minutter fra timer</t>
  </si>
  <si>
    <t>S_Quality</t>
  </si>
  <si>
    <t>Time Sovet</t>
  </si>
  <si>
    <t>Min Sovet</t>
  </si>
  <si>
    <t>Sleep Deprivation</t>
  </si>
  <si>
    <t>Normal Sleep</t>
  </si>
  <si>
    <t xml:space="preserve">PRE </t>
  </si>
  <si>
    <t>POST</t>
  </si>
  <si>
    <t>Pos SUM</t>
  </si>
  <si>
    <t>Neg SUM</t>
  </si>
  <si>
    <t>Code</t>
  </si>
  <si>
    <t>Age</t>
  </si>
  <si>
    <t>Handedness</t>
  </si>
  <si>
    <t>T2</t>
  </si>
  <si>
    <t>T1 (date)</t>
  </si>
  <si>
    <t>T2 (date)</t>
  </si>
  <si>
    <t>T1 daylight</t>
  </si>
  <si>
    <t>T2 daylight</t>
  </si>
  <si>
    <t xml:space="preserve">Instrument </t>
  </si>
  <si>
    <t>Instrument (years)</t>
  </si>
  <si>
    <t>Metronom adjustment</t>
  </si>
  <si>
    <t>Hearing impaired</t>
  </si>
  <si>
    <t>Protocol compliance, side effects:</t>
  </si>
  <si>
    <t>EEG problems</t>
  </si>
  <si>
    <t>Task-related comments</t>
  </si>
  <si>
    <t>Else</t>
  </si>
  <si>
    <t>Complied with NS</t>
  </si>
  <si>
    <t>Complied with PSD</t>
  </si>
  <si>
    <t>No coffee/tea/energy drinks</t>
  </si>
  <si>
    <t>General</t>
  </si>
  <si>
    <t>Pre-session criteria</t>
  </si>
  <si>
    <t>Notes T1</t>
  </si>
  <si>
    <t>Notes T2</t>
  </si>
  <si>
    <t>No alcohol</t>
  </si>
  <si>
    <t>T0</t>
  </si>
  <si>
    <t>Feedback</t>
  </si>
  <si>
    <t>1 - Generell søvn</t>
  </si>
  <si>
    <t xml:space="preserve">Q1 </t>
  </si>
  <si>
    <t>Gender</t>
  </si>
  <si>
    <t>Group</t>
  </si>
  <si>
    <t>date</t>
  </si>
  <si>
    <t>db change</t>
  </si>
  <si>
    <t>years</t>
  </si>
  <si>
    <t>Søvnvaner</t>
  </si>
  <si>
    <t xml:space="preserve">1 - </t>
  </si>
  <si>
    <t>NB: se lengre ned for spørsmål og svar alternativer</t>
  </si>
  <si>
    <t>Når foretrekker du å stå opp på en vanlig ukedag (SVAR: 24 timer klokke)</t>
  </si>
  <si>
    <t>Hvor mange timer foretrekker du å sove en vanlig natt i uka (ikke i helgen)? (SVAR: timer med kommatall)</t>
  </si>
  <si>
    <t>Hvor mange timer søvn får du vanligvis i løpet av en 24-timers periode i ukedagene? (SVAR: timer med kommatall)</t>
  </si>
  <si>
    <t>Hvor mange timer søvn får du vanligvis i løpet av en 24-timers periode i helgene?  (SVAR: timer med kommatall)</t>
  </si>
  <si>
    <t>Hvor mange kopper kaffe, te og/eller koffeinholdig brus/cola drikker du vanligvis i løpet av en dag? (SVAR: antall)</t>
  </si>
  <si>
    <t>Når foretrekker du å legge deg på en vanlig ukedag (SVAR: 24 timer klokke)</t>
  </si>
  <si>
    <t>Har du nattarbeid? (SVAR: 1 - aldri, 2 - en natt pr måned el. Sjeldnere; 3 - 2-4 netter pr måned; 4 - 2 netter i uka)</t>
  </si>
  <si>
    <t>2 -</t>
  </si>
  <si>
    <t>Q1 - Bruke du noen spesiell strategi for å lage en tilfeldig sekvens?</t>
  </si>
  <si>
    <t>Q2 - Har du noen bemerkninger angående oppgaven i seg selv</t>
  </si>
  <si>
    <t>Q3 - Når du rapporterte å ikke være fokusert på oppgaven (OFF-TASK), hva tenkte du på da?</t>
  </si>
  <si>
    <t>Q4 - Har du noen andre kommentarer?</t>
  </si>
  <si>
    <t>Open Feedback</t>
  </si>
  <si>
    <t>Q2 - Vennligst vurder hvor motivert du var til å produsere tilfeldige sekvenser da eksperimentet startet:</t>
  </si>
  <si>
    <t>(1 - ikke motivert, 7 - veldig motivert)</t>
  </si>
  <si>
    <t xml:space="preserve">Q3 - Når du svarte på spørsmålet om hvor fokusert du var på oppgaven, hvor sikker var du på svaret ditt? </t>
  </si>
  <si>
    <t>(1 - ikke i det hele tatt, 7 - ekstremt)</t>
  </si>
  <si>
    <t>Q1 - vennligst evaluer i hvilken grad du ble distrahert av å ha på deg engangshansker i løpet av oppgaven:</t>
  </si>
  <si>
    <t>NOT RELEVANT - HAS NOT BEEN USED (1 - ikke i det hele tatt, 7 - ekstremt)</t>
  </si>
  <si>
    <t>T1</t>
  </si>
  <si>
    <r>
      <t>Q2_Min = Spørsmål 2 minutter (2 siste tallene i en 24 timer klokke(e.g., 23:</t>
    </r>
    <r>
      <rPr>
        <b/>
        <sz val="11"/>
        <color theme="1"/>
        <rFont val="Calibri"/>
        <family val="2"/>
        <scheme val="minor"/>
      </rPr>
      <t>15)</t>
    </r>
    <r>
      <rPr>
        <sz val="11"/>
        <color theme="1"/>
        <rFont val="Calibri"/>
        <family val="2"/>
        <scheme val="minor"/>
      </rPr>
      <t>)</t>
    </r>
  </si>
  <si>
    <r>
      <t xml:space="preserve">Q2_Time = Spørsmål 2 timer (2 første tallene i en 24 timer klokke (e.g.,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>:15))</t>
    </r>
  </si>
  <si>
    <r>
      <t>Q6_Min = Spørsmål 6 min (2 første tallene i en 24 timer klokke (e.g., 23: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>))</t>
    </r>
  </si>
  <si>
    <r>
      <t xml:space="preserve">Q6_Time = Spørsmål 6 timer (2 første tallene i en 24 timer klokke (e.g.,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>:15))</t>
    </r>
  </si>
  <si>
    <t xml:space="preserve">Q3_Min = Minutter </t>
  </si>
  <si>
    <t>Min motivasjon er lavere når jeg er sliten og uopplagt</t>
  </si>
  <si>
    <t>Timer</t>
  </si>
  <si>
    <t>Minutter</t>
  </si>
  <si>
    <t>Spørsmål</t>
  </si>
  <si>
    <t>Qx</t>
  </si>
  <si>
    <t>Fysisk aktivitet gjør meg sliten og uopplagt</t>
  </si>
  <si>
    <t>Jeg blir fort sliten og uopplagt</t>
  </si>
  <si>
    <t>Det at jeg er sliten og uopplagt virker inn på hvordan jeg fungerer fysisk</t>
  </si>
  <si>
    <t>Det at jeg er sliten og uopplagt skaper ofte vanskeligheter for meg</t>
  </si>
  <si>
    <t>Det at jeg er sliten og uopplagt hindrer meg i å opprettholde min fysiske funksjonsdyktighet over tid</t>
  </si>
  <si>
    <t>Det at jeg er sliten og uopplagt virker inn på evnen til å utøfre visse oppgaver og plikter</t>
  </si>
  <si>
    <t>Det at jeg er sliten og uopplagt er ett av de tre symptomene som hemmer meg</t>
  </si>
  <si>
    <t>Det at jeg er sliten og uopplagt virker inn på mitt arbeid, mitt familieliv eller min omgang med venner og kjente</t>
  </si>
  <si>
    <t>3 -</t>
  </si>
  <si>
    <t>Sitte og lese</t>
  </si>
  <si>
    <t>Se på TV</t>
  </si>
  <si>
    <t>Sitte, inaktiv på et offentlig sted (f.eks. på teater eller et møte)</t>
  </si>
  <si>
    <t>Som passasjer på en en-times biltur uten pause</t>
  </si>
  <si>
    <t>Legge deg for å hvile om ettermiddagen hvis omstendighetene tillater det</t>
  </si>
  <si>
    <t>Sitte og snakke med noen</t>
  </si>
  <si>
    <t>Sitte stille etter lunj (uten å ha inntatt alkohol)</t>
  </si>
  <si>
    <t>I en bil, som har stoppet for noen få minutter i trafikken</t>
  </si>
  <si>
    <t xml:space="preserve">4 - </t>
  </si>
  <si>
    <t>Vansker med å sovne</t>
  </si>
  <si>
    <t>Vansker med å forbli sovende</t>
  </si>
  <si>
    <t>Problemer med for tidlig oppvåkning</t>
  </si>
  <si>
    <t>SVAR: 0 = ville aldri døse/sovne; 1 = liten sjansse for å døse/sovne; 2 = moderat sjanse for å døse/sovne; 3 = stor sjanse for å døse/sovne</t>
  </si>
  <si>
    <t xml:space="preserve">SVAR: 1 = helt uenig, 7 = helt enig) </t>
  </si>
  <si>
    <t>Q1.1</t>
  </si>
  <si>
    <t>Q1.2</t>
  </si>
  <si>
    <t>Q1.3</t>
  </si>
  <si>
    <t xml:space="preserve">Q2 </t>
  </si>
  <si>
    <t xml:space="preserve">Q6 </t>
  </si>
  <si>
    <t>I løpet av den siste måneden når har du vanligvis lagt deg om kvelden? (SVAR: 24 timer klokke)</t>
  </si>
  <si>
    <t xml:space="preserve">Hvor bekymret/engstelig er du for ditt nåværende søvnmønster? (SVAR: 0 = ikke i det hele tatt; 4 = svært andre(engestelig?)) </t>
  </si>
  <si>
    <t>Hvor merkbart for andre tror du at søvnproblemet ditt er i form av at det reduserer livskvaliteten din? (SVAR: 0 = ikke merkbart i det hele tatt; 4 = svært merkbart for andre)</t>
  </si>
  <si>
    <t xml:space="preserve">I hvor stor grad opplever du at søvnproblemene dine reduserer funksjonsevnen din i hverdagen (f.eks. utslitt på dagtid, evne til å fungere på jobb( daglige gjøremål, konsentrasjon, hukommelse, humør, osv.) (SVAR: 0 = forstyrrer ikke i det hele tatt; 4 = forstyrrer i veldig stor grad) </t>
  </si>
  <si>
    <t>Hvor fornyd/misfornøyd er du med ditt nåværende søvnmønster (SVAR: 0 = svært fornøyd; 4 svært misfornøyd)</t>
  </si>
  <si>
    <t>SVAR Q1: 0 = ingen; 4 = svært stor</t>
  </si>
  <si>
    <t>I løpet av den siste måneden , hvor lang tid (i minutter) har det vanligvis tatt deg å sovne om kvelden? (SVAR: minutter)</t>
  </si>
  <si>
    <t>I løpet av den siste måneden, når har du vanligvis stått opp om morgenen? (SVAR: 24 timer klokke)</t>
  </si>
  <si>
    <t xml:space="preserve">I løpet av den siste måneden, hvor mange timer søvn har du faktisk fått om natten? (SVAR: 24 timer med kommatall) </t>
  </si>
  <si>
    <t>Q10.1</t>
  </si>
  <si>
    <t xml:space="preserve">Q10 </t>
  </si>
  <si>
    <t xml:space="preserve">… fordi du ikke klarer å sovne i løpet av 30 minutter </t>
  </si>
  <si>
    <t xml:space="preserve">… fordi du våkner opp midt på natten eller tidlig om morgenen </t>
  </si>
  <si>
    <t>… fordi du må opp for å gå på toalettet</t>
  </si>
  <si>
    <t>… fordi du ikke klarer å puste ordentlig</t>
  </si>
  <si>
    <t>… fordi du hoster eller snorker høyt</t>
  </si>
  <si>
    <t>… fordi du føler deg for varm</t>
  </si>
  <si>
    <t>… fordi du føler deg for kald</t>
  </si>
  <si>
    <t>… fordi du har vonde drømmer</t>
  </si>
  <si>
    <t>… fordi du har smerter</t>
  </si>
  <si>
    <t>OPEN ANSWER</t>
  </si>
  <si>
    <t>Q10.2</t>
  </si>
  <si>
    <t>Q10.3</t>
  </si>
  <si>
    <t>Q10.4</t>
  </si>
  <si>
    <t>Q10.5</t>
  </si>
  <si>
    <t>Q10.6</t>
  </si>
  <si>
    <t>Q10.7</t>
  </si>
  <si>
    <t>Q10.8</t>
  </si>
  <si>
    <t>Q10.9</t>
  </si>
  <si>
    <t>Q10.10</t>
  </si>
  <si>
    <t>Q10.11</t>
  </si>
  <si>
    <t>Hvor ofte, i løpet av den siste måneden, har du hatt problemer med søvnen på grunn av dette</t>
  </si>
  <si>
    <t>I løpet av den siste måneden, hvor ofte har du hatt problemer med søvnen… (SVAR: 1 = ikke i løpet av den siste måneden; 2 = under en gang i uken; 3 = 1 el. 2 ganger  i uken; 3 el flere ganger i uken)</t>
  </si>
  <si>
    <t>I løpet av den siste måneden, hvor ofte …. (SVAR: 1 = ikke i løpet av den siste måneden; 2 = under en gang i uken; 3 = 1 el. 2 ganger  i uken; 3 el flere ganger i uken)</t>
  </si>
  <si>
    <t>Q12.1</t>
  </si>
  <si>
    <t>… har du tatt medisin (med eller uten resept) som hjelper til å sove?</t>
  </si>
  <si>
    <t>Q12.2</t>
  </si>
  <si>
    <t xml:space="preserve">… har du hatt problemer med å holde deg våken under bilkjøring, måltider, eller når du holder på med sosiale aktiviteter? </t>
  </si>
  <si>
    <t xml:space="preserve">I løpet av den siste måneden, hvor stort problem har det vært for deg å ha overskudd nok til å få ting gjort? (SVAR: 1 = ikke problem i det hele tatt, 4 = et stort problem) </t>
  </si>
  <si>
    <t xml:space="preserve">5 - </t>
  </si>
  <si>
    <t>Når ville du foretrukket å stå opp hvis du hadde full dags jobb (8 timer) og kunne velge arbeidstiden selv? (SVAR: 1 = før 06:30; 2 = 6:30-7:29; 3 = 07:30-08:29; 4 = 08:30 el. Senere)</t>
  </si>
  <si>
    <t xml:space="preserve">Når ville du foretrukket å legge deg hvis du hadde en full dags jobb (8 timer) og kunne velge arbeidstidene selv? (SVAR: 1 = før 21:00; 2 = 21:00-21:59; 3 = 22:00-22:59; 4 = 23 el. Senere) </t>
  </si>
  <si>
    <t xml:space="preserve">Hvis du alltid måtte legge deg kl 24:00, hvordan ville det da være å sove inn? (SVAR: 1 = veldig vanskelig, ville ligget våken lenge; 2 = ganske vanskelig, ville liggt våken en stund; 3 = ganske lett, ville sovnet etter en kort stund; 4 = lett, ville sovnet praktisk talt med en gang) </t>
  </si>
  <si>
    <t xml:space="preserve">Hvis du alltid måtte stå opp kl 06:00, hvordan ville dette vært? (SVAR: 1 = veldig vanskelig og ubehagelig; 2 = ganske vanskelig og ubehagelig; 3 = litt ubehagelig, men ikke noe stort problem; 4 = lett - ikke noe problem i det hele tatt) </t>
  </si>
  <si>
    <t>Når begynner du vanlgivsi først å merke at du er trøtt og har behov for søvn? (SVAR: 1 = før 21:00; 2 = 21:00-21:59; 3 = 22:00-22:59; 4 = 23:00 el. Senere)</t>
  </si>
  <si>
    <t xml:space="preserve">Etter at du har stått opp om morgenen, hvor lang tid tar det før du fungerer helt bra? (SVAR: 1 = 0-10 min.; 2 = 11-20 min.; 3 = 21-40 min.; 4 = over 40 min.) </t>
  </si>
  <si>
    <t xml:space="preserve">I hvilken grad er du en morgenaktiv eller kveldsaktiv person? (SVAR: 1 = veldig morgenaktiv ( morgenaktiv og kveldstrøtt); 2 = til en viss grad morgenaktiv; 3 = til en viss grad kveldsaktiv; 4 = veldig kveldsaktiv (morgentrøtt og kveldsaktiv)) </t>
  </si>
  <si>
    <t xml:space="preserve">6 - </t>
  </si>
  <si>
    <t xml:space="preserve">7 - </t>
  </si>
  <si>
    <t xml:space="preserve">Omtrent hvor ofte drikker du noen form for alkohol? (SVAR: 0 = aldri; 1 = månedlig eller sjeldnere; 2 = to til fire ganger i måneden; 3 = to til tre ganger i uken; 4 = fire ganger i uken eller mer) </t>
  </si>
  <si>
    <t>Hvor mange alkoholenheter (en drink, et glass vin eller en liten flaske øl) tar du på en "typisk" drikkedag? (SVAR: 0 = 1-2; 1 = 3-4; 2 = 5-6; 3 = 7-9; 4 = 10 eller flere)</t>
  </si>
  <si>
    <t>Hvor ofte drikker du seks alkoholenheter eller mer på en gang? (SVAR: 0 = aldri; 1 = sjeldnere enn månedelig; 2 = noen ganger i måneden; 3 = noen ganger i uken; 4 = daglig eller nesten daglig)</t>
  </si>
  <si>
    <t>Hvor mange bokser koffeinholdig "energidrikk" drikker du vanligvis i løpet av en dag?  (SVAR: antall)</t>
  </si>
  <si>
    <r>
      <rPr>
        <b/>
        <sz val="11"/>
        <color theme="1"/>
        <rFont val="Calibri"/>
        <family val="2"/>
        <scheme val="minor"/>
      </rPr>
      <t>xxx</t>
    </r>
    <r>
      <rPr>
        <sz val="11"/>
        <color theme="1"/>
        <rFont val="Calibri"/>
        <family val="2"/>
        <scheme val="minor"/>
      </rPr>
      <t xml:space="preserve"> (e.g., 000) </t>
    </r>
  </si>
  <si>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= ESD,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 LSD</t>
    </r>
  </si>
  <si>
    <r>
      <t xml:space="preserve">e.g., </t>
    </r>
    <r>
      <rPr>
        <b/>
        <sz val="11"/>
        <color theme="1"/>
        <rFont val="Calibri"/>
        <family val="2"/>
        <scheme val="minor"/>
      </rPr>
      <t>24</t>
    </r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</si>
  <si>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 female,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male</t>
    </r>
  </si>
  <si>
    <r>
      <rPr>
        <b/>
        <sz val="11"/>
        <color theme="1"/>
        <rFont val="Calibri"/>
        <family val="2"/>
        <scheme val="minor"/>
      </rPr>
      <t xml:space="preserve">0 </t>
    </r>
    <r>
      <rPr>
        <sz val="11"/>
        <color theme="1"/>
        <rFont val="Calibri"/>
        <family val="2"/>
        <scheme val="minor"/>
      </rPr>
      <t xml:space="preserve">= right,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 xml:space="preserve">= left,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both</t>
    </r>
  </si>
  <si>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= no,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= yes</t>
    </r>
  </si>
  <si>
    <r>
      <rPr>
        <b/>
        <sz val="11"/>
        <color theme="1"/>
        <rFont val="Calibri"/>
        <family val="2"/>
        <scheme val="minor"/>
      </rPr>
      <t xml:space="preserve">0 </t>
    </r>
    <r>
      <rPr>
        <sz val="11"/>
        <color theme="1"/>
        <rFont val="Calibri"/>
        <family val="2"/>
        <scheme val="minor"/>
      </rPr>
      <t xml:space="preserve">= no,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= yes</t>
    </r>
  </si>
  <si>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= no,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= yes</t>
    </r>
  </si>
  <si>
    <t>"hidden code/number thingy"</t>
  </si>
  <si>
    <t>Test</t>
  </si>
  <si>
    <t>Full protocol compliance rate</t>
  </si>
  <si>
    <t>VALUE</t>
  </si>
  <si>
    <t>auto: 0 = no compliance, 1 = full compliance</t>
  </si>
  <si>
    <t>S_Qualy calc</t>
  </si>
  <si>
    <t xml:space="preserve">S_Quality = 1-5 (blir gjort om til 0-4 -- enklere å skrive inn ift. svarene) </t>
  </si>
  <si>
    <t>(filled in "DataSheet")</t>
  </si>
  <si>
    <r>
      <t xml:space="preserve">Q2_Time </t>
    </r>
    <r>
      <rPr>
        <b/>
        <sz val="11"/>
        <color theme="1"/>
        <rFont val="Calibri"/>
        <family val="2"/>
        <scheme val="minor"/>
      </rPr>
      <t>VIKTIG:</t>
    </r>
    <r>
      <rPr>
        <sz val="11"/>
        <color theme="1"/>
        <rFont val="Calibri"/>
        <family val="2"/>
        <scheme val="minor"/>
      </rPr>
      <t xml:space="preserve"> hvis KLOKKE overstiger 24 timer, gjør tallet </t>
    </r>
    <r>
      <rPr>
        <b/>
        <sz val="11"/>
        <color theme="1"/>
        <rFont val="Calibri"/>
        <family val="2"/>
        <scheme val="minor"/>
      </rPr>
      <t>større</t>
    </r>
    <r>
      <rPr>
        <sz val="11"/>
        <color theme="1"/>
        <rFont val="Calibri"/>
        <family val="2"/>
        <scheme val="minor"/>
      </rPr>
      <t xml:space="preserve"> (e.g.,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>:50 (for 00:50))</t>
    </r>
  </si>
  <si>
    <t>Notat:</t>
  </si>
  <si>
    <t>hours | min</t>
  </si>
  <si>
    <t>Instrument</t>
  </si>
  <si>
    <t>Dato</t>
  </si>
  <si>
    <t>Hvilket spørsmål?</t>
  </si>
  <si>
    <t>Quiz feil (antall)</t>
  </si>
  <si>
    <t>Miniquiz</t>
  </si>
  <si>
    <t>Open Feedback:</t>
  </si>
  <si>
    <t>Miniquiz:</t>
  </si>
  <si>
    <r>
      <t xml:space="preserve">1 - Vil alltid et høyretrykk følge et venstretrykk?  (SVAR: Ja, </t>
    </r>
    <r>
      <rPr>
        <sz val="11"/>
        <color theme="9"/>
        <rFont val="Calibri"/>
        <family val="2"/>
        <scheme val="minor"/>
      </rPr>
      <t>Nei</t>
    </r>
    <r>
      <rPr>
        <sz val="11"/>
        <color theme="1"/>
        <rFont val="Calibri"/>
        <family val="2"/>
        <scheme val="minor"/>
      </rPr>
      <t>, Vet ikke)</t>
    </r>
  </si>
  <si>
    <r>
      <t xml:space="preserve">2 - Hvis det har vært tre høyretrykk, må det da alltid følge et venstretrykk? (SVAR: Ja, </t>
    </r>
    <r>
      <rPr>
        <sz val="11"/>
        <color theme="9"/>
        <rFont val="Calibri"/>
        <family val="2"/>
        <scheme val="minor"/>
      </rPr>
      <t>Nei</t>
    </r>
    <r>
      <rPr>
        <sz val="11"/>
        <color theme="1"/>
        <rFont val="Calibri"/>
        <family val="2"/>
        <scheme val="minor"/>
      </rPr>
      <t>, Vet ikke)</t>
    </r>
  </si>
  <si>
    <r>
      <t xml:space="preserve">3 - Hvis jeg, mens jeg gjorde oppgaven, tenkte på en film jeg har sett på kino, var tankene mine i kategorien: (SVAR: Helt klart fokusert på oppgaven, </t>
    </r>
    <r>
      <rPr>
        <sz val="11"/>
        <color theme="9"/>
        <rFont val="Calibri"/>
        <family val="2"/>
        <scheme val="minor"/>
      </rPr>
      <t>Helt klart ikke fokusert på oppgaven</t>
    </r>
    <r>
      <rPr>
        <sz val="11"/>
        <color theme="1"/>
        <rFont val="Calibri"/>
        <family val="2"/>
        <scheme val="minor"/>
      </rPr>
      <t>)</t>
    </r>
  </si>
  <si>
    <r>
      <t xml:space="preserve">4 - Hvis jeg, mens jeg gjorde oppgaven, tenkte på hva jeg skal spise til middag i morgen, var disse tankene i kategorien: (SVAR: Helt klart fokusert på oppgaven, </t>
    </r>
    <r>
      <rPr>
        <sz val="11"/>
        <color theme="9"/>
        <rFont val="Calibri"/>
        <family val="2"/>
        <scheme val="minor"/>
      </rPr>
      <t>helt klart ikke fokusert på oppgaven</t>
    </r>
    <r>
      <rPr>
        <sz val="11"/>
        <color theme="1"/>
        <rFont val="Calibri"/>
        <family val="2"/>
        <scheme val="minor"/>
      </rPr>
      <t>)</t>
    </r>
  </si>
  <si>
    <r>
      <t xml:space="preserve">5 - Hvis jeg, mens jeg gjorde oppgaven, telte antall høyre og venstre trykk i hodet, var disse tankene i kategorien: (SVAR: </t>
    </r>
    <r>
      <rPr>
        <sz val="11"/>
        <color theme="9"/>
        <rFont val="Calibri"/>
        <family val="2"/>
        <scheme val="minor"/>
      </rPr>
      <t>Helt klart fokusert på oppgaven,</t>
    </r>
    <r>
      <rPr>
        <sz val="11"/>
        <color theme="1"/>
        <rFont val="Calibri"/>
        <family val="2"/>
        <scheme val="minor"/>
      </rPr>
      <t xml:space="preserve"> helt klart ikke fokusert på oppgaven)</t>
    </r>
  </si>
  <si>
    <r>
      <t>6 - Hvis jeg, mens jeg gjorde oppgaven, tenkte på hvor kald gelen på hodet var, var disse tankene i kategorien: (SVAR: Helt klart fokusert på oppgaven,</t>
    </r>
    <r>
      <rPr>
        <sz val="11"/>
        <color theme="9"/>
        <rFont val="Calibri"/>
        <family val="2"/>
        <scheme val="minor"/>
      </rPr>
      <t xml:space="preserve"> helt klart ikke fokusert på oppgaven</t>
    </r>
    <r>
      <rPr>
        <sz val="11"/>
        <color theme="1"/>
        <rFont val="Calibri"/>
        <family val="2"/>
        <scheme val="minor"/>
      </rPr>
      <t>)</t>
    </r>
  </si>
  <si>
    <r>
      <t xml:space="preserve">7 - Hvis jeg, mens jeg gjorde oppgaven, tenkte på hvor enkel eller hvor vanskelig oppgaven var, var disse tankene i kategorien: (SVAR: Helt klart fokusert på oppgaven, </t>
    </r>
    <r>
      <rPr>
        <sz val="11"/>
        <color theme="9"/>
        <rFont val="Calibri"/>
        <family val="2"/>
        <scheme val="minor"/>
      </rPr>
      <t>helt klart ikke fokusert på oppgaven</t>
    </r>
    <r>
      <rPr>
        <sz val="11"/>
        <color theme="1"/>
        <rFont val="Calibri"/>
        <family val="2"/>
        <scheme val="minor"/>
      </rPr>
      <t>)</t>
    </r>
  </si>
  <si>
    <r>
      <t xml:space="preserve">8 - Hvis jeg, mens jeg gjorde oppgaven, ikke tenkte på oppgaven, men følte at tankene mine var tomme, var disse tankene i kategorien: (SVAR: Helt klart noe spesifikt, </t>
    </r>
    <r>
      <rPr>
        <sz val="11"/>
        <color theme="9"/>
        <rFont val="Calibri"/>
        <family val="2"/>
        <scheme val="minor"/>
      </rPr>
      <t>helt klart ingenting)</t>
    </r>
  </si>
  <si>
    <r>
      <t xml:space="preserve">9 - Hvis jeg, mens jeg gjorde oppgaven, prøvde å fokusere på oppgaven, men tankende mine vandret til noe annet, var disse tankene i kategorien: (SVAR: Helt klart bevisst, </t>
    </r>
    <r>
      <rPr>
        <sz val="11"/>
        <color theme="9"/>
        <rFont val="Calibri"/>
        <family val="2"/>
        <scheme val="minor"/>
      </rPr>
      <t>helt klart spontane</t>
    </r>
    <r>
      <rPr>
        <sz val="11"/>
        <color theme="1"/>
        <rFont val="Calibri"/>
        <family val="2"/>
        <scheme val="minor"/>
      </rPr>
      <t xml:space="preserve">) </t>
    </r>
  </si>
  <si>
    <r>
      <t xml:space="preserve">10 - Tonen jeg hører angir når jeg skal trykke på en knapp (SVAR: </t>
    </r>
    <r>
      <rPr>
        <sz val="11"/>
        <color theme="9"/>
        <rFont val="Calibri"/>
        <family val="2"/>
        <scheme val="minor"/>
      </rPr>
      <t>Ja</t>
    </r>
    <r>
      <rPr>
        <sz val="11"/>
        <color theme="1"/>
        <rFont val="Calibri"/>
        <family val="2"/>
        <scheme val="minor"/>
      </rPr>
      <t>, Nei, Vet ikke)</t>
    </r>
  </si>
  <si>
    <t>Forskjell</t>
  </si>
  <si>
    <t>DP_NS - DP_P</t>
  </si>
  <si>
    <t>NS - DP_P</t>
  </si>
  <si>
    <t>Bør være 3, i alle fall over 2 (rundt 1 er questionable)</t>
  </si>
  <si>
    <t xml:space="preserve">counting, not random, one button </t>
  </si>
  <si>
    <t xml:space="preserve">når er tasken over? Future -&gt; work. Blunking </t>
  </si>
  <si>
    <t>Counting . Addition to keep awake.</t>
  </si>
  <si>
    <t>a bit faster than last time. Boring.</t>
  </si>
  <si>
    <t>Mind blanking. Future things - every day stuff. - Work</t>
  </si>
  <si>
    <t>no</t>
  </si>
  <si>
    <t>q1</t>
  </si>
  <si>
    <t>q2</t>
  </si>
  <si>
    <t>q3</t>
  </si>
  <si>
    <t>q4</t>
  </si>
  <si>
    <t>q5</t>
  </si>
  <si>
    <t>q6</t>
  </si>
  <si>
    <t>q7</t>
  </si>
  <si>
    <t>q8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</si>
</sst>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sz val="11"/>
      <color theme="5" tint="0.59999389629810485"/>
      <name val="Arial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9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8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0" xfId="0" applyFont="1" applyFill="1"/>
    <xf numFmtId="0" fontId="1" fillId="2" borderId="2" xfId="0" applyFont="1" applyFill="1" applyBorder="1"/>
    <xf numFmtId="0" fontId="1" fillId="2" borderId="3" xfId="0" applyFont="1" applyFill="1" applyBorder="1"/>
    <xf numFmtId="0" fontId="0" fillId="2" borderId="1" xfId="0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4" borderId="1" xfId="0" applyFont="1" applyFill="1" applyBorder="1"/>
    <xf numFmtId="0" fontId="1" fillId="5" borderId="3" xfId="0" applyFont="1" applyFill="1" applyBorder="1"/>
    <xf numFmtId="0" fontId="1" fillId="5" borderId="1" xfId="0" applyFont="1" applyFill="1" applyBorder="1"/>
    <xf numFmtId="0" fontId="0" fillId="6" borderId="1" xfId="0" applyFill="1" applyBorder="1"/>
    <xf numFmtId="0" fontId="0" fillId="4" borderId="1" xfId="0" applyFill="1" applyBorder="1"/>
    <xf numFmtId="0" fontId="1" fillId="2" borderId="4" xfId="0" applyFont="1" applyFill="1" applyBorder="1"/>
    <xf numFmtId="0" fontId="0" fillId="7" borderId="1" xfId="0" applyFill="1" applyBorder="1"/>
    <xf numFmtId="0" fontId="0" fillId="8" borderId="1" xfId="0" applyFill="1" applyBorder="1"/>
    <xf numFmtId="0" fontId="1" fillId="3" borderId="5" xfId="0" applyFont="1" applyFill="1" applyBorder="1"/>
    <xf numFmtId="0" fontId="1" fillId="8" borderId="1" xfId="0" applyFont="1" applyFill="1" applyBorder="1"/>
    <xf numFmtId="0" fontId="1" fillId="2" borderId="6" xfId="0" applyFont="1" applyFill="1" applyBorder="1"/>
    <xf numFmtId="0" fontId="1" fillId="8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1" fillId="9" borderId="1" xfId="0" applyFont="1" applyFill="1" applyBorder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0" borderId="1" xfId="0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2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5" borderId="1" xfId="0" applyFill="1" applyBorder="1"/>
    <xf numFmtId="2" fontId="0" fillId="0" borderId="0" xfId="0" applyNumberFormat="1"/>
    <xf numFmtId="0" fontId="0" fillId="4" borderId="3" xfId="0" applyFill="1" applyBorder="1"/>
    <xf numFmtId="0" fontId="1" fillId="3" borderId="3" xfId="0" applyFont="1" applyFill="1" applyBorder="1" applyAlignment="1">
      <alignment horizontal="center"/>
    </xf>
    <xf numFmtId="0" fontId="1" fillId="3" borderId="0" xfId="0" applyFont="1" applyFill="1"/>
    <xf numFmtId="0" fontId="0" fillId="3" borderId="1" xfId="0" applyFill="1" applyBorder="1"/>
    <xf numFmtId="0" fontId="0" fillId="4" borderId="9" xfId="0" applyFill="1" applyBorder="1"/>
    <xf numFmtId="0" fontId="0" fillId="4" borderId="8" xfId="0" applyFill="1" applyBorder="1"/>
    <xf numFmtId="0" fontId="0" fillId="3" borderId="5" xfId="0" applyFill="1" applyBorder="1"/>
    <xf numFmtId="0" fontId="0" fillId="3" borderId="12" xfId="0" applyFill="1" applyBorder="1"/>
    <xf numFmtId="0" fontId="0" fillId="3" borderId="3" xfId="0" applyFill="1" applyBorder="1"/>
    <xf numFmtId="0" fontId="0" fillId="2" borderId="5" xfId="0" applyFill="1" applyBorder="1"/>
    <xf numFmtId="0" fontId="0" fillId="2" borderId="3" xfId="0" applyFill="1" applyBorder="1"/>
    <xf numFmtId="0" fontId="0" fillId="3" borderId="2" xfId="0" applyFill="1" applyBorder="1"/>
    <xf numFmtId="0" fontId="0" fillId="4" borderId="5" xfId="0" applyFill="1" applyBorder="1"/>
    <xf numFmtId="0" fontId="0" fillId="4" borderId="12" xfId="0" applyFill="1" applyBorder="1"/>
    <xf numFmtId="0" fontId="1" fillId="2" borderId="5" xfId="0" applyFont="1" applyFill="1" applyBorder="1"/>
    <xf numFmtId="0" fontId="1" fillId="0" borderId="7" xfId="0" applyFont="1" applyBorder="1"/>
    <xf numFmtId="0" fontId="1" fillId="4" borderId="10" xfId="0" applyFont="1" applyFill="1" applyBorder="1"/>
    <xf numFmtId="0" fontId="1" fillId="7" borderId="0" xfId="0" applyFont="1" applyFill="1"/>
    <xf numFmtId="0" fontId="1" fillId="10" borderId="0" xfId="0" applyFont="1" applyFill="1"/>
    <xf numFmtId="0" fontId="1" fillId="17" borderId="0" xfId="0" applyFont="1" applyFill="1"/>
    <xf numFmtId="0" fontId="4" fillId="0" borderId="0" xfId="0" applyFont="1"/>
    <xf numFmtId="0" fontId="0" fillId="2" borderId="0" xfId="0" applyFill="1"/>
    <xf numFmtId="0" fontId="0" fillId="0" borderId="10" xfId="0" applyBorder="1"/>
    <xf numFmtId="0" fontId="0" fillId="0" borderId="11" xfId="0" applyBorder="1"/>
    <xf numFmtId="0" fontId="0" fillId="4" borderId="13" xfId="0" applyFill="1" applyBorder="1"/>
    <xf numFmtId="0" fontId="0" fillId="0" borderId="5" xfId="0" applyBorder="1"/>
    <xf numFmtId="0" fontId="0" fillId="2" borderId="12" xfId="0" applyFill="1" applyBorder="1"/>
    <xf numFmtId="0" fontId="0" fillId="2" borderId="6" xfId="0" applyFill="1" applyBorder="1"/>
    <xf numFmtId="0" fontId="0" fillId="2" borderId="13" xfId="0" applyFill="1" applyBorder="1"/>
    <xf numFmtId="0" fontId="1" fillId="4" borderId="5" xfId="0" applyFont="1" applyFill="1" applyBorder="1"/>
    <xf numFmtId="0" fontId="1" fillId="4" borderId="3" xfId="0" applyFont="1" applyFill="1" applyBorder="1"/>
    <xf numFmtId="0" fontId="0" fillId="19" borderId="1" xfId="0" applyFill="1" applyBorder="1"/>
    <xf numFmtId="0" fontId="0" fillId="3" borderId="11" xfId="0" applyFill="1" applyBorder="1"/>
    <xf numFmtId="0" fontId="0" fillId="3" borderId="14" xfId="0" applyFill="1" applyBorder="1"/>
    <xf numFmtId="0" fontId="0" fillId="3" borderId="8" xfId="0" applyFill="1" applyBorder="1"/>
    <xf numFmtId="0" fontId="0" fillId="13" borderId="0" xfId="0" applyFill="1"/>
    <xf numFmtId="0" fontId="6" fillId="0" borderId="0" xfId="0" applyFont="1"/>
    <xf numFmtId="0" fontId="0" fillId="6" borderId="0" xfId="0" applyFill="1"/>
    <xf numFmtId="14" fontId="0" fillId="12" borderId="1" xfId="0" applyNumberFormat="1" applyFill="1" applyBorder="1"/>
    <xf numFmtId="0" fontId="0" fillId="2" borderId="2" xfId="0" applyFill="1" applyBorder="1"/>
    <xf numFmtId="0" fontId="0" fillId="18" borderId="1" xfId="0" applyFill="1" applyBorder="1"/>
    <xf numFmtId="0" fontId="0" fillId="0" borderId="7" xfId="0" applyBorder="1"/>
    <xf numFmtId="0" fontId="0" fillId="3" borderId="10" xfId="0" applyFill="1" applyBorder="1"/>
    <xf numFmtId="0" fontId="0" fillId="3" borderId="15" xfId="0" applyFill="1" applyBorder="1"/>
    <xf numFmtId="0" fontId="0" fillId="3" borderId="9" xfId="0" applyFill="1" applyBorder="1"/>
    <xf numFmtId="0" fontId="0" fillId="12" borderId="5" xfId="0" applyFill="1" applyBorder="1"/>
    <xf numFmtId="0" fontId="0" fillId="17" borderId="3" xfId="0" applyFill="1" applyBorder="1"/>
    <xf numFmtId="0" fontId="0" fillId="17" borderId="5" xfId="0" applyFill="1" applyBorder="1"/>
    <xf numFmtId="0" fontId="0" fillId="17" borderId="12" xfId="0" applyFill="1" applyBorder="1"/>
    <xf numFmtId="14" fontId="0" fillId="4" borderId="3" xfId="0" applyNumberFormat="1" applyFill="1" applyBorder="1"/>
    <xf numFmtId="20" fontId="0" fillId="0" borderId="0" xfId="0" applyNumberFormat="1"/>
  </cellXfs>
  <cellStyles count="1">
    <cellStyle name="Normal" xfId="0" builtinId="0"/>
  </cellStyles>
  <dxfs count="8">
    <dxf>
      <fill>
        <patternFill>
          <bgColor rgb="FFFF0000"/>
        </patternFill>
      </fill>
    </dxf>
    <dxf>
      <fill>
        <patternFill>
          <bgColor rgb="FFFF0000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FE55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4EA3D-E15A-4356-99E1-D16A0B03F96F}">
  <dimension ref="A1:M37"/>
  <sheetViews>
    <sheetView zoomScale="98" zoomScaleNormal="130" workbookViewId="0">
      <selection activeCell="D31" sqref="D31"/>
    </sheetView>
  </sheetViews>
  <sheetFormatPr defaultColWidth="11.42578125" defaultRowHeight="15" x14ac:dyDescent="0.25"/>
  <cols>
    <col min="1" max="1" width="5.42578125" customWidth="1"/>
    <col min="2" max="2" width="29.85546875" customWidth="1"/>
    <col min="3" max="3" width="4.85546875" customWidth="1"/>
    <col min="4" max="4" width="11.140625" customWidth="1"/>
    <col min="5" max="5" width="4.85546875" customWidth="1"/>
  </cols>
  <sheetData>
    <row r="1" spans="1:8" x14ac:dyDescent="0.25">
      <c r="A1" s="46" t="s">
        <v>124</v>
      </c>
      <c r="B1" s="63"/>
      <c r="C1" s="47"/>
      <c r="D1" s="58" t="s">
        <v>263</v>
      </c>
    </row>
    <row r="2" spans="1:8" x14ac:dyDescent="0.25">
      <c r="B2" s="43" t="s">
        <v>105</v>
      </c>
      <c r="C2" s="45"/>
      <c r="D2" s="37">
        <v>27</v>
      </c>
      <c r="F2" t="s">
        <v>252</v>
      </c>
    </row>
    <row r="3" spans="1:8" x14ac:dyDescent="0.25">
      <c r="B3" s="43" t="s">
        <v>106</v>
      </c>
      <c r="C3" s="45"/>
      <c r="D3" s="37">
        <v>24</v>
      </c>
      <c r="F3" t="s">
        <v>254</v>
      </c>
    </row>
    <row r="4" spans="1:8" x14ac:dyDescent="0.25">
      <c r="B4" s="43" t="s">
        <v>133</v>
      </c>
      <c r="C4" s="45"/>
      <c r="D4" s="37">
        <v>1</v>
      </c>
      <c r="F4" t="s">
        <v>255</v>
      </c>
    </row>
    <row r="5" spans="1:8" x14ac:dyDescent="0.25">
      <c r="B5" s="43" t="s">
        <v>107</v>
      </c>
      <c r="C5" s="45"/>
      <c r="D5" s="37">
        <v>0</v>
      </c>
      <c r="F5" t="s">
        <v>256</v>
      </c>
    </row>
    <row r="6" spans="1:8" x14ac:dyDescent="0.25">
      <c r="B6" s="43" t="s">
        <v>134</v>
      </c>
      <c r="C6" s="45"/>
      <c r="D6" s="37">
        <v>1</v>
      </c>
      <c r="F6" t="s">
        <v>253</v>
      </c>
    </row>
    <row r="7" spans="1:8" x14ac:dyDescent="0.25">
      <c r="B7" s="43" t="s">
        <v>109</v>
      </c>
      <c r="C7" s="45"/>
      <c r="D7" s="86">
        <v>44472</v>
      </c>
      <c r="F7" s="57" t="s">
        <v>135</v>
      </c>
    </row>
    <row r="8" spans="1:8" x14ac:dyDescent="0.25">
      <c r="B8" s="43" t="s">
        <v>111</v>
      </c>
      <c r="C8" s="45"/>
      <c r="D8" s="37">
        <v>10</v>
      </c>
      <c r="E8" s="15">
        <v>57</v>
      </c>
      <c r="F8" s="57" t="s">
        <v>270</v>
      </c>
      <c r="H8" s="74">
        <f>((E8/0.6)/100)+D8</f>
        <v>10.95</v>
      </c>
    </row>
    <row r="9" spans="1:8" x14ac:dyDescent="0.25">
      <c r="B9" s="43" t="s">
        <v>110</v>
      </c>
      <c r="C9" s="45"/>
      <c r="D9" s="86">
        <v>44479</v>
      </c>
      <c r="F9" s="57" t="s">
        <v>135</v>
      </c>
    </row>
    <row r="10" spans="1:8" x14ac:dyDescent="0.25">
      <c r="B10" s="43" t="s">
        <v>112</v>
      </c>
      <c r="C10" s="45"/>
      <c r="D10" s="37">
        <v>9</v>
      </c>
      <c r="E10" s="15">
        <v>49</v>
      </c>
      <c r="F10" s="57" t="s">
        <v>270</v>
      </c>
      <c r="H10" s="74">
        <f>((E10/0.6)/100)+D10</f>
        <v>9.8166666666666664</v>
      </c>
    </row>
    <row r="11" spans="1:8" x14ac:dyDescent="0.25">
      <c r="B11" s="43" t="s">
        <v>116</v>
      </c>
      <c r="C11" s="45"/>
      <c r="D11" s="37">
        <v>0</v>
      </c>
      <c r="F11" t="s">
        <v>257</v>
      </c>
    </row>
    <row r="12" spans="1:8" x14ac:dyDescent="0.25">
      <c r="B12" s="43" t="s">
        <v>115</v>
      </c>
      <c r="C12" s="45"/>
      <c r="D12" s="37">
        <v>0</v>
      </c>
      <c r="F12" s="57" t="s">
        <v>136</v>
      </c>
    </row>
    <row r="13" spans="1:8" x14ac:dyDescent="0.25">
      <c r="B13" s="43" t="s">
        <v>113</v>
      </c>
      <c r="C13" s="45"/>
      <c r="D13" s="41">
        <v>0</v>
      </c>
      <c r="F13" s="57" t="s">
        <v>271</v>
      </c>
      <c r="H13" s="74">
        <f>IF(ISTEXT(D13)=TRUE,1,0)</f>
        <v>0</v>
      </c>
    </row>
    <row r="14" spans="1:8" x14ac:dyDescent="0.25">
      <c r="B14" s="43" t="s">
        <v>114</v>
      </c>
      <c r="C14" s="45"/>
      <c r="D14" s="37">
        <v>0</v>
      </c>
      <c r="F14" s="57" t="s">
        <v>137</v>
      </c>
    </row>
    <row r="15" spans="1:8" x14ac:dyDescent="0.25">
      <c r="A15" s="7" t="s">
        <v>125</v>
      </c>
      <c r="B15" s="64"/>
      <c r="C15" s="58" t="s">
        <v>261</v>
      </c>
      <c r="D15" s="59"/>
    </row>
    <row r="16" spans="1:8" x14ac:dyDescent="0.25">
      <c r="B16" s="43" t="s">
        <v>121</v>
      </c>
      <c r="C16" s="44"/>
      <c r="D16" s="60"/>
    </row>
    <row r="17" spans="1:13" x14ac:dyDescent="0.25">
      <c r="C17" s="40" t="s">
        <v>160</v>
      </c>
      <c r="D17" s="42">
        <v>1</v>
      </c>
      <c r="F17" t="s">
        <v>258</v>
      </c>
    </row>
    <row r="18" spans="1:13" x14ac:dyDescent="0.25">
      <c r="C18" s="40" t="s">
        <v>108</v>
      </c>
      <c r="D18" s="15">
        <v>1</v>
      </c>
      <c r="F18" t="s">
        <v>258</v>
      </c>
    </row>
    <row r="19" spans="1:13" x14ac:dyDescent="0.25">
      <c r="B19" s="43" t="s">
        <v>122</v>
      </c>
      <c r="C19" s="45"/>
      <c r="D19" s="15">
        <v>1</v>
      </c>
      <c r="F19" t="s">
        <v>259</v>
      </c>
    </row>
    <row r="20" spans="1:13" x14ac:dyDescent="0.25">
      <c r="B20" s="43" t="s">
        <v>123</v>
      </c>
      <c r="C20" s="44"/>
      <c r="D20" s="62"/>
    </row>
    <row r="21" spans="1:13" x14ac:dyDescent="0.25">
      <c r="C21" s="40" t="s">
        <v>160</v>
      </c>
      <c r="D21" s="61">
        <v>1</v>
      </c>
      <c r="F21" t="s">
        <v>259</v>
      </c>
    </row>
    <row r="22" spans="1:13" x14ac:dyDescent="0.25">
      <c r="C22" s="40" t="s">
        <v>108</v>
      </c>
      <c r="D22" s="41">
        <v>1</v>
      </c>
      <c r="F22" t="s">
        <v>259</v>
      </c>
    </row>
    <row r="23" spans="1:13" x14ac:dyDescent="0.25">
      <c r="B23" s="43" t="s">
        <v>128</v>
      </c>
      <c r="C23" s="44"/>
      <c r="D23" s="62"/>
    </row>
    <row r="24" spans="1:13" x14ac:dyDescent="0.25">
      <c r="C24" s="40" t="s">
        <v>160</v>
      </c>
      <c r="D24" s="61">
        <v>1</v>
      </c>
      <c r="F24" t="s">
        <v>259</v>
      </c>
    </row>
    <row r="25" spans="1:13" x14ac:dyDescent="0.25">
      <c r="C25" s="48" t="s">
        <v>108</v>
      </c>
      <c r="D25" s="41">
        <v>1</v>
      </c>
      <c r="F25" t="s">
        <v>259</v>
      </c>
    </row>
    <row r="26" spans="1:13" x14ac:dyDescent="0.25">
      <c r="B26" s="43" t="s">
        <v>129</v>
      </c>
      <c r="C26" s="45"/>
      <c r="D26" s="37">
        <v>1</v>
      </c>
      <c r="F26" t="s">
        <v>259</v>
      </c>
    </row>
    <row r="27" spans="1:13" x14ac:dyDescent="0.25">
      <c r="B27" s="43" t="s">
        <v>262</v>
      </c>
      <c r="C27" s="44"/>
      <c r="D27" s="14">
        <f>SUM(D17:D26)/COUNT(D17:D26)</f>
        <v>1</v>
      </c>
      <c r="F27" t="s">
        <v>264</v>
      </c>
    </row>
    <row r="28" spans="1:13" x14ac:dyDescent="0.25">
      <c r="A28" s="46" t="s">
        <v>126</v>
      </c>
      <c r="B28" s="58"/>
      <c r="C28" s="65"/>
    </row>
    <row r="29" spans="1:13" x14ac:dyDescent="0.25">
      <c r="B29" s="43" t="s">
        <v>117</v>
      </c>
      <c r="C29" s="45"/>
      <c r="D29" s="50"/>
      <c r="E29" s="50"/>
      <c r="F29" s="50"/>
      <c r="G29" s="50"/>
      <c r="H29" s="50"/>
      <c r="I29" s="50"/>
      <c r="J29" s="50"/>
      <c r="K29" s="50"/>
      <c r="L29" s="50"/>
      <c r="M29" s="37"/>
    </row>
    <row r="30" spans="1:13" x14ac:dyDescent="0.25">
      <c r="B30" s="43" t="s">
        <v>118</v>
      </c>
      <c r="C30" s="45"/>
      <c r="D30" s="50"/>
      <c r="E30" s="50"/>
      <c r="F30" s="50"/>
      <c r="G30" s="50"/>
      <c r="H30" s="50"/>
      <c r="I30" s="50"/>
      <c r="J30" s="50"/>
      <c r="K30" s="50"/>
      <c r="L30" s="50"/>
      <c r="M30" s="37"/>
    </row>
    <row r="31" spans="1:13" x14ac:dyDescent="0.25">
      <c r="B31" s="43" t="s">
        <v>119</v>
      </c>
      <c r="C31" s="45"/>
      <c r="D31" s="50"/>
      <c r="E31" s="50"/>
      <c r="F31" s="50"/>
      <c r="G31" s="50"/>
      <c r="H31" s="50"/>
      <c r="I31" s="50"/>
      <c r="J31" s="50"/>
      <c r="K31" s="50"/>
      <c r="L31" s="50"/>
      <c r="M31" s="37"/>
    </row>
    <row r="32" spans="1:13" x14ac:dyDescent="0.25">
      <c r="B32" s="43" t="s">
        <v>120</v>
      </c>
      <c r="C32" s="45"/>
      <c r="D32" s="50"/>
      <c r="E32" s="50"/>
      <c r="F32" s="50"/>
      <c r="G32" s="50"/>
      <c r="H32" s="50"/>
      <c r="I32" s="50"/>
      <c r="J32" s="50"/>
      <c r="K32" s="50"/>
      <c r="L32" s="50"/>
      <c r="M32" s="37"/>
    </row>
    <row r="33" spans="1:13" x14ac:dyDescent="0.25">
      <c r="A33" s="46" t="s">
        <v>127</v>
      </c>
      <c r="B33" s="58"/>
      <c r="C33" s="65"/>
    </row>
    <row r="34" spans="1:13" x14ac:dyDescent="0.25">
      <c r="B34" s="43" t="s">
        <v>117</v>
      </c>
      <c r="C34" s="45"/>
      <c r="D34" s="50"/>
      <c r="E34" s="50"/>
      <c r="F34" s="50"/>
      <c r="G34" s="50"/>
      <c r="H34" s="50"/>
      <c r="I34" s="50"/>
      <c r="J34" s="50"/>
      <c r="K34" s="50"/>
      <c r="L34" s="50"/>
      <c r="M34" s="37"/>
    </row>
    <row r="35" spans="1:13" x14ac:dyDescent="0.25">
      <c r="B35" s="43" t="s">
        <v>118</v>
      </c>
      <c r="C35" s="45"/>
      <c r="D35" s="50"/>
      <c r="E35" s="50"/>
      <c r="F35" s="50"/>
      <c r="G35" s="50"/>
      <c r="H35" s="50"/>
      <c r="I35" s="50"/>
      <c r="J35" s="50"/>
      <c r="K35" s="50"/>
      <c r="L35" s="50"/>
      <c r="M35" s="37"/>
    </row>
    <row r="36" spans="1:13" x14ac:dyDescent="0.25">
      <c r="B36" s="43" t="s">
        <v>119</v>
      </c>
      <c r="C36" s="45"/>
      <c r="D36" s="50"/>
      <c r="E36" s="50"/>
      <c r="F36" s="50"/>
      <c r="G36" s="50"/>
      <c r="H36" s="50"/>
      <c r="I36" s="50"/>
      <c r="J36" s="50"/>
      <c r="K36" s="50"/>
      <c r="L36" s="50"/>
      <c r="M36" s="37"/>
    </row>
    <row r="37" spans="1:13" x14ac:dyDescent="0.25">
      <c r="B37" s="43" t="s">
        <v>120</v>
      </c>
      <c r="C37" s="45"/>
      <c r="D37" s="50"/>
      <c r="E37" s="50"/>
      <c r="F37" s="50"/>
      <c r="G37" s="50"/>
      <c r="H37" s="50"/>
      <c r="I37" s="50"/>
      <c r="J37" s="50"/>
      <c r="K37" s="50"/>
      <c r="L37" s="50"/>
      <c r="M37" s="37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2C293-5060-48AA-A12A-214EAB2AD1B7}">
  <dimension ref="A1:AE115"/>
  <sheetViews>
    <sheetView topLeftCell="K1" zoomScaleNormal="100" workbookViewId="0">
      <selection activeCell="AC6" sqref="AC6"/>
    </sheetView>
  </sheetViews>
  <sheetFormatPr defaultColWidth="11.42578125" defaultRowHeight="14.25" x14ac:dyDescent="0.2"/>
  <cols>
    <col min="1" max="1" width="11.140625" style="1" customWidth="1"/>
    <col min="2" max="2" width="7.7109375" style="1" customWidth="1"/>
    <col min="3" max="3" width="8.5703125" style="1" customWidth="1"/>
    <col min="4" max="4" width="4.42578125" style="1" customWidth="1"/>
    <col min="5" max="5" width="9.140625" style="1" customWidth="1"/>
    <col min="6" max="6" width="8" style="1" customWidth="1"/>
    <col min="7" max="7" width="2.85546875" style="1" customWidth="1"/>
    <col min="8" max="8" width="11.42578125" style="1"/>
    <col min="9" max="9" width="7.7109375" style="1" customWidth="1"/>
    <col min="10" max="10" width="3.140625" style="1" customWidth="1"/>
    <col min="11" max="11" width="9.5703125" style="1" customWidth="1"/>
    <col min="12" max="12" width="7" style="1" customWidth="1"/>
    <col min="13" max="13" width="3.140625" style="1" customWidth="1"/>
    <col min="14" max="14" width="12.5703125" style="1" customWidth="1"/>
    <col min="15" max="15" width="8.42578125" style="1" customWidth="1"/>
    <col min="16" max="16" width="10.7109375" style="1" customWidth="1"/>
    <col min="17" max="17" width="10.28515625" style="1" customWidth="1"/>
    <col min="18" max="18" width="10.140625" style="1" customWidth="1"/>
    <col min="19" max="19" width="2.85546875" style="1" customWidth="1"/>
    <col min="20" max="20" width="7.5703125" style="1" customWidth="1"/>
    <col min="21" max="21" width="7" style="1" customWidth="1"/>
    <col min="22" max="22" width="7.85546875" style="1" customWidth="1"/>
    <col min="23" max="23" width="3.42578125" style="1" customWidth="1"/>
    <col min="24" max="24" width="7.5703125" style="1" customWidth="1"/>
    <col min="25" max="25" width="7.42578125" style="1" customWidth="1"/>
    <col min="26" max="26" width="13" style="1" customWidth="1"/>
    <col min="27" max="27" width="4.42578125" style="1" customWidth="1"/>
    <col min="28" max="16384" width="11.42578125" style="1"/>
  </cols>
  <sheetData>
    <row r="1" spans="1:29" ht="15" x14ac:dyDescent="0.25">
      <c r="A1" s="1" t="s">
        <v>131</v>
      </c>
      <c r="E1" s="1" t="s">
        <v>0</v>
      </c>
      <c r="H1" s="1" t="s">
        <v>1</v>
      </c>
      <c r="K1" s="1" t="s">
        <v>2</v>
      </c>
      <c r="N1" s="1" t="s">
        <v>2</v>
      </c>
      <c r="T1" s="1" t="s">
        <v>3</v>
      </c>
      <c r="X1" s="1" t="s">
        <v>4</v>
      </c>
      <c r="Z1"/>
      <c r="AB1" s="1" t="s">
        <v>5</v>
      </c>
    </row>
    <row r="2" spans="1:29" ht="15" x14ac:dyDescent="0.25">
      <c r="A2" s="2" t="s">
        <v>138</v>
      </c>
      <c r="B2" s="51" t="s">
        <v>7</v>
      </c>
      <c r="C2" s="52"/>
      <c r="E2" s="2" t="s">
        <v>6</v>
      </c>
      <c r="F2" s="3" t="s">
        <v>7</v>
      </c>
      <c r="H2" s="2" t="s">
        <v>8</v>
      </c>
      <c r="I2" s="3" t="s">
        <v>7</v>
      </c>
      <c r="K2" s="2" t="s">
        <v>9</v>
      </c>
      <c r="L2" s="3" t="s">
        <v>7</v>
      </c>
      <c r="N2" s="4" t="s">
        <v>10</v>
      </c>
      <c r="O2" s="5" t="s">
        <v>11</v>
      </c>
      <c r="P2" s="5" t="s">
        <v>12</v>
      </c>
      <c r="Q2" s="6" t="s">
        <v>13</v>
      </c>
      <c r="T2" s="2" t="s">
        <v>14</v>
      </c>
      <c r="U2" s="2" t="s">
        <v>15</v>
      </c>
      <c r="V2" s="2" t="s">
        <v>16</v>
      </c>
      <c r="X2" s="7" t="s">
        <v>17</v>
      </c>
      <c r="Y2" s="7" t="s">
        <v>7</v>
      </c>
      <c r="Z2" s="7" t="s">
        <v>18</v>
      </c>
      <c r="AB2" s="2" t="s">
        <v>19</v>
      </c>
      <c r="AC2" s="2" t="s">
        <v>15</v>
      </c>
    </row>
    <row r="3" spans="1:29" ht="15" x14ac:dyDescent="0.25">
      <c r="A3" s="10" t="s">
        <v>132</v>
      </c>
      <c r="B3" s="53">
        <v>1</v>
      </c>
      <c r="C3" s="52"/>
      <c r="E3" s="8" t="s">
        <v>20</v>
      </c>
      <c r="F3" s="9">
        <v>7</v>
      </c>
      <c r="H3" s="8" t="s">
        <v>20</v>
      </c>
      <c r="I3" s="9">
        <v>2</v>
      </c>
      <c r="K3" s="8" t="s">
        <v>21</v>
      </c>
      <c r="L3" s="9">
        <v>0</v>
      </c>
      <c r="N3" s="10" t="s">
        <v>22</v>
      </c>
      <c r="O3" s="11">
        <v>25</v>
      </c>
      <c r="P3" s="11">
        <v>0</v>
      </c>
      <c r="Q3" s="12">
        <f>24-(((P3/0.6)/100)+O3)</f>
        <v>-1</v>
      </c>
      <c r="T3" s="10" t="s">
        <v>20</v>
      </c>
      <c r="U3" s="11">
        <v>3</v>
      </c>
      <c r="V3" s="13" cm="1">
        <f t="array" ref="V3">_xlfn.IFS(U3=1,4,U3=2,3,U3=3,2,U3=4,1)</f>
        <v>2</v>
      </c>
      <c r="X3" s="14" t="s">
        <v>20</v>
      </c>
      <c r="Y3" s="15">
        <v>3</v>
      </c>
      <c r="Z3" s="7" t="s">
        <v>23</v>
      </c>
      <c r="AB3" s="10" t="s">
        <v>20</v>
      </c>
      <c r="AC3" s="11">
        <v>2</v>
      </c>
    </row>
    <row r="4" spans="1:29" ht="15" x14ac:dyDescent="0.25">
      <c r="B4" s="2" t="s">
        <v>167</v>
      </c>
      <c r="C4" s="2" t="s">
        <v>168</v>
      </c>
      <c r="E4" s="8" t="s">
        <v>24</v>
      </c>
      <c r="F4" s="9">
        <v>4</v>
      </c>
      <c r="H4" s="8" t="s">
        <v>24</v>
      </c>
      <c r="I4" s="9">
        <v>3</v>
      </c>
      <c r="K4" s="8" t="s">
        <v>25</v>
      </c>
      <c r="L4" s="9">
        <v>2</v>
      </c>
      <c r="O4" s="16" t="s">
        <v>26</v>
      </c>
      <c r="P4" s="16" t="s">
        <v>27</v>
      </c>
      <c r="Q4" s="2" t="s">
        <v>27</v>
      </c>
      <c r="T4" s="10" t="s">
        <v>24</v>
      </c>
      <c r="U4" s="11">
        <v>4</v>
      </c>
      <c r="V4" s="13">
        <f>U4</f>
        <v>4</v>
      </c>
      <c r="X4" s="17" t="s">
        <v>24</v>
      </c>
      <c r="Y4" s="15">
        <v>3</v>
      </c>
      <c r="Z4" s="18">
        <f>Y3+Y5+Y7+Y11+Y12+Y14+Y16+Y18+Y19+Y21</f>
        <v>19</v>
      </c>
      <c r="AA4"/>
      <c r="AB4" s="10" t="s">
        <v>24</v>
      </c>
      <c r="AC4" s="11">
        <v>0</v>
      </c>
    </row>
    <row r="5" spans="1:29" ht="15" x14ac:dyDescent="0.25">
      <c r="A5" s="10" t="s">
        <v>24</v>
      </c>
      <c r="B5" s="11">
        <v>25</v>
      </c>
      <c r="C5" s="11">
        <v>0</v>
      </c>
      <c r="E5" s="8" t="s">
        <v>28</v>
      </c>
      <c r="F5" s="9">
        <v>2</v>
      </c>
      <c r="H5" s="8" t="s">
        <v>28</v>
      </c>
      <c r="I5" s="9">
        <v>1</v>
      </c>
      <c r="K5" s="8" t="s">
        <v>29</v>
      </c>
      <c r="L5" s="9">
        <v>0</v>
      </c>
      <c r="N5" s="19" t="s">
        <v>30</v>
      </c>
      <c r="O5" s="11">
        <v>15</v>
      </c>
      <c r="P5" s="13" cm="1">
        <f t="array" ref="P5">_xlfn.IFS(O5&lt;=15,0,O5&lt;=30,1,O5&lt;=60,2,O5&gt;=61,3)</f>
        <v>0</v>
      </c>
      <c r="Q5" s="13" cm="1">
        <f t="array" ref="Q5">_xlfn.IFS(Q8&gt;=7.01,0,Q8&gt;=6.01,1,Q8&gt;=5.01,2,Q8&lt;=5,3)</f>
        <v>1</v>
      </c>
      <c r="T5" s="10" t="s">
        <v>28</v>
      </c>
      <c r="U5" s="11">
        <v>3</v>
      </c>
      <c r="V5" s="13" cm="1">
        <f t="array" ref="V5">_xlfn.IFS(U5=1,4,U5=2,3,U5=3,2,U5=4,1)</f>
        <v>2</v>
      </c>
      <c r="X5" s="14" t="s">
        <v>28</v>
      </c>
      <c r="Y5" s="15"/>
      <c r="Z5"/>
      <c r="AA5"/>
      <c r="AB5" s="10" t="s">
        <v>28</v>
      </c>
      <c r="AC5" s="11">
        <v>1</v>
      </c>
    </row>
    <row r="6" spans="1:29" ht="15" x14ac:dyDescent="0.25">
      <c r="A6" s="10" t="s">
        <v>28</v>
      </c>
      <c r="B6" s="11">
        <v>8</v>
      </c>
      <c r="C6" s="11">
        <v>0</v>
      </c>
      <c r="E6" s="8" t="s">
        <v>31</v>
      </c>
      <c r="F6" s="9">
        <v>5</v>
      </c>
      <c r="H6" s="8" t="s">
        <v>31</v>
      </c>
      <c r="I6" s="9">
        <v>1</v>
      </c>
      <c r="K6" s="8" t="s">
        <v>24</v>
      </c>
      <c r="L6" s="9">
        <v>1</v>
      </c>
      <c r="O6" s="5" t="s">
        <v>11</v>
      </c>
      <c r="P6" s="5" t="s">
        <v>12</v>
      </c>
      <c r="Q6" s="5" t="s">
        <v>13</v>
      </c>
      <c r="R6" s="4" t="s">
        <v>32</v>
      </c>
      <c r="T6" s="10" t="s">
        <v>31</v>
      </c>
      <c r="U6" s="11">
        <v>2</v>
      </c>
      <c r="V6" s="13">
        <f>U6</f>
        <v>2</v>
      </c>
      <c r="X6" s="17" t="s">
        <v>31</v>
      </c>
      <c r="Y6" s="15">
        <v>4</v>
      </c>
      <c r="Z6" s="7" t="s">
        <v>33</v>
      </c>
      <c r="AA6"/>
      <c r="AB6" s="2" t="s">
        <v>34</v>
      </c>
      <c r="AC6" s="20">
        <f>SUM(AC3:AC5)</f>
        <v>3</v>
      </c>
    </row>
    <row r="7" spans="1:29" ht="15" x14ac:dyDescent="0.25">
      <c r="A7" s="10" t="s">
        <v>31</v>
      </c>
      <c r="B7" s="11">
        <v>7</v>
      </c>
      <c r="C7" s="11">
        <v>0</v>
      </c>
      <c r="E7" s="8" t="s">
        <v>35</v>
      </c>
      <c r="F7" s="9">
        <v>6</v>
      </c>
      <c r="H7" s="8" t="s">
        <v>35</v>
      </c>
      <c r="I7" s="9">
        <v>1</v>
      </c>
      <c r="K7" s="8" t="s">
        <v>28</v>
      </c>
      <c r="L7" s="9">
        <v>0</v>
      </c>
      <c r="N7" s="10" t="s">
        <v>36</v>
      </c>
      <c r="O7" s="11">
        <v>8</v>
      </c>
      <c r="P7" s="11">
        <v>0</v>
      </c>
      <c r="Q7" s="13">
        <f>((P7/0.6)/100)+O7</f>
        <v>8</v>
      </c>
      <c r="R7" s="13">
        <f>(Q8/(Q3+Q7))*100</f>
        <v>100</v>
      </c>
      <c r="T7" s="10" t="s">
        <v>35</v>
      </c>
      <c r="U7" s="11">
        <v>4</v>
      </c>
      <c r="V7" s="13">
        <f>U7</f>
        <v>4</v>
      </c>
      <c r="X7" s="14" t="s">
        <v>35</v>
      </c>
      <c r="Y7" s="15">
        <v>2</v>
      </c>
      <c r="Z7" s="18">
        <f>Y4+Y6+Y8+Y9+Y10+Y13+Y15+Y17+Y20+Y22</f>
        <v>20</v>
      </c>
      <c r="AA7"/>
    </row>
    <row r="8" spans="1:29" ht="15" x14ac:dyDescent="0.25">
      <c r="A8" s="10" t="s">
        <v>35</v>
      </c>
      <c r="B8" s="11">
        <v>7</v>
      </c>
      <c r="C8" s="11">
        <v>0</v>
      </c>
      <c r="E8" s="8" t="s">
        <v>37</v>
      </c>
      <c r="F8" s="9">
        <v>6</v>
      </c>
      <c r="H8" s="8" t="s">
        <v>37</v>
      </c>
      <c r="I8" s="9">
        <v>0</v>
      </c>
      <c r="K8" s="8" t="s">
        <v>31</v>
      </c>
      <c r="L8" s="9">
        <v>0</v>
      </c>
      <c r="N8" s="10" t="s">
        <v>38</v>
      </c>
      <c r="O8" s="11">
        <v>7</v>
      </c>
      <c r="P8" s="11">
        <v>0</v>
      </c>
      <c r="Q8" s="13">
        <f>((P8/0.6)/100)+O8</f>
        <v>7</v>
      </c>
      <c r="T8" s="10" t="s">
        <v>37</v>
      </c>
      <c r="U8" s="11">
        <v>1</v>
      </c>
      <c r="V8" s="13" cm="1">
        <f t="array" ref="V8">_xlfn.IFS(U8=1,4,U8=2,3,U8=3,2,U8=4,1)</f>
        <v>4</v>
      </c>
      <c r="X8" s="17" t="s">
        <v>37</v>
      </c>
      <c r="Y8" s="15">
        <v>2</v>
      </c>
      <c r="Z8"/>
      <c r="AA8"/>
    </row>
    <row r="9" spans="1:29" ht="15" x14ac:dyDescent="0.25">
      <c r="A9" s="19" t="s">
        <v>37</v>
      </c>
      <c r="B9" s="11">
        <v>7</v>
      </c>
      <c r="C9" s="67">
        <v>30</v>
      </c>
      <c r="E9" s="8" t="s">
        <v>39</v>
      </c>
      <c r="F9" s="9">
        <v>5</v>
      </c>
      <c r="H9" s="8" t="s">
        <v>39</v>
      </c>
      <c r="I9" s="9">
        <v>1</v>
      </c>
      <c r="K9" s="8" t="s">
        <v>35</v>
      </c>
      <c r="L9" s="9">
        <v>0</v>
      </c>
      <c r="O9" s="21" t="s">
        <v>7</v>
      </c>
      <c r="P9" s="2" t="s">
        <v>16</v>
      </c>
      <c r="Q9" s="4" t="s">
        <v>27</v>
      </c>
      <c r="T9" s="10" t="s">
        <v>39</v>
      </c>
      <c r="U9" s="11">
        <v>2</v>
      </c>
      <c r="V9" s="13" cm="1">
        <f t="array" ref="V9">_xlfn.IFS(U9=1,4,U9=2,3,U9=3,2,U9=4,1)</f>
        <v>3</v>
      </c>
      <c r="X9" s="17" t="s">
        <v>39</v>
      </c>
      <c r="Y9" s="15">
        <v>1</v>
      </c>
      <c r="Z9"/>
      <c r="AA9"/>
    </row>
    <row r="10" spans="1:29" ht="15" x14ac:dyDescent="0.25">
      <c r="B10" s="2" t="s">
        <v>7</v>
      </c>
      <c r="E10" s="8" t="s">
        <v>40</v>
      </c>
      <c r="F10" s="9">
        <v>5</v>
      </c>
      <c r="H10" s="8" t="s">
        <v>40</v>
      </c>
      <c r="I10" s="9">
        <v>0</v>
      </c>
      <c r="K10" s="8" t="s">
        <v>41</v>
      </c>
      <c r="L10" s="22">
        <f>SUM(L3:L9)</f>
        <v>3</v>
      </c>
      <c r="N10" s="10" t="s">
        <v>42</v>
      </c>
      <c r="O10" s="11">
        <v>1</v>
      </c>
      <c r="P10" s="13">
        <f>O10-1</f>
        <v>0</v>
      </c>
      <c r="Q10" s="12">
        <f>P5+P10</f>
        <v>0</v>
      </c>
      <c r="U10" s="4" t="s">
        <v>41</v>
      </c>
      <c r="V10" s="20">
        <f>SUM(V3:V9)/7</f>
        <v>3</v>
      </c>
      <c r="X10" s="17" t="s">
        <v>40</v>
      </c>
      <c r="Y10" s="15">
        <v>1</v>
      </c>
      <c r="Z10"/>
      <c r="AA10"/>
    </row>
    <row r="11" spans="1:29" ht="15" x14ac:dyDescent="0.25">
      <c r="A11" s="19" t="s">
        <v>39</v>
      </c>
      <c r="B11" s="11">
        <v>1</v>
      </c>
      <c r="E11" s="8" t="s">
        <v>43</v>
      </c>
      <c r="F11" s="9">
        <v>5</v>
      </c>
      <c r="H11" s="8" t="s">
        <v>41</v>
      </c>
      <c r="I11" s="23">
        <f>SUM(I3:I10)</f>
        <v>9</v>
      </c>
      <c r="K11" s="8" t="s">
        <v>27</v>
      </c>
      <c r="L11" s="22">
        <f>SUM(GESTEP(L10,0),GESTEP(L10,8),GESTEP(L10,15),GESTEP(L10,22))</f>
        <v>1</v>
      </c>
      <c r="N11" s="10" t="s">
        <v>44</v>
      </c>
      <c r="O11" s="11">
        <v>3</v>
      </c>
      <c r="P11" s="13">
        <f t="shared" ref="P11:P23" si="0">O11-1</f>
        <v>2</v>
      </c>
      <c r="X11" s="14" t="s">
        <v>43</v>
      </c>
      <c r="Y11" s="15">
        <v>3</v>
      </c>
      <c r="Z11"/>
      <c r="AA11"/>
    </row>
    <row r="12" spans="1:29" ht="15" x14ac:dyDescent="0.25">
      <c r="A12" s="10" t="s">
        <v>40</v>
      </c>
      <c r="B12" s="66">
        <v>0</v>
      </c>
      <c r="C12" s="52"/>
      <c r="E12" s="8" t="s">
        <v>16</v>
      </c>
      <c r="F12" s="20">
        <f>SUM(F3:F11)/9</f>
        <v>5</v>
      </c>
      <c r="H12" s="8" t="s">
        <v>27</v>
      </c>
      <c r="I12" s="22">
        <f>SUM(GESTEP(I11,0),GESTEP(I11,6),GESTEP(I11,11),GESTEP(I11,13),GESTEP(I11,16))</f>
        <v>2</v>
      </c>
      <c r="N12" s="10" t="s">
        <v>45</v>
      </c>
      <c r="O12" s="11">
        <v>2</v>
      </c>
      <c r="P12" s="13">
        <f t="shared" si="0"/>
        <v>1</v>
      </c>
      <c r="Q12" s="38" t="s">
        <v>46</v>
      </c>
      <c r="R12" s="24">
        <f>P20</f>
        <v>1</v>
      </c>
      <c r="X12" s="14" t="s">
        <v>47</v>
      </c>
      <c r="Y12" s="15">
        <v>2</v>
      </c>
      <c r="Z12"/>
      <c r="AA12"/>
    </row>
    <row r="13" spans="1:29" ht="15" x14ac:dyDescent="0.25">
      <c r="N13" s="10" t="s">
        <v>48</v>
      </c>
      <c r="O13" s="11">
        <v>1</v>
      </c>
      <c r="P13" s="13">
        <f t="shared" si="0"/>
        <v>0</v>
      </c>
      <c r="Q13" s="38" t="s">
        <v>49</v>
      </c>
      <c r="R13" s="24" cm="1">
        <f t="array" ref="R13">_xlfn.IFS(Q10=0,0,Q10&lt;=2,1,Q10&lt;=4,2,Q10&lt;=6,3)</f>
        <v>0</v>
      </c>
      <c r="X13" s="17" t="s">
        <v>50</v>
      </c>
      <c r="Y13" s="15">
        <v>4</v>
      </c>
      <c r="Z13"/>
      <c r="AA13"/>
    </row>
    <row r="14" spans="1:29" ht="15" x14ac:dyDescent="0.25">
      <c r="N14" s="10" t="s">
        <v>51</v>
      </c>
      <c r="O14" s="11">
        <v>1</v>
      </c>
      <c r="P14" s="13">
        <f t="shared" si="0"/>
        <v>0</v>
      </c>
      <c r="Q14" s="38" t="s">
        <v>52</v>
      </c>
      <c r="R14" s="24">
        <f>Q5</f>
        <v>1</v>
      </c>
      <c r="X14" s="14" t="s">
        <v>53</v>
      </c>
      <c r="Y14" s="15">
        <v>2</v>
      </c>
      <c r="Z14"/>
      <c r="AA14"/>
    </row>
    <row r="15" spans="1:29" ht="15" x14ac:dyDescent="0.25">
      <c r="N15" s="10" t="s">
        <v>54</v>
      </c>
      <c r="O15" s="11">
        <v>1</v>
      </c>
      <c r="P15" s="13">
        <f t="shared" si="0"/>
        <v>0</v>
      </c>
      <c r="Q15" s="38" t="s">
        <v>55</v>
      </c>
      <c r="R15" s="24" cm="1">
        <f t="array" ref="R15">_xlfn.IFS(R7&gt;=85,0,R7&gt;=75,1,R7&gt;=65,2,R7&lt;=65,3)</f>
        <v>0</v>
      </c>
      <c r="X15" s="17" t="s">
        <v>56</v>
      </c>
      <c r="Y15" s="15">
        <v>1</v>
      </c>
      <c r="Z15"/>
      <c r="AA15"/>
    </row>
    <row r="16" spans="1:29" ht="15" x14ac:dyDescent="0.25">
      <c r="N16" s="10" t="s">
        <v>57</v>
      </c>
      <c r="O16" s="11">
        <v>1</v>
      </c>
      <c r="P16" s="13">
        <f t="shared" si="0"/>
        <v>0</v>
      </c>
      <c r="Q16" s="38" t="s">
        <v>58</v>
      </c>
      <c r="R16" s="24" cm="1">
        <f t="array" ref="R16">_xlfn.IFS(Q21=0,0,Q21&gt;=1,1,Q21&gt;=10,2,Q21&gt;=19,3)</f>
        <v>1</v>
      </c>
      <c r="X16" s="14" t="s">
        <v>59</v>
      </c>
      <c r="Y16" s="15">
        <v>1</v>
      </c>
      <c r="Z16"/>
      <c r="AA16"/>
    </row>
    <row r="17" spans="1:27" ht="15" x14ac:dyDescent="0.25">
      <c r="A17" s="1" t="s">
        <v>140</v>
      </c>
      <c r="N17" s="10" t="s">
        <v>60</v>
      </c>
      <c r="O17" s="11">
        <v>1</v>
      </c>
      <c r="P17" s="13">
        <f t="shared" si="0"/>
        <v>0</v>
      </c>
      <c r="Q17" s="38" t="s">
        <v>61</v>
      </c>
      <c r="R17" s="24">
        <f>P21</f>
        <v>0</v>
      </c>
      <c r="X17" s="17" t="s">
        <v>62</v>
      </c>
      <c r="Y17" s="15">
        <v>2</v>
      </c>
      <c r="Z17"/>
      <c r="AA17"/>
    </row>
    <row r="18" spans="1:27" ht="15" x14ac:dyDescent="0.25">
      <c r="N18" s="10" t="s">
        <v>63</v>
      </c>
      <c r="O18" s="11">
        <v>1</v>
      </c>
      <c r="P18" s="13">
        <f t="shared" si="0"/>
        <v>0</v>
      </c>
      <c r="Q18" s="38" t="s">
        <v>64</v>
      </c>
      <c r="R18" s="24" cm="1">
        <f t="array" ref="R18">_xlfn.IFS(Q23=0,0,Q23&lt;=2,1,Q23&lt;=4,2,Q23&lt;=6,3)</f>
        <v>1</v>
      </c>
      <c r="X18" s="14" t="s">
        <v>65</v>
      </c>
      <c r="Y18" s="15">
        <v>1</v>
      </c>
      <c r="Z18"/>
      <c r="AA18"/>
    </row>
    <row r="19" spans="1:27" ht="15" x14ac:dyDescent="0.25">
      <c r="N19" s="10" t="s">
        <v>66</v>
      </c>
      <c r="O19" s="11">
        <v>1</v>
      </c>
      <c r="P19" s="13">
        <f t="shared" si="0"/>
        <v>0</v>
      </c>
      <c r="Q19" s="6" t="s">
        <v>67</v>
      </c>
      <c r="R19" s="20">
        <f>SUM(R12:R18)</f>
        <v>4</v>
      </c>
      <c r="X19" s="14" t="s">
        <v>68</v>
      </c>
      <c r="Y19" s="15">
        <v>4</v>
      </c>
      <c r="Z19"/>
      <c r="AA19"/>
    </row>
    <row r="20" spans="1:27" ht="15" x14ac:dyDescent="0.25">
      <c r="N20" s="10" t="s">
        <v>69</v>
      </c>
      <c r="O20" s="11">
        <v>2</v>
      </c>
      <c r="P20" s="13">
        <f t="shared" si="0"/>
        <v>1</v>
      </c>
      <c r="Q20" s="6" t="s">
        <v>70</v>
      </c>
      <c r="X20" s="17" t="s">
        <v>71</v>
      </c>
      <c r="Y20" s="15">
        <v>1</v>
      </c>
      <c r="Z20"/>
      <c r="AA20"/>
    </row>
    <row r="21" spans="1:27" ht="15" x14ac:dyDescent="0.25">
      <c r="N21" s="10" t="s">
        <v>72</v>
      </c>
      <c r="O21" s="11">
        <v>1</v>
      </c>
      <c r="P21" s="13">
        <f t="shared" si="0"/>
        <v>0</v>
      </c>
      <c r="Q21" s="12">
        <f>SUM(P11:P19)</f>
        <v>3</v>
      </c>
      <c r="X21" s="14" t="s">
        <v>73</v>
      </c>
      <c r="Y21" s="15">
        <v>1</v>
      </c>
      <c r="AA21"/>
    </row>
    <row r="22" spans="1:27" ht="15" x14ac:dyDescent="0.25">
      <c r="N22" s="10" t="s">
        <v>74</v>
      </c>
      <c r="O22" s="11">
        <v>1</v>
      </c>
      <c r="P22" s="13">
        <f t="shared" si="0"/>
        <v>0</v>
      </c>
      <c r="Q22" s="4" t="s">
        <v>16</v>
      </c>
      <c r="X22" s="17" t="s">
        <v>75</v>
      </c>
      <c r="Y22" s="15">
        <v>1</v>
      </c>
    </row>
    <row r="23" spans="1:27" x14ac:dyDescent="0.2">
      <c r="N23" s="10" t="s">
        <v>76</v>
      </c>
      <c r="O23" s="11">
        <v>2</v>
      </c>
      <c r="P23" s="13">
        <f t="shared" si="0"/>
        <v>1</v>
      </c>
      <c r="Q23" s="12">
        <f>P23+P22</f>
        <v>1</v>
      </c>
    </row>
    <row r="40" spans="1:14" x14ac:dyDescent="0.2">
      <c r="A40" s="4" t="s">
        <v>170</v>
      </c>
      <c r="B40" s="4" t="s">
        <v>169</v>
      </c>
    </row>
    <row r="41" spans="1:14" x14ac:dyDescent="0.2">
      <c r="A41" s="54" t="s">
        <v>139</v>
      </c>
      <c r="B41" s="54"/>
    </row>
    <row r="42" spans="1:14" x14ac:dyDescent="0.2">
      <c r="A42" s="39" t="s">
        <v>20</v>
      </c>
      <c r="B42" s="55" t="s">
        <v>147</v>
      </c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</row>
    <row r="43" spans="1:14" x14ac:dyDescent="0.2">
      <c r="A43" s="39" t="s">
        <v>24</v>
      </c>
      <c r="B43" s="55" t="s">
        <v>146</v>
      </c>
      <c r="C43" s="55"/>
      <c r="D43" s="55"/>
      <c r="E43" s="55"/>
      <c r="F43" s="55"/>
      <c r="G43" s="55"/>
      <c r="H43" s="55"/>
      <c r="I43" s="55"/>
    </row>
    <row r="44" spans="1:14" x14ac:dyDescent="0.2">
      <c r="A44" s="39" t="s">
        <v>28</v>
      </c>
      <c r="B44" s="55" t="s">
        <v>141</v>
      </c>
      <c r="C44" s="55"/>
      <c r="D44" s="55"/>
      <c r="E44" s="55"/>
      <c r="F44" s="55"/>
      <c r="G44" s="55"/>
      <c r="H44" s="55"/>
      <c r="I44" s="55"/>
    </row>
    <row r="45" spans="1:14" x14ac:dyDescent="0.2">
      <c r="A45" s="39" t="s">
        <v>31</v>
      </c>
      <c r="B45" s="55" t="s">
        <v>142</v>
      </c>
      <c r="C45" s="55"/>
      <c r="D45" s="55"/>
      <c r="E45" s="55"/>
      <c r="F45" s="55"/>
      <c r="G45" s="55"/>
      <c r="H45" s="55"/>
      <c r="I45" s="55"/>
      <c r="J45" s="55"/>
      <c r="K45" s="55"/>
      <c r="L45" s="55"/>
    </row>
    <row r="46" spans="1:14" x14ac:dyDescent="0.2">
      <c r="A46" s="39" t="s">
        <v>35</v>
      </c>
      <c r="B46" s="55" t="s">
        <v>143</v>
      </c>
      <c r="C46" s="55"/>
      <c r="D46" s="55"/>
      <c r="E46" s="55"/>
      <c r="F46" s="55"/>
      <c r="G46" s="55"/>
      <c r="H46" s="55"/>
      <c r="I46" s="55"/>
      <c r="J46" s="55"/>
      <c r="K46" s="55"/>
      <c r="L46" s="55"/>
    </row>
    <row r="47" spans="1:14" x14ac:dyDescent="0.2">
      <c r="A47" s="39" t="s">
        <v>37</v>
      </c>
      <c r="B47" s="55" t="s">
        <v>144</v>
      </c>
      <c r="C47" s="55"/>
      <c r="D47" s="55"/>
      <c r="E47" s="55"/>
      <c r="F47" s="55"/>
      <c r="G47" s="55"/>
      <c r="H47" s="55"/>
      <c r="I47" s="55"/>
      <c r="J47" s="55"/>
      <c r="K47" s="55"/>
      <c r="L47" s="55"/>
    </row>
    <row r="48" spans="1:14" x14ac:dyDescent="0.2">
      <c r="A48" s="39" t="s">
        <v>39</v>
      </c>
      <c r="B48" s="55" t="s">
        <v>145</v>
      </c>
      <c r="C48" s="55"/>
      <c r="D48" s="55"/>
      <c r="E48" s="55"/>
      <c r="F48" s="55"/>
      <c r="G48" s="55"/>
      <c r="H48" s="55"/>
      <c r="I48" s="55"/>
      <c r="J48" s="55"/>
      <c r="K48" s="55"/>
      <c r="L48" s="55"/>
    </row>
    <row r="49" spans="1:16" x14ac:dyDescent="0.2">
      <c r="A49" s="39" t="s">
        <v>40</v>
      </c>
      <c r="B49" s="55" t="s">
        <v>251</v>
      </c>
      <c r="C49" s="55"/>
      <c r="D49" s="55"/>
      <c r="E49" s="55"/>
      <c r="F49" s="55"/>
      <c r="G49" s="55"/>
      <c r="H49" s="55"/>
      <c r="I49" s="55"/>
      <c r="J49" s="55"/>
      <c r="K49" s="55"/>
      <c r="L49" s="55"/>
    </row>
    <row r="51" spans="1:16" x14ac:dyDescent="0.2">
      <c r="A51" s="56" t="s">
        <v>148</v>
      </c>
      <c r="B51" s="56" t="s">
        <v>193</v>
      </c>
      <c r="C51" s="56"/>
      <c r="D51" s="56"/>
      <c r="E51" s="56"/>
    </row>
    <row r="52" spans="1:16" x14ac:dyDescent="0.2">
      <c r="A52" s="39" t="s">
        <v>132</v>
      </c>
      <c r="B52" s="55" t="s">
        <v>166</v>
      </c>
      <c r="C52" s="55"/>
      <c r="D52" s="55"/>
      <c r="E52" s="55"/>
      <c r="F52" s="55"/>
    </row>
    <row r="53" spans="1:16" x14ac:dyDescent="0.2">
      <c r="A53" s="39" t="s">
        <v>24</v>
      </c>
      <c r="B53" s="55" t="s">
        <v>171</v>
      </c>
      <c r="C53" s="55"/>
      <c r="D53" s="55"/>
      <c r="E53" s="55"/>
    </row>
    <row r="54" spans="1:16" x14ac:dyDescent="0.2">
      <c r="A54" s="39" t="s">
        <v>28</v>
      </c>
      <c r="B54" s="55" t="s">
        <v>172</v>
      </c>
      <c r="C54" s="55"/>
      <c r="D54" s="55"/>
    </row>
    <row r="55" spans="1:16" x14ac:dyDescent="0.2">
      <c r="A55" s="39" t="s">
        <v>31</v>
      </c>
      <c r="B55" s="55" t="s">
        <v>173</v>
      </c>
      <c r="C55" s="55"/>
      <c r="D55" s="55"/>
      <c r="E55" s="55"/>
      <c r="F55" s="55"/>
      <c r="G55" s="55"/>
      <c r="H55" s="55"/>
      <c r="I55" s="55"/>
    </row>
    <row r="56" spans="1:16" x14ac:dyDescent="0.2">
      <c r="A56" s="39" t="s">
        <v>35</v>
      </c>
      <c r="B56" s="55" t="s">
        <v>174</v>
      </c>
      <c r="C56" s="55"/>
      <c r="D56" s="55"/>
      <c r="E56" s="55"/>
      <c r="F56" s="55"/>
      <c r="G56" s="55"/>
      <c r="H56" s="55"/>
    </row>
    <row r="57" spans="1:16" x14ac:dyDescent="0.2">
      <c r="A57" s="39" t="s">
        <v>37</v>
      </c>
      <c r="B57" s="55" t="s">
        <v>175</v>
      </c>
      <c r="C57" s="55"/>
      <c r="D57" s="55"/>
      <c r="E57" s="55"/>
      <c r="F57" s="55"/>
      <c r="G57" s="55"/>
      <c r="H57" s="55"/>
      <c r="I57" s="55"/>
      <c r="J57" s="55"/>
      <c r="K57" s="55"/>
      <c r="L57" s="55"/>
    </row>
    <row r="58" spans="1:16" x14ac:dyDescent="0.2">
      <c r="A58" s="39" t="s">
        <v>39</v>
      </c>
      <c r="B58" s="55" t="s">
        <v>176</v>
      </c>
      <c r="C58" s="55"/>
      <c r="D58" s="55"/>
      <c r="E58" s="55"/>
      <c r="F58" s="55"/>
      <c r="G58" s="55"/>
      <c r="H58" s="55"/>
      <c r="I58" s="55"/>
      <c r="J58" s="55"/>
      <c r="K58" s="55"/>
    </row>
    <row r="59" spans="1:16" x14ac:dyDescent="0.2">
      <c r="A59" s="39" t="s">
        <v>40</v>
      </c>
      <c r="B59" s="55" t="s">
        <v>177</v>
      </c>
      <c r="C59" s="55"/>
      <c r="D59" s="55"/>
      <c r="E59" s="55"/>
      <c r="F59" s="55"/>
      <c r="G59" s="55"/>
      <c r="H59" s="55"/>
      <c r="I59" s="55"/>
      <c r="J59" s="55"/>
    </row>
    <row r="60" spans="1:16" x14ac:dyDescent="0.2">
      <c r="A60" s="39" t="s">
        <v>43</v>
      </c>
      <c r="B60" s="55" t="s">
        <v>178</v>
      </c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</row>
    <row r="62" spans="1:16" x14ac:dyDescent="0.2">
      <c r="A62" s="56" t="s">
        <v>179</v>
      </c>
      <c r="B62" s="56" t="s">
        <v>192</v>
      </c>
      <c r="C62" s="56"/>
      <c r="D62" s="56"/>
      <c r="E62" s="56"/>
      <c r="F62" s="56"/>
      <c r="G62" s="56"/>
      <c r="H62" s="56"/>
      <c r="I62" s="56"/>
      <c r="J62" s="56"/>
      <c r="K62" s="56"/>
      <c r="L62" s="56"/>
      <c r="M62" s="56"/>
      <c r="N62" s="56"/>
      <c r="O62" s="56"/>
      <c r="P62" s="56"/>
    </row>
    <row r="63" spans="1:16" x14ac:dyDescent="0.2">
      <c r="A63" s="39" t="s">
        <v>20</v>
      </c>
      <c r="B63" s="55" t="s">
        <v>180</v>
      </c>
      <c r="C63" s="55"/>
    </row>
    <row r="64" spans="1:16" x14ac:dyDescent="0.2">
      <c r="A64" s="39" t="s">
        <v>24</v>
      </c>
      <c r="B64" s="55" t="s">
        <v>181</v>
      </c>
    </row>
    <row r="65" spans="1:31" x14ac:dyDescent="0.2">
      <c r="A65" s="39" t="s">
        <v>28</v>
      </c>
      <c r="B65" s="55" t="s">
        <v>182</v>
      </c>
      <c r="C65" s="55"/>
      <c r="D65" s="55"/>
      <c r="E65" s="55"/>
      <c r="F65" s="55"/>
      <c r="G65" s="55"/>
      <c r="H65" s="55"/>
    </row>
    <row r="66" spans="1:31" x14ac:dyDescent="0.2">
      <c r="A66" s="39" t="s">
        <v>31</v>
      </c>
      <c r="B66" s="55" t="s">
        <v>183</v>
      </c>
      <c r="C66" s="55"/>
      <c r="D66" s="55"/>
      <c r="E66" s="55"/>
      <c r="F66" s="55"/>
    </row>
    <row r="67" spans="1:31" x14ac:dyDescent="0.2">
      <c r="A67" s="39" t="s">
        <v>35</v>
      </c>
      <c r="B67" s="55" t="s">
        <v>184</v>
      </c>
      <c r="C67" s="55"/>
      <c r="D67" s="55"/>
      <c r="E67" s="55"/>
      <c r="F67" s="55"/>
      <c r="G67" s="55"/>
      <c r="H67" s="55"/>
      <c r="I67" s="55"/>
    </row>
    <row r="68" spans="1:31" x14ac:dyDescent="0.2">
      <c r="A68" s="39" t="s">
        <v>37</v>
      </c>
      <c r="B68" s="55" t="s">
        <v>185</v>
      </c>
      <c r="C68" s="55"/>
      <c r="D68" s="55"/>
    </row>
    <row r="69" spans="1:31" x14ac:dyDescent="0.2">
      <c r="A69" s="39" t="s">
        <v>39</v>
      </c>
      <c r="B69" s="55" t="s">
        <v>186</v>
      </c>
      <c r="C69" s="55"/>
      <c r="D69" s="55"/>
      <c r="E69" s="55"/>
      <c r="F69" s="55"/>
    </row>
    <row r="70" spans="1:31" x14ac:dyDescent="0.2">
      <c r="A70" s="39" t="s">
        <v>40</v>
      </c>
      <c r="B70" s="55" t="s">
        <v>187</v>
      </c>
      <c r="C70" s="55"/>
      <c r="D70" s="55"/>
      <c r="E70" s="55"/>
      <c r="F70" s="55"/>
      <c r="G70" s="55"/>
    </row>
    <row r="72" spans="1:31" x14ac:dyDescent="0.2">
      <c r="A72" s="56" t="s">
        <v>188</v>
      </c>
      <c r="B72" s="56" t="s">
        <v>204</v>
      </c>
      <c r="C72" s="56"/>
      <c r="D72" s="56"/>
      <c r="E72" s="56"/>
    </row>
    <row r="73" spans="1:31" x14ac:dyDescent="0.2">
      <c r="A73" s="39" t="s">
        <v>194</v>
      </c>
      <c r="B73" s="55" t="s">
        <v>189</v>
      </c>
      <c r="C73" s="55"/>
      <c r="D73" s="55"/>
    </row>
    <row r="74" spans="1:31" x14ac:dyDescent="0.2">
      <c r="A74" s="39" t="s">
        <v>195</v>
      </c>
      <c r="B74" s="55" t="s">
        <v>190</v>
      </c>
      <c r="C74" s="55"/>
      <c r="D74" s="55"/>
    </row>
    <row r="75" spans="1:31" x14ac:dyDescent="0.2">
      <c r="A75" s="39" t="s">
        <v>196</v>
      </c>
      <c r="B75" s="55" t="s">
        <v>191</v>
      </c>
      <c r="C75" s="55"/>
      <c r="D75" s="55"/>
      <c r="E75" s="55"/>
    </row>
    <row r="76" spans="1:31" x14ac:dyDescent="0.2">
      <c r="A76" s="39" t="s">
        <v>197</v>
      </c>
      <c r="B76" s="55" t="s">
        <v>203</v>
      </c>
      <c r="C76" s="55"/>
      <c r="D76" s="55"/>
      <c r="E76" s="55"/>
      <c r="F76" s="55"/>
      <c r="G76" s="55"/>
      <c r="H76" s="55"/>
      <c r="I76" s="55"/>
      <c r="J76" s="55"/>
      <c r="K76" s="55"/>
      <c r="L76" s="55"/>
      <c r="M76" s="55"/>
      <c r="N76" s="55"/>
    </row>
    <row r="77" spans="1:31" x14ac:dyDescent="0.2">
      <c r="A77" s="39" t="s">
        <v>28</v>
      </c>
      <c r="B77" s="55" t="s">
        <v>202</v>
      </c>
      <c r="C77" s="55"/>
      <c r="D77" s="55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5"/>
      <c r="AA77" s="55"/>
      <c r="AB77" s="55"/>
      <c r="AC77" s="55"/>
      <c r="AD77" s="55"/>
      <c r="AE77" s="55"/>
    </row>
    <row r="78" spans="1:31" x14ac:dyDescent="0.2">
      <c r="A78" s="39" t="s">
        <v>31</v>
      </c>
      <c r="B78" s="55" t="s">
        <v>201</v>
      </c>
      <c r="C78" s="55"/>
      <c r="D78" s="55"/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5"/>
    </row>
    <row r="79" spans="1:31" x14ac:dyDescent="0.2">
      <c r="A79" s="39" t="s">
        <v>35</v>
      </c>
      <c r="B79" s="55" t="s">
        <v>200</v>
      </c>
      <c r="C79" s="55"/>
      <c r="D79" s="55"/>
      <c r="E79" s="55"/>
      <c r="F79" s="55"/>
      <c r="G79" s="55"/>
      <c r="H79" s="55"/>
      <c r="I79" s="55"/>
      <c r="J79" s="55"/>
      <c r="K79" s="55"/>
      <c r="L79" s="55"/>
      <c r="M79" s="55"/>
      <c r="N79" s="55"/>
      <c r="O79" s="55"/>
    </row>
    <row r="80" spans="1:31" x14ac:dyDescent="0.2">
      <c r="A80" s="39" t="s">
        <v>198</v>
      </c>
      <c r="B80" s="55" t="s">
        <v>199</v>
      </c>
      <c r="C80" s="55"/>
      <c r="D80" s="55"/>
      <c r="E80" s="55"/>
      <c r="F80" s="55"/>
      <c r="G80" s="55"/>
      <c r="H80" s="55"/>
      <c r="I80" s="55"/>
      <c r="J80" s="55"/>
      <c r="K80" s="55"/>
      <c r="L80" s="55"/>
    </row>
    <row r="81" spans="1:24" x14ac:dyDescent="0.2">
      <c r="A81" s="39" t="s">
        <v>39</v>
      </c>
      <c r="B81" s="55" t="s">
        <v>205</v>
      </c>
      <c r="C81" s="55"/>
      <c r="D81" s="55"/>
      <c r="E81" s="55"/>
      <c r="F81" s="55"/>
      <c r="G81" s="55"/>
      <c r="H81" s="55"/>
      <c r="I81" s="55"/>
      <c r="J81" s="55"/>
      <c r="K81" s="55"/>
      <c r="L81" s="55"/>
      <c r="M81" s="55"/>
      <c r="N81" s="55"/>
    </row>
    <row r="82" spans="1:24" x14ac:dyDescent="0.2">
      <c r="A82" s="39" t="s">
        <v>40</v>
      </c>
      <c r="B82" s="55" t="s">
        <v>206</v>
      </c>
      <c r="C82" s="55"/>
      <c r="D82" s="55"/>
      <c r="E82" s="55"/>
      <c r="F82" s="55"/>
      <c r="G82" s="55"/>
      <c r="H82" s="55"/>
      <c r="I82" s="55"/>
      <c r="J82" s="55"/>
      <c r="K82" s="55"/>
      <c r="L82" s="55"/>
    </row>
    <row r="83" spans="1:24" x14ac:dyDescent="0.2">
      <c r="A83" s="39" t="s">
        <v>43</v>
      </c>
      <c r="B83" s="55" t="s">
        <v>207</v>
      </c>
      <c r="C83" s="55"/>
      <c r="D83" s="55"/>
      <c r="E83" s="55"/>
      <c r="F83" s="55"/>
      <c r="G83" s="55"/>
      <c r="H83" s="55"/>
      <c r="I83" s="55"/>
      <c r="J83" s="55"/>
      <c r="K83" s="55"/>
      <c r="L83" s="55"/>
      <c r="M83" s="55"/>
      <c r="N83" s="55"/>
    </row>
    <row r="84" spans="1:24" x14ac:dyDescent="0.2">
      <c r="A84" s="39" t="s">
        <v>209</v>
      </c>
      <c r="B84" s="55" t="s">
        <v>231</v>
      </c>
      <c r="C84" s="55"/>
      <c r="D84" s="55"/>
      <c r="E84" s="55"/>
      <c r="F84" s="55"/>
      <c r="G84" s="55"/>
      <c r="H84" s="55"/>
      <c r="I84" s="55"/>
      <c r="J84" s="55"/>
      <c r="K84" s="55"/>
      <c r="L84" s="55"/>
      <c r="M84" s="55"/>
      <c r="N84" s="55"/>
      <c r="O84" s="55"/>
      <c r="P84" s="55"/>
      <c r="Q84" s="55"/>
      <c r="R84" s="55"/>
      <c r="S84" s="55"/>
      <c r="T84" s="55"/>
      <c r="U84" s="55"/>
      <c r="V84" s="55"/>
      <c r="W84" s="55"/>
      <c r="X84" s="55"/>
    </row>
    <row r="85" spans="1:24" x14ac:dyDescent="0.2">
      <c r="A85" s="39" t="s">
        <v>208</v>
      </c>
      <c r="B85" s="55" t="s">
        <v>210</v>
      </c>
      <c r="C85" s="55"/>
      <c r="D85" s="55"/>
      <c r="E85" s="55"/>
      <c r="F85" s="55"/>
    </row>
    <row r="86" spans="1:24" x14ac:dyDescent="0.2">
      <c r="A86" s="39" t="s">
        <v>220</v>
      </c>
      <c r="B86" s="55" t="s">
        <v>211</v>
      </c>
      <c r="C86" s="55"/>
      <c r="D86" s="55"/>
      <c r="E86" s="55"/>
      <c r="F86" s="55"/>
      <c r="G86" s="55"/>
      <c r="H86" s="55"/>
    </row>
    <row r="87" spans="1:24" x14ac:dyDescent="0.2">
      <c r="A87" s="39" t="s">
        <v>221</v>
      </c>
      <c r="B87" s="55" t="s">
        <v>212</v>
      </c>
      <c r="C87" s="55"/>
      <c r="D87" s="55"/>
      <c r="E87" s="55"/>
    </row>
    <row r="88" spans="1:24" x14ac:dyDescent="0.2">
      <c r="A88" s="39" t="s">
        <v>222</v>
      </c>
      <c r="B88" s="55" t="s">
        <v>213</v>
      </c>
      <c r="C88" s="55"/>
      <c r="D88" s="55"/>
      <c r="E88" s="55"/>
    </row>
    <row r="89" spans="1:24" x14ac:dyDescent="0.2">
      <c r="A89" s="39" t="s">
        <v>223</v>
      </c>
      <c r="B89" s="55" t="s">
        <v>214</v>
      </c>
      <c r="C89" s="55"/>
      <c r="D89" s="55"/>
      <c r="E89" s="55"/>
    </row>
    <row r="90" spans="1:24" x14ac:dyDescent="0.2">
      <c r="A90" s="39" t="s">
        <v>224</v>
      </c>
      <c r="B90" s="55" t="s">
        <v>216</v>
      </c>
      <c r="C90" s="55"/>
      <c r="D90" s="55"/>
    </row>
    <row r="91" spans="1:24" x14ac:dyDescent="0.2">
      <c r="A91" s="39" t="s">
        <v>225</v>
      </c>
      <c r="B91" s="55" t="s">
        <v>215</v>
      </c>
      <c r="C91" s="55"/>
      <c r="D91" s="55"/>
    </row>
    <row r="92" spans="1:24" x14ac:dyDescent="0.2">
      <c r="A92" s="39" t="s">
        <v>226</v>
      </c>
      <c r="B92" s="55" t="s">
        <v>217</v>
      </c>
      <c r="C92" s="55"/>
      <c r="D92" s="55"/>
    </row>
    <row r="93" spans="1:24" x14ac:dyDescent="0.2">
      <c r="A93" s="39" t="s">
        <v>227</v>
      </c>
      <c r="B93" s="55" t="s">
        <v>218</v>
      </c>
      <c r="C93" s="55"/>
      <c r="D93" s="55"/>
    </row>
    <row r="94" spans="1:24" x14ac:dyDescent="0.2">
      <c r="A94" s="39" t="s">
        <v>228</v>
      </c>
      <c r="B94" s="1" t="s">
        <v>219</v>
      </c>
    </row>
    <row r="95" spans="1:24" x14ac:dyDescent="0.2">
      <c r="A95" s="39" t="s">
        <v>229</v>
      </c>
      <c r="B95" s="55" t="s">
        <v>230</v>
      </c>
      <c r="C95" s="55"/>
      <c r="D95" s="55"/>
      <c r="E95" s="55"/>
      <c r="F95" s="55"/>
      <c r="G95" s="55"/>
      <c r="H95" s="55"/>
      <c r="I95" s="55"/>
      <c r="J95" s="55"/>
      <c r="K95" s="55"/>
    </row>
    <row r="96" spans="1:24" x14ac:dyDescent="0.2">
      <c r="A96" s="39" t="s">
        <v>53</v>
      </c>
      <c r="B96" s="55" t="s">
        <v>232</v>
      </c>
      <c r="C96" s="55"/>
      <c r="D96" s="55"/>
      <c r="E96" s="55"/>
      <c r="F96" s="55"/>
      <c r="G96" s="55"/>
      <c r="H96" s="55"/>
      <c r="I96" s="55"/>
      <c r="J96" s="55"/>
      <c r="K96" s="55"/>
      <c r="L96" s="55"/>
      <c r="M96" s="55"/>
      <c r="N96" s="55"/>
      <c r="O96" s="55"/>
      <c r="P96" s="55"/>
      <c r="Q96" s="55"/>
      <c r="R96" s="55"/>
    </row>
    <row r="97" spans="1:30" x14ac:dyDescent="0.2">
      <c r="A97" s="39" t="s">
        <v>233</v>
      </c>
      <c r="B97" s="55" t="s">
        <v>234</v>
      </c>
      <c r="C97" s="55"/>
      <c r="D97" s="55"/>
      <c r="E97" s="55"/>
      <c r="F97" s="55"/>
      <c r="G97" s="55"/>
      <c r="H97" s="55"/>
    </row>
    <row r="98" spans="1:30" x14ac:dyDescent="0.2">
      <c r="A98" s="39" t="s">
        <v>235</v>
      </c>
      <c r="B98" s="55" t="s">
        <v>236</v>
      </c>
      <c r="C98" s="55"/>
      <c r="D98" s="55"/>
      <c r="E98" s="55"/>
      <c r="F98" s="55"/>
      <c r="G98" s="55"/>
      <c r="H98" s="55"/>
      <c r="I98" s="55"/>
      <c r="J98" s="55"/>
      <c r="K98" s="55"/>
      <c r="L98" s="55"/>
      <c r="M98" s="55"/>
      <c r="N98" s="55"/>
      <c r="O98" s="55"/>
    </row>
    <row r="99" spans="1:30" x14ac:dyDescent="0.2">
      <c r="A99" s="39" t="s">
        <v>56</v>
      </c>
      <c r="B99" s="55" t="s">
        <v>237</v>
      </c>
      <c r="C99" s="55"/>
      <c r="D99" s="55"/>
      <c r="E99" s="55"/>
      <c r="F99" s="55"/>
      <c r="G99" s="55"/>
      <c r="H99" s="55"/>
      <c r="I99" s="55"/>
      <c r="J99" s="55"/>
      <c r="K99" s="55"/>
      <c r="L99" s="55"/>
      <c r="M99" s="55"/>
      <c r="N99" s="55"/>
      <c r="O99" s="55"/>
      <c r="P99" s="55"/>
      <c r="Q99" s="55"/>
      <c r="R99" s="55"/>
      <c r="S99" s="55"/>
    </row>
    <row r="101" spans="1:30" x14ac:dyDescent="0.2">
      <c r="A101" s="56" t="s">
        <v>238</v>
      </c>
    </row>
    <row r="102" spans="1:30" x14ac:dyDescent="0.2">
      <c r="A102" s="39" t="s">
        <v>132</v>
      </c>
      <c r="B102" s="55" t="s">
        <v>239</v>
      </c>
      <c r="C102" s="55"/>
      <c r="D102" s="55"/>
      <c r="E102" s="55"/>
      <c r="F102" s="55"/>
      <c r="G102" s="55"/>
      <c r="H102" s="55"/>
      <c r="I102" s="55"/>
      <c r="J102" s="55"/>
      <c r="K102" s="55"/>
      <c r="L102" s="55"/>
      <c r="M102" s="55"/>
      <c r="N102" s="55"/>
      <c r="O102" s="55"/>
      <c r="P102" s="55"/>
      <c r="Q102" s="55"/>
      <c r="R102" s="55"/>
      <c r="S102" s="55"/>
      <c r="T102" s="55"/>
      <c r="U102" s="55"/>
    </row>
    <row r="103" spans="1:30" x14ac:dyDescent="0.2">
      <c r="A103" s="39" t="s">
        <v>24</v>
      </c>
      <c r="B103" s="55" t="s">
        <v>240</v>
      </c>
      <c r="C103" s="55"/>
      <c r="D103" s="55"/>
      <c r="E103" s="55"/>
      <c r="F103" s="55"/>
      <c r="G103" s="55"/>
      <c r="H103" s="55"/>
      <c r="I103" s="55"/>
      <c r="J103" s="55"/>
      <c r="K103" s="55"/>
      <c r="L103" s="55"/>
      <c r="M103" s="55"/>
      <c r="N103" s="55"/>
      <c r="O103" s="55"/>
      <c r="P103" s="55"/>
      <c r="Q103" s="55"/>
      <c r="R103" s="55"/>
      <c r="S103" s="55"/>
      <c r="T103" s="55"/>
      <c r="U103" s="55"/>
      <c r="V103" s="55"/>
    </row>
    <row r="104" spans="1:30" x14ac:dyDescent="0.2">
      <c r="A104" s="39" t="s">
        <v>28</v>
      </c>
      <c r="B104" s="55" t="s">
        <v>241</v>
      </c>
      <c r="C104" s="55"/>
      <c r="D104" s="55"/>
      <c r="E104" s="55"/>
      <c r="F104" s="55"/>
      <c r="G104" s="55"/>
      <c r="H104" s="55"/>
      <c r="I104" s="55"/>
      <c r="J104" s="55"/>
      <c r="K104" s="55"/>
      <c r="L104" s="55"/>
      <c r="M104" s="55"/>
      <c r="N104" s="55"/>
      <c r="O104" s="55"/>
      <c r="P104" s="55"/>
      <c r="Q104" s="55"/>
      <c r="R104" s="55"/>
      <c r="S104" s="55"/>
      <c r="T104" s="55"/>
      <c r="U104" s="55"/>
      <c r="V104" s="55"/>
      <c r="W104" s="55"/>
      <c r="X104" s="55"/>
      <c r="Y104" s="55"/>
      <c r="Z104" s="55"/>
      <c r="AA104" s="55"/>
      <c r="AB104" s="55"/>
      <c r="AC104" s="55"/>
      <c r="AD104" s="55"/>
    </row>
    <row r="105" spans="1:30" x14ac:dyDescent="0.2">
      <c r="A105" s="39" t="s">
        <v>31</v>
      </c>
      <c r="B105" s="55" t="s">
        <v>242</v>
      </c>
      <c r="C105" s="55"/>
      <c r="D105" s="55"/>
      <c r="E105" s="55"/>
      <c r="F105" s="55"/>
      <c r="G105" s="55"/>
      <c r="H105" s="55"/>
      <c r="I105" s="55"/>
      <c r="J105" s="55"/>
      <c r="K105" s="55"/>
      <c r="L105" s="55"/>
      <c r="M105" s="55"/>
      <c r="N105" s="55"/>
      <c r="O105" s="55"/>
      <c r="P105" s="55"/>
      <c r="Q105" s="55"/>
      <c r="R105" s="55"/>
      <c r="S105" s="55"/>
      <c r="T105" s="55"/>
      <c r="U105" s="55"/>
      <c r="V105" s="55"/>
      <c r="W105" s="55"/>
      <c r="X105" s="55"/>
      <c r="Y105" s="55"/>
      <c r="Z105" s="55"/>
      <c r="AA105" s="55"/>
    </row>
    <row r="106" spans="1:30" x14ac:dyDescent="0.2">
      <c r="A106" s="39" t="s">
        <v>35</v>
      </c>
      <c r="B106" s="55" t="s">
        <v>243</v>
      </c>
      <c r="C106" s="55"/>
      <c r="D106" s="55"/>
      <c r="E106" s="55"/>
      <c r="F106" s="55"/>
      <c r="G106" s="55"/>
      <c r="H106" s="55"/>
      <c r="I106" s="55"/>
      <c r="J106" s="55"/>
      <c r="K106" s="55"/>
      <c r="L106" s="55"/>
      <c r="M106" s="55"/>
      <c r="N106" s="55"/>
      <c r="O106" s="55"/>
      <c r="P106" s="55"/>
      <c r="Q106" s="55"/>
    </row>
    <row r="107" spans="1:30" x14ac:dyDescent="0.2">
      <c r="A107" s="39" t="s">
        <v>37</v>
      </c>
      <c r="B107" s="55" t="s">
        <v>244</v>
      </c>
      <c r="C107" s="55"/>
      <c r="D107" s="55"/>
      <c r="E107" s="55"/>
      <c r="F107" s="55"/>
      <c r="G107" s="55"/>
      <c r="H107" s="55"/>
      <c r="I107" s="55"/>
      <c r="J107" s="55"/>
      <c r="K107" s="55"/>
      <c r="L107" s="55"/>
      <c r="M107" s="55"/>
      <c r="N107" s="55"/>
      <c r="O107" s="55"/>
      <c r="P107" s="55"/>
      <c r="Q107" s="55"/>
      <c r="R107" s="55"/>
    </row>
    <row r="108" spans="1:30" x14ac:dyDescent="0.2">
      <c r="A108" s="39" t="s">
        <v>39</v>
      </c>
      <c r="B108" s="55" t="s">
        <v>245</v>
      </c>
      <c r="C108" s="55"/>
      <c r="D108" s="55"/>
      <c r="E108" s="55"/>
      <c r="F108" s="55"/>
      <c r="G108" s="55"/>
      <c r="H108" s="55"/>
      <c r="I108" s="55"/>
      <c r="J108" s="55"/>
      <c r="K108" s="55"/>
      <c r="L108" s="55"/>
      <c r="M108" s="55"/>
      <c r="N108" s="55"/>
      <c r="O108" s="55"/>
      <c r="P108" s="55"/>
      <c r="Q108" s="55"/>
      <c r="R108" s="55"/>
      <c r="S108" s="55"/>
      <c r="T108" s="55"/>
      <c r="U108" s="55"/>
      <c r="V108" s="55"/>
      <c r="W108" s="55"/>
      <c r="X108" s="55"/>
      <c r="Y108" s="55"/>
      <c r="Z108" s="55"/>
      <c r="AA108" s="55"/>
    </row>
    <row r="110" spans="1:30" x14ac:dyDescent="0.2">
      <c r="A110" s="56" t="s">
        <v>246</v>
      </c>
      <c r="B110" s="56" t="s">
        <v>17</v>
      </c>
    </row>
    <row r="112" spans="1:30" x14ac:dyDescent="0.2">
      <c r="A112" s="56" t="s">
        <v>247</v>
      </c>
      <c r="B112" s="56"/>
    </row>
    <row r="113" spans="1:23" x14ac:dyDescent="0.2">
      <c r="A113" s="39" t="s">
        <v>20</v>
      </c>
      <c r="B113" s="55" t="s">
        <v>248</v>
      </c>
      <c r="C113" s="55"/>
      <c r="D113" s="55"/>
      <c r="E113" s="55"/>
      <c r="F113" s="55"/>
      <c r="G113" s="55"/>
      <c r="H113" s="55"/>
      <c r="I113" s="55"/>
      <c r="J113" s="55"/>
      <c r="K113" s="55"/>
      <c r="L113" s="55"/>
      <c r="M113" s="55"/>
      <c r="N113" s="55"/>
      <c r="O113" s="55"/>
      <c r="P113" s="55"/>
      <c r="Q113" s="55"/>
      <c r="R113" s="55"/>
      <c r="S113" s="55"/>
      <c r="T113" s="55"/>
      <c r="U113" s="55"/>
      <c r="V113" s="55"/>
    </row>
    <row r="114" spans="1:23" x14ac:dyDescent="0.2">
      <c r="A114" s="39" t="s">
        <v>24</v>
      </c>
      <c r="B114" s="55" t="s">
        <v>249</v>
      </c>
      <c r="C114" s="55"/>
      <c r="D114" s="55"/>
      <c r="E114" s="55"/>
      <c r="F114" s="55"/>
      <c r="G114" s="55"/>
      <c r="H114" s="55"/>
      <c r="I114" s="55"/>
      <c r="J114" s="55"/>
      <c r="K114" s="55"/>
      <c r="L114" s="55"/>
      <c r="M114" s="55"/>
      <c r="N114" s="55"/>
      <c r="O114" s="55"/>
      <c r="P114" s="55"/>
      <c r="Q114" s="55"/>
      <c r="R114" s="55"/>
    </row>
    <row r="115" spans="1:23" x14ac:dyDescent="0.2">
      <c r="A115" s="39" t="s">
        <v>28</v>
      </c>
      <c r="B115" s="55" t="s">
        <v>250</v>
      </c>
      <c r="C115" s="55"/>
      <c r="D115" s="55"/>
      <c r="E115" s="55"/>
      <c r="F115" s="55"/>
      <c r="G115" s="55"/>
      <c r="H115" s="55"/>
      <c r="I115" s="55"/>
      <c r="J115" s="55"/>
      <c r="K115" s="55"/>
      <c r="L115" s="55"/>
      <c r="M115" s="55"/>
      <c r="N115" s="55"/>
      <c r="O115" s="55"/>
      <c r="P115" s="55"/>
      <c r="Q115" s="55"/>
      <c r="R115" s="55"/>
      <c r="S115" s="55"/>
      <c r="T115" s="55"/>
      <c r="U115" s="55"/>
      <c r="V115" s="55"/>
      <c r="W115" s="55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F439B-9760-4E2D-9273-BA22847E3391}">
  <dimension ref="A1:AD63"/>
  <sheetViews>
    <sheetView zoomScaleNormal="100" workbookViewId="0">
      <selection activeCell="A2" sqref="A2:A17"/>
    </sheetView>
  </sheetViews>
  <sheetFormatPr defaultColWidth="10.42578125" defaultRowHeight="15" x14ac:dyDescent="0.25"/>
  <cols>
    <col min="1" max="1" width="11.28515625" customWidth="1"/>
    <col min="2" max="3" width="5.140625" customWidth="1"/>
    <col min="4" max="4" width="8.5703125" customWidth="1"/>
    <col min="5" max="6" width="8.85546875" customWidth="1"/>
    <col min="7" max="7" width="4.85546875" customWidth="1"/>
    <col min="8" max="10" width="4.28515625" customWidth="1"/>
    <col min="11" max="11" width="8.5703125" customWidth="1"/>
    <col min="12" max="12" width="8" customWidth="1"/>
    <col min="13" max="14" width="5.28515625" customWidth="1"/>
    <col min="15" max="15" width="5" customWidth="1"/>
    <col min="16" max="16" width="4.28515625" customWidth="1"/>
    <col min="17" max="17" width="6.42578125" customWidth="1"/>
    <col min="18" max="18" width="10" customWidth="1"/>
    <col min="19" max="19" width="5.28515625" customWidth="1"/>
    <col min="20" max="20" width="8.28515625" customWidth="1"/>
    <col min="21" max="21" width="10.140625" customWidth="1"/>
    <col min="22" max="22" width="3.85546875" customWidth="1"/>
    <col min="23" max="23" width="13.85546875" customWidth="1"/>
    <col min="24" max="24" width="11.28515625" customWidth="1"/>
    <col min="25" max="25" width="13.7109375" customWidth="1"/>
    <col min="26" max="26" width="12.7109375" customWidth="1"/>
    <col min="29" max="29" width="7.28515625" customWidth="1"/>
  </cols>
  <sheetData>
    <row r="1" spans="1:30" x14ac:dyDescent="0.25">
      <c r="A1" s="72" t="s">
        <v>77</v>
      </c>
      <c r="B1" s="27">
        <f>DataSheet!D6</f>
        <v>1</v>
      </c>
      <c r="C1" t="s">
        <v>267</v>
      </c>
      <c r="G1" t="s">
        <v>268</v>
      </c>
    </row>
    <row r="2" spans="1:30" x14ac:dyDescent="0.25">
      <c r="D2" s="28" t="s">
        <v>78</v>
      </c>
      <c r="K2" s="28" t="s">
        <v>79</v>
      </c>
      <c r="O2" t="s">
        <v>80</v>
      </c>
      <c r="P2" t="s">
        <v>81</v>
      </c>
    </row>
    <row r="3" spans="1:30" x14ac:dyDescent="0.25">
      <c r="A3" s="29" t="s">
        <v>272</v>
      </c>
      <c r="B3" s="29" t="s">
        <v>82</v>
      </c>
      <c r="C3" s="28" t="s">
        <v>83</v>
      </c>
      <c r="D3" s="30" t="s">
        <v>84</v>
      </c>
      <c r="E3" s="30" t="s">
        <v>85</v>
      </c>
      <c r="F3" s="30" t="s">
        <v>86</v>
      </c>
      <c r="G3" s="7" t="s">
        <v>87</v>
      </c>
      <c r="H3" s="7" t="s">
        <v>88</v>
      </c>
      <c r="I3" s="7" t="s">
        <v>89</v>
      </c>
      <c r="J3" s="7" t="s">
        <v>90</v>
      </c>
      <c r="K3" s="30" t="s">
        <v>91</v>
      </c>
      <c r="L3" s="30" t="s">
        <v>92</v>
      </c>
      <c r="M3" s="7" t="s">
        <v>93</v>
      </c>
      <c r="N3" s="7" t="s">
        <v>89</v>
      </c>
      <c r="O3" s="7" t="s">
        <v>90</v>
      </c>
      <c r="P3" s="7" t="s">
        <v>94</v>
      </c>
      <c r="Q3" s="7" t="s">
        <v>95</v>
      </c>
      <c r="R3" s="30" t="s">
        <v>96</v>
      </c>
      <c r="S3" s="68" t="s">
        <v>265</v>
      </c>
      <c r="T3" s="31" t="s">
        <v>97</v>
      </c>
      <c r="U3" s="31" t="s">
        <v>98</v>
      </c>
    </row>
    <row r="4" spans="1:30" x14ac:dyDescent="0.25">
      <c r="A4" s="75">
        <v>44466</v>
      </c>
      <c r="B4" s="32">
        <v>1</v>
      </c>
      <c r="C4" s="33">
        <v>24</v>
      </c>
      <c r="D4" s="15">
        <v>24</v>
      </c>
      <c r="E4" s="15">
        <v>30</v>
      </c>
      <c r="F4" s="15">
        <v>40</v>
      </c>
      <c r="G4" s="34">
        <f>(E4/0.6)/100</f>
        <v>0.5</v>
      </c>
      <c r="H4" s="34">
        <f>(F4/0.6)/100</f>
        <v>0.66666666666666674</v>
      </c>
      <c r="I4" s="34">
        <f>D4+G4+H4</f>
        <v>25.166666666666668</v>
      </c>
      <c r="J4" s="34">
        <f>C4-I4</f>
        <v>-1.1666666666666679</v>
      </c>
      <c r="K4" s="15">
        <v>8</v>
      </c>
      <c r="L4" s="15">
        <v>45</v>
      </c>
      <c r="M4" s="34">
        <f>(L4/0.6)/100</f>
        <v>0.75</v>
      </c>
      <c r="N4" s="34">
        <f>K4+M4</f>
        <v>8.75</v>
      </c>
      <c r="O4" s="34">
        <f t="shared" ref="O4:O20" si="0">N4+J4</f>
        <v>7.5833333333333321</v>
      </c>
      <c r="P4" s="34">
        <f>ROUNDDOWN(O4,0)</f>
        <v>7</v>
      </c>
      <c r="Q4" s="34">
        <f>(O4-P4)*0.6</f>
        <v>0.34999999999999926</v>
      </c>
      <c r="R4" s="15">
        <v>4</v>
      </c>
      <c r="S4" s="34">
        <f>IF(R4&gt;0,R4-1,"")</f>
        <v>3</v>
      </c>
      <c r="T4" s="35">
        <f t="shared" ref="T4:T20" si="1">P4</f>
        <v>7</v>
      </c>
      <c r="U4" s="35">
        <f>Q4*100</f>
        <v>34.999999999999929</v>
      </c>
    </row>
    <row r="5" spans="1:30" x14ac:dyDescent="0.25">
      <c r="A5" s="75">
        <v>44467</v>
      </c>
      <c r="B5" s="32">
        <v>2</v>
      </c>
      <c r="C5" s="33">
        <v>24</v>
      </c>
      <c r="D5" s="15">
        <v>24</v>
      </c>
      <c r="E5" s="15">
        <v>0</v>
      </c>
      <c r="F5" s="15">
        <v>30</v>
      </c>
      <c r="G5" s="34">
        <f t="shared" ref="G5:H20" si="2">(E5/0.6)/100</f>
        <v>0</v>
      </c>
      <c r="H5" s="34">
        <f t="shared" si="2"/>
        <v>0.5</v>
      </c>
      <c r="I5" s="34">
        <f t="shared" ref="I5:I20" si="3">D5+G5+H5</f>
        <v>24.5</v>
      </c>
      <c r="J5" s="34">
        <f t="shared" ref="J5:J20" si="4">C5-I5</f>
        <v>-0.5</v>
      </c>
      <c r="K5" s="15">
        <v>9</v>
      </c>
      <c r="L5" s="15">
        <v>50</v>
      </c>
      <c r="M5" s="34">
        <f t="shared" ref="M5:M20" si="5">(L5/0.6)/100</f>
        <v>0.83333333333333348</v>
      </c>
      <c r="N5" s="34">
        <f t="shared" ref="N5:N20" si="6">K5+M5</f>
        <v>9.8333333333333339</v>
      </c>
      <c r="O5" s="34">
        <f t="shared" si="0"/>
        <v>9.3333333333333339</v>
      </c>
      <c r="P5" s="34">
        <f t="shared" ref="P5:P20" si="7">ROUNDDOWN(O5,0)</f>
        <v>9</v>
      </c>
      <c r="Q5" s="34">
        <f t="shared" ref="Q5:Q20" si="8">(O5-P5)*0.6</f>
        <v>0.20000000000000034</v>
      </c>
      <c r="R5" s="15">
        <v>3</v>
      </c>
      <c r="S5" s="34">
        <f t="shared" ref="S5:S20" si="9">IF(R5&gt;0,R5-1,"")</f>
        <v>2</v>
      </c>
      <c r="T5" s="35">
        <f t="shared" si="1"/>
        <v>9</v>
      </c>
      <c r="U5" s="35">
        <f t="shared" ref="U5:U20" si="10">Q5*100</f>
        <v>20.000000000000036</v>
      </c>
      <c r="AD5" s="36"/>
    </row>
    <row r="6" spans="1:30" x14ac:dyDescent="0.25">
      <c r="A6" s="75">
        <v>44468</v>
      </c>
      <c r="B6" s="32">
        <v>3</v>
      </c>
      <c r="C6" s="33">
        <v>24</v>
      </c>
      <c r="D6" s="15">
        <v>24</v>
      </c>
      <c r="E6" s="15">
        <v>40</v>
      </c>
      <c r="F6" s="15">
        <v>20</v>
      </c>
      <c r="G6" s="34">
        <f t="shared" si="2"/>
        <v>0.66666666666666674</v>
      </c>
      <c r="H6" s="34">
        <f t="shared" si="2"/>
        <v>0.33333333333333337</v>
      </c>
      <c r="I6" s="34">
        <f t="shared" si="3"/>
        <v>25</v>
      </c>
      <c r="J6" s="34">
        <f t="shared" si="4"/>
        <v>-1</v>
      </c>
      <c r="K6" s="15">
        <v>7</v>
      </c>
      <c r="L6" s="15">
        <v>45</v>
      </c>
      <c r="M6" s="34">
        <f t="shared" si="5"/>
        <v>0.75</v>
      </c>
      <c r="N6" s="34">
        <f t="shared" si="6"/>
        <v>7.75</v>
      </c>
      <c r="O6" s="34">
        <f t="shared" si="0"/>
        <v>6.75</v>
      </c>
      <c r="P6" s="34">
        <f t="shared" si="7"/>
        <v>6</v>
      </c>
      <c r="Q6" s="34">
        <f t="shared" si="8"/>
        <v>0.44999999999999996</v>
      </c>
      <c r="R6" s="15">
        <v>5</v>
      </c>
      <c r="S6" s="34">
        <f t="shared" si="9"/>
        <v>4</v>
      </c>
      <c r="T6" s="35">
        <f t="shared" si="1"/>
        <v>6</v>
      </c>
      <c r="U6" s="35">
        <f t="shared" si="10"/>
        <v>44.999999999999993</v>
      </c>
      <c r="AD6" s="36"/>
    </row>
    <row r="7" spans="1:30" x14ac:dyDescent="0.25">
      <c r="A7" s="75">
        <v>44469</v>
      </c>
      <c r="B7" s="32">
        <v>4</v>
      </c>
      <c r="C7" s="33">
        <v>24</v>
      </c>
      <c r="D7" s="15">
        <v>24</v>
      </c>
      <c r="E7" s="15">
        <v>30</v>
      </c>
      <c r="F7" s="15">
        <v>15</v>
      </c>
      <c r="G7" s="34">
        <f t="shared" si="2"/>
        <v>0.5</v>
      </c>
      <c r="H7" s="34">
        <f t="shared" si="2"/>
        <v>0.25</v>
      </c>
      <c r="I7" s="34">
        <f t="shared" si="3"/>
        <v>24.75</v>
      </c>
      <c r="J7" s="34">
        <f t="shared" si="4"/>
        <v>-0.75</v>
      </c>
      <c r="K7" s="15">
        <v>7</v>
      </c>
      <c r="L7" s="15">
        <v>45</v>
      </c>
      <c r="M7" s="34">
        <f t="shared" si="5"/>
        <v>0.75</v>
      </c>
      <c r="N7" s="34">
        <f t="shared" si="6"/>
        <v>7.75</v>
      </c>
      <c r="O7" s="34">
        <f t="shared" si="0"/>
        <v>7</v>
      </c>
      <c r="P7" s="34">
        <f t="shared" si="7"/>
        <v>7</v>
      </c>
      <c r="Q7" s="34">
        <f t="shared" si="8"/>
        <v>0</v>
      </c>
      <c r="R7" s="15">
        <v>4</v>
      </c>
      <c r="S7" s="34">
        <f t="shared" si="9"/>
        <v>3</v>
      </c>
      <c r="T7" s="35">
        <f t="shared" si="1"/>
        <v>7</v>
      </c>
      <c r="U7" s="35">
        <f t="shared" si="10"/>
        <v>0</v>
      </c>
      <c r="W7" t="str">
        <f>IF(B1=1,"LSD","")</f>
        <v>LSD</v>
      </c>
      <c r="X7" t="str">
        <f>IF(B1=1,"Time Slept","")</f>
        <v>Time Slept</v>
      </c>
      <c r="Y7" t="str">
        <f>IF(B1=1,"Sleep Quality","")</f>
        <v>Sleep Quality</v>
      </c>
      <c r="Z7" s="73" t="str">
        <f>IF(B1=1,"Missing day(s)","")</f>
        <v>Missing day(s)</v>
      </c>
      <c r="AD7" s="36"/>
    </row>
    <row r="8" spans="1:30" x14ac:dyDescent="0.25">
      <c r="A8" s="75">
        <v>44470</v>
      </c>
      <c r="B8" s="32">
        <v>5</v>
      </c>
      <c r="C8" s="33">
        <v>24</v>
      </c>
      <c r="D8" s="15">
        <v>24</v>
      </c>
      <c r="E8" s="15">
        <v>30</v>
      </c>
      <c r="F8" s="15">
        <v>15</v>
      </c>
      <c r="G8" s="34">
        <f t="shared" si="2"/>
        <v>0.5</v>
      </c>
      <c r="H8" s="34">
        <f t="shared" si="2"/>
        <v>0.25</v>
      </c>
      <c r="I8" s="34">
        <f t="shared" si="3"/>
        <v>24.75</v>
      </c>
      <c r="J8" s="34">
        <f t="shared" si="4"/>
        <v>-0.75</v>
      </c>
      <c r="K8" s="15">
        <v>7</v>
      </c>
      <c r="L8" s="15">
        <v>55</v>
      </c>
      <c r="M8" s="34">
        <f t="shared" si="5"/>
        <v>0.91666666666666674</v>
      </c>
      <c r="N8" s="34">
        <f t="shared" si="6"/>
        <v>7.916666666666667</v>
      </c>
      <c r="O8" s="34">
        <f t="shared" si="0"/>
        <v>7.166666666666667</v>
      </c>
      <c r="P8" s="34">
        <f t="shared" si="7"/>
        <v>7</v>
      </c>
      <c r="Q8" s="34">
        <f t="shared" si="8"/>
        <v>0.10000000000000017</v>
      </c>
      <c r="R8" s="15">
        <v>5</v>
      </c>
      <c r="S8" s="34">
        <f t="shared" si="9"/>
        <v>4</v>
      </c>
      <c r="T8" s="35">
        <f t="shared" si="1"/>
        <v>7</v>
      </c>
      <c r="U8" s="35">
        <f t="shared" si="10"/>
        <v>10.000000000000018</v>
      </c>
      <c r="W8" t="str">
        <f>IF(B1=1,"DP_NS_AVG","")</f>
        <v>DP_NS_AVG</v>
      </c>
      <c r="X8" s="36">
        <f>IF(B1=1,SUM(O8:O14)/(COUNT(O8:O14)),"")</f>
        <v>7.238095238095239</v>
      </c>
      <c r="Y8" s="36">
        <f>IF(B1=1,SUM(S8:S14)/COUNT(S8:S14),"")</f>
        <v>3</v>
      </c>
      <c r="Z8" t="str">
        <f>IF(B1=1,IF(COUNT(S8:S14)&lt;7,7-COUNT(S8:S14),""),"")</f>
        <v/>
      </c>
    </row>
    <row r="9" spans="1:30" x14ac:dyDescent="0.25">
      <c r="A9" s="75">
        <v>44471</v>
      </c>
      <c r="B9" s="32">
        <v>6</v>
      </c>
      <c r="C9" s="33">
        <v>24</v>
      </c>
      <c r="D9" s="15">
        <v>24</v>
      </c>
      <c r="E9" s="15">
        <v>30</v>
      </c>
      <c r="F9" s="15">
        <v>15</v>
      </c>
      <c r="G9" s="34">
        <f t="shared" si="2"/>
        <v>0.5</v>
      </c>
      <c r="H9" s="34">
        <f t="shared" si="2"/>
        <v>0.25</v>
      </c>
      <c r="I9" s="34">
        <f t="shared" si="3"/>
        <v>24.75</v>
      </c>
      <c r="J9" s="34">
        <f t="shared" si="4"/>
        <v>-0.75</v>
      </c>
      <c r="K9" s="15">
        <v>7</v>
      </c>
      <c r="L9" s="15">
        <v>45</v>
      </c>
      <c r="M9" s="34">
        <f t="shared" si="5"/>
        <v>0.75</v>
      </c>
      <c r="N9" s="34">
        <f t="shared" si="6"/>
        <v>7.75</v>
      </c>
      <c r="O9" s="34">
        <f t="shared" si="0"/>
        <v>7</v>
      </c>
      <c r="P9" s="34">
        <f t="shared" si="7"/>
        <v>7</v>
      </c>
      <c r="Q9" s="34">
        <f t="shared" si="8"/>
        <v>0</v>
      </c>
      <c r="R9" s="15">
        <v>5</v>
      </c>
      <c r="S9" s="34">
        <f t="shared" si="9"/>
        <v>4</v>
      </c>
      <c r="T9" s="35">
        <f t="shared" si="1"/>
        <v>7</v>
      </c>
      <c r="U9" s="35">
        <f t="shared" si="10"/>
        <v>0</v>
      </c>
      <c r="W9" t="str">
        <f>IF(B1=1,"DP_P_AVG","")</f>
        <v>DP_P_AVG</v>
      </c>
      <c r="X9" s="36">
        <f>IF(B1=1,SUM(O15:O17)/(COUNT(O15:O17)),"")</f>
        <v>4.2222222222222223</v>
      </c>
      <c r="Y9" s="36">
        <f>IF(B1=1,SUM(S15:S17)/COUNT(S15:S17),"")</f>
        <v>2</v>
      </c>
      <c r="Z9" t="str">
        <f>IF(B1=1,IF(COUNT(S15:S17)&lt;3,3-COUNT(S15:S17),""),"")</f>
        <v/>
      </c>
    </row>
    <row r="10" spans="1:30" x14ac:dyDescent="0.25">
      <c r="A10" s="75">
        <v>44472</v>
      </c>
      <c r="B10" s="32">
        <v>7</v>
      </c>
      <c r="C10" s="33">
        <v>24</v>
      </c>
      <c r="D10" s="15">
        <v>24</v>
      </c>
      <c r="E10" s="15">
        <v>30</v>
      </c>
      <c r="F10" s="15">
        <v>15</v>
      </c>
      <c r="G10" s="34">
        <f t="shared" si="2"/>
        <v>0.5</v>
      </c>
      <c r="H10" s="34">
        <f t="shared" si="2"/>
        <v>0.25</v>
      </c>
      <c r="I10" s="34">
        <f t="shared" si="3"/>
        <v>24.75</v>
      </c>
      <c r="J10" s="34">
        <f t="shared" si="4"/>
        <v>-0.75</v>
      </c>
      <c r="K10" s="15">
        <v>7</v>
      </c>
      <c r="L10" s="15">
        <v>45</v>
      </c>
      <c r="M10" s="34">
        <f t="shared" si="5"/>
        <v>0.75</v>
      </c>
      <c r="N10" s="34">
        <f t="shared" si="6"/>
        <v>7.75</v>
      </c>
      <c r="O10" s="34">
        <f t="shared" si="0"/>
        <v>7</v>
      </c>
      <c r="P10" s="34">
        <f t="shared" si="7"/>
        <v>7</v>
      </c>
      <c r="Q10" s="34">
        <f t="shared" si="8"/>
        <v>0</v>
      </c>
      <c r="R10" s="15">
        <v>5</v>
      </c>
      <c r="S10" s="34">
        <f t="shared" si="9"/>
        <v>4</v>
      </c>
      <c r="T10" s="35">
        <f t="shared" si="1"/>
        <v>7</v>
      </c>
      <c r="U10" s="35">
        <f t="shared" si="10"/>
        <v>0</v>
      </c>
      <c r="W10" t="str">
        <f>IF(B1=1,"NS_AVG","")</f>
        <v>NS_AVG</v>
      </c>
      <c r="X10" s="36">
        <f>IF(B1=1,SUM(O4:O10)/(COUNT(O4:O10)),"")</f>
        <v>7.4047619047619042</v>
      </c>
      <c r="Y10" s="36">
        <f>IF(B1=1,SUM(S4:S10)/COUNT(S4:S10),"")</f>
        <v>3.4285714285714284</v>
      </c>
      <c r="Z10" t="str">
        <f>IF(B1=1,IF(COUNT(S4:S10)&lt;7,7-COUNT(S4:S10),""),"")</f>
        <v/>
      </c>
    </row>
    <row r="11" spans="1:30" x14ac:dyDescent="0.25">
      <c r="A11" s="75">
        <v>44473</v>
      </c>
      <c r="B11" s="32">
        <v>8</v>
      </c>
      <c r="C11" s="28">
        <v>24</v>
      </c>
      <c r="D11" s="15">
        <v>24</v>
      </c>
      <c r="E11" s="15">
        <v>35</v>
      </c>
      <c r="F11" s="15">
        <v>15</v>
      </c>
      <c r="G11" s="34">
        <f t="shared" si="2"/>
        <v>0.58333333333333337</v>
      </c>
      <c r="H11" s="34">
        <f t="shared" si="2"/>
        <v>0.25</v>
      </c>
      <c r="I11" s="34">
        <f t="shared" si="3"/>
        <v>24.833333333333332</v>
      </c>
      <c r="J11" s="34">
        <f t="shared" si="4"/>
        <v>-0.83333333333333215</v>
      </c>
      <c r="K11" s="15">
        <v>8</v>
      </c>
      <c r="L11" s="15">
        <v>30</v>
      </c>
      <c r="M11" s="34">
        <f t="shared" si="5"/>
        <v>0.5</v>
      </c>
      <c r="N11" s="34">
        <f t="shared" si="6"/>
        <v>8.5</v>
      </c>
      <c r="O11" s="34">
        <f t="shared" si="0"/>
        <v>7.6666666666666679</v>
      </c>
      <c r="P11" s="34">
        <f t="shared" si="7"/>
        <v>7</v>
      </c>
      <c r="Q11" s="34">
        <f t="shared" si="8"/>
        <v>0.40000000000000069</v>
      </c>
      <c r="R11" s="15">
        <v>4</v>
      </c>
      <c r="S11" s="34">
        <f t="shared" si="9"/>
        <v>3</v>
      </c>
      <c r="T11" s="35">
        <f t="shared" si="1"/>
        <v>7</v>
      </c>
      <c r="U11" s="35">
        <f t="shared" si="10"/>
        <v>40.000000000000071</v>
      </c>
      <c r="W11" t="str">
        <f>IF(B1=0,"ESD","")</f>
        <v/>
      </c>
      <c r="X11" t="str">
        <f>IF(B1=0,"Time Slept","")</f>
        <v/>
      </c>
      <c r="Y11" t="str">
        <f>IF(B1=0,"Sleep Quality","")</f>
        <v/>
      </c>
      <c r="Z11" s="73" t="str">
        <f>IF(B1=0,"Missing day(s)","")</f>
        <v/>
      </c>
    </row>
    <row r="12" spans="1:30" x14ac:dyDescent="0.25">
      <c r="A12" s="75">
        <v>44474</v>
      </c>
      <c r="B12" s="32">
        <v>9</v>
      </c>
      <c r="C12" s="28">
        <v>24</v>
      </c>
      <c r="D12" s="15">
        <v>24</v>
      </c>
      <c r="E12" s="15">
        <v>40</v>
      </c>
      <c r="F12" s="15">
        <v>30</v>
      </c>
      <c r="G12" s="34">
        <f t="shared" si="2"/>
        <v>0.66666666666666674</v>
      </c>
      <c r="H12" s="34">
        <f t="shared" si="2"/>
        <v>0.5</v>
      </c>
      <c r="I12" s="34">
        <f t="shared" si="3"/>
        <v>25.166666666666668</v>
      </c>
      <c r="J12" s="34">
        <f t="shared" si="4"/>
        <v>-1.1666666666666679</v>
      </c>
      <c r="K12" s="15">
        <v>8</v>
      </c>
      <c r="L12" s="15">
        <v>30</v>
      </c>
      <c r="M12" s="34">
        <f t="shared" si="5"/>
        <v>0.5</v>
      </c>
      <c r="N12" s="34">
        <f t="shared" si="6"/>
        <v>8.5</v>
      </c>
      <c r="O12" s="34">
        <f t="shared" si="0"/>
        <v>7.3333333333333321</v>
      </c>
      <c r="P12" s="34">
        <f t="shared" si="7"/>
        <v>7</v>
      </c>
      <c r="Q12" s="34">
        <f t="shared" si="8"/>
        <v>0.19999999999999929</v>
      </c>
      <c r="R12" s="15">
        <v>3</v>
      </c>
      <c r="S12" s="34">
        <f t="shared" si="9"/>
        <v>2</v>
      </c>
      <c r="T12" s="35">
        <f t="shared" si="1"/>
        <v>7</v>
      </c>
      <c r="U12" s="35">
        <f t="shared" si="10"/>
        <v>19.999999999999929</v>
      </c>
      <c r="W12" t="str">
        <f>IF(B1=0,"PD_NS_AVG","")</f>
        <v/>
      </c>
      <c r="X12" t="str">
        <f>IF(B1=0,SUM(O4:O10)/COUNT(O4:O10),"")</f>
        <v/>
      </c>
      <c r="Y12" t="str">
        <f>IF(B1=0,SUM(S4:S10)/COUNT(S4:S10),"")</f>
        <v/>
      </c>
      <c r="Z12" t="str">
        <f>IF(B$1=0,IF(COUNT(S4:S10)&lt;7,7-COUNT(S4:S10),""),"")</f>
        <v/>
      </c>
    </row>
    <row r="13" spans="1:30" x14ac:dyDescent="0.25">
      <c r="A13" s="75">
        <v>44475</v>
      </c>
      <c r="B13" s="32">
        <v>10</v>
      </c>
      <c r="C13" s="28">
        <v>24</v>
      </c>
      <c r="D13" s="15">
        <v>24</v>
      </c>
      <c r="E13" s="15">
        <v>30</v>
      </c>
      <c r="F13" s="15">
        <v>30</v>
      </c>
      <c r="G13" s="34">
        <f t="shared" si="2"/>
        <v>0.5</v>
      </c>
      <c r="H13" s="34">
        <f t="shared" si="2"/>
        <v>0.5</v>
      </c>
      <c r="I13" s="34">
        <f t="shared" si="3"/>
        <v>25</v>
      </c>
      <c r="J13" s="34">
        <f t="shared" si="4"/>
        <v>-1</v>
      </c>
      <c r="K13" s="15">
        <v>7</v>
      </c>
      <c r="L13" s="15">
        <v>45</v>
      </c>
      <c r="M13" s="34">
        <f t="shared" si="5"/>
        <v>0.75</v>
      </c>
      <c r="N13" s="34">
        <f t="shared" si="6"/>
        <v>7.75</v>
      </c>
      <c r="O13" s="34">
        <f t="shared" si="0"/>
        <v>6.75</v>
      </c>
      <c r="P13" s="34">
        <f t="shared" si="7"/>
        <v>6</v>
      </c>
      <c r="Q13" s="34">
        <f t="shared" si="8"/>
        <v>0.44999999999999996</v>
      </c>
      <c r="R13" s="15">
        <v>2</v>
      </c>
      <c r="S13" s="34">
        <f t="shared" si="9"/>
        <v>1</v>
      </c>
      <c r="T13" s="35">
        <f t="shared" si="1"/>
        <v>6</v>
      </c>
      <c r="U13" s="35">
        <f t="shared" si="10"/>
        <v>44.999999999999993</v>
      </c>
      <c r="W13" t="str">
        <f>IF(B1=0,"DP_PSD_AVG","")</f>
        <v/>
      </c>
      <c r="X13" t="str">
        <f>IF(B1=0,SUM(O11:O13)/(COUNT(O11:O13)),"")</f>
        <v/>
      </c>
      <c r="Y13" t="str">
        <f>IF(B1=0,SUM(S11:S13)/COUNT(S11:S13),"")</f>
        <v/>
      </c>
      <c r="Z13" t="str">
        <f>IF(B$1=0,IF(COUNT(S11:S13)&lt;3,3-COUNT(S11:S13),""),"")</f>
        <v/>
      </c>
    </row>
    <row r="14" spans="1:30" x14ac:dyDescent="0.25">
      <c r="A14" s="75">
        <v>44476</v>
      </c>
      <c r="B14" s="32">
        <v>11</v>
      </c>
      <c r="C14" s="28">
        <v>24</v>
      </c>
      <c r="D14" s="15">
        <v>25</v>
      </c>
      <c r="E14" s="15">
        <v>0</v>
      </c>
      <c r="F14" s="15">
        <v>15</v>
      </c>
      <c r="G14" s="34">
        <f t="shared" si="2"/>
        <v>0</v>
      </c>
      <c r="H14" s="34">
        <f t="shared" si="2"/>
        <v>0.25</v>
      </c>
      <c r="I14" s="34">
        <f t="shared" si="3"/>
        <v>25.25</v>
      </c>
      <c r="J14" s="34">
        <f t="shared" si="4"/>
        <v>-1.25</v>
      </c>
      <c r="K14" s="15">
        <v>9</v>
      </c>
      <c r="L14" s="15">
        <v>0</v>
      </c>
      <c r="M14" s="34">
        <f t="shared" si="5"/>
        <v>0</v>
      </c>
      <c r="N14" s="34">
        <f t="shared" si="6"/>
        <v>9</v>
      </c>
      <c r="O14" s="34">
        <f t="shared" si="0"/>
        <v>7.75</v>
      </c>
      <c r="P14" s="34">
        <f t="shared" si="7"/>
        <v>7</v>
      </c>
      <c r="Q14" s="34">
        <f t="shared" si="8"/>
        <v>0.44999999999999996</v>
      </c>
      <c r="R14" s="15">
        <v>4</v>
      </c>
      <c r="S14" s="34">
        <f t="shared" si="9"/>
        <v>3</v>
      </c>
      <c r="T14" s="35">
        <f t="shared" si="1"/>
        <v>7</v>
      </c>
      <c r="U14" s="35">
        <f t="shared" si="10"/>
        <v>44.999999999999993</v>
      </c>
      <c r="W14" t="str">
        <f>IF(B1=0,"NS_AVG","")</f>
        <v/>
      </c>
      <c r="X14" t="str">
        <f>IF(B1=0,SUM(O14:O20)/(COUNT(O14:O20)),"")</f>
        <v/>
      </c>
      <c r="Y14" t="str">
        <f>IF(B1=0,SUM(S14:S20)/COUNT(S14:S20),"")</f>
        <v/>
      </c>
      <c r="Z14" t="str">
        <f>IF(B$1=0,IF(COUNT(S14:S20)&lt;7,7-COUNT(S14:S20),""),"")</f>
        <v/>
      </c>
    </row>
    <row r="15" spans="1:30" x14ac:dyDescent="0.25">
      <c r="A15" s="75">
        <v>44477</v>
      </c>
      <c r="B15" s="32">
        <v>12</v>
      </c>
      <c r="C15" s="28">
        <v>24</v>
      </c>
      <c r="D15" s="15">
        <v>27</v>
      </c>
      <c r="E15" s="15">
        <v>30</v>
      </c>
      <c r="F15" s="15">
        <v>15</v>
      </c>
      <c r="G15" s="34">
        <f t="shared" si="2"/>
        <v>0.5</v>
      </c>
      <c r="H15" s="34">
        <f t="shared" si="2"/>
        <v>0.25</v>
      </c>
      <c r="I15" s="34">
        <f t="shared" si="3"/>
        <v>27.75</v>
      </c>
      <c r="J15" s="34">
        <f t="shared" si="4"/>
        <v>-3.75</v>
      </c>
      <c r="K15" s="15">
        <v>7</v>
      </c>
      <c r="L15" s="15">
        <v>45</v>
      </c>
      <c r="M15" s="34">
        <f t="shared" si="5"/>
        <v>0.75</v>
      </c>
      <c r="N15" s="34">
        <f t="shared" si="6"/>
        <v>7.75</v>
      </c>
      <c r="O15" s="34">
        <f t="shared" si="0"/>
        <v>4</v>
      </c>
      <c r="P15" s="34">
        <f t="shared" si="7"/>
        <v>4</v>
      </c>
      <c r="Q15" s="34">
        <f t="shared" si="8"/>
        <v>0</v>
      </c>
      <c r="R15" s="15">
        <v>3</v>
      </c>
      <c r="S15" s="34">
        <f t="shared" si="9"/>
        <v>2</v>
      </c>
      <c r="T15" s="35">
        <f t="shared" si="1"/>
        <v>4</v>
      </c>
      <c r="U15" s="35">
        <f t="shared" si="10"/>
        <v>0</v>
      </c>
      <c r="W15" s="82" t="s">
        <v>288</v>
      </c>
      <c r="X15" s="84" cm="1">
        <f t="array" ref="X15">_xlfn.IFS(B1=0,X12-X13,B1=1,X8-X9)</f>
        <v>3.0158730158730167</v>
      </c>
      <c r="Y15" s="85" t="s">
        <v>289</v>
      </c>
      <c r="Z15" s="84" cm="1">
        <f t="array" ref="Z15">_xlfn.IFS(B1=0,X14-X13,B1=1,X10-X9)</f>
        <v>3.1825396825396819</v>
      </c>
      <c r="AA15" s="83" t="s">
        <v>290</v>
      </c>
    </row>
    <row r="16" spans="1:30" x14ac:dyDescent="0.25">
      <c r="A16" s="75">
        <v>44478</v>
      </c>
      <c r="B16" s="32">
        <v>13</v>
      </c>
      <c r="C16" s="28">
        <v>24</v>
      </c>
      <c r="D16" s="15">
        <v>27</v>
      </c>
      <c r="E16" s="15">
        <v>30</v>
      </c>
      <c r="F16" s="15">
        <v>15</v>
      </c>
      <c r="G16" s="34">
        <f t="shared" si="2"/>
        <v>0.5</v>
      </c>
      <c r="H16" s="34">
        <f t="shared" si="2"/>
        <v>0.25</v>
      </c>
      <c r="I16" s="34">
        <f t="shared" si="3"/>
        <v>27.75</v>
      </c>
      <c r="J16" s="34">
        <f t="shared" si="4"/>
        <v>-3.75</v>
      </c>
      <c r="K16" s="15">
        <v>8</v>
      </c>
      <c r="L16" s="15">
        <v>30</v>
      </c>
      <c r="M16" s="34">
        <f t="shared" si="5"/>
        <v>0.5</v>
      </c>
      <c r="N16" s="34">
        <f t="shared" si="6"/>
        <v>8.5</v>
      </c>
      <c r="O16" s="34">
        <f t="shared" si="0"/>
        <v>4.75</v>
      </c>
      <c r="P16" s="34">
        <f t="shared" si="7"/>
        <v>4</v>
      </c>
      <c r="Q16" s="34">
        <f t="shared" si="8"/>
        <v>0.44999999999999996</v>
      </c>
      <c r="R16" s="15">
        <v>3</v>
      </c>
      <c r="S16" s="34">
        <f t="shared" si="9"/>
        <v>2</v>
      </c>
      <c r="T16" s="35">
        <f t="shared" si="1"/>
        <v>4</v>
      </c>
      <c r="U16" s="35">
        <f t="shared" si="10"/>
        <v>44.999999999999993</v>
      </c>
      <c r="X16" t="s">
        <v>291</v>
      </c>
    </row>
    <row r="17" spans="1:23" x14ac:dyDescent="0.25">
      <c r="A17" s="75">
        <v>44479</v>
      </c>
      <c r="B17" s="32">
        <v>14</v>
      </c>
      <c r="C17" s="28">
        <v>24</v>
      </c>
      <c r="D17" s="15">
        <v>27</v>
      </c>
      <c r="E17" s="15">
        <v>30</v>
      </c>
      <c r="F17" s="15">
        <v>20</v>
      </c>
      <c r="G17" s="34">
        <f t="shared" si="2"/>
        <v>0.5</v>
      </c>
      <c r="H17" s="34">
        <f t="shared" si="2"/>
        <v>0.33333333333333337</v>
      </c>
      <c r="I17" s="34">
        <f t="shared" si="3"/>
        <v>27.833333333333332</v>
      </c>
      <c r="J17" s="34">
        <f t="shared" si="4"/>
        <v>-3.8333333333333321</v>
      </c>
      <c r="K17" s="15">
        <v>7</v>
      </c>
      <c r="L17" s="15">
        <v>45</v>
      </c>
      <c r="M17" s="34">
        <f t="shared" si="5"/>
        <v>0.75</v>
      </c>
      <c r="N17" s="34">
        <f t="shared" si="6"/>
        <v>7.75</v>
      </c>
      <c r="O17" s="34">
        <f t="shared" si="0"/>
        <v>3.9166666666666679</v>
      </c>
      <c r="P17" s="34">
        <f t="shared" si="7"/>
        <v>3</v>
      </c>
      <c r="Q17" s="34">
        <f t="shared" si="8"/>
        <v>0.55000000000000071</v>
      </c>
      <c r="R17" s="15">
        <v>3</v>
      </c>
      <c r="S17" s="34">
        <f t="shared" si="9"/>
        <v>2</v>
      </c>
      <c r="T17" s="35">
        <f t="shared" si="1"/>
        <v>3</v>
      </c>
      <c r="U17" s="35">
        <f t="shared" si="10"/>
        <v>55.000000000000071</v>
      </c>
      <c r="W17" t="s">
        <v>269</v>
      </c>
    </row>
    <row r="18" spans="1:23" x14ac:dyDescent="0.25">
      <c r="A18" s="32"/>
      <c r="B18" s="32">
        <v>15</v>
      </c>
      <c r="C18" s="28">
        <v>24</v>
      </c>
      <c r="D18" s="15"/>
      <c r="E18" s="15"/>
      <c r="F18" s="15"/>
      <c r="G18" s="34">
        <f t="shared" si="2"/>
        <v>0</v>
      </c>
      <c r="H18" s="34">
        <f t="shared" si="2"/>
        <v>0</v>
      </c>
      <c r="I18" s="34">
        <f t="shared" si="3"/>
        <v>0</v>
      </c>
      <c r="J18" s="34">
        <f t="shared" si="4"/>
        <v>24</v>
      </c>
      <c r="K18" s="15"/>
      <c r="L18" s="15"/>
      <c r="M18" s="34">
        <f t="shared" si="5"/>
        <v>0</v>
      </c>
      <c r="N18" s="34">
        <f t="shared" si="6"/>
        <v>0</v>
      </c>
      <c r="O18" s="34">
        <f t="shared" si="0"/>
        <v>24</v>
      </c>
      <c r="P18" s="34">
        <f t="shared" si="7"/>
        <v>24</v>
      </c>
      <c r="Q18" s="34">
        <f t="shared" si="8"/>
        <v>0</v>
      </c>
      <c r="R18" s="15"/>
      <c r="S18" s="34" t="str">
        <f>IF(R18&gt;0,R18-1,"")</f>
        <v/>
      </c>
      <c r="T18" s="35">
        <f t="shared" si="1"/>
        <v>24</v>
      </c>
      <c r="U18" s="35">
        <f t="shared" si="10"/>
        <v>0</v>
      </c>
    </row>
    <row r="19" spans="1:23" x14ac:dyDescent="0.25">
      <c r="A19" s="32"/>
      <c r="B19" s="32">
        <v>16</v>
      </c>
      <c r="C19" s="28">
        <v>24</v>
      </c>
      <c r="D19" s="15"/>
      <c r="E19" s="15"/>
      <c r="F19" s="15"/>
      <c r="G19" s="34">
        <f t="shared" si="2"/>
        <v>0</v>
      </c>
      <c r="H19" s="34">
        <f t="shared" si="2"/>
        <v>0</v>
      </c>
      <c r="I19" s="34">
        <f t="shared" si="3"/>
        <v>0</v>
      </c>
      <c r="J19" s="34">
        <f t="shared" si="4"/>
        <v>24</v>
      </c>
      <c r="K19" s="15"/>
      <c r="L19" s="15"/>
      <c r="M19" s="34">
        <f t="shared" si="5"/>
        <v>0</v>
      </c>
      <c r="N19" s="34">
        <f t="shared" si="6"/>
        <v>0</v>
      </c>
      <c r="O19" s="34">
        <f t="shared" si="0"/>
        <v>24</v>
      </c>
      <c r="P19" s="34">
        <f t="shared" si="7"/>
        <v>24</v>
      </c>
      <c r="Q19" s="34">
        <f t="shared" si="8"/>
        <v>0</v>
      </c>
      <c r="R19" s="15"/>
      <c r="S19" s="34" t="str">
        <f t="shared" si="9"/>
        <v/>
      </c>
      <c r="T19" s="35">
        <f t="shared" si="1"/>
        <v>24</v>
      </c>
      <c r="U19" s="35">
        <f t="shared" si="10"/>
        <v>0</v>
      </c>
    </row>
    <row r="20" spans="1:23" x14ac:dyDescent="0.25">
      <c r="A20" s="32"/>
      <c r="B20" s="32">
        <v>17</v>
      </c>
      <c r="C20" s="28">
        <v>24</v>
      </c>
      <c r="D20" s="15"/>
      <c r="E20" s="15"/>
      <c r="F20" s="15"/>
      <c r="G20" s="34">
        <f t="shared" si="2"/>
        <v>0</v>
      </c>
      <c r="H20" s="34">
        <f t="shared" si="2"/>
        <v>0</v>
      </c>
      <c r="I20" s="34">
        <f t="shared" si="3"/>
        <v>0</v>
      </c>
      <c r="J20" s="34">
        <f t="shared" si="4"/>
        <v>24</v>
      </c>
      <c r="K20" s="15"/>
      <c r="L20" s="15"/>
      <c r="M20" s="34">
        <f t="shared" si="5"/>
        <v>0</v>
      </c>
      <c r="N20" s="34">
        <f t="shared" si="6"/>
        <v>0</v>
      </c>
      <c r="O20" s="34">
        <f t="shared" si="0"/>
        <v>24</v>
      </c>
      <c r="P20" s="34">
        <f t="shared" si="7"/>
        <v>24</v>
      </c>
      <c r="Q20" s="34">
        <f t="shared" si="8"/>
        <v>0</v>
      </c>
      <c r="R20" s="15"/>
      <c r="S20" s="34" t="str">
        <f t="shared" si="9"/>
        <v/>
      </c>
      <c r="T20" s="35">
        <f t="shared" si="1"/>
        <v>24</v>
      </c>
      <c r="U20" s="35">
        <f t="shared" si="10"/>
        <v>0</v>
      </c>
    </row>
    <row r="24" spans="1:23" x14ac:dyDescent="0.25">
      <c r="R24" t="s">
        <v>266</v>
      </c>
    </row>
    <row r="26" spans="1:23" x14ac:dyDescent="0.25">
      <c r="B26" t="s">
        <v>162</v>
      </c>
      <c r="K26" t="s">
        <v>164</v>
      </c>
    </row>
    <row r="27" spans="1:23" x14ac:dyDescent="0.25">
      <c r="B27" t="s">
        <v>161</v>
      </c>
      <c r="K27" t="s">
        <v>163</v>
      </c>
    </row>
    <row r="28" spans="1:23" x14ac:dyDescent="0.25">
      <c r="B28" t="s">
        <v>165</v>
      </c>
    </row>
    <row r="62" spans="2:21" x14ac:dyDescent="0.25">
      <c r="B62" t="s">
        <v>260</v>
      </c>
    </row>
    <row r="63" spans="2:21" x14ac:dyDescent="0.25">
      <c r="B63" s="32" t="str">
        <f>IF(C15="ESD",15,"")</f>
        <v/>
      </c>
      <c r="C63" s="28" t="str">
        <f>IF(C15="ESD",24,"")</f>
        <v/>
      </c>
      <c r="D63" s="15"/>
      <c r="E63" s="15"/>
      <c r="F63" s="15"/>
      <c r="G63" s="34" t="str">
        <f>IF(C15="ESD",(E63/0.6)/100,"")</f>
        <v/>
      </c>
      <c r="H63" s="34" t="str">
        <f>IF(C15="ESD",(F63/0.6)/100,"")</f>
        <v/>
      </c>
      <c r="I63" s="34" t="str">
        <f>IF(C15="ESD",D63+G63+H63,"")</f>
        <v/>
      </c>
      <c r="J63" s="34" t="str">
        <f>IF(C15="ESD",C63-I63,"")</f>
        <v/>
      </c>
      <c r="K63" s="15"/>
      <c r="L63" s="15"/>
      <c r="M63" s="34" t="str">
        <f>IF(C15="ESD",(L63/0.6)/100,"")</f>
        <v/>
      </c>
      <c r="N63" s="34" t="str">
        <f>IF(C15="ESD",K63+M63,"")</f>
        <v/>
      </c>
      <c r="O63" s="34" t="str">
        <f>IF(C15="ESD",N63+J63,"")</f>
        <v/>
      </c>
      <c r="P63" s="34" t="str">
        <f>IF(C15="ESD",ROUNDDOWN(O63,0),"")</f>
        <v/>
      </c>
      <c r="Q63" s="34" t="str">
        <f>IF(C15="ESD",(O63-P63)*0.6,"")</f>
        <v/>
      </c>
      <c r="R63" s="15"/>
      <c r="S63" s="15"/>
      <c r="T63" s="35" t="str">
        <f>IF(C15="ESD",P63,"")</f>
        <v/>
      </c>
      <c r="U63" s="35" t="str">
        <f>IF(C15="ESD",Q63*100,"")</f>
        <v/>
      </c>
    </row>
  </sheetData>
  <conditionalFormatting sqref="W12:W14">
    <cfRule type="notContainsBlanks" dxfId="7" priority="5">
      <formula>LEN(TRIM(W12))&gt;0</formula>
    </cfRule>
  </conditionalFormatting>
  <conditionalFormatting sqref="W7:Z7 W8:W10">
    <cfRule type="notContainsBlanks" dxfId="6" priority="6">
      <formula>LEN(TRIM(W7))&gt;0</formula>
    </cfRule>
  </conditionalFormatting>
  <conditionalFormatting sqref="W11:Z11">
    <cfRule type="notContainsBlanks" dxfId="5" priority="4">
      <formula>LEN(TRIM(W11))&gt;0</formula>
    </cfRule>
  </conditionalFormatting>
  <conditionalFormatting sqref="X8:Y10">
    <cfRule type="notContainsBlanks" dxfId="4" priority="9">
      <formula>LEN(TRIM(X8))&gt;0</formula>
    </cfRule>
  </conditionalFormatting>
  <conditionalFormatting sqref="X12:Y14">
    <cfRule type="notContainsBlanks" dxfId="3" priority="2">
      <formula>LEN(TRIM(X12))&gt;0</formula>
    </cfRule>
  </conditionalFormatting>
  <conditionalFormatting sqref="X12:Z14">
    <cfRule type="notContainsBlanks" dxfId="2" priority="1">
      <formula>LEN(TRIM(X12))&gt;0</formula>
    </cfRule>
  </conditionalFormatting>
  <conditionalFormatting sqref="Z8:Z10 Z12:Z14">
    <cfRule type="notContainsBlanks" dxfId="1" priority="8">
      <formula>LEN(TRIM(Z8))&gt;0</formula>
    </cfRule>
  </conditionalFormatting>
  <conditionalFormatting sqref="AA12">
    <cfRule type="notContainsBlanks" dxfId="0" priority="3">
      <formula>LEN(TRIM(AA12))&gt;0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493EA-4340-4F2A-BD4B-A5BC85ADDBC9}">
  <dimension ref="A1:I15"/>
  <sheetViews>
    <sheetView tabSelected="1" workbookViewId="0">
      <selection activeCell="N19" sqref="N19"/>
    </sheetView>
  </sheetViews>
  <sheetFormatPr defaultRowHeight="15" x14ac:dyDescent="0.25"/>
  <cols>
    <col min="1" max="1" width="13.42578125" customWidth="1"/>
  </cols>
  <sheetData>
    <row r="1" spans="1:9" x14ac:dyDescent="0.25">
      <c r="A1" s="29" t="s">
        <v>272</v>
      </c>
      <c r="B1" t="s">
        <v>298</v>
      </c>
      <c r="C1" t="s">
        <v>299</v>
      </c>
      <c r="D1" t="s">
        <v>300</v>
      </c>
      <c r="E1" t="s">
        <v>301</v>
      </c>
      <c r="F1" t="s">
        <v>302</v>
      </c>
      <c r="G1" t="s">
        <v>303</v>
      </c>
      <c r="H1" t="s">
        <v>304</v>
      </c>
      <c r="I1" t="s">
        <v>305</v>
      </c>
    </row>
    <row r="2" spans="1:9" x14ac:dyDescent="0.25">
      <c r="A2" s="75">
        <v>44466</v>
      </c>
      <c r="B2" s="87">
        <v>6.9444444444444441E-3</v>
      </c>
      <c r="C2" s="87">
        <v>2.0833333333333332E-2</v>
      </c>
      <c r="D2">
        <v>40</v>
      </c>
      <c r="E2">
        <v>2</v>
      </c>
      <c r="F2">
        <v>1</v>
      </c>
      <c r="G2" s="87">
        <v>0.34375</v>
      </c>
      <c r="H2" s="87">
        <v>0.35416666666666669</v>
      </c>
      <c r="I2">
        <v>4</v>
      </c>
    </row>
    <row r="3" spans="1:9" x14ac:dyDescent="0.25">
      <c r="A3" s="75">
        <v>44467</v>
      </c>
      <c r="B3" s="87">
        <v>0.98611111111111116</v>
      </c>
      <c r="C3" s="87">
        <v>0</v>
      </c>
      <c r="D3">
        <v>30</v>
      </c>
      <c r="E3">
        <v>3</v>
      </c>
      <c r="F3">
        <v>30</v>
      </c>
      <c r="G3" s="87">
        <v>0.40972222222222227</v>
      </c>
      <c r="H3" s="87">
        <v>0.40972222222222227</v>
      </c>
      <c r="I3">
        <v>3</v>
      </c>
    </row>
    <row r="4" spans="1:9" x14ac:dyDescent="0.25">
      <c r="A4" s="75">
        <v>44468</v>
      </c>
      <c r="B4" s="87">
        <v>6.9444444444444441E-3</v>
      </c>
      <c r="C4" s="87">
        <v>2.7777777777777776E-2</v>
      </c>
      <c r="D4">
        <v>20</v>
      </c>
      <c r="E4">
        <v>1</v>
      </c>
      <c r="F4">
        <v>1</v>
      </c>
      <c r="G4" s="87">
        <v>0.32291666666666669</v>
      </c>
      <c r="H4" s="87">
        <v>0.32291666666666669</v>
      </c>
      <c r="I4">
        <v>5</v>
      </c>
    </row>
    <row r="5" spans="1:9" x14ac:dyDescent="0.25">
      <c r="A5" s="75">
        <v>44469</v>
      </c>
      <c r="B5" s="87">
        <v>2.0833333333333332E-2</v>
      </c>
      <c r="C5" s="87">
        <v>2.0833333333333332E-2</v>
      </c>
      <c r="D5">
        <v>15</v>
      </c>
      <c r="E5">
        <v>0</v>
      </c>
      <c r="F5">
        <v>0</v>
      </c>
      <c r="G5" s="87">
        <v>0.32291666666666669</v>
      </c>
      <c r="H5" s="87">
        <v>0.32291666666666669</v>
      </c>
      <c r="I5">
        <v>4</v>
      </c>
    </row>
    <row r="6" spans="1:9" x14ac:dyDescent="0.25">
      <c r="A6" s="75">
        <v>44470</v>
      </c>
      <c r="B6" s="87">
        <v>2.0833333333333332E-2</v>
      </c>
      <c r="C6" s="87">
        <v>2.0833333333333332E-2</v>
      </c>
      <c r="D6">
        <v>15</v>
      </c>
      <c r="E6">
        <v>2</v>
      </c>
      <c r="F6">
        <v>1</v>
      </c>
      <c r="G6" s="87">
        <v>0.3298611111111111</v>
      </c>
      <c r="H6" s="87">
        <v>0.3298611111111111</v>
      </c>
      <c r="I6">
        <v>5</v>
      </c>
    </row>
    <row r="7" spans="1:9" x14ac:dyDescent="0.25">
      <c r="A7" s="75">
        <v>44471</v>
      </c>
      <c r="B7" s="87">
        <v>3.472222222222222E-3</v>
      </c>
      <c r="C7" s="87">
        <v>2.0833333333333332E-2</v>
      </c>
      <c r="D7">
        <v>15</v>
      </c>
      <c r="E7">
        <v>2</v>
      </c>
      <c r="F7">
        <v>2</v>
      </c>
      <c r="G7" s="87">
        <v>0.32291666666666669</v>
      </c>
      <c r="H7" s="87">
        <v>0.32291666666666669</v>
      </c>
      <c r="I7">
        <v>5</v>
      </c>
    </row>
    <row r="8" spans="1:9" x14ac:dyDescent="0.25">
      <c r="A8" s="75">
        <v>44472</v>
      </c>
      <c r="B8" s="87">
        <v>1.0416666666666666E-2</v>
      </c>
      <c r="C8" s="87">
        <v>2.0833333333333332E-2</v>
      </c>
      <c r="D8">
        <v>15</v>
      </c>
      <c r="E8">
        <v>2</v>
      </c>
      <c r="F8">
        <v>5</v>
      </c>
      <c r="G8" s="87">
        <v>0.32291666666666669</v>
      </c>
      <c r="H8" s="87">
        <v>0.32291666666666669</v>
      </c>
      <c r="I8">
        <v>5</v>
      </c>
    </row>
    <row r="9" spans="1:9" x14ac:dyDescent="0.25">
      <c r="A9" s="75">
        <v>44473</v>
      </c>
      <c r="B9" s="87">
        <v>2.0833333333333332E-2</v>
      </c>
      <c r="C9" s="87">
        <v>2.4305555555555556E-2</v>
      </c>
      <c r="D9">
        <v>15</v>
      </c>
      <c r="E9">
        <v>2</v>
      </c>
      <c r="F9">
        <v>61</v>
      </c>
      <c r="G9" s="87">
        <v>0.35416666666666669</v>
      </c>
      <c r="H9" s="87">
        <v>0.36805555555555558</v>
      </c>
      <c r="I9">
        <v>4</v>
      </c>
    </row>
    <row r="10" spans="1:9" x14ac:dyDescent="0.25">
      <c r="A10" s="75">
        <v>44474</v>
      </c>
      <c r="B10" s="87">
        <v>2.4305555555555556E-2</v>
      </c>
      <c r="C10" s="87">
        <v>2.7777777777777776E-2</v>
      </c>
      <c r="D10">
        <v>30</v>
      </c>
      <c r="E10">
        <v>2</v>
      </c>
      <c r="F10">
        <v>30</v>
      </c>
      <c r="G10" s="87">
        <v>0.35416666666666669</v>
      </c>
      <c r="H10" s="87">
        <v>0.35416666666666669</v>
      </c>
      <c r="I10">
        <v>3</v>
      </c>
    </row>
    <row r="11" spans="1:9" x14ac:dyDescent="0.25">
      <c r="A11" s="75">
        <v>44475</v>
      </c>
      <c r="B11" s="87">
        <v>6.9444444444444441E-3</v>
      </c>
      <c r="C11" s="87">
        <v>2.0833333333333332E-2</v>
      </c>
      <c r="D11">
        <v>30</v>
      </c>
      <c r="E11">
        <v>5</v>
      </c>
      <c r="F11">
        <v>5</v>
      </c>
      <c r="G11" s="87">
        <v>0.32291666666666669</v>
      </c>
      <c r="H11" s="87">
        <v>0.32291666666666669</v>
      </c>
      <c r="I11">
        <v>2</v>
      </c>
    </row>
    <row r="12" spans="1:9" x14ac:dyDescent="0.25">
      <c r="A12" s="75">
        <v>44476</v>
      </c>
      <c r="B12" s="87">
        <v>4.1666666666666664E-2</v>
      </c>
      <c r="C12" s="87">
        <v>4.1666666666666664E-2</v>
      </c>
      <c r="D12">
        <v>15</v>
      </c>
      <c r="E12">
        <v>1</v>
      </c>
      <c r="F12">
        <v>1</v>
      </c>
      <c r="G12" s="87">
        <v>0.375</v>
      </c>
      <c r="H12" s="87">
        <v>0.375</v>
      </c>
      <c r="I12">
        <v>4</v>
      </c>
    </row>
    <row r="13" spans="1:9" x14ac:dyDescent="0.25">
      <c r="A13" s="75">
        <v>44477</v>
      </c>
      <c r="B13" s="87">
        <v>0.1388888888888889</v>
      </c>
      <c r="C13" s="87">
        <v>0.14583333333333334</v>
      </c>
      <c r="D13">
        <v>15</v>
      </c>
      <c r="E13">
        <v>0</v>
      </c>
      <c r="F13">
        <v>0</v>
      </c>
      <c r="G13" s="87">
        <v>0.32291666666666669</v>
      </c>
      <c r="H13" s="87">
        <v>0.32291666666666669</v>
      </c>
      <c r="I13">
        <v>3</v>
      </c>
    </row>
    <row r="14" spans="1:9" x14ac:dyDescent="0.25">
      <c r="A14" s="75">
        <v>44478</v>
      </c>
      <c r="B14" s="87">
        <v>0.13194444444444445</v>
      </c>
      <c r="C14" s="87">
        <v>0.14583333333333334</v>
      </c>
      <c r="D14">
        <v>15</v>
      </c>
      <c r="E14">
        <v>0</v>
      </c>
      <c r="F14">
        <v>0</v>
      </c>
      <c r="G14" s="87">
        <v>0.35416666666666669</v>
      </c>
      <c r="H14" s="87">
        <v>0.35416666666666669</v>
      </c>
      <c r="I14">
        <v>3</v>
      </c>
    </row>
    <row r="15" spans="1:9" x14ac:dyDescent="0.25">
      <c r="A15" s="75">
        <v>44479</v>
      </c>
      <c r="B15" s="87">
        <v>0.1423611111111111</v>
      </c>
      <c r="C15" s="87">
        <v>0.14583333333333334</v>
      </c>
      <c r="D15">
        <v>20</v>
      </c>
      <c r="E15">
        <v>1</v>
      </c>
      <c r="F15">
        <v>1</v>
      </c>
      <c r="G15" s="87">
        <v>0.32291666666666669</v>
      </c>
      <c r="H15" s="87">
        <v>0.32291666666666669</v>
      </c>
      <c r="I15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0A131-AB0B-48E7-BA89-4CA72DAFD876}">
  <dimension ref="A1:O23"/>
  <sheetViews>
    <sheetView zoomScaleNormal="100" workbookViewId="0">
      <selection activeCell="N24" sqref="N24"/>
    </sheetView>
  </sheetViews>
  <sheetFormatPr defaultColWidth="11.42578125" defaultRowHeight="15" x14ac:dyDescent="0.25"/>
  <cols>
    <col min="1" max="1" width="8.140625" customWidth="1"/>
    <col min="2" max="2" width="7.140625" customWidth="1"/>
    <col min="3" max="3" width="12.85546875" customWidth="1"/>
    <col min="4" max="4" width="2.140625" customWidth="1"/>
    <col min="6" max="6" width="8" customWidth="1"/>
    <col min="7" max="7" width="10.28515625" customWidth="1"/>
    <col min="8" max="8" width="7.42578125" customWidth="1"/>
    <col min="12" max="12" width="2.85546875" customWidth="1"/>
  </cols>
  <sheetData>
    <row r="1" spans="1:15" x14ac:dyDescent="0.25">
      <c r="A1" s="26" t="s">
        <v>99</v>
      </c>
      <c r="B1" s="26"/>
      <c r="C1" s="26"/>
      <c r="D1" s="26"/>
      <c r="E1" s="26"/>
      <c r="F1" s="26"/>
      <c r="G1" s="26"/>
      <c r="I1" s="25" t="s">
        <v>100</v>
      </c>
      <c r="J1" s="25"/>
      <c r="K1" s="25"/>
      <c r="L1" s="25"/>
      <c r="M1" s="25"/>
      <c r="N1" s="25"/>
      <c r="O1" s="25"/>
    </row>
    <row r="2" spans="1:15" x14ac:dyDescent="0.25">
      <c r="A2" t="s">
        <v>101</v>
      </c>
      <c r="E2" t="s">
        <v>102</v>
      </c>
      <c r="I2" t="s">
        <v>101</v>
      </c>
      <c r="M2" t="s">
        <v>102</v>
      </c>
    </row>
    <row r="3" spans="1:15" x14ac:dyDescent="0.25">
      <c r="A3" s="7" t="s">
        <v>17</v>
      </c>
      <c r="B3" s="7" t="s">
        <v>7</v>
      </c>
      <c r="C3" s="7" t="s">
        <v>18</v>
      </c>
      <c r="E3" s="7" t="s">
        <v>17</v>
      </c>
      <c r="F3" s="7" t="s">
        <v>7</v>
      </c>
      <c r="G3" s="7" t="s">
        <v>18</v>
      </c>
      <c r="I3" s="7" t="s">
        <v>17</v>
      </c>
      <c r="J3" s="7" t="s">
        <v>7</v>
      </c>
      <c r="K3" s="7" t="s">
        <v>18</v>
      </c>
      <c r="M3" s="7" t="s">
        <v>17</v>
      </c>
      <c r="N3" s="7" t="s">
        <v>7</v>
      </c>
      <c r="O3" s="7" t="s">
        <v>18</v>
      </c>
    </row>
    <row r="4" spans="1:15" x14ac:dyDescent="0.25">
      <c r="A4" s="14" t="s">
        <v>20</v>
      </c>
      <c r="B4" s="15">
        <v>1</v>
      </c>
      <c r="C4" s="7" t="s">
        <v>103</v>
      </c>
      <c r="E4" s="14" t="s">
        <v>20</v>
      </c>
      <c r="F4" s="15">
        <v>1</v>
      </c>
      <c r="G4" s="7" t="s">
        <v>103</v>
      </c>
      <c r="I4" s="14" t="s">
        <v>20</v>
      </c>
      <c r="J4" s="15">
        <v>4</v>
      </c>
      <c r="K4" s="7" t="s">
        <v>103</v>
      </c>
      <c r="M4" s="14" t="s">
        <v>20</v>
      </c>
      <c r="N4" s="15">
        <v>2</v>
      </c>
      <c r="O4" s="7" t="s">
        <v>103</v>
      </c>
    </row>
    <row r="5" spans="1:15" x14ac:dyDescent="0.25">
      <c r="A5" s="17" t="s">
        <v>24</v>
      </c>
      <c r="B5" s="15">
        <v>1</v>
      </c>
      <c r="C5" s="18">
        <f>B4+B6+B8+B12+B13+B15+B17+B19+B20+B22</f>
        <v>11</v>
      </c>
      <c r="E5" s="17" t="s">
        <v>24</v>
      </c>
      <c r="F5" s="15">
        <v>1</v>
      </c>
      <c r="G5" s="18">
        <f>F4+F6+F8+F12+F13+F15+F17+F19+F20+F22</f>
        <v>11</v>
      </c>
      <c r="I5" s="17" t="s">
        <v>24</v>
      </c>
      <c r="J5" s="15">
        <v>1</v>
      </c>
      <c r="K5" s="18">
        <f>J4+J6+J8+J12+J13+J15+J17+J19+J20+J22</f>
        <v>20</v>
      </c>
      <c r="M5" s="17" t="s">
        <v>24</v>
      </c>
      <c r="N5" s="15">
        <v>1</v>
      </c>
      <c r="O5" s="18">
        <f>N4+N6+N8+N12+N13+N15+N17+N19+N20+N22</f>
        <v>13</v>
      </c>
    </row>
    <row r="6" spans="1:15" x14ac:dyDescent="0.25">
      <c r="A6" s="14" t="s">
        <v>28</v>
      </c>
      <c r="B6" s="15">
        <v>1</v>
      </c>
      <c r="E6" s="14" t="s">
        <v>28</v>
      </c>
      <c r="F6" s="15">
        <v>1</v>
      </c>
      <c r="I6" s="14" t="s">
        <v>28</v>
      </c>
      <c r="J6" s="15">
        <v>1</v>
      </c>
      <c r="M6" s="14" t="s">
        <v>28</v>
      </c>
      <c r="N6" s="15">
        <v>1</v>
      </c>
    </row>
    <row r="7" spans="1:15" x14ac:dyDescent="0.25">
      <c r="A7" s="17" t="s">
        <v>31</v>
      </c>
      <c r="B7" s="15">
        <v>1</v>
      </c>
      <c r="C7" s="7" t="s">
        <v>104</v>
      </c>
      <c r="E7" s="17" t="s">
        <v>31</v>
      </c>
      <c r="F7" s="15">
        <v>1</v>
      </c>
      <c r="G7" s="7" t="s">
        <v>104</v>
      </c>
      <c r="I7" s="17" t="s">
        <v>31</v>
      </c>
      <c r="J7" s="15">
        <v>1</v>
      </c>
      <c r="K7" s="7" t="s">
        <v>33</v>
      </c>
      <c r="M7" s="17" t="s">
        <v>31</v>
      </c>
      <c r="N7" s="15">
        <v>1</v>
      </c>
      <c r="O7" s="7" t="s">
        <v>104</v>
      </c>
    </row>
    <row r="8" spans="1:15" x14ac:dyDescent="0.25">
      <c r="A8" s="14" t="s">
        <v>35</v>
      </c>
      <c r="B8" s="15">
        <v>1</v>
      </c>
      <c r="C8" s="18">
        <f>B5+B7+B9+B10+B11+B14+B16+B18+B21+B23</f>
        <v>10</v>
      </c>
      <c r="E8" s="14" t="s">
        <v>35</v>
      </c>
      <c r="F8" s="15">
        <v>1</v>
      </c>
      <c r="G8" s="18">
        <f>F5+F7+F9+F10+F11+F14+F16+F18+F21+F23</f>
        <v>10</v>
      </c>
      <c r="I8" s="14" t="s">
        <v>35</v>
      </c>
      <c r="J8" s="15">
        <v>1</v>
      </c>
      <c r="K8" s="18">
        <f>J5+J7+J9+J10+J11+J14+J16+J18+J21+J23</f>
        <v>11</v>
      </c>
      <c r="M8" s="14" t="s">
        <v>35</v>
      </c>
      <c r="N8" s="15">
        <v>1</v>
      </c>
      <c r="O8" s="18">
        <f>N5+N7+N9+N10+N11+N14+N16+N18+N21+N23</f>
        <v>10</v>
      </c>
    </row>
    <row r="9" spans="1:15" x14ac:dyDescent="0.25">
      <c r="A9" s="17" t="s">
        <v>37</v>
      </c>
      <c r="B9" s="15">
        <v>1</v>
      </c>
      <c r="E9" s="17" t="s">
        <v>37</v>
      </c>
      <c r="F9" s="15">
        <v>1</v>
      </c>
      <c r="I9" s="17" t="s">
        <v>37</v>
      </c>
      <c r="J9" s="15">
        <v>1</v>
      </c>
      <c r="M9" s="17" t="s">
        <v>37</v>
      </c>
      <c r="N9" s="15">
        <v>1</v>
      </c>
    </row>
    <row r="10" spans="1:15" x14ac:dyDescent="0.25">
      <c r="A10" s="17" t="s">
        <v>39</v>
      </c>
      <c r="B10" s="15">
        <v>1</v>
      </c>
      <c r="E10" s="17" t="s">
        <v>39</v>
      </c>
      <c r="F10" s="15">
        <v>1</v>
      </c>
      <c r="I10" s="17" t="s">
        <v>39</v>
      </c>
      <c r="J10" s="15">
        <v>1</v>
      </c>
      <c r="M10" s="17" t="s">
        <v>39</v>
      </c>
      <c r="N10" s="15">
        <v>1</v>
      </c>
    </row>
    <row r="11" spans="1:15" x14ac:dyDescent="0.25">
      <c r="A11" s="17" t="s">
        <v>40</v>
      </c>
      <c r="B11" s="15">
        <v>1</v>
      </c>
      <c r="E11" s="17" t="s">
        <v>40</v>
      </c>
      <c r="F11" s="15">
        <v>1</v>
      </c>
      <c r="I11" s="17" t="s">
        <v>40</v>
      </c>
      <c r="J11" s="15">
        <v>1</v>
      </c>
      <c r="M11" s="17" t="s">
        <v>40</v>
      </c>
      <c r="N11" s="15">
        <v>1</v>
      </c>
    </row>
    <row r="12" spans="1:15" x14ac:dyDescent="0.25">
      <c r="A12" s="14" t="s">
        <v>43</v>
      </c>
      <c r="B12" s="15">
        <v>2</v>
      </c>
      <c r="E12" s="14" t="s">
        <v>43</v>
      </c>
      <c r="F12" s="15">
        <v>2</v>
      </c>
      <c r="I12" s="14" t="s">
        <v>43</v>
      </c>
      <c r="J12" s="15">
        <v>3</v>
      </c>
      <c r="M12" s="14" t="s">
        <v>43</v>
      </c>
      <c r="N12" s="15">
        <v>2</v>
      </c>
    </row>
    <row r="13" spans="1:15" x14ac:dyDescent="0.25">
      <c r="A13" s="14" t="s">
        <v>47</v>
      </c>
      <c r="B13" s="15">
        <v>1</v>
      </c>
      <c r="E13" s="14" t="s">
        <v>47</v>
      </c>
      <c r="F13" s="15">
        <v>1</v>
      </c>
      <c r="I13" s="14" t="s">
        <v>47</v>
      </c>
      <c r="J13" s="15">
        <v>2</v>
      </c>
      <c r="M13" s="14" t="s">
        <v>47</v>
      </c>
      <c r="N13" s="15">
        <v>2</v>
      </c>
    </row>
    <row r="14" spans="1:15" x14ac:dyDescent="0.25">
      <c r="A14" s="17" t="s">
        <v>50</v>
      </c>
      <c r="B14" s="15">
        <v>1</v>
      </c>
      <c r="E14" s="17" t="s">
        <v>50</v>
      </c>
      <c r="F14" s="15">
        <v>1</v>
      </c>
      <c r="I14" s="17" t="s">
        <v>50</v>
      </c>
      <c r="J14" s="15">
        <v>1</v>
      </c>
      <c r="M14" s="17" t="s">
        <v>50</v>
      </c>
      <c r="N14" s="15">
        <v>1</v>
      </c>
    </row>
    <row r="15" spans="1:15" x14ac:dyDescent="0.25">
      <c r="A15" s="14" t="s">
        <v>53</v>
      </c>
      <c r="B15" s="15">
        <v>1</v>
      </c>
      <c r="E15" s="14" t="s">
        <v>53</v>
      </c>
      <c r="F15" s="15">
        <v>1</v>
      </c>
      <c r="I15" s="14" t="s">
        <v>53</v>
      </c>
      <c r="J15" s="15">
        <v>2</v>
      </c>
      <c r="M15" s="14" t="s">
        <v>53</v>
      </c>
      <c r="N15" s="15">
        <v>1</v>
      </c>
    </row>
    <row r="16" spans="1:15" x14ac:dyDescent="0.25">
      <c r="A16" s="17" t="s">
        <v>56</v>
      </c>
      <c r="B16" s="15">
        <v>1</v>
      </c>
      <c r="E16" s="17" t="s">
        <v>56</v>
      </c>
      <c r="F16" s="15">
        <v>1</v>
      </c>
      <c r="I16" s="17" t="s">
        <v>56</v>
      </c>
      <c r="J16" s="15">
        <v>1</v>
      </c>
      <c r="M16" s="17" t="s">
        <v>56</v>
      </c>
      <c r="N16" s="15">
        <v>1</v>
      </c>
    </row>
    <row r="17" spans="1:14" x14ac:dyDescent="0.25">
      <c r="A17" s="14" t="s">
        <v>59</v>
      </c>
      <c r="B17" s="15">
        <v>1</v>
      </c>
      <c r="E17" s="14" t="s">
        <v>59</v>
      </c>
      <c r="F17" s="15">
        <v>1</v>
      </c>
      <c r="I17" s="14" t="s">
        <v>59</v>
      </c>
      <c r="J17" s="15">
        <v>2</v>
      </c>
      <c r="M17" s="14" t="s">
        <v>59</v>
      </c>
      <c r="N17" s="15">
        <v>1</v>
      </c>
    </row>
    <row r="18" spans="1:14" x14ac:dyDescent="0.25">
      <c r="A18" s="17" t="s">
        <v>62</v>
      </c>
      <c r="B18" s="15">
        <v>1</v>
      </c>
      <c r="E18" s="17" t="s">
        <v>62</v>
      </c>
      <c r="F18" s="15">
        <v>1</v>
      </c>
      <c r="I18" s="17" t="s">
        <v>62</v>
      </c>
      <c r="J18" s="15">
        <v>2</v>
      </c>
      <c r="M18" s="17" t="s">
        <v>62</v>
      </c>
      <c r="N18" s="15">
        <v>1</v>
      </c>
    </row>
    <row r="19" spans="1:14" x14ac:dyDescent="0.25">
      <c r="A19" s="14" t="s">
        <v>65</v>
      </c>
      <c r="B19" s="15">
        <v>1</v>
      </c>
      <c r="E19" s="14" t="s">
        <v>65</v>
      </c>
      <c r="F19" s="15">
        <v>1</v>
      </c>
      <c r="I19" s="14" t="s">
        <v>65</v>
      </c>
      <c r="J19" s="15">
        <v>1</v>
      </c>
      <c r="M19" s="14" t="s">
        <v>65</v>
      </c>
      <c r="N19" s="15">
        <v>1</v>
      </c>
    </row>
    <row r="20" spans="1:14" x14ac:dyDescent="0.25">
      <c r="A20" s="14" t="s">
        <v>68</v>
      </c>
      <c r="B20" s="15">
        <v>1</v>
      </c>
      <c r="E20" s="14" t="s">
        <v>68</v>
      </c>
      <c r="F20" s="15">
        <v>1</v>
      </c>
      <c r="I20" s="14" t="s">
        <v>68</v>
      </c>
      <c r="J20" s="15">
        <v>3</v>
      </c>
      <c r="M20" s="14" t="s">
        <v>68</v>
      </c>
      <c r="N20" s="15">
        <v>1</v>
      </c>
    </row>
    <row r="21" spans="1:14" x14ac:dyDescent="0.25">
      <c r="A21" s="17" t="s">
        <v>71</v>
      </c>
      <c r="B21" s="15">
        <v>1</v>
      </c>
      <c r="E21" s="17" t="s">
        <v>71</v>
      </c>
      <c r="F21" s="15">
        <v>1</v>
      </c>
      <c r="I21" s="17" t="s">
        <v>71</v>
      </c>
      <c r="J21" s="15">
        <v>1</v>
      </c>
      <c r="M21" s="17" t="s">
        <v>71</v>
      </c>
      <c r="N21" s="15">
        <v>1</v>
      </c>
    </row>
    <row r="22" spans="1:14" x14ac:dyDescent="0.25">
      <c r="A22" s="14" t="s">
        <v>73</v>
      </c>
      <c r="B22" s="15">
        <v>1</v>
      </c>
      <c r="E22" s="14" t="s">
        <v>73</v>
      </c>
      <c r="F22" s="15">
        <v>1</v>
      </c>
      <c r="I22" s="14" t="s">
        <v>73</v>
      </c>
      <c r="J22" s="15">
        <v>1</v>
      </c>
      <c r="M22" s="14" t="s">
        <v>73</v>
      </c>
      <c r="N22" s="15">
        <v>1</v>
      </c>
    </row>
    <row r="23" spans="1:14" x14ac:dyDescent="0.25">
      <c r="A23" s="17" t="s">
        <v>75</v>
      </c>
      <c r="B23" s="15">
        <v>1</v>
      </c>
      <c r="E23" s="17" t="s">
        <v>75</v>
      </c>
      <c r="F23" s="15">
        <v>1</v>
      </c>
      <c r="I23" s="17" t="s">
        <v>75</v>
      </c>
      <c r="J23" s="15">
        <v>1</v>
      </c>
      <c r="M23" s="17" t="s">
        <v>75</v>
      </c>
      <c r="N23" s="1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13570-53F3-4A84-BAEE-DE1DA48FE075}">
  <dimension ref="A1:O59"/>
  <sheetViews>
    <sheetView topLeftCell="A8" workbookViewId="0">
      <selection activeCell="J20" sqref="J20"/>
    </sheetView>
  </sheetViews>
  <sheetFormatPr defaultColWidth="11.42578125" defaultRowHeight="15" x14ac:dyDescent="0.25"/>
  <cols>
    <col min="1" max="1" width="15.7109375" customWidth="1"/>
  </cols>
  <sheetData>
    <row r="1" spans="1:8" x14ac:dyDescent="0.25">
      <c r="A1" t="s">
        <v>160</v>
      </c>
    </row>
    <row r="2" spans="1:8" x14ac:dyDescent="0.25">
      <c r="A2" s="76" t="s">
        <v>130</v>
      </c>
    </row>
    <row r="3" spans="1:8" x14ac:dyDescent="0.25">
      <c r="A3" s="40" t="s">
        <v>20</v>
      </c>
      <c r="B3" s="77"/>
      <c r="C3" t="s">
        <v>159</v>
      </c>
    </row>
    <row r="4" spans="1:8" x14ac:dyDescent="0.25">
      <c r="A4" s="40" t="s">
        <v>197</v>
      </c>
      <c r="B4" s="15">
        <v>7</v>
      </c>
      <c r="C4" t="s">
        <v>155</v>
      </c>
    </row>
    <row r="5" spans="1:8" x14ac:dyDescent="0.25">
      <c r="A5" s="40" t="s">
        <v>28</v>
      </c>
      <c r="B5" s="15">
        <v>5</v>
      </c>
      <c r="C5" t="s">
        <v>157</v>
      </c>
    </row>
    <row r="7" spans="1:8" x14ac:dyDescent="0.25">
      <c r="A7" s="7" t="s">
        <v>153</v>
      </c>
    </row>
    <row r="8" spans="1:8" x14ac:dyDescent="0.25">
      <c r="A8" s="43" t="s">
        <v>20</v>
      </c>
      <c r="B8" s="49" t="s">
        <v>292</v>
      </c>
      <c r="C8" s="50"/>
      <c r="D8" s="50"/>
      <c r="E8" s="50"/>
      <c r="F8" s="50"/>
      <c r="G8" s="50"/>
      <c r="H8" s="50"/>
    </row>
    <row r="9" spans="1:8" x14ac:dyDescent="0.25">
      <c r="A9" s="43" t="s">
        <v>24</v>
      </c>
      <c r="B9" s="49"/>
      <c r="C9" s="50"/>
      <c r="D9" s="50"/>
      <c r="E9" s="50"/>
      <c r="F9" s="50"/>
      <c r="G9" s="50"/>
      <c r="H9" s="50"/>
    </row>
    <row r="10" spans="1:8" x14ac:dyDescent="0.25">
      <c r="A10" s="69" t="s">
        <v>28</v>
      </c>
      <c r="B10" s="49" t="s">
        <v>293</v>
      </c>
      <c r="C10" s="50"/>
      <c r="D10" s="50"/>
      <c r="E10" s="50"/>
      <c r="F10" s="50"/>
      <c r="G10" s="50"/>
      <c r="H10" s="50"/>
    </row>
    <row r="11" spans="1:8" x14ac:dyDescent="0.25">
      <c r="A11" s="43" t="s">
        <v>31</v>
      </c>
      <c r="B11" s="49"/>
      <c r="C11" s="50"/>
      <c r="D11" s="50"/>
      <c r="E11" s="50"/>
      <c r="F11" s="50"/>
      <c r="G11" s="50"/>
      <c r="H11" s="50"/>
    </row>
    <row r="13" spans="1:8" x14ac:dyDescent="0.25">
      <c r="A13" s="7" t="s">
        <v>275</v>
      </c>
    </row>
    <row r="14" spans="1:8" x14ac:dyDescent="0.25">
      <c r="A14" s="40" t="s">
        <v>274</v>
      </c>
      <c r="B14" s="15">
        <v>0</v>
      </c>
    </row>
    <row r="15" spans="1:8" x14ac:dyDescent="0.25">
      <c r="A15" s="40" t="s">
        <v>273</v>
      </c>
      <c r="B15" s="15"/>
    </row>
    <row r="17" spans="1:9" x14ac:dyDescent="0.25">
      <c r="A17" t="s">
        <v>108</v>
      </c>
    </row>
    <row r="18" spans="1:9" x14ac:dyDescent="0.25">
      <c r="A18" s="76" t="s">
        <v>130</v>
      </c>
    </row>
    <row r="19" spans="1:9" x14ac:dyDescent="0.25">
      <c r="A19" s="40" t="s">
        <v>20</v>
      </c>
      <c r="B19" s="77"/>
      <c r="C19" t="s">
        <v>159</v>
      </c>
    </row>
    <row r="20" spans="1:9" x14ac:dyDescent="0.25">
      <c r="A20" s="40" t="s">
        <v>197</v>
      </c>
      <c r="B20" s="15">
        <v>6</v>
      </c>
      <c r="C20" t="s">
        <v>155</v>
      </c>
    </row>
    <row r="21" spans="1:9" x14ac:dyDescent="0.25">
      <c r="A21" s="40" t="s">
        <v>28</v>
      </c>
      <c r="B21" s="15">
        <v>5</v>
      </c>
      <c r="C21" t="s">
        <v>157</v>
      </c>
    </row>
    <row r="23" spans="1:9" x14ac:dyDescent="0.25">
      <c r="A23" s="7" t="s">
        <v>153</v>
      </c>
    </row>
    <row r="24" spans="1:9" x14ac:dyDescent="0.25">
      <c r="A24" s="43" t="s">
        <v>20</v>
      </c>
      <c r="B24" s="49" t="s">
        <v>294</v>
      </c>
      <c r="C24" s="50"/>
      <c r="D24" s="50"/>
      <c r="E24" s="50"/>
      <c r="F24" s="50"/>
      <c r="G24" s="50"/>
      <c r="H24" s="50"/>
      <c r="I24" s="78"/>
    </row>
    <row r="25" spans="1:9" x14ac:dyDescent="0.25">
      <c r="A25" s="43" t="s">
        <v>24</v>
      </c>
      <c r="B25" s="49" t="s">
        <v>295</v>
      </c>
      <c r="C25" s="50"/>
      <c r="D25" s="50"/>
      <c r="E25" s="50"/>
      <c r="F25" s="50"/>
      <c r="G25" s="50"/>
      <c r="H25" s="50"/>
      <c r="I25" s="78"/>
    </row>
    <row r="26" spans="1:9" x14ac:dyDescent="0.25">
      <c r="A26" s="69" t="s">
        <v>28</v>
      </c>
      <c r="B26" s="49" t="s">
        <v>296</v>
      </c>
      <c r="C26" s="50"/>
      <c r="D26" s="50"/>
      <c r="E26" s="50"/>
      <c r="F26" s="50"/>
      <c r="G26" s="50"/>
      <c r="H26" s="50"/>
      <c r="I26" s="78"/>
    </row>
    <row r="27" spans="1:9" x14ac:dyDescent="0.25">
      <c r="A27" s="43" t="s">
        <v>31</v>
      </c>
      <c r="B27" s="49" t="s">
        <v>297</v>
      </c>
      <c r="C27" s="50"/>
      <c r="D27" s="50"/>
      <c r="E27" s="50"/>
      <c r="F27" s="50"/>
      <c r="G27" s="50"/>
      <c r="H27" s="50"/>
      <c r="I27" s="78"/>
    </row>
    <row r="29" spans="1:9" x14ac:dyDescent="0.25">
      <c r="A29" s="7" t="s">
        <v>275</v>
      </c>
    </row>
    <row r="30" spans="1:9" x14ac:dyDescent="0.25">
      <c r="A30" s="40" t="s">
        <v>274</v>
      </c>
      <c r="B30" s="15">
        <v>0</v>
      </c>
    </row>
    <row r="31" spans="1:9" x14ac:dyDescent="0.25">
      <c r="A31" s="40" t="s">
        <v>273</v>
      </c>
      <c r="B31" s="15"/>
    </row>
    <row r="38" spans="1:8" x14ac:dyDescent="0.25">
      <c r="A38" s="58" t="s">
        <v>130</v>
      </c>
    </row>
    <row r="39" spans="1:8" x14ac:dyDescent="0.25">
      <c r="A39" s="40" t="s">
        <v>158</v>
      </c>
      <c r="B39" s="40"/>
      <c r="C39" s="40"/>
      <c r="D39" s="40"/>
      <c r="E39" s="40"/>
      <c r="F39" s="40"/>
      <c r="G39" s="40"/>
      <c r="H39" s="40"/>
    </row>
    <row r="40" spans="1:8" x14ac:dyDescent="0.25">
      <c r="A40" s="40" t="s">
        <v>154</v>
      </c>
      <c r="B40" s="40"/>
      <c r="C40" s="40"/>
      <c r="D40" s="40"/>
      <c r="E40" s="40"/>
      <c r="F40" s="40"/>
      <c r="G40" s="40"/>
      <c r="H40" s="40"/>
    </row>
    <row r="41" spans="1:8" x14ac:dyDescent="0.25">
      <c r="A41" s="40" t="s">
        <v>156</v>
      </c>
      <c r="B41" s="40"/>
      <c r="C41" s="40"/>
      <c r="D41" s="40"/>
      <c r="E41" s="40"/>
      <c r="F41" s="40"/>
      <c r="G41" s="40"/>
      <c r="H41" s="40"/>
    </row>
    <row r="43" spans="1:8" x14ac:dyDescent="0.25">
      <c r="A43" s="58" t="s">
        <v>276</v>
      </c>
    </row>
    <row r="44" spans="1:8" x14ac:dyDescent="0.25">
      <c r="A44" s="40" t="s">
        <v>149</v>
      </c>
      <c r="B44" s="40"/>
      <c r="C44" s="40"/>
      <c r="D44" s="40"/>
      <c r="E44" s="40"/>
    </row>
    <row r="45" spans="1:8" x14ac:dyDescent="0.25">
      <c r="A45" s="40" t="s">
        <v>150</v>
      </c>
      <c r="B45" s="40"/>
      <c r="C45" s="40"/>
      <c r="D45" s="48"/>
      <c r="E45" s="40"/>
    </row>
    <row r="46" spans="1:8" x14ac:dyDescent="0.25">
      <c r="A46" s="40" t="s">
        <v>151</v>
      </c>
      <c r="B46" s="40"/>
      <c r="C46" s="48"/>
      <c r="D46" s="40"/>
      <c r="E46" s="40"/>
      <c r="F46" s="40"/>
      <c r="G46" s="40"/>
    </row>
    <row r="47" spans="1:8" x14ac:dyDescent="0.25">
      <c r="A47" s="40" t="s">
        <v>152</v>
      </c>
      <c r="B47" s="40"/>
      <c r="C47" s="40"/>
    </row>
    <row r="49" spans="1:15" x14ac:dyDescent="0.25">
      <c r="A49" s="58" t="s">
        <v>277</v>
      </c>
    </row>
    <row r="50" spans="1:15" x14ac:dyDescent="0.25">
      <c r="A50" s="43" t="s">
        <v>278</v>
      </c>
      <c r="B50" s="44"/>
      <c r="C50" s="44"/>
      <c r="D50" s="44"/>
      <c r="E50" s="45"/>
    </row>
    <row r="51" spans="1:15" x14ac:dyDescent="0.25">
      <c r="A51" s="43" t="s">
        <v>279</v>
      </c>
      <c r="B51" s="44"/>
      <c r="C51" s="44"/>
      <c r="D51" s="44"/>
      <c r="E51" s="44"/>
      <c r="F51" s="44"/>
      <c r="G51" s="45"/>
    </row>
    <row r="52" spans="1:15" x14ac:dyDescent="0.25">
      <c r="A52" s="79" t="s">
        <v>280</v>
      </c>
      <c r="B52" s="80"/>
      <c r="C52" s="80"/>
      <c r="D52" s="80"/>
      <c r="E52" s="80"/>
      <c r="F52" s="80"/>
      <c r="G52" s="80"/>
      <c r="H52" s="80"/>
      <c r="I52" s="80"/>
      <c r="J52" s="80"/>
      <c r="K52" s="80"/>
      <c r="L52" s="80"/>
      <c r="M52" s="80"/>
      <c r="N52" s="81"/>
    </row>
    <row r="53" spans="1:15" x14ac:dyDescent="0.25">
      <c r="A53" s="43" t="s">
        <v>281</v>
      </c>
      <c r="B53" s="44"/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5"/>
    </row>
    <row r="54" spans="1:15" x14ac:dyDescent="0.25">
      <c r="A54" s="43" t="s">
        <v>282</v>
      </c>
      <c r="B54" s="44"/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5"/>
    </row>
    <row r="55" spans="1:15" x14ac:dyDescent="0.25">
      <c r="A55" s="69" t="s">
        <v>283</v>
      </c>
      <c r="B55" s="70"/>
      <c r="C55" s="70"/>
      <c r="D55" s="70"/>
      <c r="E55" s="70"/>
      <c r="F55" s="70"/>
      <c r="G55" s="70"/>
      <c r="H55" s="70"/>
      <c r="I55" s="70"/>
      <c r="J55" s="70"/>
      <c r="K55" s="70"/>
      <c r="L55" s="70"/>
      <c r="M55" s="70"/>
      <c r="N55" s="71"/>
    </row>
    <row r="56" spans="1:15" x14ac:dyDescent="0.25">
      <c r="A56" s="43" t="s">
        <v>284</v>
      </c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5"/>
    </row>
    <row r="57" spans="1:15" x14ac:dyDescent="0.25">
      <c r="A57" s="43" t="s">
        <v>285</v>
      </c>
      <c r="B57" s="44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5"/>
    </row>
    <row r="58" spans="1:15" x14ac:dyDescent="0.25">
      <c r="A58" s="69" t="s">
        <v>286</v>
      </c>
      <c r="B58" s="70"/>
      <c r="C58" s="70"/>
      <c r="D58" s="70"/>
      <c r="E58" s="70"/>
      <c r="F58" s="70"/>
      <c r="G58" s="70"/>
      <c r="H58" s="70"/>
      <c r="I58" s="70"/>
      <c r="J58" s="70"/>
      <c r="K58" s="70"/>
      <c r="L58" s="70"/>
      <c r="M58" s="70"/>
      <c r="N58" s="71"/>
    </row>
    <row r="59" spans="1:15" x14ac:dyDescent="0.25">
      <c r="A59" s="43" t="s">
        <v>287</v>
      </c>
      <c r="B59" s="44"/>
      <c r="C59" s="44"/>
      <c r="D59" s="44"/>
      <c r="E59" s="44"/>
      <c r="F59" s="4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DataSheet</vt:lpstr>
      <vt:lpstr>Sleep Quiz</vt:lpstr>
      <vt:lpstr>Sleep Diary</vt:lpstr>
      <vt:lpstr>sleepdiary2</vt:lpstr>
      <vt:lpstr>PANAS</vt:lpstr>
      <vt:lpstr>Feedback-comments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Steffen Aasen</dc:creator>
  <cp:keywords/>
  <dc:description/>
  <cp:lastModifiedBy>Steffen Aasen</cp:lastModifiedBy>
  <cp:revision/>
  <dcterms:created xsi:type="dcterms:W3CDTF">2021-04-29T10:54:44Z</dcterms:created>
  <dcterms:modified xsi:type="dcterms:W3CDTF">2023-09-27T16:20:12Z</dcterms:modified>
  <cp:category/>
  <cp:contentStatus/>
</cp:coreProperties>
</file>