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55" documentId="13_ncr:1_{5A929E6B-C2EE-4DEB-B559-3B10F2936D10}" xr6:coauthVersionLast="47" xr6:coauthVersionMax="47" xr10:uidLastSave="{6FDA9114-C1B3-4B2C-9D77-3F23F2208D7C}"/>
  <bookViews>
    <workbookView xWindow="-120" yWindow="-120" windowWidth="29040" windowHeight="15840" activeTab="2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G10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AE14" i="3"/>
  <c r="Y7" i="3"/>
  <c r="AE12" i="3"/>
  <c r="AF10" i="3"/>
  <c r="X7" i="3"/>
  <c r="AC10" i="3"/>
  <c r="AC13" i="3"/>
  <c r="AF14" i="3"/>
  <c r="AE10" i="3"/>
  <c r="X8" i="3"/>
  <c r="AD10" i="3"/>
  <c r="AF12" i="3"/>
  <c r="Y8" i="3"/>
  <c r="AC11" i="3"/>
  <c r="AE13" i="3"/>
  <c r="AF13" i="3"/>
  <c r="Y9" i="3"/>
  <c r="AD11" i="3"/>
  <c r="AC14" i="3"/>
  <c r="AF11" i="3"/>
  <c r="AE11" i="3"/>
  <c r="X9" i="3"/>
  <c r="AC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AD14" i="3"/>
  <c r="AD13" i="3"/>
  <c r="P11" i="3"/>
  <c r="T11" i="3" s="1"/>
  <c r="P12" i="3"/>
  <c r="T12" i="3" s="1"/>
  <c r="P4" i="3"/>
  <c r="T4" i="3" s="1"/>
  <c r="AD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AD15" i="3" a="1"/>
  <c r="AD15" i="3" s="1"/>
  <c r="AF15" i="3" a="1"/>
  <c r="AF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<sst xmlns="http://schemas.openxmlformats.org/spreadsheetml/2006/main" count="563" uniqueCount="310">
  <si>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</si>
  <si>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</si>
  <si>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</si>
  <si>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</si>
  <si>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</si>
  <si>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</si>
  <si>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</si>
  <si>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</si>
  <si>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</si>
  <si>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</si>
  <si>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</si>
  <si>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</si>
  <si>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</si>
  <si>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</si>
  <si>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</si>
  <si>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</si>
  <si>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</si>
  <si>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</si>
  <si>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</si>
  <si>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</si>
  <si>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</si>
  <si>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</si>
  <si>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</si>
  <si>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</si>
  <si>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</si>
  <si>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</si>
  <si>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</si>
  <si>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</si>
  <si>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</si>
  <si>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</si>
  <si>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</si>
  <si>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</si>
  <si>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</si>
  <si>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</si>
  <si>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</si>
  <si>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</si>
  <si>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</si>
  <si>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</si>
  <si>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</si>
  <si>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</si>
  <si>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</si>
  <si>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</si>
  <si>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</si>
  <si>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</si>
  <si>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</si>
  <si>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</si>
  <si>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</si>
  <si>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</si>
  <si>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</si>
  <si>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</si>
  <si>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</si>
  <si>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</si>
  <si>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</si>
  <si>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</si>
  <si>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</si>
  <si>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</si>
  <si>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</si>
  <si>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</si>
  <si>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</si>
  <si>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</si>
  <si>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</si>
  <si>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</si>
  <si>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</si>
  <si>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</si>
  <si>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</si>
  <si>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</si>
  <si>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</si>
  <si>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</si>
  <si>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</si>
  <si>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</si>
  <si>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</si>
  <si>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</si>
  <si>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</si>
  <si>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</si>
  <si>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</si>
  <si>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</si>
  <si>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</si>
  <si>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</si>
  <si>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</si>
  <si>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</si>
  <si>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</si>
  <si>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</si>
  <si>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</si>
  <si>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</si>
  <si>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</si>
  <si>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</si>
  <si>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</si>
  <si>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</si>
  <si>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</si>
  <si>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</si>
  <si>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</si>
  <si>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</si>
  <si>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</si>
  <si>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</si>
  <si>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</si>
  <si>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</si>
  <si>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</si>
  <si>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</si>
  <si>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</si>
  <si>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</si>
  <si>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</si>
  <si>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</si>
  <si>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</si>
  <si>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</si>
  <si>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</si>
  <si>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</si>
  <si>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</si>
  <si>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</si>
  <si>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</si>
  <si>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</si>
  <si>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</si>
  <si>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</si>
  <si>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</si>
  <si>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</si>
  <si>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</si>
  <si>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</si>
  <si>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</si>
  <si>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</si>
  <si>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</si>
  <si>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</si>
  <si>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</si>
  <si>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</si>
  <si>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</si>
  <si>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</si>
  <si>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</si>
  <si>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</si>
  <si>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</si>
  <si>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</si>
  <si>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</si>
  <si>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</si>
  <si>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</si>
  <si>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</si>
  <si>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</si>
  <si>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</si>
  <si>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</si>
  <si>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</si>
  <si>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</si>
  <si>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</si>
  <si>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</si>
  <si>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</si>
  <si>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</si>
  <si>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</si>
  <si>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</si>
  <si>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</si>
  <si>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</si>
  <si>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</si>
  <si>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</si>
  <si>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</si>
  <si>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</si>
  <si>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</si>
  <si>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</si>
  <si>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</si>
  <si>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</si>
  <si>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</si>
  <si>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</si>
  <si>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</si>
  <si>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</si>
  <si>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</si>
  <si>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</si>
  <si>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</si>
  <si>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</si>
  <si>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</si>
  <si>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</si>
  <si>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</si>
  <si>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</si>
  <si>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</si>
  <si>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</si>
  <si>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</si>
  <si>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</si>
  <si>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</si>
  <si>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</si>
  <si>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</si>
  <si>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</si>
  <si>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</si>
  <si>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</si>
  <si>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</si>
  <si>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</si>
  <si>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</si>
  <si>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</si>
  <si>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</si>
  <si>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</si>
  <si>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</si>
  <si>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</si>
  <si>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</si>
  <si>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</si>
  <si>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</si>
  <si>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</si>
  <si>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</si>
  <si>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</si>
  <si>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</si>
  <si>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</si>
  <si>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</si>
  <si>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</si>
  <si>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</si>
  <si>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</si>
  <si>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</si>
  <si>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</si>
  <si>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</si>
  <si>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</si>
  <si>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</si>
  <si>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</si>
  <si>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</si>
  <si>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</si>
  <si>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</si>
  <si>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</si>
  <si>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</si>
  <si>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</si>
  <si>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</si>
  <si>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</si>
  <si>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</si>
  <si>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</si>
  <si>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</si>
  <si>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</si>
  <si>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</si>
  <si>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</si>
  <si>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</si>
  <si>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</si>
  <si>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</si>
  <si>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</si>
  <si>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</si>
  <si>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</si>
  <si>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</si>
  <si>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</si>
  <si>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</si>
  <si>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</si>
  <si>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</si>
  <si>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</si>
  <si>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</si>
  <si>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</si>
  <si>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</si>
  <si>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</si>
  <si>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</si>
  <si>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</si>
  <si>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</si>
  <si>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</si>
  <si>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</si>
  <si>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</si>
  <si>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</si>
  <si>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</si>
  <si>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</si>
  <si>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</si>
  <si>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</si>
  <si>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</si>
  <si>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</si>
  <si>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</si>
  <si>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</si>
  <si>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</si>
  <si>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</si>
  <si>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</si>
  <si>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</si>
  <si>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</si>
  <si>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</si>
  <si>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</si>
  <si>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</si>
  <si>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</si>
  <si>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</si>
  <si>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</si>
  <si>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</si>
  <si>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</si>
  <si>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</si>
  <si>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</si>
  <si>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</si>
  <si>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</si>
  <si>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</si>
  <si>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</si>
  <si>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</si>
  <si>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</si>
  <si>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</si>
  <si>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</si>
  <si>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</si>
  <si>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</si>
  <si>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</si>
  <si>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</si>
  <si>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</si>
  <si>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</si>
  <si>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</si>
  <si>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</si>
  <si>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</si>
  <si>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</si>
  <si>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</si>
  <si>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</si>
  <si>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</si>
  <si>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</si>
  <si>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</si>
  <si>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</si>
  <si>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</si>
  <si>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</si>
  <si>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</si>
  <si>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</si>
  <si>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</si>
  <si>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</si>
  <si>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</si>
  <si>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</si>
  <si>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La seg ikke til 00:30 (men i alle fall før 01.00)</t>
  </si>
  <si>
    <t>Was 1 day delayed - all else the same</t>
  </si>
  <si>
    <t>day 30.11 is ignored due to 1 day delay in T2 test</t>
  </si>
  <si>
    <t xml:space="preserve">Q6 is ignored due to only one item being filled out - used Q7 </t>
  </si>
  <si>
    <t>nei</t>
  </si>
  <si>
    <t>monoton</t>
  </si>
  <si>
    <t>mye forskjellig</t>
  </si>
  <si>
    <t>monotom</t>
  </si>
  <si>
    <t>alt mulig - middag</t>
  </si>
  <si>
    <t>q1</t>
  </si>
  <si>
    <t>q4</t>
  </si>
  <si>
    <t>q5</t>
  </si>
  <si>
    <t>q7</t>
  </si>
  <si>
    <t>q2</t>
  </si>
  <si>
    <t>q3</t>
  </si>
  <si>
    <t>q6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</si>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</sst>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0" fontId="0" fillId="4" borderId="6" xfId="0" applyFill="1" applyBorder="1"/>
    <xf numFmtId="0" fontId="0" fillId="17" borderId="2" xfId="0" applyFill="1" applyBorder="1"/>
    <xf numFmtId="0" fontId="0" fillId="0" borderId="15" xfId="0" applyBorder="1"/>
    <xf numFmtId="20" fontId="0" fillId="0" borderId="0" xfId="0" applyNumberFormat="1"/>
    <xf numFmtId="20" fontId="6" fillId="0" borderId="0" xfId="0" applyNumberFormat="1" applyFon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4" zoomScale="98" zoomScaleNormal="130" workbookViewId="0">
      <selection activeCell="B39" sqref="B39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29</v>
      </c>
      <c r="F2" t="s">
        <v>252</v>
      </c>
    </row>
    <row r="3" spans="1:8" x14ac:dyDescent="0.25">
      <c r="B3" s="43" t="s">
        <v>106</v>
      </c>
      <c r="C3" s="45"/>
      <c r="D3" s="37">
        <v>19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44529</v>
      </c>
      <c r="F7" s="57" t="s">
        <v>135</v>
      </c>
    </row>
    <row r="8" spans="1:8" x14ac:dyDescent="0.25">
      <c r="B8" s="43" t="s">
        <v>111</v>
      </c>
      <c r="C8" s="45"/>
      <c r="D8" s="37">
        <v>0</v>
      </c>
      <c r="E8" s="15">
        <v>0</v>
      </c>
      <c r="F8" s="57" t="s">
        <v>270</v>
      </c>
      <c r="H8" s="74">
        <f>((E8/0.6)/100)+D8</f>
        <v>0</v>
      </c>
    </row>
    <row r="9" spans="1:8" x14ac:dyDescent="0.25">
      <c r="B9" s="43" t="s">
        <v>110</v>
      </c>
      <c r="C9" s="45"/>
      <c r="D9" s="86">
        <v>44536</v>
      </c>
      <c r="F9" s="57" t="s">
        <v>135</v>
      </c>
    </row>
    <row r="10" spans="1:8" x14ac:dyDescent="0.25">
      <c r="B10" s="43" t="s">
        <v>112</v>
      </c>
      <c r="C10" s="45"/>
      <c r="D10" s="37">
        <v>0</v>
      </c>
      <c r="E10" s="15">
        <v>0</v>
      </c>
      <c r="F10" s="57" t="s">
        <v>270</v>
      </c>
      <c r="H10" s="74">
        <f>((E10/0.6)/100)+D10</f>
        <v>0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292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12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0.5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0.9375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293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 t="s">
        <v>294</v>
      </c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O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32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22</v>
      </c>
      <c r="C5" s="11">
        <v>30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1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6</v>
      </c>
      <c r="C6" s="11">
        <v>30</v>
      </c>
      <c r="E6" s="8" t="s">
        <v>31</v>
      </c>
      <c r="F6" s="9">
        <v>3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3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6</v>
      </c>
      <c r="P7" s="11">
        <v>30</v>
      </c>
      <c r="Q7" s="13">
        <f>((P7/0.6)/100)+O7</f>
        <v>6.5</v>
      </c>
      <c r="R7" s="13">
        <f>(Q8/(Q3+Q7))*100</f>
        <v>100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3</v>
      </c>
      <c r="Z7" s="18">
        <f>Y4+Y6+Y8+Y9+Y10+Y13+Y15+Y17+Y20+Y22</f>
        <v>17</v>
      </c>
      <c r="AA7"/>
    </row>
    <row r="8" spans="1:29" ht="15" x14ac:dyDescent="0.25">
      <c r="A8" s="10" t="s">
        <v>35</v>
      </c>
      <c r="B8" s="11">
        <v>8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7</v>
      </c>
      <c r="C9" s="67">
        <v>0</v>
      </c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3.1428571428571428</v>
      </c>
      <c r="X10" s="17" t="s">
        <v>40</v>
      </c>
      <c r="Y10" s="15">
        <v>3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1</v>
      </c>
      <c r="H11" s="8" t="s">
        <v>41</v>
      </c>
      <c r="I11" s="23">
        <f>SUM(I3:I10)</f>
        <v>7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3.3333333333333335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3</v>
      </c>
      <c r="P12" s="13">
        <f t="shared" si="0"/>
        <v>2</v>
      </c>
      <c r="Q12" s="38" t="s">
        <v>46</v>
      </c>
      <c r="R12" s="24">
        <f>P20</f>
        <v>0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1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5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3</v>
      </c>
      <c r="P18" s="13">
        <f t="shared" si="0"/>
        <v>2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6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G63"/>
  <sheetViews>
    <sheetView tabSelected="1" zoomScaleNormal="100" workbookViewId="0">
      <selection activeCell="X22" sqref="X22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3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3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3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302</v>
      </c>
      <c r="X3" t="s">
        <v>303</v>
      </c>
      <c r="Y3" t="s">
        <v>304</v>
      </c>
      <c r="Z3" t="s">
        <v>305</v>
      </c>
    </row>
    <row r="4" spans="1:33" x14ac:dyDescent="0.25">
      <c r="A4" s="75">
        <v>44520</v>
      </c>
      <c r="B4" s="32">
        <v>1</v>
      </c>
      <c r="C4" s="33">
        <v>24</v>
      </c>
      <c r="D4" s="15">
        <v>26</v>
      </c>
      <c r="E4" s="15">
        <v>0</v>
      </c>
      <c r="F4" s="15">
        <v>1</v>
      </c>
      <c r="G4" s="34">
        <f>(E4/0.6)/100</f>
        <v>0</v>
      </c>
      <c r="H4" s="34">
        <f>(F4/0.6)/100</f>
        <v>1.6666666666666666E-2</v>
      </c>
      <c r="I4" s="34">
        <f>D4+G4+H4</f>
        <v>26.016666666666666</v>
      </c>
      <c r="J4" s="34">
        <f>C4-I4</f>
        <v>-2.0166666666666657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6.4833333333333343</v>
      </c>
      <c r="P4" s="34">
        <f>ROUNDDOWN(O4,0)</f>
        <v>6</v>
      </c>
      <c r="Q4" s="34">
        <f>(O4-P4)*0.6</f>
        <v>0.29000000000000054</v>
      </c>
      <c r="R4" s="15">
        <v>5</v>
      </c>
      <c r="S4" s="34">
        <f>IF(R4&gt;0,R4-1,"")</f>
        <v>4</v>
      </c>
      <c r="T4" s="35">
        <f t="shared" ref="T4:T20" si="1">P4</f>
        <v>6</v>
      </c>
      <c r="U4" s="35">
        <f>Q4*100</f>
        <v>29.000000000000053</v>
      </c>
      <c r="W4" s="90">
        <v>8.3333333333333329E-2</v>
      </c>
      <c r="Z4" s="90">
        <v>0.35416666666666669</v>
      </c>
    </row>
    <row r="5" spans="1:33" x14ac:dyDescent="0.25">
      <c r="A5" s="75">
        <v>44521</v>
      </c>
      <c r="B5" s="32">
        <v>2</v>
      </c>
      <c r="C5" s="33">
        <v>24</v>
      </c>
      <c r="D5" s="15">
        <v>25</v>
      </c>
      <c r="E5" s="15">
        <v>0</v>
      </c>
      <c r="F5" s="15">
        <v>1</v>
      </c>
      <c r="G5" s="34">
        <f t="shared" ref="G5:H20" si="2">(E5/0.6)/100</f>
        <v>0</v>
      </c>
      <c r="H5" s="34">
        <f t="shared" si="2"/>
        <v>1.6666666666666666E-2</v>
      </c>
      <c r="I5" s="34">
        <f t="shared" ref="I5:I20" si="3">D5+G5+H5</f>
        <v>25.016666666666666</v>
      </c>
      <c r="J5" s="34">
        <f t="shared" ref="J5:J20" si="4">C5-I5</f>
        <v>-1.0166666666666657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7.9833333333333343</v>
      </c>
      <c r="P5" s="34">
        <f t="shared" ref="P5:P20" si="7">ROUNDDOWN(O5,0)</f>
        <v>7</v>
      </c>
      <c r="Q5" s="34">
        <f t="shared" ref="Q5:Q20" si="8">(O5-P5)*0.6</f>
        <v>0.59000000000000052</v>
      </c>
      <c r="R5" s="15">
        <v>5</v>
      </c>
      <c r="S5" s="34">
        <f t="shared" ref="S5:S20" si="9">IF(R5&gt;0,R5-1,"")</f>
        <v>4</v>
      </c>
      <c r="T5" s="35">
        <f t="shared" si="1"/>
        <v>7</v>
      </c>
      <c r="U5" s="35">
        <f t="shared" ref="U5:U20" si="10">Q5*100</f>
        <v>59.00000000000005</v>
      </c>
      <c r="W5" s="90">
        <v>4.1666666666666664E-2</v>
      </c>
      <c r="Z5" s="90">
        <v>0.375</v>
      </c>
      <c r="AD5" s="36"/>
    </row>
    <row r="6" spans="1:33" x14ac:dyDescent="0.25">
      <c r="A6" s="75">
        <v>44522</v>
      </c>
      <c r="B6" s="32">
        <v>3</v>
      </c>
      <c r="C6" s="33">
        <v>24</v>
      </c>
      <c r="D6" s="15">
        <v>22</v>
      </c>
      <c r="E6" s="15">
        <v>40</v>
      </c>
      <c r="F6" s="15">
        <v>10</v>
      </c>
      <c r="G6" s="34">
        <f t="shared" si="2"/>
        <v>0.66666666666666674</v>
      </c>
      <c r="H6" s="34">
        <f t="shared" si="2"/>
        <v>0.16666666666666669</v>
      </c>
      <c r="I6" s="34">
        <f t="shared" si="3"/>
        <v>22.833333333333336</v>
      </c>
      <c r="J6" s="34">
        <f t="shared" si="4"/>
        <v>1.1666666666666643</v>
      </c>
      <c r="K6" s="15">
        <v>6</v>
      </c>
      <c r="L6" s="15">
        <v>0</v>
      </c>
      <c r="M6" s="34">
        <f t="shared" si="5"/>
        <v>0</v>
      </c>
      <c r="N6" s="34">
        <f t="shared" si="6"/>
        <v>6</v>
      </c>
      <c r="O6" s="34">
        <f t="shared" si="0"/>
        <v>7.1666666666666643</v>
      </c>
      <c r="P6" s="34">
        <f t="shared" si="7"/>
        <v>7</v>
      </c>
      <c r="Q6" s="34">
        <f t="shared" si="8"/>
        <v>9.9999999999998576E-2</v>
      </c>
      <c r="R6" s="15">
        <v>5</v>
      </c>
      <c r="S6" s="34">
        <f t="shared" si="9"/>
        <v>4</v>
      </c>
      <c r="T6" s="35">
        <f t="shared" si="1"/>
        <v>7</v>
      </c>
      <c r="U6" s="35">
        <f t="shared" si="10"/>
        <v>9.9999999999998579</v>
      </c>
      <c r="W6" s="90">
        <v>0.88541666666666663</v>
      </c>
      <c r="X6">
        <v>1</v>
      </c>
      <c r="Y6">
        <v>2</v>
      </c>
      <c r="Z6" s="90">
        <v>0.25</v>
      </c>
      <c r="AD6" s="36"/>
    </row>
    <row r="7" spans="1:33" x14ac:dyDescent="0.25">
      <c r="A7" s="75">
        <v>44523</v>
      </c>
      <c r="B7" s="32">
        <v>4</v>
      </c>
      <c r="C7" s="33">
        <v>24</v>
      </c>
      <c r="D7" s="15">
        <v>22</v>
      </c>
      <c r="E7" s="15">
        <v>30</v>
      </c>
      <c r="F7" s="15">
        <v>10</v>
      </c>
      <c r="G7" s="34">
        <f t="shared" si="2"/>
        <v>0.5</v>
      </c>
      <c r="H7" s="34">
        <f t="shared" si="2"/>
        <v>0.16666666666666669</v>
      </c>
      <c r="I7" s="34">
        <f t="shared" si="3"/>
        <v>22.666666666666668</v>
      </c>
      <c r="J7" s="34">
        <f t="shared" si="4"/>
        <v>1.3333333333333321</v>
      </c>
      <c r="K7" s="15">
        <v>6</v>
      </c>
      <c r="L7" s="15">
        <v>0</v>
      </c>
      <c r="M7" s="34">
        <f t="shared" si="5"/>
        <v>0</v>
      </c>
      <c r="N7" s="34">
        <f t="shared" si="6"/>
        <v>6</v>
      </c>
      <c r="O7" s="34">
        <f t="shared" si="0"/>
        <v>7.3333333333333321</v>
      </c>
      <c r="P7" s="34">
        <f t="shared" si="7"/>
        <v>7</v>
      </c>
      <c r="Q7" s="34">
        <f t="shared" si="8"/>
        <v>0.19999999999999929</v>
      </c>
      <c r="R7" s="15">
        <v>5</v>
      </c>
      <c r="S7" s="34">
        <f t="shared" si="9"/>
        <v>4</v>
      </c>
      <c r="T7" s="35">
        <f t="shared" si="1"/>
        <v>7</v>
      </c>
      <c r="U7" s="35">
        <f t="shared" si="10"/>
        <v>19.999999999999929</v>
      </c>
      <c r="W7" s="90">
        <v>0.90625</v>
      </c>
      <c r="X7" t="str">
        <f>IF(B1=1,"Time Slept","")</f>
        <v/>
      </c>
      <c r="Y7" t="str">
        <f>IF(B1=1,"Sleep Quality","")</f>
        <v/>
      </c>
      <c r="Z7" s="91">
        <v>0.25</v>
      </c>
      <c r="AD7" s="36"/>
    </row>
    <row r="8" spans="1:33" x14ac:dyDescent="0.25">
      <c r="A8" s="75">
        <v>44524</v>
      </c>
      <c r="B8" s="32">
        <v>5</v>
      </c>
      <c r="C8" s="33">
        <v>24</v>
      </c>
      <c r="D8" s="15">
        <v>21</v>
      </c>
      <c r="E8" s="15">
        <v>50</v>
      </c>
      <c r="F8" s="15">
        <v>2</v>
      </c>
      <c r="G8" s="34">
        <f t="shared" si="2"/>
        <v>0.83333333333333348</v>
      </c>
      <c r="H8" s="34">
        <f t="shared" si="2"/>
        <v>3.3333333333333333E-2</v>
      </c>
      <c r="I8" s="34">
        <f t="shared" si="3"/>
        <v>21.866666666666667</v>
      </c>
      <c r="J8" s="34">
        <f t="shared" si="4"/>
        <v>2.1333333333333329</v>
      </c>
      <c r="K8" s="15">
        <v>6</v>
      </c>
      <c r="L8" s="15">
        <v>0</v>
      </c>
      <c r="M8" s="34">
        <f t="shared" si="5"/>
        <v>0</v>
      </c>
      <c r="N8" s="34">
        <f t="shared" si="6"/>
        <v>6</v>
      </c>
      <c r="O8" s="34">
        <f t="shared" si="0"/>
        <v>8.1333333333333329</v>
      </c>
      <c r="P8" s="34">
        <f t="shared" si="7"/>
        <v>8</v>
      </c>
      <c r="Q8" s="34">
        <f t="shared" si="8"/>
        <v>7.999999999999971E-2</v>
      </c>
      <c r="R8" s="15">
        <v>5</v>
      </c>
      <c r="S8" s="34">
        <f t="shared" si="9"/>
        <v>4</v>
      </c>
      <c r="T8" s="35">
        <f t="shared" si="1"/>
        <v>8</v>
      </c>
      <c r="U8" s="35">
        <f t="shared" si="10"/>
        <v>7.9999999999999707</v>
      </c>
      <c r="W8" s="90">
        <v>0.88888888888888884</v>
      </c>
      <c r="X8" s="36" t="str">
        <f>IF(B1=1,SUM(O8:O14)/(COUNT(O8:O14)),"")</f>
        <v/>
      </c>
      <c r="Y8" s="36" t="str">
        <f>IF(B1=1,SUM(S8:S14)/COUNT(S8:S14),"")</f>
        <v/>
      </c>
      <c r="Z8" s="90">
        <v>0.25</v>
      </c>
    </row>
    <row r="9" spans="1:33" x14ac:dyDescent="0.25">
      <c r="A9" s="75">
        <v>44525</v>
      </c>
      <c r="B9" s="32">
        <v>6</v>
      </c>
      <c r="C9" s="33">
        <v>24</v>
      </c>
      <c r="D9" s="15">
        <v>22</v>
      </c>
      <c r="E9" s="15">
        <v>10</v>
      </c>
      <c r="F9" s="15">
        <v>5</v>
      </c>
      <c r="G9" s="34">
        <f t="shared" si="2"/>
        <v>0.16666666666666669</v>
      </c>
      <c r="H9" s="34">
        <f t="shared" si="2"/>
        <v>8.3333333333333343E-2</v>
      </c>
      <c r="I9" s="34">
        <f t="shared" si="3"/>
        <v>22.25</v>
      </c>
      <c r="J9" s="34">
        <f t="shared" si="4"/>
        <v>1.75</v>
      </c>
      <c r="K9" s="15">
        <v>6</v>
      </c>
      <c r="L9" s="15">
        <v>0</v>
      </c>
      <c r="M9" s="34">
        <f t="shared" si="5"/>
        <v>0</v>
      </c>
      <c r="N9" s="34">
        <f t="shared" si="6"/>
        <v>6</v>
      </c>
      <c r="O9" s="34">
        <f t="shared" si="0"/>
        <v>7.75</v>
      </c>
      <c r="P9" s="34">
        <f t="shared" si="7"/>
        <v>7</v>
      </c>
      <c r="Q9" s="34">
        <f t="shared" si="8"/>
        <v>0.44999999999999996</v>
      </c>
      <c r="R9" s="15">
        <v>5</v>
      </c>
      <c r="S9" s="34">
        <f t="shared" si="9"/>
        <v>4</v>
      </c>
      <c r="T9" s="35">
        <f t="shared" si="1"/>
        <v>7</v>
      </c>
      <c r="U9" s="35">
        <f t="shared" si="10"/>
        <v>44.999999999999993</v>
      </c>
      <c r="W9" s="90">
        <v>0.89583333333333337</v>
      </c>
      <c r="X9" s="36" t="str">
        <f>IF(B1=1,SUM(O15:O17)/(COUNT(O15:O17)),"")</f>
        <v/>
      </c>
      <c r="Y9" s="36" t="str">
        <f>IF(B1=1,SUM(S15:S17)/COUNT(S15:S17),"")</f>
        <v/>
      </c>
      <c r="Z9" s="90">
        <v>0.25</v>
      </c>
    </row>
    <row r="10" spans="1:33" x14ac:dyDescent="0.25">
      <c r="A10" s="75">
        <v>44526</v>
      </c>
      <c r="B10" s="32">
        <v>7</v>
      </c>
      <c r="C10" s="33">
        <v>24</v>
      </c>
      <c r="D10" s="15">
        <v>22</v>
      </c>
      <c r="E10" s="15">
        <v>30</v>
      </c>
      <c r="F10" s="15">
        <v>2</v>
      </c>
      <c r="G10" s="34">
        <f t="shared" si="2"/>
        <v>0.5</v>
      </c>
      <c r="H10" s="34">
        <f t="shared" si="2"/>
        <v>3.3333333333333333E-2</v>
      </c>
      <c r="I10" s="34">
        <f t="shared" si="3"/>
        <v>22.533333333333335</v>
      </c>
      <c r="J10" s="34">
        <f t="shared" si="4"/>
        <v>1.466666666666665</v>
      </c>
      <c r="K10" s="15">
        <v>6</v>
      </c>
      <c r="L10" s="15">
        <v>30</v>
      </c>
      <c r="M10" s="34">
        <f t="shared" si="5"/>
        <v>0.5</v>
      </c>
      <c r="N10" s="34">
        <f t="shared" si="6"/>
        <v>6.5</v>
      </c>
      <c r="O10" s="34">
        <f t="shared" si="0"/>
        <v>7.966666666666665</v>
      </c>
      <c r="P10" s="34">
        <f t="shared" si="7"/>
        <v>7</v>
      </c>
      <c r="Q10" s="34">
        <f t="shared" si="8"/>
        <v>0.57999999999999896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57.999999999999893</v>
      </c>
      <c r="W10" s="90">
        <v>0.90625</v>
      </c>
      <c r="Z10" s="90">
        <v>0.27083333333333331</v>
      </c>
      <c r="AC10" t="str">
        <f>IF(B1=1,"NS_AVG","")</f>
        <v/>
      </c>
      <c r="AD10" s="36" t="str">
        <f>IF(B1=1,SUM(O4:O10)/(COUNT(O4:O10)),"")</f>
        <v/>
      </c>
      <c r="AE10" s="36" t="str">
        <f>IF(B1=1,SUM(S4:S10)/COUNT(S4:S10),"")</f>
        <v/>
      </c>
      <c r="AF10" t="str">
        <f>IF(B1=1,IF(COUNT(S4:S10)&lt;7,7-COUNT(S4:S10),""),"")</f>
        <v/>
      </c>
    </row>
    <row r="11" spans="1:33" x14ac:dyDescent="0.25">
      <c r="A11" s="75">
        <v>44527</v>
      </c>
      <c r="B11" s="32">
        <v>8</v>
      </c>
      <c r="C11" s="28">
        <v>24</v>
      </c>
      <c r="D11" s="15">
        <v>27</v>
      </c>
      <c r="E11" s="15">
        <v>0</v>
      </c>
      <c r="F11" s="15">
        <v>1</v>
      </c>
      <c r="G11" s="34">
        <f t="shared" si="2"/>
        <v>0</v>
      </c>
      <c r="H11" s="34">
        <f t="shared" si="2"/>
        <v>1.6666666666666666E-2</v>
      </c>
      <c r="I11" s="34">
        <f t="shared" si="3"/>
        <v>27.016666666666666</v>
      </c>
      <c r="J11" s="34">
        <f t="shared" si="4"/>
        <v>-3.0166666666666657</v>
      </c>
      <c r="K11" s="15">
        <v>9</v>
      </c>
      <c r="L11" s="15">
        <v>0</v>
      </c>
      <c r="M11" s="34">
        <f t="shared" si="5"/>
        <v>0</v>
      </c>
      <c r="N11" s="34">
        <f t="shared" si="6"/>
        <v>9</v>
      </c>
      <c r="O11" s="34">
        <f t="shared" si="0"/>
        <v>5.9833333333333343</v>
      </c>
      <c r="P11" s="34">
        <f t="shared" si="7"/>
        <v>5</v>
      </c>
      <c r="Q11" s="34">
        <f t="shared" si="8"/>
        <v>0.59000000000000052</v>
      </c>
      <c r="R11" s="15">
        <v>4</v>
      </c>
      <c r="S11" s="34">
        <f t="shared" si="9"/>
        <v>3</v>
      </c>
      <c r="T11" s="35">
        <f t="shared" si="1"/>
        <v>5</v>
      </c>
      <c r="U11" s="35">
        <f t="shared" si="10"/>
        <v>59.00000000000005</v>
      </c>
      <c r="W11" s="90">
        <v>0.125</v>
      </c>
      <c r="Z11" s="90">
        <v>0.375</v>
      </c>
      <c r="AC11" t="str">
        <f>IF(B1=0,"ESD","")</f>
        <v>ESD</v>
      </c>
      <c r="AD11" t="str">
        <f>IF(B1=0,"Time Slept","")</f>
        <v>Time Slept</v>
      </c>
      <c r="AE11" t="str">
        <f>IF(B1=0,"Sleep Quality","")</f>
        <v>Sleep Quality</v>
      </c>
      <c r="AF11" s="73" t="str">
        <f>IF(B1=0,"Missing day(s)","")</f>
        <v>Missing day(s)</v>
      </c>
    </row>
    <row r="12" spans="1:33" x14ac:dyDescent="0.25">
      <c r="A12" s="75">
        <v>44528</v>
      </c>
      <c r="B12" s="32">
        <v>9</v>
      </c>
      <c r="C12" s="28">
        <v>24</v>
      </c>
      <c r="D12" s="15">
        <v>27</v>
      </c>
      <c r="E12" s="15">
        <v>0</v>
      </c>
      <c r="F12" s="15">
        <v>1</v>
      </c>
      <c r="G12" s="34">
        <f t="shared" si="2"/>
        <v>0</v>
      </c>
      <c r="H12" s="34">
        <f t="shared" si="2"/>
        <v>1.6666666666666666E-2</v>
      </c>
      <c r="I12" s="34">
        <f t="shared" si="3"/>
        <v>27.016666666666666</v>
      </c>
      <c r="J12" s="34">
        <f t="shared" si="4"/>
        <v>-3.0166666666666657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5.9833333333333343</v>
      </c>
      <c r="P12" s="34">
        <f t="shared" si="7"/>
        <v>5</v>
      </c>
      <c r="Q12" s="34">
        <f t="shared" si="8"/>
        <v>0.59000000000000052</v>
      </c>
      <c r="R12" s="15">
        <v>5</v>
      </c>
      <c r="S12" s="34">
        <f t="shared" si="9"/>
        <v>4</v>
      </c>
      <c r="T12" s="35">
        <f t="shared" si="1"/>
        <v>5</v>
      </c>
      <c r="U12" s="35">
        <f t="shared" si="10"/>
        <v>59.00000000000005</v>
      </c>
      <c r="W12" s="90">
        <v>0.125</v>
      </c>
      <c r="Z12" s="90">
        <v>0.375</v>
      </c>
      <c r="AC12" t="str">
        <f>IF(B1=0,"PD_NS_AVG","")</f>
        <v>PD_NS_AVG</v>
      </c>
      <c r="AD12">
        <f>IF(B1=0,SUM(O4:O10)/COUNT(O4:O10),"")</f>
        <v>7.5452380952380951</v>
      </c>
      <c r="AE12">
        <f>IF(B1=0,SUM(S4:S10)/COUNT(S4:S10),"")</f>
        <v>4</v>
      </c>
      <c r="AF12" t="str">
        <f>IF(B$1=0,IF(COUNT(S4:S10)&lt;7,7-COUNT(S4:S10),""),"")</f>
        <v/>
      </c>
    </row>
    <row r="13" spans="1:33" x14ac:dyDescent="0.25">
      <c r="A13" s="75">
        <v>44529</v>
      </c>
      <c r="B13" s="32">
        <v>10</v>
      </c>
      <c r="C13" s="28">
        <v>24</v>
      </c>
      <c r="D13" s="15">
        <v>24</v>
      </c>
      <c r="E13" s="15">
        <v>45</v>
      </c>
      <c r="F13" s="15">
        <v>3</v>
      </c>
      <c r="G13" s="34">
        <f t="shared" si="2"/>
        <v>0.75</v>
      </c>
      <c r="H13" s="34">
        <f t="shared" si="2"/>
        <v>0.05</v>
      </c>
      <c r="I13" s="34">
        <f t="shared" si="3"/>
        <v>24.8</v>
      </c>
      <c r="J13" s="34">
        <f t="shared" si="4"/>
        <v>-0.80000000000000071</v>
      </c>
      <c r="K13" s="15">
        <v>6</v>
      </c>
      <c r="L13" s="15">
        <v>0</v>
      </c>
      <c r="M13" s="34">
        <f t="shared" si="5"/>
        <v>0</v>
      </c>
      <c r="N13" s="34">
        <f t="shared" si="6"/>
        <v>6</v>
      </c>
      <c r="O13" s="34">
        <f t="shared" si="0"/>
        <v>5.1999999999999993</v>
      </c>
      <c r="P13" s="34">
        <f t="shared" si="7"/>
        <v>5</v>
      </c>
      <c r="Q13" s="34">
        <f t="shared" si="8"/>
        <v>0.11999999999999957</v>
      </c>
      <c r="R13" s="15">
        <v>5</v>
      </c>
      <c r="S13" s="34">
        <f t="shared" si="9"/>
        <v>4</v>
      </c>
      <c r="T13" s="35">
        <f t="shared" si="1"/>
        <v>5</v>
      </c>
      <c r="U13" s="35">
        <f t="shared" si="10"/>
        <v>11.999999999999957</v>
      </c>
      <c r="W13" s="90">
        <v>6.9444444444444441E-3</v>
      </c>
      <c r="Z13" s="90">
        <v>0.25</v>
      </c>
      <c r="AC13" t="str">
        <f>IF(B1=0,"DP_PSD_AVG","")</f>
        <v>DP_PSD_AVG</v>
      </c>
      <c r="AD13">
        <f>IF(B1=0,SUM(O11:O13)/(COUNT(O11:O13)),"")</f>
        <v>5.7222222222222223</v>
      </c>
      <c r="AE13">
        <f>IF(B1=0,SUM(S11:S13)/COUNT(S11:S13),"")</f>
        <v>3.6666666666666665</v>
      </c>
      <c r="AF13" t="str">
        <f>IF(B$1=0,IF(COUNT(S11:S13)&lt;3,3-COUNT(S11:S13),""),"")</f>
        <v/>
      </c>
    </row>
    <row r="14" spans="1:33" x14ac:dyDescent="0.25">
      <c r="A14" s="75">
        <v>44531</v>
      </c>
      <c r="B14" s="32">
        <v>11</v>
      </c>
      <c r="C14" s="28">
        <v>24</v>
      </c>
      <c r="D14" s="15">
        <v>24</v>
      </c>
      <c r="E14" s="15">
        <v>15</v>
      </c>
      <c r="F14" s="15">
        <v>10</v>
      </c>
      <c r="G14" s="34">
        <f t="shared" si="2"/>
        <v>0.25</v>
      </c>
      <c r="H14" s="34">
        <f t="shared" si="2"/>
        <v>0.16666666666666669</v>
      </c>
      <c r="I14" s="34">
        <f t="shared" si="3"/>
        <v>24.416666666666668</v>
      </c>
      <c r="J14" s="34">
        <f t="shared" si="4"/>
        <v>-0.41666666666666785</v>
      </c>
      <c r="K14" s="15">
        <v>8</v>
      </c>
      <c r="L14" s="15">
        <v>0</v>
      </c>
      <c r="M14" s="34">
        <f t="shared" si="5"/>
        <v>0</v>
      </c>
      <c r="N14" s="34">
        <f t="shared" si="6"/>
        <v>8</v>
      </c>
      <c r="O14" s="34">
        <f t="shared" si="0"/>
        <v>7.5833333333333321</v>
      </c>
      <c r="P14" s="34">
        <f t="shared" si="7"/>
        <v>7</v>
      </c>
      <c r="Q14" s="34">
        <f t="shared" si="8"/>
        <v>0.34999999999999926</v>
      </c>
      <c r="R14" s="15">
        <v>5</v>
      </c>
      <c r="S14" s="34">
        <f t="shared" si="9"/>
        <v>4</v>
      </c>
      <c r="T14" s="35">
        <f t="shared" si="1"/>
        <v>7</v>
      </c>
      <c r="U14" s="35">
        <f t="shared" si="10"/>
        <v>34.999999999999929</v>
      </c>
      <c r="W14" s="90">
        <v>1.3888888888888888E-2</v>
      </c>
      <c r="Z14" s="90">
        <v>0.33333333333333331</v>
      </c>
      <c r="AC14" t="str">
        <f>IF(B1=0,"NS_AVG","")</f>
        <v>NS_AVG</v>
      </c>
      <c r="AD14">
        <f>IF(B1=0,SUM(O14:O20)/(COUNT(O14:O20)),"")</f>
        <v>7.5023809523809524</v>
      </c>
      <c r="AE14">
        <f>IF(B1=0,SUM(S14:S20)/COUNT(S14:S20),"")</f>
        <v>3.2857142857142856</v>
      </c>
      <c r="AF14" t="str">
        <f>IF(B$1=0,IF(COUNT(S14:S20)&lt;7,7-COUNT(S14:S20),""),"")</f>
        <v/>
      </c>
    </row>
    <row r="15" spans="1:33" x14ac:dyDescent="0.25">
      <c r="A15" s="75">
        <v>44532</v>
      </c>
      <c r="B15" s="32">
        <v>12</v>
      </c>
      <c r="C15" s="28">
        <v>24</v>
      </c>
      <c r="D15" s="15">
        <v>24</v>
      </c>
      <c r="E15" s="15">
        <v>10</v>
      </c>
      <c r="F15" s="15">
        <v>1</v>
      </c>
      <c r="G15" s="34">
        <f t="shared" si="2"/>
        <v>0.16666666666666669</v>
      </c>
      <c r="H15" s="34">
        <f t="shared" si="2"/>
        <v>1.6666666666666666E-2</v>
      </c>
      <c r="I15" s="34">
        <f t="shared" si="3"/>
        <v>24.183333333333334</v>
      </c>
      <c r="J15" s="34">
        <f t="shared" si="4"/>
        <v>-0.18333333333333357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7.8166666666666664</v>
      </c>
      <c r="P15" s="34">
        <f t="shared" si="7"/>
        <v>7</v>
      </c>
      <c r="Q15" s="34">
        <f t="shared" si="8"/>
        <v>0.48999999999999982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48.999999999999986</v>
      </c>
      <c r="W15" s="90">
        <v>0.98958333333333337</v>
      </c>
      <c r="Z15" s="90">
        <v>0.33333333333333331</v>
      </c>
      <c r="AC15" s="82" t="s">
        <v>288</v>
      </c>
      <c r="AD15" s="84" cm="1">
        <f t="array" ref="AD15">_xlfn.IFS(B1=0,AD12-AD13,B1=1,X8-X9)</f>
        <v>1.8230158730158728</v>
      </c>
      <c r="AE15" s="85" t="s">
        <v>289</v>
      </c>
      <c r="AF15" s="84" cm="1">
        <f t="array" ref="AF15">_xlfn.IFS(B1=0,AD14-AD13,B1=1,AD10-X9)</f>
        <v>1.7801587301587301</v>
      </c>
      <c r="AG15" s="83" t="s">
        <v>290</v>
      </c>
    </row>
    <row r="16" spans="1:33" x14ac:dyDescent="0.25">
      <c r="A16" s="75">
        <v>44533</v>
      </c>
      <c r="B16" s="32">
        <v>13</v>
      </c>
      <c r="C16" s="28">
        <v>24</v>
      </c>
      <c r="D16" s="15">
        <v>24</v>
      </c>
      <c r="E16" s="15">
        <v>15</v>
      </c>
      <c r="F16" s="15">
        <v>3</v>
      </c>
      <c r="G16" s="34">
        <f t="shared" si="2"/>
        <v>0.25</v>
      </c>
      <c r="H16" s="34">
        <f t="shared" si="2"/>
        <v>0.05</v>
      </c>
      <c r="I16" s="34">
        <f t="shared" si="3"/>
        <v>24.3</v>
      </c>
      <c r="J16" s="34">
        <f t="shared" si="4"/>
        <v>-0.30000000000000071</v>
      </c>
      <c r="K16" s="15">
        <v>8</v>
      </c>
      <c r="L16" s="15">
        <v>0</v>
      </c>
      <c r="M16" s="34">
        <f t="shared" si="5"/>
        <v>0</v>
      </c>
      <c r="N16" s="34">
        <f t="shared" si="6"/>
        <v>8</v>
      </c>
      <c r="O16" s="34">
        <f t="shared" si="0"/>
        <v>7.6999999999999993</v>
      </c>
      <c r="P16" s="34">
        <f t="shared" si="7"/>
        <v>7</v>
      </c>
      <c r="Q16" s="34">
        <f t="shared" si="8"/>
        <v>0.41999999999999954</v>
      </c>
      <c r="R16" s="15">
        <v>5</v>
      </c>
      <c r="S16" s="34">
        <f t="shared" si="9"/>
        <v>4</v>
      </c>
      <c r="T16" s="35">
        <f t="shared" si="1"/>
        <v>7</v>
      </c>
      <c r="U16" s="35">
        <f t="shared" si="10"/>
        <v>41.999999999999957</v>
      </c>
      <c r="W16" s="90">
        <v>0.98611111111111116</v>
      </c>
      <c r="Z16" s="90">
        <v>0.33333333333333331</v>
      </c>
      <c r="AD16" t="s">
        <v>291</v>
      </c>
    </row>
    <row r="17" spans="1:29" x14ac:dyDescent="0.25">
      <c r="A17" s="75">
        <v>44534</v>
      </c>
      <c r="B17" s="32">
        <v>14</v>
      </c>
      <c r="C17" s="28">
        <v>24</v>
      </c>
      <c r="D17" s="15">
        <v>25</v>
      </c>
      <c r="E17" s="15">
        <v>0</v>
      </c>
      <c r="F17" s="15">
        <v>1</v>
      </c>
      <c r="G17" s="34">
        <f t="shared" si="2"/>
        <v>0</v>
      </c>
      <c r="H17" s="34">
        <f t="shared" si="2"/>
        <v>1.6666666666666666E-2</v>
      </c>
      <c r="I17" s="34">
        <f t="shared" si="3"/>
        <v>25.016666666666666</v>
      </c>
      <c r="J17" s="34">
        <f t="shared" si="4"/>
        <v>-1.0166666666666657</v>
      </c>
      <c r="K17" s="15">
        <v>8</v>
      </c>
      <c r="L17" s="15">
        <v>0</v>
      </c>
      <c r="M17" s="34">
        <f t="shared" si="5"/>
        <v>0</v>
      </c>
      <c r="N17" s="34">
        <f t="shared" si="6"/>
        <v>8</v>
      </c>
      <c r="O17" s="34">
        <f t="shared" si="0"/>
        <v>6.9833333333333343</v>
      </c>
      <c r="P17" s="34">
        <f t="shared" si="7"/>
        <v>6</v>
      </c>
      <c r="Q17" s="34">
        <f t="shared" si="8"/>
        <v>0.59000000000000052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59.00000000000005</v>
      </c>
      <c r="W17" s="90">
        <v>0.98958333333333337</v>
      </c>
      <c r="Z17" s="90">
        <v>0.33333333333333331</v>
      </c>
      <c r="AC17" t="s">
        <v>269</v>
      </c>
    </row>
    <row r="18" spans="1:29" x14ac:dyDescent="0.25">
      <c r="A18" s="75">
        <v>44535</v>
      </c>
      <c r="B18" s="32">
        <v>15</v>
      </c>
      <c r="C18" s="28">
        <v>24</v>
      </c>
      <c r="D18" s="15">
        <v>25</v>
      </c>
      <c r="E18" s="15">
        <v>0</v>
      </c>
      <c r="F18" s="15">
        <v>1</v>
      </c>
      <c r="G18" s="34">
        <f t="shared" si="2"/>
        <v>0</v>
      </c>
      <c r="H18" s="34">
        <f t="shared" si="2"/>
        <v>1.6666666666666666E-2</v>
      </c>
      <c r="I18" s="34">
        <f t="shared" si="3"/>
        <v>25.016666666666666</v>
      </c>
      <c r="J18" s="34">
        <f t="shared" si="4"/>
        <v>-1.0166666666666657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7.9833333333333343</v>
      </c>
      <c r="P18" s="34">
        <f t="shared" si="7"/>
        <v>7</v>
      </c>
      <c r="Q18" s="34">
        <f t="shared" si="8"/>
        <v>0.59000000000000052</v>
      </c>
      <c r="R18" s="15">
        <v>3</v>
      </c>
      <c r="S18" s="34">
        <f>IF(R18&gt;0,R18-1,"")</f>
        <v>2</v>
      </c>
      <c r="T18" s="35">
        <f t="shared" si="1"/>
        <v>7</v>
      </c>
      <c r="U18" s="35">
        <f t="shared" si="10"/>
        <v>59.00000000000005</v>
      </c>
      <c r="W18" s="90">
        <v>4.1666666666666664E-2</v>
      </c>
      <c r="Z18" s="90">
        <v>0.375</v>
      </c>
      <c r="AC18" t="s">
        <v>295</v>
      </c>
    </row>
    <row r="19" spans="1:29" x14ac:dyDescent="0.25">
      <c r="A19" s="75">
        <v>44536</v>
      </c>
      <c r="B19" s="32">
        <v>16</v>
      </c>
      <c r="C19" s="28">
        <v>24</v>
      </c>
      <c r="D19" s="15">
        <v>24</v>
      </c>
      <c r="E19" s="15">
        <v>45</v>
      </c>
      <c r="F19" s="15">
        <v>2</v>
      </c>
      <c r="G19" s="34">
        <f t="shared" si="2"/>
        <v>0.75</v>
      </c>
      <c r="H19" s="34">
        <f t="shared" si="2"/>
        <v>3.3333333333333333E-2</v>
      </c>
      <c r="I19" s="34">
        <f t="shared" si="3"/>
        <v>24.783333333333335</v>
      </c>
      <c r="J19" s="34">
        <f t="shared" si="4"/>
        <v>-0.78333333333333499</v>
      </c>
      <c r="K19" s="15">
        <v>8</v>
      </c>
      <c r="L19" s="15">
        <v>0</v>
      </c>
      <c r="M19" s="34">
        <f t="shared" si="5"/>
        <v>0</v>
      </c>
      <c r="N19" s="34">
        <f t="shared" si="6"/>
        <v>8</v>
      </c>
      <c r="O19" s="34">
        <f t="shared" si="0"/>
        <v>7.216666666666665</v>
      </c>
      <c r="P19" s="34">
        <f t="shared" si="7"/>
        <v>7</v>
      </c>
      <c r="Q19" s="34">
        <f t="shared" si="8"/>
        <v>0.12999999999999901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12.999999999999901</v>
      </c>
      <c r="W19" s="90">
        <v>3.125E-2</v>
      </c>
      <c r="Z19" s="90">
        <v>0.33333333333333331</v>
      </c>
      <c r="AC19" t="s">
        <v>296</v>
      </c>
    </row>
    <row r="20" spans="1:29" x14ac:dyDescent="0.25">
      <c r="A20" s="75">
        <v>44537</v>
      </c>
      <c r="B20" s="32">
        <v>17</v>
      </c>
      <c r="C20" s="28">
        <v>24</v>
      </c>
      <c r="D20" s="87">
        <v>24</v>
      </c>
      <c r="E20" s="87">
        <v>45</v>
      </c>
      <c r="F20" s="87">
        <v>1</v>
      </c>
      <c r="G20" s="88">
        <f t="shared" si="2"/>
        <v>0.75</v>
      </c>
      <c r="H20" s="88">
        <f t="shared" si="2"/>
        <v>1.6666666666666666E-2</v>
      </c>
      <c r="I20" s="88">
        <f t="shared" si="3"/>
        <v>24.766666666666666</v>
      </c>
      <c r="J20" s="88">
        <f t="shared" si="4"/>
        <v>-0.76666666666666572</v>
      </c>
      <c r="K20" s="87">
        <v>8</v>
      </c>
      <c r="L20" s="87">
        <v>0</v>
      </c>
      <c r="M20" s="88">
        <f t="shared" si="5"/>
        <v>0</v>
      </c>
      <c r="N20" s="88">
        <f t="shared" si="6"/>
        <v>8</v>
      </c>
      <c r="O20" s="34">
        <f t="shared" si="0"/>
        <v>7.2333333333333343</v>
      </c>
      <c r="P20" s="34">
        <f t="shared" si="7"/>
        <v>7</v>
      </c>
      <c r="Q20" s="34">
        <f t="shared" si="8"/>
        <v>0.14000000000000057</v>
      </c>
      <c r="R20" s="15">
        <v>5</v>
      </c>
      <c r="S20" s="34">
        <f t="shared" si="9"/>
        <v>4</v>
      </c>
      <c r="T20" s="35">
        <f t="shared" si="1"/>
        <v>7</v>
      </c>
      <c r="U20" s="35">
        <f t="shared" si="10"/>
        <v>14.000000000000057</v>
      </c>
      <c r="W20" s="90">
        <v>3.125E-2</v>
      </c>
      <c r="Z20" s="90">
        <v>0.33333333333333331</v>
      </c>
    </row>
    <row r="21" spans="1:29" x14ac:dyDescent="0.25"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</row>
    <row r="24" spans="1:29" x14ac:dyDescent="0.25">
      <c r="R24" t="s">
        <v>266</v>
      </c>
    </row>
    <row r="26" spans="1:29" x14ac:dyDescent="0.25">
      <c r="B26" t="s">
        <v>162</v>
      </c>
      <c r="K26" t="s">
        <v>164</v>
      </c>
    </row>
    <row r="27" spans="1:29" x14ac:dyDescent="0.25">
      <c r="B27" t="s">
        <v>161</v>
      </c>
      <c r="K27" t="s">
        <v>163</v>
      </c>
    </row>
    <row r="28" spans="1:29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8:W9 AC10 AC12:AC14">
    <cfRule type="notContainsBlanks" dxfId="7" priority="5">
      <formula>LEN(TRIM(W8))&gt;0</formula>
    </cfRule>
  </conditionalFormatting>
  <conditionalFormatting sqref="W7:Z7">
    <cfRule type="notContainsBlanks" dxfId="6" priority="6">
      <formula>LEN(TRIM(W7))&gt;0</formula>
    </cfRule>
  </conditionalFormatting>
  <conditionalFormatting sqref="X8:Y9 AD10:AE10">
    <cfRule type="notContainsBlanks" dxfId="5" priority="9">
      <formula>LEN(TRIM(X8))&gt;0</formula>
    </cfRule>
  </conditionalFormatting>
  <conditionalFormatting sqref="Z8:Z9 AF10 AF12:AF14">
    <cfRule type="notContainsBlanks" dxfId="4" priority="8">
      <formula>LEN(TRIM(Z8))&gt;0</formula>
    </cfRule>
  </conditionalFormatting>
  <conditionalFormatting sqref="AC11:AF11">
    <cfRule type="notContainsBlanks" dxfId="3" priority="4">
      <formula>LEN(TRIM(AC11))&gt;0</formula>
    </cfRule>
  </conditionalFormatting>
  <conditionalFormatting sqref="AD12:AE14">
    <cfRule type="notContainsBlanks" dxfId="2" priority="2">
      <formula>LEN(TRIM(AD12))&gt;0</formula>
    </cfRule>
  </conditionalFormatting>
  <conditionalFormatting sqref="AD12:AF14">
    <cfRule type="notContainsBlanks" dxfId="1" priority="1">
      <formula>LEN(TRIM(AD12))&gt;0</formula>
    </cfRule>
  </conditionalFormatting>
  <conditionalFormatting sqref="AG12">
    <cfRule type="notContainsBlanks" dxfId="0" priority="3">
      <formula>LEN(TRIM(AG12))&gt;0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8441-D200-4D5D-9706-E7EF3B3D2A9A}">
  <dimension ref="A1:I18"/>
  <sheetViews>
    <sheetView workbookViewId="0">
      <selection activeCell="H16" sqref="H16:H18"/>
    </sheetView>
  </sheetViews>
  <sheetFormatPr defaultRowHeight="15" x14ac:dyDescent="0.25"/>
  <cols>
    <col min="1" max="1" width="15.85546875" customWidth="1"/>
  </cols>
  <sheetData>
    <row r="1" spans="1:9" x14ac:dyDescent="0.25">
      <c r="A1" s="29" t="s">
        <v>272</v>
      </c>
      <c r="B1" t="s">
        <v>302</v>
      </c>
      <c r="C1" t="s">
        <v>306</v>
      </c>
      <c r="D1" t="s">
        <v>307</v>
      </c>
      <c r="E1" t="s">
        <v>303</v>
      </c>
      <c r="F1" t="s">
        <v>304</v>
      </c>
      <c r="G1" t="s">
        <v>308</v>
      </c>
      <c r="H1" t="s">
        <v>305</v>
      </c>
      <c r="I1" t="s">
        <v>309</v>
      </c>
    </row>
    <row r="2" spans="1:9" x14ac:dyDescent="0.25">
      <c r="A2" s="75">
        <v>44520</v>
      </c>
      <c r="B2" s="90">
        <v>8.3333333333333329E-2</v>
      </c>
      <c r="C2" s="90">
        <v>8.3333333333333329E-2</v>
      </c>
      <c r="D2">
        <v>1</v>
      </c>
      <c r="H2" s="90">
        <v>0.35416666666666669</v>
      </c>
      <c r="I2">
        <v>5</v>
      </c>
    </row>
    <row r="3" spans="1:9" x14ac:dyDescent="0.25">
      <c r="A3" s="75">
        <v>44521</v>
      </c>
      <c r="B3" s="90">
        <v>4.1666666666666664E-2</v>
      </c>
      <c r="C3" s="90">
        <v>4.1666666666666664E-2</v>
      </c>
      <c r="D3">
        <v>1</v>
      </c>
      <c r="H3" s="90">
        <v>0.375</v>
      </c>
      <c r="I3">
        <v>5</v>
      </c>
    </row>
    <row r="4" spans="1:9" x14ac:dyDescent="0.25">
      <c r="A4" s="75">
        <v>44522</v>
      </c>
      <c r="B4" s="90">
        <v>0.88541666666666663</v>
      </c>
      <c r="C4" s="90">
        <v>0.94444444444444453</v>
      </c>
      <c r="D4">
        <v>10</v>
      </c>
      <c r="E4">
        <v>1</v>
      </c>
      <c r="F4">
        <v>2</v>
      </c>
      <c r="H4" s="90">
        <v>0.25</v>
      </c>
      <c r="I4">
        <v>5</v>
      </c>
    </row>
    <row r="5" spans="1:9" x14ac:dyDescent="0.25">
      <c r="A5" s="75">
        <v>44523</v>
      </c>
      <c r="B5" s="90">
        <v>0.90625</v>
      </c>
      <c r="C5" s="90">
        <v>0.9375</v>
      </c>
      <c r="D5">
        <v>10</v>
      </c>
      <c r="H5" s="90">
        <v>0.25</v>
      </c>
      <c r="I5">
        <v>5</v>
      </c>
    </row>
    <row r="6" spans="1:9" x14ac:dyDescent="0.25">
      <c r="A6" s="75">
        <v>44524</v>
      </c>
      <c r="B6" s="90">
        <v>0.88888888888888884</v>
      </c>
      <c r="C6" s="90">
        <v>0.90972222222222221</v>
      </c>
      <c r="D6">
        <v>2</v>
      </c>
      <c r="H6" s="90">
        <v>0.25</v>
      </c>
      <c r="I6">
        <v>5</v>
      </c>
    </row>
    <row r="7" spans="1:9" x14ac:dyDescent="0.25">
      <c r="A7" s="75">
        <v>44525</v>
      </c>
      <c r="B7" s="90">
        <v>0.89583333333333337</v>
      </c>
      <c r="C7" s="90">
        <v>0.92361111111111116</v>
      </c>
      <c r="D7">
        <v>5</v>
      </c>
      <c r="H7" s="90">
        <v>0.25</v>
      </c>
      <c r="I7">
        <v>5</v>
      </c>
    </row>
    <row r="8" spans="1:9" x14ac:dyDescent="0.25">
      <c r="A8" s="75">
        <v>44526</v>
      </c>
      <c r="B8" s="90">
        <v>0.90625</v>
      </c>
      <c r="C8" s="90">
        <v>0.9375</v>
      </c>
      <c r="D8">
        <v>2</v>
      </c>
      <c r="H8" s="90">
        <v>0.27083333333333331</v>
      </c>
      <c r="I8">
        <v>5</v>
      </c>
    </row>
    <row r="9" spans="1:9" x14ac:dyDescent="0.25">
      <c r="A9" s="75">
        <v>44527</v>
      </c>
      <c r="B9" s="90">
        <v>0.125</v>
      </c>
      <c r="C9" s="90">
        <v>0.125</v>
      </c>
      <c r="D9">
        <v>1</v>
      </c>
      <c r="H9" s="90">
        <v>0.375</v>
      </c>
      <c r="I9">
        <v>4</v>
      </c>
    </row>
    <row r="10" spans="1:9" x14ac:dyDescent="0.25">
      <c r="A10" s="75">
        <v>44528</v>
      </c>
      <c r="B10" s="90">
        <v>0.125</v>
      </c>
      <c r="C10" s="90">
        <v>0.125</v>
      </c>
      <c r="D10">
        <v>1</v>
      </c>
      <c r="H10" s="90">
        <v>0.375</v>
      </c>
      <c r="I10">
        <v>5</v>
      </c>
    </row>
    <row r="11" spans="1:9" x14ac:dyDescent="0.25">
      <c r="A11" s="75">
        <v>44529</v>
      </c>
      <c r="B11" s="90">
        <v>6.9444444444444441E-3</v>
      </c>
      <c r="C11" s="90">
        <v>2.0833333333333332E-2</v>
      </c>
      <c r="D11">
        <v>2</v>
      </c>
      <c r="H11" s="90">
        <v>0.25</v>
      </c>
      <c r="I11">
        <v>5</v>
      </c>
    </row>
    <row r="12" spans="1:9" x14ac:dyDescent="0.25">
      <c r="A12" s="75">
        <v>44531</v>
      </c>
      <c r="B12" s="90">
        <v>1.3888888888888888E-2</v>
      </c>
      <c r="C12" s="90">
        <v>3.125E-2</v>
      </c>
      <c r="D12">
        <v>3</v>
      </c>
      <c r="H12" s="90">
        <v>0.33333333333333331</v>
      </c>
      <c r="I12">
        <v>5</v>
      </c>
    </row>
    <row r="13" spans="1:9" x14ac:dyDescent="0.25">
      <c r="A13" s="75">
        <v>44532</v>
      </c>
      <c r="B13" s="90">
        <v>0.98958333333333337</v>
      </c>
      <c r="C13" s="90">
        <v>1.0416666666666666E-2</v>
      </c>
      <c r="D13">
        <v>10</v>
      </c>
      <c r="H13" s="90">
        <v>0.33333333333333331</v>
      </c>
      <c r="I13">
        <v>4</v>
      </c>
    </row>
    <row r="14" spans="1:9" x14ac:dyDescent="0.25">
      <c r="A14" s="75">
        <v>44533</v>
      </c>
      <c r="B14" s="90">
        <v>0.98611111111111116</v>
      </c>
      <c r="C14" s="90">
        <v>6.9444444444444441E-3</v>
      </c>
      <c r="D14">
        <v>1</v>
      </c>
      <c r="H14" s="90">
        <v>0.33333333333333331</v>
      </c>
      <c r="I14">
        <v>5</v>
      </c>
    </row>
    <row r="15" spans="1:9" x14ac:dyDescent="0.25">
      <c r="A15" s="75">
        <v>44534</v>
      </c>
      <c r="B15" s="90">
        <v>4.1666666666666664E-2</v>
      </c>
      <c r="C15" s="90">
        <v>4.1666666666666664E-2</v>
      </c>
      <c r="D15">
        <v>1</v>
      </c>
      <c r="E15">
        <v>1</v>
      </c>
      <c r="F15">
        <v>10</v>
      </c>
      <c r="G15" s="90">
        <v>0.11458333333333333</v>
      </c>
      <c r="H15" s="90">
        <v>0.375</v>
      </c>
      <c r="I15">
        <v>4</v>
      </c>
    </row>
    <row r="16" spans="1:9" x14ac:dyDescent="0.25">
      <c r="A16" s="75">
        <v>44535</v>
      </c>
      <c r="B16" s="90">
        <v>4.1666666666666664E-2</v>
      </c>
      <c r="C16" s="90">
        <v>4.1666666666666664E-2</v>
      </c>
      <c r="D16">
        <v>1</v>
      </c>
      <c r="H16" s="90">
        <v>0.375</v>
      </c>
      <c r="I16">
        <v>3</v>
      </c>
    </row>
    <row r="17" spans="1:9" x14ac:dyDescent="0.25">
      <c r="A17" s="75">
        <v>44536</v>
      </c>
      <c r="B17" s="90">
        <v>0</v>
      </c>
      <c r="C17" s="90">
        <v>3.125E-2</v>
      </c>
      <c r="D17">
        <v>2</v>
      </c>
      <c r="H17" s="90">
        <v>0.33333333333333331</v>
      </c>
      <c r="I17">
        <v>4</v>
      </c>
    </row>
    <row r="18" spans="1:9" x14ac:dyDescent="0.25">
      <c r="A18" s="75">
        <v>44537</v>
      </c>
      <c r="B18" s="90">
        <v>6.9444444444444441E-3</v>
      </c>
      <c r="C18" s="90">
        <v>3.125E-2</v>
      </c>
      <c r="D18">
        <v>1</v>
      </c>
      <c r="H18" s="90">
        <v>0.33333333333333331</v>
      </c>
      <c r="I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25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22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13</v>
      </c>
      <c r="E8" s="14" t="s">
        <v>35</v>
      </c>
      <c r="F8" s="15">
        <v>2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13</v>
      </c>
      <c r="M8" s="14" t="s">
        <v>35</v>
      </c>
      <c r="N8" s="15">
        <v>2</v>
      </c>
      <c r="O8" s="18">
        <f>N5+N7+N9+N10+N11+N14+N16+N18+N21+N23</f>
        <v>11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2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2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3</v>
      </c>
      <c r="E15" s="14" t="s">
        <v>53</v>
      </c>
      <c r="F15" s="15">
        <v>2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297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298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299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297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5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297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300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297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2023-09-27T16:07:12Z</dcterms:modified>
  <cp:category/>
  <cp:contentStatus/>
</cp:coreProperties>
</file>