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mw-sleep-analysis\data\steffen\"/>
    </mc:Choice>
  </mc:AlternateContent>
  <xr:revisionPtr revIDLastSave="0" documentId="13_ncr:1_{39CBCFA8-C89A-486B-9491-8C954D3A3D9E}" xr6:coauthVersionLast="47" xr6:coauthVersionMax="47" xr10:uidLastSave="{00000000-0000-0000-0000-000000000000}"/>
  <bookViews>
    <workbookView xWindow="-110" yWindow="-110" windowWidth="19420" windowHeight="1162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4" i="3" l="1"/>
  <c r="S13" i="3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AE14" i="3"/>
  <c r="AF9" i="3"/>
  <c r="AE12" i="3"/>
  <c r="AF10" i="3"/>
  <c r="AC8" i="3"/>
  <c r="AC10" i="3"/>
  <c r="AC13" i="3"/>
  <c r="AF14" i="3"/>
  <c r="AE10" i="3"/>
  <c r="AD8" i="3"/>
  <c r="AD10" i="3"/>
  <c r="AF12" i="3"/>
  <c r="AE8" i="3"/>
  <c r="AC11" i="3"/>
  <c r="AE13" i="3"/>
  <c r="AF13" i="3"/>
  <c r="AE9" i="3"/>
  <c r="AF8" i="3"/>
  <c r="AD11" i="3"/>
  <c r="AC14" i="3"/>
  <c r="AF11" i="3"/>
  <c r="AC9" i="3"/>
  <c r="AE11" i="3"/>
  <c r="AD9" i="3"/>
  <c r="AC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AD13" i="3"/>
  <c r="P11" i="3"/>
  <c r="T11" i="3" s="1"/>
  <c r="P12" i="3"/>
  <c r="T12" i="3" s="1"/>
  <c r="P4" i="3"/>
  <c r="T4" i="3" s="1"/>
  <c r="AD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AD15" i="3" a="1"/>
  <c r="AD15" i="3" s="1"/>
  <c r="AF15" i="3" a="1"/>
  <c r="AF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<sst xmlns="http://schemas.openxmlformats.org/spreadsheetml/2006/main" count="560" uniqueCount="306">
  <si>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</si>
  <si>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</si>
  <si>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</si>
  <si>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</si>
  <si>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</si>
  <si>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</si>
  <si>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</si>
  <si>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</si>
  <si>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</si>
  <si>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</si>
  <si>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</si>
  <si>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</si>
  <si>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</si>
  <si>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</si>
  <si>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</si>
  <si>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</si>
  <si>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</si>
  <si>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</si>
  <si>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</si>
  <si>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</si>
  <si>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</si>
  <si>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</si>
  <si>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</si>
  <si>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</si>
  <si>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</si>
  <si>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</si>
  <si>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</si>
  <si>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</si>
  <si>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</si>
  <si>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</si>
  <si>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</si>
  <si>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</si>
  <si>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</si>
  <si>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</si>
  <si>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</si>
  <si>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</si>
  <si>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</si>
  <si>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</si>
  <si>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</si>
  <si>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</si>
  <si>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</si>
  <si>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</si>
  <si>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</si>
  <si>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</si>
  <si>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</si>
  <si>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</si>
  <si>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</si>
  <si>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</si>
  <si>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</si>
  <si>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</si>
  <si>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</si>
  <si>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</si>
  <si>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</si>
  <si>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</si>
  <si>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</si>
  <si>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</si>
  <si>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</si>
  <si>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</si>
  <si>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</si>
  <si>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</si>
  <si>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</si>
  <si>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</si>
  <si>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</si>
  <si>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</si>
  <si>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</si>
  <si>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</si>
  <si>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</si>
  <si>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</si>
  <si>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</si>
  <si>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</si>
  <si>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</si>
  <si>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</si>
  <si>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</si>
  <si>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</si>
  <si>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</si>
  <si>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</si>
  <si>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</si>
  <si>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</si>
  <si>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</si>
  <si>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</si>
  <si>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</si>
  <si>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</si>
  <si>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</si>
  <si>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</si>
  <si>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</si>
  <si>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</si>
  <si>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</si>
  <si>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</si>
  <si>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</si>
  <si>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</si>
  <si>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</si>
  <si>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</si>
  <si>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</si>
  <si>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</si>
  <si>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</si>
  <si>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</si>
  <si>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</si>
  <si>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</si>
  <si>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</si>
  <si>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</si>
  <si>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</si>
  <si>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</si>
  <si>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</si>
  <si>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</si>
  <si>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</si>
  <si>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</si>
  <si>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</si>
  <si>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</si>
  <si>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</si>
  <si>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</si>
  <si>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</si>
  <si>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</si>
  <si>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</si>
  <si>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</si>
  <si>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</si>
  <si>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</si>
  <si>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</si>
  <si>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</si>
  <si>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</si>
  <si>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</si>
  <si>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</si>
  <si>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</si>
  <si>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</si>
  <si>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</si>
  <si>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</si>
  <si>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</si>
  <si>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</si>
  <si>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</si>
  <si>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</si>
  <si>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</si>
  <si>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</si>
  <si>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</si>
  <si>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</si>
  <si>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</si>
  <si>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</si>
  <si>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</si>
  <si>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</si>
  <si>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</si>
  <si>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</si>
  <si>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</si>
  <si>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</si>
  <si>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</si>
  <si>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</si>
  <si>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</si>
  <si>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</si>
  <si>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</si>
  <si>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</si>
  <si>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</si>
  <si>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</si>
  <si>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</si>
  <si>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</si>
  <si>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</si>
  <si>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</si>
  <si>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</si>
  <si>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</si>
  <si>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</si>
  <si>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</si>
  <si>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</si>
  <si>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</si>
  <si>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</si>
  <si>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</si>
  <si>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</si>
  <si>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</si>
  <si>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</si>
  <si>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</si>
  <si>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</si>
  <si>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</si>
  <si>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</si>
  <si>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</si>
  <si>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</si>
  <si>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</si>
  <si>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</si>
  <si>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</si>
  <si>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</si>
  <si>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</si>
  <si>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</si>
  <si>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</si>
  <si>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</si>
  <si>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</si>
  <si>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</si>
  <si>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</si>
  <si>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</si>
  <si>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</si>
  <si>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</si>
  <si>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</si>
  <si>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</si>
  <si>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</si>
  <si>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</si>
  <si>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</si>
  <si>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</si>
  <si>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</si>
  <si>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</si>
  <si>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</si>
  <si>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</si>
  <si>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</si>
  <si>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</si>
  <si>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</si>
  <si>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</si>
  <si>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</si>
  <si>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</si>
  <si>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</si>
  <si>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</si>
  <si>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</si>
  <si>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</si>
  <si>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</si>
  <si>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</si>
  <si>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</si>
  <si>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</si>
  <si>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</si>
  <si>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</si>
  <si>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</si>
  <si>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</si>
  <si>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</si>
  <si>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</si>
  <si>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</si>
  <si>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</si>
  <si>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</si>
  <si>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</si>
  <si>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</si>
  <si>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</si>
  <si>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</si>
  <si>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</si>
  <si>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</si>
  <si>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</si>
  <si>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</si>
  <si>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</si>
  <si>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</si>
  <si>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</si>
  <si>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</si>
  <si>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</si>
  <si>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</si>
  <si>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</si>
  <si>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</si>
  <si>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</si>
  <si>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</si>
  <si>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</si>
  <si>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</si>
  <si>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</si>
  <si>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</si>
  <si>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</si>
  <si>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</si>
  <si>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</si>
  <si>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</si>
  <si>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</si>
  <si>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</si>
  <si>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</si>
  <si>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</si>
  <si>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</si>
  <si>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</si>
  <si>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</si>
  <si>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</si>
  <si>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</si>
  <si>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</si>
  <si>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</si>
  <si>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</si>
  <si>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</si>
  <si>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</si>
  <si>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</si>
  <si>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</si>
  <si>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</si>
  <si>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</si>
  <si>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</si>
  <si>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</si>
  <si>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</si>
  <si>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</si>
  <si>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</si>
  <si>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</si>
  <si>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</si>
  <si>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</si>
  <si>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</si>
  <si>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</si>
  <si>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</si>
  <si>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</si>
  <si>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</si>
  <si>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</si>
  <si>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</si>
  <si>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</si>
  <si>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</si>
  <si>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</si>
  <si>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</si>
  <si>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</si>
  <si>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</si>
  <si>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</si>
  <si>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</si>
  <si>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</si>
  <si>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</si>
  <si>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</si>
  <si>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</si>
  <si>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</si>
  <si>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</si>
  <si>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</si>
  <si>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</si>
  <si>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Missing the 3 last days in the sleep diary</t>
  </si>
  <si>
    <t>Telte</t>
  </si>
  <si>
    <t>nei</t>
  </si>
  <si>
    <t>"Var alltid fokusert". "Tenkte ikke på noe (annet)"</t>
  </si>
  <si>
    <t>fokusert hele tiden untatt i 1 sekund</t>
  </si>
  <si>
    <t>MISSING 3 DAYS WITH NS</t>
  </si>
  <si>
    <t>q1</t>
  </si>
  <si>
    <t>q4</t>
  </si>
  <si>
    <t>q5</t>
  </si>
  <si>
    <t>q7</t>
  </si>
  <si>
    <t>q2</t>
  </si>
  <si>
    <t>q3</t>
  </si>
  <si>
    <t>q6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</si>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</sst>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16" fontId="0" fillId="4" borderId="3" xfId="0" applyNumberFormat="1" applyFill="1" applyBorder="1"/>
    <xf numFmtId="20" fontId="0" fillId="0" borderId="0" xfId="0" applyNumberFormat="1"/>
    <xf numFmtId="20" fontId="6" fillId="0" borderId="0" xfId="0" applyNumberFormat="1" applyFont="1"/>
    <xf numFmtId="0" fontId="0" fillId="13" borderId="5" xfId="0" applyFill="1" applyBorder="1"/>
    <xf numFmtId="14" fontId="0" fillId="12" borderId="5" xfId="0" applyNumberFormat="1" applyFill="1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Normal="100" workbookViewId="0">
      <selection activeCell="D6" sqref="D6"/>
    </sheetView>
  </sheetViews>
  <sheetFormatPr defaultColWidth="11.453125" defaultRowHeight="14.5" x14ac:dyDescent="0.35"/>
  <cols>
    <col min="1" max="1" width="5.453125" customWidth="1"/>
    <col min="2" max="2" width="29.7265625" customWidth="1"/>
    <col min="3" max="3" width="4.7265625" customWidth="1"/>
    <col min="4" max="4" width="11.26953125" customWidth="1"/>
    <col min="5" max="5" width="4.7265625" customWidth="1"/>
  </cols>
  <sheetData>
    <row r="1" spans="1:8" x14ac:dyDescent="0.35">
      <c r="A1" s="46" t="s">
        <v>124</v>
      </c>
      <c r="B1" s="63"/>
      <c r="C1" s="47"/>
      <c r="D1" s="58" t="s">
        <v>263</v>
      </c>
    </row>
    <row r="2" spans="1:8" x14ac:dyDescent="0.35">
      <c r="B2" s="43" t="s">
        <v>105</v>
      </c>
      <c r="C2" s="45"/>
      <c r="D2" s="37">
        <v>31</v>
      </c>
      <c r="F2" t="s">
        <v>252</v>
      </c>
    </row>
    <row r="3" spans="1:8" x14ac:dyDescent="0.35">
      <c r="B3" s="43" t="s">
        <v>106</v>
      </c>
      <c r="C3" s="45"/>
      <c r="D3" s="37">
        <v>19</v>
      </c>
      <c r="F3" t="s">
        <v>254</v>
      </c>
    </row>
    <row r="4" spans="1:8" x14ac:dyDescent="0.35">
      <c r="B4" s="43" t="s">
        <v>133</v>
      </c>
      <c r="C4" s="45"/>
      <c r="D4" s="37">
        <v>1</v>
      </c>
      <c r="F4" t="s">
        <v>255</v>
      </c>
    </row>
    <row r="5" spans="1:8" x14ac:dyDescent="0.35">
      <c r="B5" s="43" t="s">
        <v>107</v>
      </c>
      <c r="C5" s="45"/>
      <c r="D5" s="37">
        <v>0</v>
      </c>
      <c r="F5" t="s">
        <v>256</v>
      </c>
    </row>
    <row r="6" spans="1:8" x14ac:dyDescent="0.35">
      <c r="B6" s="43" t="s">
        <v>134</v>
      </c>
      <c r="C6" s="45"/>
      <c r="D6" s="37">
        <v>0</v>
      </c>
      <c r="F6" t="s">
        <v>253</v>
      </c>
    </row>
    <row r="7" spans="1:8" x14ac:dyDescent="0.35">
      <c r="B7" s="43" t="s">
        <v>109</v>
      </c>
      <c r="C7" s="45"/>
      <c r="D7" s="86">
        <v>44602</v>
      </c>
      <c r="F7" s="57" t="s">
        <v>135</v>
      </c>
    </row>
    <row r="8" spans="1:8" x14ac:dyDescent="0.35">
      <c r="B8" s="43" t="s">
        <v>111</v>
      </c>
      <c r="C8" s="45"/>
      <c r="D8" s="37">
        <v>6</v>
      </c>
      <c r="E8" s="15">
        <v>39</v>
      </c>
      <c r="F8" s="57" t="s">
        <v>270</v>
      </c>
      <c r="H8" s="74">
        <f>((E8/0.6)/100)+D8</f>
        <v>6.65</v>
      </c>
    </row>
    <row r="9" spans="1:8" x14ac:dyDescent="0.35">
      <c r="B9" s="43" t="s">
        <v>110</v>
      </c>
      <c r="C9" s="45"/>
      <c r="D9" s="87">
        <v>44609</v>
      </c>
      <c r="F9" s="57" t="s">
        <v>135</v>
      </c>
    </row>
    <row r="10" spans="1:8" x14ac:dyDescent="0.35">
      <c r="B10" s="43" t="s">
        <v>112</v>
      </c>
      <c r="C10" s="45"/>
      <c r="D10" s="37">
        <v>7</v>
      </c>
      <c r="E10" s="15">
        <v>46</v>
      </c>
      <c r="F10" s="57" t="s">
        <v>270</v>
      </c>
      <c r="H10" s="74">
        <f>((E10/0.6)/100)+D10</f>
        <v>7.7666666666666666</v>
      </c>
    </row>
    <row r="11" spans="1:8" x14ac:dyDescent="0.35">
      <c r="B11" s="43" t="s">
        <v>116</v>
      </c>
      <c r="C11" s="45"/>
      <c r="D11" s="37">
        <v>0</v>
      </c>
      <c r="F11" t="s">
        <v>257</v>
      </c>
    </row>
    <row r="12" spans="1:8" x14ac:dyDescent="0.35">
      <c r="B12" s="43" t="s">
        <v>115</v>
      </c>
      <c r="C12" s="45"/>
      <c r="D12" s="37">
        <v>0</v>
      </c>
      <c r="F12" s="57" t="s">
        <v>136</v>
      </c>
    </row>
    <row r="13" spans="1:8" x14ac:dyDescent="0.3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35">
      <c r="B14" s="43" t="s">
        <v>114</v>
      </c>
      <c r="C14" s="45"/>
      <c r="D14" s="37">
        <v>0</v>
      </c>
      <c r="F14" s="57" t="s">
        <v>137</v>
      </c>
    </row>
    <row r="15" spans="1:8" x14ac:dyDescent="0.35">
      <c r="A15" s="7" t="s">
        <v>125</v>
      </c>
      <c r="B15" s="64"/>
      <c r="C15" s="58" t="s">
        <v>261</v>
      </c>
      <c r="D15" s="59"/>
    </row>
    <row r="16" spans="1:8" x14ac:dyDescent="0.35">
      <c r="B16" s="43" t="s">
        <v>121</v>
      </c>
      <c r="C16" s="44"/>
      <c r="D16" s="60"/>
    </row>
    <row r="17" spans="1:13" x14ac:dyDescent="0.35">
      <c r="C17" s="40" t="s">
        <v>160</v>
      </c>
      <c r="D17" s="42">
        <v>1</v>
      </c>
      <c r="F17" t="s">
        <v>258</v>
      </c>
    </row>
    <row r="18" spans="1:13" x14ac:dyDescent="0.35">
      <c r="C18" s="40" t="s">
        <v>108</v>
      </c>
      <c r="D18" s="15">
        <v>1</v>
      </c>
      <c r="F18" t="s">
        <v>258</v>
      </c>
    </row>
    <row r="19" spans="1:13" x14ac:dyDescent="0.35">
      <c r="B19" s="43" t="s">
        <v>122</v>
      </c>
      <c r="C19" s="45"/>
      <c r="D19" s="15">
        <v>1</v>
      </c>
      <c r="F19" t="s">
        <v>259</v>
      </c>
    </row>
    <row r="20" spans="1:13" x14ac:dyDescent="0.35">
      <c r="B20" s="43" t="s">
        <v>123</v>
      </c>
      <c r="C20" s="44"/>
      <c r="D20" s="62"/>
    </row>
    <row r="21" spans="1:13" x14ac:dyDescent="0.35">
      <c r="C21" s="40" t="s">
        <v>160</v>
      </c>
      <c r="D21" s="61">
        <v>1</v>
      </c>
      <c r="F21" t="s">
        <v>259</v>
      </c>
    </row>
    <row r="22" spans="1:13" x14ac:dyDescent="0.35">
      <c r="C22" s="40" t="s">
        <v>108</v>
      </c>
      <c r="D22" s="41">
        <v>1</v>
      </c>
      <c r="F22" t="s">
        <v>259</v>
      </c>
    </row>
    <row r="23" spans="1:13" x14ac:dyDescent="0.35">
      <c r="B23" s="43" t="s">
        <v>128</v>
      </c>
      <c r="C23" s="44"/>
      <c r="D23" s="62"/>
    </row>
    <row r="24" spans="1:13" x14ac:dyDescent="0.35">
      <c r="C24" s="40" t="s">
        <v>160</v>
      </c>
      <c r="D24" s="61">
        <v>1</v>
      </c>
      <c r="F24" t="s">
        <v>259</v>
      </c>
    </row>
    <row r="25" spans="1:13" x14ac:dyDescent="0.35">
      <c r="C25" s="48" t="s">
        <v>108</v>
      </c>
      <c r="D25" s="41">
        <v>1</v>
      </c>
      <c r="F25" t="s">
        <v>259</v>
      </c>
    </row>
    <row r="26" spans="1:13" x14ac:dyDescent="0.35">
      <c r="B26" s="43" t="s">
        <v>129</v>
      </c>
      <c r="C26" s="45"/>
      <c r="D26" s="37">
        <v>1</v>
      </c>
      <c r="F26" t="s">
        <v>259</v>
      </c>
    </row>
    <row r="27" spans="1:13" x14ac:dyDescent="0.3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35">
      <c r="A28" s="46" t="s">
        <v>126</v>
      </c>
      <c r="B28" s="58"/>
      <c r="C28" s="65"/>
    </row>
    <row r="29" spans="1:13" x14ac:dyDescent="0.3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3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3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3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35">
      <c r="A33" s="46" t="s">
        <v>127</v>
      </c>
      <c r="B33" s="58"/>
      <c r="C33" s="65"/>
    </row>
    <row r="34" spans="1:13" x14ac:dyDescent="0.35">
      <c r="B34" s="43" t="s">
        <v>117</v>
      </c>
      <c r="C34" s="45"/>
      <c r="D34" s="50" t="s">
        <v>292</v>
      </c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3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3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3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defaultColWidth="11.453125" defaultRowHeight="14" x14ac:dyDescent="0.3"/>
  <cols>
    <col min="1" max="1" width="11.26953125" style="1" customWidth="1"/>
    <col min="2" max="2" width="7.7265625" style="1" customWidth="1"/>
    <col min="3" max="3" width="8.54296875" style="1" customWidth="1"/>
    <col min="4" max="4" width="4.453125" style="1" customWidth="1"/>
    <col min="5" max="5" width="9.26953125" style="1" customWidth="1"/>
    <col min="6" max="6" width="8" style="1" customWidth="1"/>
    <col min="7" max="7" width="2.7265625" style="1" customWidth="1"/>
    <col min="8" max="8" width="11.453125" style="1"/>
    <col min="9" max="9" width="7.7265625" style="1" customWidth="1"/>
    <col min="10" max="10" width="3.26953125" style="1" customWidth="1"/>
    <col min="11" max="11" width="9.54296875" style="1" customWidth="1"/>
    <col min="12" max="12" width="7" style="1" customWidth="1"/>
    <col min="13" max="13" width="3.26953125" style="1" customWidth="1"/>
    <col min="14" max="14" width="12.54296875" style="1" customWidth="1"/>
    <col min="15" max="15" width="8.453125" style="1" customWidth="1"/>
    <col min="16" max="16" width="10.7265625" style="1" customWidth="1"/>
    <col min="17" max="18" width="10.26953125" style="1" customWidth="1"/>
    <col min="19" max="19" width="2.7265625" style="1" customWidth="1"/>
    <col min="20" max="20" width="7.54296875" style="1" customWidth="1"/>
    <col min="21" max="21" width="7" style="1" customWidth="1"/>
    <col min="22" max="22" width="7.7265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3">
        <v>1</v>
      </c>
      <c r="C3" s="52"/>
      <c r="E3" s="8" t="s">
        <v>20</v>
      </c>
      <c r="F3" s="9">
        <v>1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25</v>
      </c>
      <c r="P3" s="11">
        <v>0</v>
      </c>
      <c r="Q3" s="12">
        <f>24-(((P3/0.6)/100)+O3)</f>
        <v>-1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1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0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44</v>
      </c>
      <c r="AA4"/>
      <c r="AB4" s="10" t="s">
        <v>24</v>
      </c>
      <c r="AC4" s="11">
        <v>4</v>
      </c>
    </row>
    <row r="5" spans="1:29" ht="14.5" x14ac:dyDescent="0.35">
      <c r="A5" s="10" t="s">
        <v>24</v>
      </c>
      <c r="B5" s="11">
        <v>1</v>
      </c>
      <c r="C5" s="11"/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50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2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8</v>
      </c>
      <c r="C6" s="11"/>
      <c r="E6" s="8" t="s">
        <v>31</v>
      </c>
      <c r="F6" s="9">
        <v>4</v>
      </c>
      <c r="H6" s="8" t="s">
        <v>31</v>
      </c>
      <c r="I6" s="9">
        <v>0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6</v>
      </c>
    </row>
    <row r="7" spans="1:29" ht="14.5" x14ac:dyDescent="0.35">
      <c r="A7" s="10" t="s">
        <v>31</v>
      </c>
      <c r="B7" s="11">
        <v>7</v>
      </c>
      <c r="C7" s="11"/>
      <c r="E7" s="8" t="s">
        <v>35</v>
      </c>
      <c r="F7" s="9">
        <v>1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8</v>
      </c>
      <c r="P7" s="11">
        <v>0</v>
      </c>
      <c r="Q7" s="13">
        <f>((P7/0.6)/100)+O7</f>
        <v>8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5</v>
      </c>
      <c r="Z7" s="18">
        <f>Y4+Y6+Y8+Y9+Y10+Y13+Y15+Y17+Y20+Y22</f>
        <v>10</v>
      </c>
      <c r="AA7"/>
    </row>
    <row r="8" spans="1:29" ht="14.5" x14ac:dyDescent="0.35">
      <c r="A8" s="10" t="s">
        <v>35</v>
      </c>
      <c r="B8" s="11">
        <v>6</v>
      </c>
      <c r="C8" s="11">
        <v>30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7</v>
      </c>
      <c r="C9" s="67">
        <v>30</v>
      </c>
      <c r="E9" s="8" t="s">
        <v>39</v>
      </c>
      <c r="F9" s="9">
        <v>1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5</v>
      </c>
      <c r="N10" s="10" t="s">
        <v>42</v>
      </c>
      <c r="O10" s="11">
        <v>3</v>
      </c>
      <c r="P10" s="13">
        <f>O10-1</f>
        <v>2</v>
      </c>
      <c r="Q10" s="12">
        <f>P5+P10</f>
        <v>4</v>
      </c>
      <c r="U10" s="4" t="s">
        <v>41</v>
      </c>
      <c r="V10" s="20">
        <f>SUM(V3:V9)/7</f>
        <v>2.7142857142857144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0</v>
      </c>
      <c r="E11" s="8" t="s">
        <v>43</v>
      </c>
      <c r="F11" s="9">
        <v>1</v>
      </c>
      <c r="H11" s="8" t="s">
        <v>41</v>
      </c>
      <c r="I11" s="23">
        <f>SUM(I3:I10)</f>
        <v>2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5</v>
      </c>
      <c r="Z11"/>
      <c r="AA11"/>
    </row>
    <row r="12" spans="1:29" ht="14.5" x14ac:dyDescent="0.35">
      <c r="A12" s="10" t="s">
        <v>40</v>
      </c>
      <c r="B12" s="66">
        <v>1</v>
      </c>
      <c r="C12" s="52"/>
      <c r="E12" s="8" t="s">
        <v>16</v>
      </c>
      <c r="F12" s="20">
        <f>SUM(F3:F11)/9</f>
        <v>1.4444444444444444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5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5</v>
      </c>
      <c r="Z14"/>
      <c r="AA14"/>
    </row>
    <row r="15" spans="1:29" ht="14.5" x14ac:dyDescent="0.35">
      <c r="N15" s="10" t="s">
        <v>54</v>
      </c>
      <c r="O15" s="11">
        <v>2</v>
      </c>
      <c r="P15" s="13">
        <f t="shared" si="0"/>
        <v>1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5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4" t="s">
        <v>139</v>
      </c>
      <c r="B41" s="54"/>
    </row>
    <row r="42" spans="1:14" x14ac:dyDescent="0.3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3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3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3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3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3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3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3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3">
      <c r="A51" s="56" t="s">
        <v>148</v>
      </c>
      <c r="B51" s="56" t="s">
        <v>193</v>
      </c>
      <c r="C51" s="56"/>
      <c r="D51" s="56"/>
      <c r="E51" s="56"/>
    </row>
    <row r="52" spans="1:16" x14ac:dyDescent="0.3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3">
      <c r="A53" s="39" t="s">
        <v>24</v>
      </c>
      <c r="B53" s="55" t="s">
        <v>171</v>
      </c>
      <c r="C53" s="55"/>
      <c r="D53" s="55"/>
      <c r="E53" s="55"/>
    </row>
    <row r="54" spans="1:16" x14ac:dyDescent="0.3">
      <c r="A54" s="39" t="s">
        <v>28</v>
      </c>
      <c r="B54" s="55" t="s">
        <v>172</v>
      </c>
      <c r="C54" s="55"/>
      <c r="D54" s="55"/>
    </row>
    <row r="55" spans="1:16" x14ac:dyDescent="0.3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3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3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3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3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3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3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3">
      <c r="A63" s="39" t="s">
        <v>20</v>
      </c>
      <c r="B63" s="55" t="s">
        <v>180</v>
      </c>
      <c r="C63" s="55"/>
    </row>
    <row r="64" spans="1:16" x14ac:dyDescent="0.3">
      <c r="A64" s="39" t="s">
        <v>24</v>
      </c>
      <c r="B64" s="55" t="s">
        <v>181</v>
      </c>
    </row>
    <row r="65" spans="1:31" x14ac:dyDescent="0.3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3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3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3">
      <c r="A68" s="39" t="s">
        <v>37</v>
      </c>
      <c r="B68" s="55" t="s">
        <v>185</v>
      </c>
      <c r="C68" s="55"/>
      <c r="D68" s="55"/>
    </row>
    <row r="69" spans="1:31" x14ac:dyDescent="0.3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3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3">
      <c r="A72" s="56" t="s">
        <v>188</v>
      </c>
      <c r="B72" s="56" t="s">
        <v>204</v>
      </c>
      <c r="C72" s="56"/>
      <c r="D72" s="56"/>
      <c r="E72" s="56"/>
    </row>
    <row r="73" spans="1:31" x14ac:dyDescent="0.3">
      <c r="A73" s="39" t="s">
        <v>194</v>
      </c>
      <c r="B73" s="55" t="s">
        <v>189</v>
      </c>
      <c r="C73" s="55"/>
      <c r="D73" s="55"/>
    </row>
    <row r="74" spans="1:31" x14ac:dyDescent="0.3">
      <c r="A74" s="39" t="s">
        <v>195</v>
      </c>
      <c r="B74" s="55" t="s">
        <v>190</v>
      </c>
      <c r="C74" s="55"/>
      <c r="D74" s="55"/>
    </row>
    <row r="75" spans="1:31" x14ac:dyDescent="0.3">
      <c r="A75" s="39" t="s">
        <v>196</v>
      </c>
      <c r="B75" s="55" t="s">
        <v>191</v>
      </c>
      <c r="C75" s="55"/>
      <c r="D75" s="55"/>
      <c r="E75" s="55"/>
    </row>
    <row r="76" spans="1:31" x14ac:dyDescent="0.3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3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3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3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3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3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3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3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3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3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3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3">
      <c r="A87" s="39" t="s">
        <v>221</v>
      </c>
      <c r="B87" s="55" t="s">
        <v>212</v>
      </c>
      <c r="C87" s="55"/>
      <c r="D87" s="55"/>
      <c r="E87" s="55"/>
    </row>
    <row r="88" spans="1:24" x14ac:dyDescent="0.3">
      <c r="A88" s="39" t="s">
        <v>222</v>
      </c>
      <c r="B88" s="55" t="s">
        <v>213</v>
      </c>
      <c r="C88" s="55"/>
      <c r="D88" s="55"/>
      <c r="E88" s="55"/>
    </row>
    <row r="89" spans="1:24" x14ac:dyDescent="0.3">
      <c r="A89" s="39" t="s">
        <v>223</v>
      </c>
      <c r="B89" s="55" t="s">
        <v>214</v>
      </c>
      <c r="C89" s="55"/>
      <c r="D89" s="55"/>
      <c r="E89" s="55"/>
    </row>
    <row r="90" spans="1:24" x14ac:dyDescent="0.3">
      <c r="A90" s="39" t="s">
        <v>224</v>
      </c>
      <c r="B90" s="55" t="s">
        <v>216</v>
      </c>
      <c r="C90" s="55"/>
      <c r="D90" s="55"/>
    </row>
    <row r="91" spans="1:24" x14ac:dyDescent="0.3">
      <c r="A91" s="39" t="s">
        <v>225</v>
      </c>
      <c r="B91" s="55" t="s">
        <v>215</v>
      </c>
      <c r="C91" s="55"/>
      <c r="D91" s="55"/>
    </row>
    <row r="92" spans="1:24" x14ac:dyDescent="0.3">
      <c r="A92" s="39" t="s">
        <v>226</v>
      </c>
      <c r="B92" s="55" t="s">
        <v>217</v>
      </c>
      <c r="C92" s="55"/>
      <c r="D92" s="55"/>
    </row>
    <row r="93" spans="1:24" x14ac:dyDescent="0.3">
      <c r="A93" s="39" t="s">
        <v>227</v>
      </c>
      <c r="B93" s="55" t="s">
        <v>218</v>
      </c>
      <c r="C93" s="55"/>
      <c r="D93" s="55"/>
    </row>
    <row r="94" spans="1:24" x14ac:dyDescent="0.3">
      <c r="A94" s="39" t="s">
        <v>228</v>
      </c>
      <c r="B94" s="1" t="s">
        <v>219</v>
      </c>
    </row>
    <row r="95" spans="1:24" x14ac:dyDescent="0.3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3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3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3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3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3">
      <c r="A101" s="56" t="s">
        <v>238</v>
      </c>
    </row>
    <row r="102" spans="1:30" x14ac:dyDescent="0.3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3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3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3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3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3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3">
      <c r="A110" s="56" t="s">
        <v>246</v>
      </c>
      <c r="B110" s="56" t="s">
        <v>17</v>
      </c>
    </row>
    <row r="112" spans="1:30" x14ac:dyDescent="0.3">
      <c r="A112" s="56" t="s">
        <v>247</v>
      </c>
      <c r="B112" s="56"/>
    </row>
    <row r="113" spans="1:23" x14ac:dyDescent="0.3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3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3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G63"/>
  <sheetViews>
    <sheetView zoomScaleNormal="100" workbookViewId="0">
      <selection activeCell="R3" sqref="R3:R17"/>
    </sheetView>
  </sheetViews>
  <sheetFormatPr defaultColWidth="10.453125" defaultRowHeight="14.5" x14ac:dyDescent="0.35"/>
  <cols>
    <col min="1" max="1" width="11.26953125" customWidth="1"/>
    <col min="2" max="2" width="5.1796875" customWidth="1"/>
    <col min="3" max="3" width="5.26953125" customWidth="1"/>
    <col min="4" max="4" width="8.54296875" customWidth="1"/>
    <col min="5" max="6" width="8.7265625" customWidth="1"/>
    <col min="7" max="7" width="4.7265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26953125" customWidth="1"/>
    <col min="22" max="22" width="3.7265625" customWidth="1"/>
    <col min="23" max="23" width="13.7265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3" x14ac:dyDescent="0.3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3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3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  <c r="W3" t="s">
        <v>298</v>
      </c>
      <c r="X3" t="s">
        <v>299</v>
      </c>
      <c r="Y3" t="s">
        <v>300</v>
      </c>
      <c r="Z3" t="s">
        <v>301</v>
      </c>
    </row>
    <row r="4" spans="1:33" x14ac:dyDescent="0.35">
      <c r="A4" s="75">
        <v>44593</v>
      </c>
      <c r="B4" s="32">
        <v>1</v>
      </c>
      <c r="C4" s="33">
        <v>24</v>
      </c>
      <c r="D4" s="15">
        <v>24</v>
      </c>
      <c r="E4" s="15">
        <v>20</v>
      </c>
      <c r="F4" s="15">
        <v>30</v>
      </c>
      <c r="G4" s="34">
        <f>(E4/0.6)/100</f>
        <v>0.33333333333333337</v>
      </c>
      <c r="H4" s="34">
        <f>(F4/0.6)/100</f>
        <v>0.5</v>
      </c>
      <c r="I4" s="34">
        <f>D4+G4+H4</f>
        <v>24.833333333333332</v>
      </c>
      <c r="J4" s="34">
        <f>C4-I4</f>
        <v>-0.83333333333333215</v>
      </c>
      <c r="K4" s="15">
        <v>7</v>
      </c>
      <c r="L4" s="15">
        <v>45</v>
      </c>
      <c r="M4" s="34">
        <f>(L4/0.6)/100</f>
        <v>0.75</v>
      </c>
      <c r="N4" s="34">
        <f>K4+M4</f>
        <v>7.75</v>
      </c>
      <c r="O4" s="34">
        <f t="shared" ref="O4:O20" si="0">N4+J4</f>
        <v>6.9166666666666679</v>
      </c>
      <c r="P4" s="34">
        <f>ROUNDDOWN(O4,0)</f>
        <v>6</v>
      </c>
      <c r="Q4" s="34">
        <f>(O4-P4)*0.6</f>
        <v>0.55000000000000071</v>
      </c>
      <c r="R4" s="15">
        <v>3</v>
      </c>
      <c r="S4" s="34">
        <f>IF(R4&gt;0,R4-1,"")</f>
        <v>2</v>
      </c>
      <c r="T4" s="35">
        <f t="shared" ref="T4:T20" si="1">P4</f>
        <v>6</v>
      </c>
      <c r="U4" s="35">
        <f>Q4*100</f>
        <v>55.000000000000071</v>
      </c>
      <c r="W4" s="88">
        <v>0.98958333333333337</v>
      </c>
      <c r="X4">
        <v>5</v>
      </c>
      <c r="Y4">
        <v>10</v>
      </c>
      <c r="Z4" s="88">
        <v>0.3298611111111111</v>
      </c>
    </row>
    <row r="5" spans="1:33" x14ac:dyDescent="0.35">
      <c r="A5" s="75">
        <v>44594</v>
      </c>
      <c r="B5" s="32">
        <v>2</v>
      </c>
      <c r="C5" s="33">
        <v>24</v>
      </c>
      <c r="D5" s="15">
        <v>24</v>
      </c>
      <c r="E5" s="15">
        <v>0</v>
      </c>
      <c r="F5" s="15">
        <v>15</v>
      </c>
      <c r="G5" s="34">
        <f t="shared" ref="G5:H20" si="2">(E5/0.6)/100</f>
        <v>0</v>
      </c>
      <c r="H5" s="34">
        <f t="shared" si="2"/>
        <v>0.25</v>
      </c>
      <c r="I5" s="34">
        <f t="shared" ref="I5:I20" si="3">D5+G5+H5</f>
        <v>24.25</v>
      </c>
      <c r="J5" s="34">
        <f t="shared" ref="J5:J20" si="4">C5-I5</f>
        <v>-0.25</v>
      </c>
      <c r="K5" s="15">
        <v>7</v>
      </c>
      <c r="L5" s="15">
        <v>30</v>
      </c>
      <c r="M5" s="34">
        <f t="shared" ref="M5:M20" si="5">(L5/0.6)/100</f>
        <v>0.5</v>
      </c>
      <c r="N5" s="34">
        <f t="shared" ref="N5:N20" si="6">K5+M5</f>
        <v>7.5</v>
      </c>
      <c r="O5" s="34">
        <f t="shared" si="0"/>
        <v>7.25</v>
      </c>
      <c r="P5" s="34">
        <f t="shared" ref="P5:P20" si="7">ROUNDDOWN(O5,0)</f>
        <v>7</v>
      </c>
      <c r="Q5" s="34">
        <f t="shared" ref="Q5:Q20" si="8">(O5-P5)*0.6</f>
        <v>0.15</v>
      </c>
      <c r="R5" s="15">
        <v>5</v>
      </c>
      <c r="S5" s="34">
        <f t="shared" ref="S5:S20" si="9">IF(R5&gt;0,R5-1,"")</f>
        <v>4</v>
      </c>
      <c r="T5" s="35">
        <f t="shared" si="1"/>
        <v>7</v>
      </c>
      <c r="U5" s="35">
        <f t="shared" ref="U5:U20" si="10">Q5*100</f>
        <v>15</v>
      </c>
      <c r="W5" s="88">
        <v>0.97916666666666663</v>
      </c>
      <c r="X5">
        <v>0</v>
      </c>
      <c r="Y5">
        <v>0</v>
      </c>
      <c r="Z5" s="88">
        <v>0.3263888888888889</v>
      </c>
      <c r="AD5" s="36"/>
    </row>
    <row r="6" spans="1:33" x14ac:dyDescent="0.35">
      <c r="A6" s="75">
        <v>44595</v>
      </c>
      <c r="B6" s="32">
        <v>3</v>
      </c>
      <c r="C6" s="33">
        <v>24</v>
      </c>
      <c r="D6" s="15">
        <v>24</v>
      </c>
      <c r="E6" s="15">
        <v>0</v>
      </c>
      <c r="F6" s="15">
        <v>20</v>
      </c>
      <c r="G6" s="34">
        <f t="shared" si="2"/>
        <v>0</v>
      </c>
      <c r="H6" s="34">
        <f t="shared" si="2"/>
        <v>0.33333333333333337</v>
      </c>
      <c r="I6" s="34">
        <f t="shared" si="3"/>
        <v>24.333333333333332</v>
      </c>
      <c r="J6" s="34">
        <f t="shared" si="4"/>
        <v>-0.33333333333333215</v>
      </c>
      <c r="K6" s="15">
        <v>7</v>
      </c>
      <c r="L6" s="15">
        <v>40</v>
      </c>
      <c r="M6" s="34">
        <f t="shared" si="5"/>
        <v>0.66666666666666674</v>
      </c>
      <c r="N6" s="34">
        <f t="shared" si="6"/>
        <v>7.666666666666667</v>
      </c>
      <c r="O6" s="34">
        <f t="shared" si="0"/>
        <v>7.3333333333333348</v>
      </c>
      <c r="P6" s="34">
        <f t="shared" si="7"/>
        <v>7</v>
      </c>
      <c r="Q6" s="34">
        <f t="shared" si="8"/>
        <v>0.20000000000000087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20.000000000000089</v>
      </c>
      <c r="W6" s="88">
        <v>0.99305555555555547</v>
      </c>
      <c r="X6">
        <v>3</v>
      </c>
      <c r="Y6">
        <v>15</v>
      </c>
      <c r="Z6" s="88">
        <v>0.3611111111111111</v>
      </c>
      <c r="AD6" s="36"/>
    </row>
    <row r="7" spans="1:33" x14ac:dyDescent="0.35">
      <c r="A7" s="75">
        <v>44596</v>
      </c>
      <c r="B7" s="32">
        <v>4</v>
      </c>
      <c r="C7" s="33">
        <v>24</v>
      </c>
      <c r="D7" s="15">
        <v>24</v>
      </c>
      <c r="E7" s="15">
        <v>0</v>
      </c>
      <c r="F7" s="15">
        <v>40</v>
      </c>
      <c r="G7" s="34">
        <f t="shared" si="2"/>
        <v>0</v>
      </c>
      <c r="H7" s="34">
        <f t="shared" si="2"/>
        <v>0.66666666666666674</v>
      </c>
      <c r="I7" s="34">
        <f t="shared" si="3"/>
        <v>24.666666666666668</v>
      </c>
      <c r="J7" s="34">
        <f t="shared" si="4"/>
        <v>-0.66666666666666785</v>
      </c>
      <c r="K7" s="15">
        <v>7</v>
      </c>
      <c r="L7" s="15">
        <v>55</v>
      </c>
      <c r="M7" s="34">
        <f t="shared" si="5"/>
        <v>0.91666666666666674</v>
      </c>
      <c r="N7" s="34">
        <f t="shared" si="6"/>
        <v>7.916666666666667</v>
      </c>
      <c r="O7" s="34">
        <f t="shared" si="0"/>
        <v>7.2499999999999991</v>
      </c>
      <c r="P7" s="34">
        <f t="shared" si="7"/>
        <v>7</v>
      </c>
      <c r="Q7" s="34">
        <f t="shared" si="8"/>
        <v>0.14999999999999947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14.999999999999947</v>
      </c>
      <c r="W7" s="88">
        <v>0.99305555555555547</v>
      </c>
      <c r="X7">
        <v>0</v>
      </c>
      <c r="Y7">
        <v>0</v>
      </c>
      <c r="Z7" s="89">
        <v>0.33680555555555558</v>
      </c>
      <c r="AD7" s="36"/>
    </row>
    <row r="8" spans="1:33" x14ac:dyDescent="0.35">
      <c r="A8" s="75">
        <v>44597</v>
      </c>
      <c r="B8" s="32">
        <v>5</v>
      </c>
      <c r="C8" s="33">
        <v>24</v>
      </c>
      <c r="D8" s="15">
        <v>24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24.833333333333332</v>
      </c>
      <c r="J8" s="34">
        <f t="shared" si="4"/>
        <v>-0.83333333333333215</v>
      </c>
      <c r="K8" s="15">
        <v>8</v>
      </c>
      <c r="L8" s="15">
        <v>45</v>
      </c>
      <c r="M8" s="34">
        <f t="shared" si="5"/>
        <v>0.75</v>
      </c>
      <c r="N8" s="34">
        <f t="shared" si="6"/>
        <v>8.75</v>
      </c>
      <c r="O8" s="34">
        <f t="shared" si="0"/>
        <v>7.9166666666666679</v>
      </c>
      <c r="P8" s="34">
        <f t="shared" si="7"/>
        <v>7</v>
      </c>
      <c r="Q8" s="34">
        <f t="shared" si="8"/>
        <v>0.55000000000000071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55.000000000000071</v>
      </c>
      <c r="W8" s="88">
        <v>1.3888888888888888E-2</v>
      </c>
      <c r="X8">
        <v>0</v>
      </c>
      <c r="Y8">
        <v>0</v>
      </c>
      <c r="Z8" s="88">
        <v>0.41666666666666669</v>
      </c>
      <c r="AC8" t="str">
        <f>IF(B1=1,"DP_NS_AVG","")</f>
        <v/>
      </c>
      <c r="AD8" s="36" t="str">
        <f>IF(B1=1,SUM(O8:O14)/(COUNT(O8:O14)),"")</f>
        <v/>
      </c>
      <c r="AE8" s="36" t="str">
        <f>IF(B1=1,SUM(S8:S14)/COUNT(S8:S14),"")</f>
        <v/>
      </c>
      <c r="AF8" t="str">
        <f>IF(B1=1,IF(COUNT(S8:S14)&lt;7,7-COUNT(S8:S14),""),"")</f>
        <v/>
      </c>
    </row>
    <row r="9" spans="1:33" x14ac:dyDescent="0.35">
      <c r="A9" s="75">
        <v>44598</v>
      </c>
      <c r="B9" s="32">
        <v>6</v>
      </c>
      <c r="C9" s="33">
        <v>24</v>
      </c>
      <c r="D9" s="15">
        <v>23</v>
      </c>
      <c r="E9" s="15">
        <v>45</v>
      </c>
      <c r="F9" s="15">
        <v>20</v>
      </c>
      <c r="G9" s="34">
        <f t="shared" si="2"/>
        <v>0.75</v>
      </c>
      <c r="H9" s="34">
        <f t="shared" si="2"/>
        <v>0.33333333333333337</v>
      </c>
      <c r="I9" s="34">
        <f t="shared" si="3"/>
        <v>24.083333333333332</v>
      </c>
      <c r="J9" s="34">
        <f t="shared" si="4"/>
        <v>-8.3333333333332149E-2</v>
      </c>
      <c r="K9" s="15">
        <v>6</v>
      </c>
      <c r="L9" s="15">
        <v>16</v>
      </c>
      <c r="M9" s="34">
        <f t="shared" si="5"/>
        <v>0.26666666666666666</v>
      </c>
      <c r="N9" s="34">
        <f t="shared" si="6"/>
        <v>6.2666666666666666</v>
      </c>
      <c r="O9" s="34">
        <f t="shared" si="0"/>
        <v>6.1833333333333345</v>
      </c>
      <c r="P9" s="34">
        <f t="shared" si="7"/>
        <v>6</v>
      </c>
      <c r="Q9" s="34">
        <f t="shared" si="8"/>
        <v>0.11000000000000067</v>
      </c>
      <c r="R9" s="15">
        <v>4</v>
      </c>
      <c r="S9" s="34">
        <f t="shared" si="9"/>
        <v>3</v>
      </c>
      <c r="T9" s="35">
        <f t="shared" si="1"/>
        <v>6</v>
      </c>
      <c r="U9" s="35">
        <f t="shared" si="10"/>
        <v>11.000000000000068</v>
      </c>
      <c r="W9" s="88">
        <v>0.97916666666666663</v>
      </c>
      <c r="X9">
        <v>0</v>
      </c>
      <c r="Y9">
        <v>0</v>
      </c>
      <c r="Z9" s="88">
        <v>0.2638888888888889</v>
      </c>
      <c r="AC9" t="str">
        <f>IF(B1=1,"DP_P_AVG","")</f>
        <v/>
      </c>
      <c r="AD9" s="36" t="str">
        <f>IF(B1=1,SUM(O15:O17)/(COUNT(O15:O17)),"")</f>
        <v/>
      </c>
      <c r="AE9" s="36" t="str">
        <f>IF(B1=1,SUM(S15:S17)/COUNT(S15:S17),"")</f>
        <v/>
      </c>
      <c r="AF9" t="str">
        <f>IF(B1=1,IF(COUNT(S15:S17)&lt;3,3-COUNT(S15:S17),""),"")</f>
        <v/>
      </c>
    </row>
    <row r="10" spans="1:33" x14ac:dyDescent="0.35">
      <c r="A10" s="75">
        <v>44599</v>
      </c>
      <c r="B10" s="32">
        <v>7</v>
      </c>
      <c r="C10" s="33">
        <v>24</v>
      </c>
      <c r="D10" s="15">
        <v>24</v>
      </c>
      <c r="E10" s="15">
        <v>30</v>
      </c>
      <c r="F10" s="15">
        <v>30</v>
      </c>
      <c r="G10" s="34">
        <f t="shared" si="2"/>
        <v>0.5</v>
      </c>
      <c r="H10" s="34">
        <f t="shared" si="2"/>
        <v>0.5</v>
      </c>
      <c r="I10" s="34">
        <f t="shared" si="3"/>
        <v>25</v>
      </c>
      <c r="J10" s="34">
        <f t="shared" si="4"/>
        <v>-1</v>
      </c>
      <c r="K10" s="15">
        <v>8</v>
      </c>
      <c r="L10" s="15">
        <v>15</v>
      </c>
      <c r="M10" s="34">
        <f t="shared" si="5"/>
        <v>0.25</v>
      </c>
      <c r="N10" s="34">
        <f t="shared" si="6"/>
        <v>8.25</v>
      </c>
      <c r="O10" s="34">
        <f t="shared" si="0"/>
        <v>7.25</v>
      </c>
      <c r="P10" s="34">
        <f t="shared" si="7"/>
        <v>7</v>
      </c>
      <c r="Q10" s="34">
        <f t="shared" si="8"/>
        <v>0.15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15</v>
      </c>
      <c r="W10" s="88">
        <v>1.3888888888888888E-2</v>
      </c>
      <c r="X10">
        <v>1</v>
      </c>
      <c r="Y10">
        <v>1</v>
      </c>
      <c r="Z10" s="88">
        <v>0.36458333333333331</v>
      </c>
      <c r="AC10" t="str">
        <f>IF(B1=1,"NS_AVG","")</f>
        <v/>
      </c>
      <c r="AD10" s="36" t="str">
        <f>IF(B1=1,SUM(O4:O10)/(COUNT(O4:O10)),"")</f>
        <v/>
      </c>
      <c r="AE10" s="36" t="str">
        <f>IF(B1=1,SUM(S4:S10)/COUNT(S4:S10),"")</f>
        <v/>
      </c>
      <c r="AF10" t="str">
        <f>IF(B1=1,IF(COUNT(S4:S10)&lt;7,7-COUNT(S4:S10),""),"")</f>
        <v/>
      </c>
    </row>
    <row r="11" spans="1:33" x14ac:dyDescent="0.35">
      <c r="A11" s="75">
        <v>44600</v>
      </c>
      <c r="B11" s="32">
        <v>8</v>
      </c>
      <c r="C11" s="28">
        <v>24</v>
      </c>
      <c r="D11" s="15">
        <v>27</v>
      </c>
      <c r="E11" s="15">
        <v>0</v>
      </c>
      <c r="F11" s="15">
        <v>10</v>
      </c>
      <c r="G11" s="34">
        <f t="shared" si="2"/>
        <v>0</v>
      </c>
      <c r="H11" s="34">
        <f t="shared" si="2"/>
        <v>0.16666666666666669</v>
      </c>
      <c r="I11" s="34">
        <f t="shared" si="3"/>
        <v>27.166666666666668</v>
      </c>
      <c r="J11" s="34">
        <f t="shared" si="4"/>
        <v>-3.1666666666666679</v>
      </c>
      <c r="K11" s="15">
        <v>7</v>
      </c>
      <c r="L11" s="15">
        <v>30</v>
      </c>
      <c r="M11" s="34">
        <f t="shared" si="5"/>
        <v>0.5</v>
      </c>
      <c r="N11" s="34">
        <f t="shared" si="6"/>
        <v>7.5</v>
      </c>
      <c r="O11" s="34">
        <f t="shared" si="0"/>
        <v>4.3333333333333321</v>
      </c>
      <c r="P11" s="34">
        <f t="shared" si="7"/>
        <v>4</v>
      </c>
      <c r="Q11" s="34">
        <f t="shared" si="8"/>
        <v>0.19999999999999929</v>
      </c>
      <c r="R11" s="15">
        <v>4</v>
      </c>
      <c r="S11" s="34">
        <f t="shared" si="9"/>
        <v>3</v>
      </c>
      <c r="T11" s="35">
        <f t="shared" si="1"/>
        <v>4</v>
      </c>
      <c r="U11" s="35">
        <f t="shared" si="10"/>
        <v>19.999999999999929</v>
      </c>
      <c r="W11" s="88">
        <v>0.10416666666666667</v>
      </c>
      <c r="X11">
        <v>0</v>
      </c>
      <c r="Y11">
        <v>0</v>
      </c>
      <c r="Z11" s="88">
        <v>0.375</v>
      </c>
      <c r="AC11" t="str">
        <f>IF(B1=0,"ESD","")</f>
        <v>ESD</v>
      </c>
      <c r="AD11" t="str">
        <f>IF(B1=0,"Time Slept","")</f>
        <v>Time Slept</v>
      </c>
      <c r="AE11" t="str">
        <f>IF(B1=0,"Sleep Quality","")</f>
        <v>Sleep Quality</v>
      </c>
      <c r="AF11" s="73" t="str">
        <f>IF(B1=0,"Missing day(s)","")</f>
        <v>Missing day(s)</v>
      </c>
    </row>
    <row r="12" spans="1:33" x14ac:dyDescent="0.35">
      <c r="A12" s="75">
        <v>44601</v>
      </c>
      <c r="B12" s="32">
        <v>9</v>
      </c>
      <c r="C12" s="28">
        <v>24</v>
      </c>
      <c r="D12" s="15">
        <v>27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27.166666666666668</v>
      </c>
      <c r="J12" s="34">
        <f t="shared" si="4"/>
        <v>-3.1666666666666679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4.3333333333333321</v>
      </c>
      <c r="P12" s="34">
        <f t="shared" si="7"/>
        <v>4</v>
      </c>
      <c r="Q12" s="34">
        <f t="shared" si="8"/>
        <v>0.19999999999999929</v>
      </c>
      <c r="R12" s="15">
        <v>4</v>
      </c>
      <c r="S12" s="34">
        <f t="shared" si="9"/>
        <v>3</v>
      </c>
      <c r="T12" s="35">
        <f t="shared" si="1"/>
        <v>4</v>
      </c>
      <c r="U12" s="35">
        <f t="shared" si="10"/>
        <v>19.999999999999929</v>
      </c>
      <c r="W12" s="88">
        <v>0.11805555555555557</v>
      </c>
      <c r="X12">
        <v>0</v>
      </c>
      <c r="Y12">
        <v>0</v>
      </c>
      <c r="Z12" s="88">
        <v>0.34375</v>
      </c>
      <c r="AC12" t="str">
        <f>IF(B1=0,"PD_NS_AVG","")</f>
        <v>PD_NS_AVG</v>
      </c>
      <c r="AD12">
        <f>IF(B1=0,SUM(O4:O10)/COUNT(O4:O10),"")</f>
        <v>7.1571428571428584</v>
      </c>
      <c r="AE12">
        <f>IF(B1=0,SUM(S4:S10)/COUNT(S4:S10),"")</f>
        <v>3.1428571428571428</v>
      </c>
      <c r="AF12" t="str">
        <f>IF(B$1=0,IF(COUNT(S4:S10)&lt;7,7-COUNT(S4:S10),""),"")</f>
        <v/>
      </c>
    </row>
    <row r="13" spans="1:33" x14ac:dyDescent="0.35">
      <c r="A13" s="75">
        <v>44602</v>
      </c>
      <c r="B13" s="32">
        <v>10</v>
      </c>
      <c r="C13" s="28">
        <v>24</v>
      </c>
      <c r="D13" s="15">
        <v>27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27.166666666666668</v>
      </c>
      <c r="J13" s="34">
        <f t="shared" si="4"/>
        <v>-3.1666666666666679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4.3333333333333321</v>
      </c>
      <c r="P13" s="34">
        <f t="shared" si="7"/>
        <v>4</v>
      </c>
      <c r="Q13" s="34">
        <f t="shared" si="8"/>
        <v>0.19999999999999929</v>
      </c>
      <c r="R13" s="15">
        <v>5</v>
      </c>
      <c r="S13" s="34">
        <f t="shared" si="9"/>
        <v>4</v>
      </c>
      <c r="T13" s="35">
        <f t="shared" si="1"/>
        <v>4</v>
      </c>
      <c r="U13" s="35">
        <f t="shared" si="10"/>
        <v>19.999999999999929</v>
      </c>
      <c r="W13" s="88">
        <v>0.10416666666666667</v>
      </c>
      <c r="X13">
        <v>0</v>
      </c>
      <c r="Y13">
        <v>0</v>
      </c>
      <c r="Z13" s="88">
        <v>0.32291666666666669</v>
      </c>
      <c r="AC13" t="str">
        <f>IF(B1=0,"DP_PSD_AVG","")</f>
        <v>DP_PSD_AVG</v>
      </c>
      <c r="AD13">
        <f>IF(B1=0,SUM(O11:O13)/(COUNT(O11:O13)),"")</f>
        <v>4.3333333333333321</v>
      </c>
      <c r="AE13">
        <f>IF(B1=0,SUM(S11:S13)/COUNT(S11:S13),"")</f>
        <v>3.3333333333333335</v>
      </c>
      <c r="AF13" t="str">
        <f>IF(B$1=0,IF(COUNT(S11:S13)&lt;3,3-COUNT(S11:S13),""),"")</f>
        <v/>
      </c>
    </row>
    <row r="14" spans="1:33" x14ac:dyDescent="0.35">
      <c r="A14" s="75">
        <v>44603</v>
      </c>
      <c r="B14" s="32">
        <v>11</v>
      </c>
      <c r="C14" s="28">
        <v>24</v>
      </c>
      <c r="D14" s="15">
        <v>24</v>
      </c>
      <c r="E14" s="15">
        <v>30</v>
      </c>
      <c r="F14" s="15">
        <v>50</v>
      </c>
      <c r="G14" s="34">
        <f t="shared" si="2"/>
        <v>0.5</v>
      </c>
      <c r="H14" s="34">
        <f t="shared" si="2"/>
        <v>0.83333333333333348</v>
      </c>
      <c r="I14" s="34">
        <f t="shared" si="3"/>
        <v>25.333333333333332</v>
      </c>
      <c r="J14" s="34">
        <f t="shared" si="4"/>
        <v>-1.3333333333333321</v>
      </c>
      <c r="K14" s="15">
        <v>8</v>
      </c>
      <c r="L14" s="15">
        <v>0</v>
      </c>
      <c r="M14" s="34">
        <f t="shared" si="5"/>
        <v>0</v>
      </c>
      <c r="N14" s="34">
        <f t="shared" si="6"/>
        <v>8</v>
      </c>
      <c r="O14" s="34">
        <f t="shared" si="0"/>
        <v>6.6666666666666679</v>
      </c>
      <c r="P14" s="34">
        <f t="shared" si="7"/>
        <v>6</v>
      </c>
      <c r="Q14" s="34">
        <f t="shared" si="8"/>
        <v>0.40000000000000069</v>
      </c>
      <c r="R14" s="15">
        <v>3</v>
      </c>
      <c r="S14" s="34">
        <f t="shared" si="9"/>
        <v>2</v>
      </c>
      <c r="T14" s="35">
        <f t="shared" si="1"/>
        <v>6</v>
      </c>
      <c r="U14" s="35">
        <f t="shared" si="10"/>
        <v>40.000000000000071</v>
      </c>
      <c r="W14" s="88">
        <v>2.0833333333333332E-2</v>
      </c>
      <c r="X14">
        <v>1</v>
      </c>
      <c r="Y14">
        <v>10</v>
      </c>
      <c r="Z14" s="88">
        <v>0.35416666666666669</v>
      </c>
      <c r="AC14" t="str">
        <f>IF(B1=0,"NS_AVG","")</f>
        <v>NS_AVG</v>
      </c>
      <c r="AD14">
        <f>IF(B1=0,SUM(O14:O17)/(COUNT(O14:O17)),"")</f>
        <v>7.4583333333333339</v>
      </c>
      <c r="AE14">
        <f>IF(B1=0,SUM(S14:S20)/COUNT(S14:S20),"")</f>
        <v>2.25</v>
      </c>
      <c r="AF14">
        <f>IF(B$1=0,IF(COUNT(S14:S20)&lt;7,7-COUNT(S14:S20),""),"")</f>
        <v>3</v>
      </c>
    </row>
    <row r="15" spans="1:33" x14ac:dyDescent="0.35">
      <c r="A15" s="75">
        <v>44604</v>
      </c>
      <c r="B15" s="32">
        <v>12</v>
      </c>
      <c r="C15" s="28">
        <v>24</v>
      </c>
      <c r="D15" s="15">
        <v>24</v>
      </c>
      <c r="E15" s="15">
        <v>30</v>
      </c>
      <c r="F15" s="15">
        <v>30</v>
      </c>
      <c r="G15" s="34">
        <f t="shared" si="2"/>
        <v>0.5</v>
      </c>
      <c r="H15" s="34">
        <f t="shared" si="2"/>
        <v>0.5</v>
      </c>
      <c r="I15" s="34">
        <f t="shared" si="3"/>
        <v>25</v>
      </c>
      <c r="J15" s="34">
        <f t="shared" si="4"/>
        <v>-1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8</v>
      </c>
      <c r="P15" s="34">
        <f t="shared" si="7"/>
        <v>8</v>
      </c>
      <c r="Q15" s="34">
        <f t="shared" si="8"/>
        <v>0</v>
      </c>
      <c r="R15" s="15">
        <v>3</v>
      </c>
      <c r="S15" s="34">
        <f t="shared" si="9"/>
        <v>2</v>
      </c>
      <c r="T15" s="35">
        <f t="shared" si="1"/>
        <v>8</v>
      </c>
      <c r="U15" s="35">
        <f t="shared" si="10"/>
        <v>0</v>
      </c>
      <c r="W15" s="88">
        <v>1.3888888888888888E-2</v>
      </c>
      <c r="X15">
        <v>2</v>
      </c>
      <c r="Y15">
        <v>10</v>
      </c>
      <c r="Z15" s="88">
        <v>0.45833333333333331</v>
      </c>
      <c r="AC15" s="82" t="s">
        <v>288</v>
      </c>
      <c r="AD15" s="84" cm="1">
        <f t="array" ref="AD15">_xlfn.IFS(B1=0,AD12-AD13,B1=1,AD8-AD9)</f>
        <v>2.8238095238095262</v>
      </c>
      <c r="AE15" s="85" t="s">
        <v>289</v>
      </c>
      <c r="AF15" s="84" cm="1">
        <f t="array" ref="AF15">_xlfn.IFS(B1=0,AD14-AD13,B1=1,AD10-AD9)</f>
        <v>3.1250000000000018</v>
      </c>
      <c r="AG15" s="83" t="s">
        <v>290</v>
      </c>
    </row>
    <row r="16" spans="1:33" x14ac:dyDescent="0.35">
      <c r="A16" s="75">
        <v>44605</v>
      </c>
      <c r="B16" s="32">
        <v>13</v>
      </c>
      <c r="C16" s="28">
        <v>24</v>
      </c>
      <c r="D16" s="15">
        <v>24</v>
      </c>
      <c r="E16" s="15">
        <v>30</v>
      </c>
      <c r="F16" s="15">
        <v>60</v>
      </c>
      <c r="G16" s="34">
        <f t="shared" si="2"/>
        <v>0.5</v>
      </c>
      <c r="H16" s="34">
        <f t="shared" si="2"/>
        <v>1</v>
      </c>
      <c r="I16" s="34">
        <f t="shared" si="3"/>
        <v>25.5</v>
      </c>
      <c r="J16" s="34">
        <f t="shared" si="4"/>
        <v>-1.5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7.5</v>
      </c>
      <c r="P16" s="34">
        <f t="shared" si="7"/>
        <v>7</v>
      </c>
      <c r="Q16" s="34">
        <f t="shared" si="8"/>
        <v>0.3</v>
      </c>
      <c r="R16" s="15">
        <v>2</v>
      </c>
      <c r="S16" s="34">
        <f t="shared" si="9"/>
        <v>1</v>
      </c>
      <c r="T16" s="35">
        <f t="shared" si="1"/>
        <v>7</v>
      </c>
      <c r="U16" s="35">
        <f t="shared" si="10"/>
        <v>30</v>
      </c>
      <c r="W16" s="88">
        <v>0</v>
      </c>
      <c r="X16">
        <v>3</v>
      </c>
      <c r="Y16">
        <v>20</v>
      </c>
      <c r="Z16" s="88">
        <v>0.45833333333333331</v>
      </c>
      <c r="AD16" t="s">
        <v>291</v>
      </c>
    </row>
    <row r="17" spans="1:30" x14ac:dyDescent="0.35">
      <c r="A17" s="75">
        <v>44606</v>
      </c>
      <c r="B17" s="32">
        <v>14</v>
      </c>
      <c r="C17" s="28">
        <v>24</v>
      </c>
      <c r="D17" s="15">
        <v>24</v>
      </c>
      <c r="E17" s="15">
        <v>30</v>
      </c>
      <c r="F17" s="15">
        <v>20</v>
      </c>
      <c r="G17" s="34">
        <f t="shared" si="2"/>
        <v>0.5</v>
      </c>
      <c r="H17" s="34">
        <f t="shared" si="2"/>
        <v>0.33333333333333337</v>
      </c>
      <c r="I17" s="34">
        <f t="shared" si="3"/>
        <v>24.833333333333332</v>
      </c>
      <c r="J17" s="34">
        <f t="shared" si="4"/>
        <v>-0.83333333333333215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7.6666666666666679</v>
      </c>
      <c r="P17" s="34">
        <f t="shared" si="7"/>
        <v>7</v>
      </c>
      <c r="Q17" s="34">
        <f t="shared" si="8"/>
        <v>0.40000000000000069</v>
      </c>
      <c r="R17" s="15">
        <v>5</v>
      </c>
      <c r="S17" s="34">
        <f t="shared" si="9"/>
        <v>4</v>
      </c>
      <c r="T17" s="35">
        <f t="shared" si="1"/>
        <v>7</v>
      </c>
      <c r="U17" s="35">
        <f t="shared" si="10"/>
        <v>40.000000000000071</v>
      </c>
      <c r="W17" s="88">
        <v>1.3888888888888888E-2</v>
      </c>
      <c r="X17">
        <v>0</v>
      </c>
      <c r="Y17">
        <v>0</v>
      </c>
      <c r="Z17" s="88">
        <v>0.36805555555555558</v>
      </c>
      <c r="AC17" t="s">
        <v>269</v>
      </c>
      <c r="AD17" t="s">
        <v>297</v>
      </c>
    </row>
    <row r="18" spans="1:30" x14ac:dyDescent="0.35">
      <c r="A18" s="75">
        <v>44607</v>
      </c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30" x14ac:dyDescent="0.35">
      <c r="A19" s="75">
        <v>44608</v>
      </c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30" x14ac:dyDescent="0.35">
      <c r="A20" s="75">
        <v>44609</v>
      </c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30" x14ac:dyDescent="0.35">
      <c r="R24" t="s">
        <v>266</v>
      </c>
    </row>
    <row r="26" spans="1:30" x14ac:dyDescent="0.35">
      <c r="B26" t="s">
        <v>162</v>
      </c>
      <c r="K26" t="s">
        <v>164</v>
      </c>
    </row>
    <row r="27" spans="1:30" x14ac:dyDescent="0.35">
      <c r="B27" t="s">
        <v>161</v>
      </c>
      <c r="K27" t="s">
        <v>163</v>
      </c>
    </row>
    <row r="28" spans="1:30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AC8:AC10">
    <cfRule type="notContainsBlanks" dxfId="7" priority="6">
      <formula>LEN(TRIM(AC8))&gt;0</formula>
    </cfRule>
  </conditionalFormatting>
  <conditionalFormatting sqref="AC12:AC14">
    <cfRule type="notContainsBlanks" dxfId="6" priority="5">
      <formula>LEN(TRIM(AC12))&gt;0</formula>
    </cfRule>
  </conditionalFormatting>
  <conditionalFormatting sqref="AC11:AF11">
    <cfRule type="notContainsBlanks" dxfId="5" priority="4">
      <formula>LEN(TRIM(AC11))&gt;0</formula>
    </cfRule>
  </conditionalFormatting>
  <conditionalFormatting sqref="AD8:AE10">
    <cfRule type="notContainsBlanks" dxfId="4" priority="9">
      <formula>LEN(TRIM(AD8))&gt;0</formula>
    </cfRule>
  </conditionalFormatting>
  <conditionalFormatting sqref="AD12:AE14">
    <cfRule type="notContainsBlanks" dxfId="3" priority="2">
      <formula>LEN(TRIM(AD12))&gt;0</formula>
    </cfRule>
  </conditionalFormatting>
  <conditionalFormatting sqref="AD12:AF14">
    <cfRule type="notContainsBlanks" dxfId="2" priority="1">
      <formula>LEN(TRIM(AD12))&gt;0</formula>
    </cfRule>
  </conditionalFormatting>
  <conditionalFormatting sqref="AF8:AF10 AF12:AF14">
    <cfRule type="notContainsBlanks" dxfId="1" priority="8">
      <formula>LEN(TRIM(AF8))&gt;0</formula>
    </cfRule>
  </conditionalFormatting>
  <conditionalFormatting sqref="AG12">
    <cfRule type="notContainsBlanks" dxfId="0" priority="3">
      <formula>LEN(TRIM(AG12))&gt;0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35B7-05F5-4097-9023-618E59D737BD}">
  <dimension ref="A1:I18"/>
  <sheetViews>
    <sheetView tabSelected="1" workbookViewId="0">
      <selection activeCell="B16" sqref="B16"/>
    </sheetView>
  </sheetViews>
  <sheetFormatPr defaultRowHeight="14.5" x14ac:dyDescent="0.35"/>
  <cols>
    <col min="1" max="1" width="13.7265625" customWidth="1"/>
  </cols>
  <sheetData>
    <row r="1" spans="1:9" x14ac:dyDescent="0.35">
      <c r="A1" s="90" t="s">
        <v>272</v>
      </c>
      <c r="B1" t="s">
        <v>298</v>
      </c>
      <c r="C1" t="s">
        <v>302</v>
      </c>
      <c r="D1" t="s">
        <v>303</v>
      </c>
      <c r="E1" t="s">
        <v>299</v>
      </c>
      <c r="F1" t="s">
        <v>300</v>
      </c>
      <c r="G1" t="s">
        <v>304</v>
      </c>
      <c r="H1" t="s">
        <v>301</v>
      </c>
      <c r="I1" t="s">
        <v>305</v>
      </c>
    </row>
    <row r="2" spans="1:9" x14ac:dyDescent="0.35">
      <c r="A2" s="91">
        <v>44593</v>
      </c>
      <c r="B2" s="88">
        <v>0.98958333333333337</v>
      </c>
      <c r="C2" s="88">
        <v>1.3888888888888888E-2</v>
      </c>
      <c r="D2">
        <v>30</v>
      </c>
      <c r="E2">
        <v>5</v>
      </c>
      <c r="F2">
        <v>10</v>
      </c>
      <c r="G2" s="88">
        <v>0.32291666666666669</v>
      </c>
      <c r="H2" s="88">
        <v>0.3298611111111111</v>
      </c>
      <c r="I2">
        <v>3</v>
      </c>
    </row>
    <row r="3" spans="1:9" x14ac:dyDescent="0.35">
      <c r="A3" s="91">
        <v>44594</v>
      </c>
      <c r="B3" s="88">
        <v>0.97916666666666663</v>
      </c>
      <c r="C3" s="88">
        <v>0</v>
      </c>
      <c r="D3">
        <v>15</v>
      </c>
      <c r="E3">
        <v>0</v>
      </c>
      <c r="F3">
        <v>0</v>
      </c>
      <c r="G3" s="88">
        <v>0.3125</v>
      </c>
      <c r="H3" s="88">
        <v>0.3263888888888889</v>
      </c>
      <c r="I3">
        <v>5</v>
      </c>
    </row>
    <row r="4" spans="1:9" x14ac:dyDescent="0.35">
      <c r="A4" s="91">
        <v>44595</v>
      </c>
      <c r="B4" s="88">
        <v>0.99305555555555547</v>
      </c>
      <c r="C4" s="88">
        <v>0</v>
      </c>
      <c r="D4">
        <v>20</v>
      </c>
      <c r="E4">
        <v>3</v>
      </c>
      <c r="F4">
        <v>15</v>
      </c>
      <c r="G4" s="88">
        <v>0.31944444444444448</v>
      </c>
      <c r="H4" s="88">
        <v>0.3611111111111111</v>
      </c>
      <c r="I4">
        <v>3</v>
      </c>
    </row>
    <row r="5" spans="1:9" x14ac:dyDescent="0.35">
      <c r="A5" s="91">
        <v>44596</v>
      </c>
      <c r="B5" s="88">
        <v>0.99305555555555547</v>
      </c>
      <c r="C5" s="88">
        <v>0</v>
      </c>
      <c r="D5">
        <v>40</v>
      </c>
      <c r="E5">
        <v>0</v>
      </c>
      <c r="F5">
        <v>0</v>
      </c>
      <c r="G5" s="88">
        <v>0.3298611111111111</v>
      </c>
      <c r="H5" s="89">
        <v>0.33680555555555558</v>
      </c>
      <c r="I5">
        <v>4</v>
      </c>
    </row>
    <row r="6" spans="1:9" x14ac:dyDescent="0.35">
      <c r="A6" s="91">
        <v>44597</v>
      </c>
      <c r="B6" s="88">
        <v>1.3888888888888888E-2</v>
      </c>
      <c r="C6" s="88">
        <v>2.0833333333333332E-2</v>
      </c>
      <c r="D6">
        <v>20</v>
      </c>
      <c r="E6">
        <v>0</v>
      </c>
      <c r="F6">
        <v>0</v>
      </c>
      <c r="G6" s="88">
        <v>0.36458333333333331</v>
      </c>
      <c r="H6" s="88">
        <v>0.41666666666666669</v>
      </c>
      <c r="I6">
        <v>5</v>
      </c>
    </row>
    <row r="7" spans="1:9" x14ac:dyDescent="0.35">
      <c r="A7" s="91">
        <v>44598</v>
      </c>
      <c r="B7" s="88">
        <v>0.97916666666666663</v>
      </c>
      <c r="C7" s="88">
        <v>0.98958333333333337</v>
      </c>
      <c r="D7">
        <v>20</v>
      </c>
      <c r="E7">
        <v>0</v>
      </c>
      <c r="F7">
        <v>0</v>
      </c>
      <c r="G7" s="88">
        <v>0.26111111111111113</v>
      </c>
      <c r="H7" s="88">
        <v>0.2638888888888889</v>
      </c>
      <c r="I7">
        <v>4</v>
      </c>
    </row>
    <row r="8" spans="1:9" x14ac:dyDescent="0.35">
      <c r="A8" s="91">
        <v>44599</v>
      </c>
      <c r="B8" s="88">
        <v>1.3888888888888888E-2</v>
      </c>
      <c r="C8" s="88">
        <v>2.0833333333333332E-2</v>
      </c>
      <c r="D8">
        <v>30</v>
      </c>
      <c r="E8">
        <v>1</v>
      </c>
      <c r="F8">
        <v>1</v>
      </c>
      <c r="G8" s="88">
        <v>0.34375</v>
      </c>
      <c r="H8" s="88">
        <v>0.36458333333333331</v>
      </c>
      <c r="I8">
        <v>5</v>
      </c>
    </row>
    <row r="9" spans="1:9" x14ac:dyDescent="0.35">
      <c r="A9" s="91">
        <v>44600</v>
      </c>
      <c r="B9" s="88">
        <v>0.10416666666666667</v>
      </c>
      <c r="C9" s="88">
        <v>0.125</v>
      </c>
      <c r="D9">
        <v>10</v>
      </c>
      <c r="E9">
        <v>0</v>
      </c>
      <c r="F9">
        <v>0</v>
      </c>
      <c r="G9" s="88">
        <v>0.3125</v>
      </c>
      <c r="H9" s="88">
        <v>0.375</v>
      </c>
      <c r="I9">
        <v>4</v>
      </c>
    </row>
    <row r="10" spans="1:9" x14ac:dyDescent="0.35">
      <c r="A10" s="91">
        <v>44601</v>
      </c>
      <c r="B10" s="88">
        <v>0.11805555555555557</v>
      </c>
      <c r="C10" s="88">
        <v>0.125</v>
      </c>
      <c r="D10">
        <v>10</v>
      </c>
      <c r="E10">
        <v>0</v>
      </c>
      <c r="F10">
        <v>0</v>
      </c>
      <c r="G10" s="88">
        <v>0.3125</v>
      </c>
      <c r="H10" s="88">
        <v>0.34375</v>
      </c>
      <c r="I10">
        <v>4</v>
      </c>
    </row>
    <row r="11" spans="1:9" x14ac:dyDescent="0.35">
      <c r="A11" s="91">
        <v>44602</v>
      </c>
      <c r="B11" s="88">
        <v>0.10416666666666667</v>
      </c>
      <c r="C11" s="88">
        <v>0.125</v>
      </c>
      <c r="D11">
        <v>10</v>
      </c>
      <c r="E11">
        <v>0</v>
      </c>
      <c r="F11">
        <v>0</v>
      </c>
      <c r="G11" s="88">
        <v>0.3125</v>
      </c>
      <c r="H11" s="88">
        <v>0.32291666666666669</v>
      </c>
      <c r="I11">
        <v>5</v>
      </c>
    </row>
    <row r="12" spans="1:9" x14ac:dyDescent="0.35">
      <c r="A12" s="91">
        <v>44603</v>
      </c>
      <c r="B12" s="88">
        <v>2.0833333333333332E-2</v>
      </c>
      <c r="C12" s="88">
        <v>2.0833333333333332E-2</v>
      </c>
      <c r="D12">
        <v>50</v>
      </c>
      <c r="E12">
        <v>1</v>
      </c>
      <c r="F12">
        <v>10</v>
      </c>
      <c r="G12" s="88">
        <v>0.33333333333333331</v>
      </c>
      <c r="H12" s="88">
        <v>0.35416666666666669</v>
      </c>
      <c r="I12">
        <v>3</v>
      </c>
    </row>
    <row r="13" spans="1:9" x14ac:dyDescent="0.35">
      <c r="A13" s="91">
        <v>44604</v>
      </c>
      <c r="B13" s="88">
        <v>1.3888888888888888E-2</v>
      </c>
      <c r="C13" s="88">
        <v>2.0833333333333332E-2</v>
      </c>
      <c r="D13">
        <v>30</v>
      </c>
      <c r="E13">
        <v>2</v>
      </c>
      <c r="F13">
        <v>10</v>
      </c>
      <c r="G13" s="88">
        <v>0.375</v>
      </c>
      <c r="H13" s="88">
        <v>0.45833333333333331</v>
      </c>
      <c r="I13">
        <v>3</v>
      </c>
    </row>
    <row r="14" spans="1:9" x14ac:dyDescent="0.35">
      <c r="A14" s="91">
        <v>44605</v>
      </c>
      <c r="B14" s="88">
        <v>0</v>
      </c>
      <c r="C14" s="88">
        <v>2.0833333333333332E-2</v>
      </c>
      <c r="D14">
        <v>60</v>
      </c>
      <c r="E14">
        <v>3</v>
      </c>
      <c r="F14">
        <v>20</v>
      </c>
      <c r="G14" s="88">
        <v>0.375</v>
      </c>
      <c r="H14" s="88">
        <v>0.45833333333333331</v>
      </c>
      <c r="I14">
        <v>2</v>
      </c>
    </row>
    <row r="15" spans="1:9" x14ac:dyDescent="0.35">
      <c r="A15" s="91">
        <v>44606</v>
      </c>
      <c r="B15" s="88">
        <v>1.3888888888888888E-2</v>
      </c>
      <c r="C15" s="88">
        <v>2.0833333333333332E-2</v>
      </c>
      <c r="D15">
        <v>20</v>
      </c>
      <c r="E15">
        <v>0</v>
      </c>
      <c r="F15">
        <v>0</v>
      </c>
      <c r="G15" s="88">
        <v>0.35416666666666669</v>
      </c>
      <c r="H15" s="88">
        <v>0.36805555555555558</v>
      </c>
      <c r="I15">
        <v>5</v>
      </c>
    </row>
    <row r="16" spans="1:9" x14ac:dyDescent="0.35">
      <c r="A16" s="91">
        <v>44607</v>
      </c>
    </row>
    <row r="17" spans="1:1" x14ac:dyDescent="0.35">
      <c r="A17" s="91">
        <v>44608</v>
      </c>
    </row>
    <row r="18" spans="1:1" x14ac:dyDescent="0.35">
      <c r="A18" s="91">
        <v>44609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G34" sqref="G34"/>
    </sheetView>
  </sheetViews>
  <sheetFormatPr defaultColWidth="11.453125" defaultRowHeight="14.5" x14ac:dyDescent="0.35"/>
  <cols>
    <col min="1" max="1" width="8.26953125" customWidth="1"/>
    <col min="2" max="2" width="7.26953125" customWidth="1"/>
    <col min="3" max="3" width="12.7265625" customWidth="1"/>
    <col min="4" max="4" width="2.26953125" customWidth="1"/>
    <col min="6" max="6" width="8" customWidth="1"/>
    <col min="7" max="7" width="10.26953125" customWidth="1"/>
    <col min="8" max="8" width="7.453125" customWidth="1"/>
    <col min="12" max="12" width="2.7265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5</v>
      </c>
      <c r="C4" s="7" t="s">
        <v>103</v>
      </c>
      <c r="E4" s="14" t="s">
        <v>20</v>
      </c>
      <c r="F4" s="15">
        <v>5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38</v>
      </c>
      <c r="E5" s="17" t="s">
        <v>24</v>
      </c>
      <c r="F5" s="15">
        <v>1</v>
      </c>
      <c r="G5" s="18">
        <f>F4+F6+F8+F12+F13+F15+F17+F19+F20+F22</f>
        <v>27</v>
      </c>
      <c r="I5" s="17" t="s">
        <v>24</v>
      </c>
      <c r="J5" s="15">
        <v>1</v>
      </c>
      <c r="K5" s="18">
        <f>J4+J6+J8+J12+J13+J15+J17+J19+J20+J22</f>
        <v>42</v>
      </c>
      <c r="M5" s="17" t="s">
        <v>24</v>
      </c>
      <c r="N5" s="15">
        <v>1</v>
      </c>
      <c r="O5" s="18">
        <f>N4+N6+N8+N12+N13+N15+N17+N19+N20+N22</f>
        <v>39</v>
      </c>
    </row>
    <row r="6" spans="1:15" x14ac:dyDescent="0.35">
      <c r="A6" s="14" t="s">
        <v>28</v>
      </c>
      <c r="B6" s="15">
        <v>3</v>
      </c>
      <c r="E6" s="14" t="s">
        <v>28</v>
      </c>
      <c r="F6" s="15">
        <v>2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4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4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25</v>
      </c>
      <c r="I8" s="14" t="s">
        <v>35</v>
      </c>
      <c r="J8" s="15">
        <v>5</v>
      </c>
      <c r="K8" s="18">
        <f>J5+J7+J9+J10+J11+J14+J16+J18+J21+J23</f>
        <v>10</v>
      </c>
      <c r="M8" s="14" t="s">
        <v>35</v>
      </c>
      <c r="N8" s="15">
        <v>5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5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4</v>
      </c>
      <c r="E12" s="14" t="s">
        <v>43</v>
      </c>
      <c r="F12" s="15">
        <v>4</v>
      </c>
      <c r="I12" s="14" t="s">
        <v>43</v>
      </c>
      <c r="J12" s="15">
        <v>4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4</v>
      </c>
      <c r="E13" s="14" t="s">
        <v>47</v>
      </c>
      <c r="F13" s="15">
        <v>1</v>
      </c>
      <c r="I13" s="14" t="s">
        <v>47</v>
      </c>
      <c r="J13" s="15">
        <v>4</v>
      </c>
      <c r="M13" s="14" t="s">
        <v>47</v>
      </c>
      <c r="N13" s="15">
        <v>5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4</v>
      </c>
      <c r="E15" s="14" t="s">
        <v>53</v>
      </c>
      <c r="F15" s="15">
        <v>1</v>
      </c>
      <c r="I15" s="14" t="s">
        <v>53</v>
      </c>
      <c r="J15" s="15">
        <v>5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3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3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5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5</v>
      </c>
      <c r="E19" s="14" t="s">
        <v>65</v>
      </c>
      <c r="F19" s="15">
        <v>4</v>
      </c>
      <c r="I19" s="14" t="s">
        <v>65</v>
      </c>
      <c r="J19" s="15">
        <v>5</v>
      </c>
      <c r="M19" s="14" t="s">
        <v>65</v>
      </c>
      <c r="N19" s="15">
        <v>5</v>
      </c>
    </row>
    <row r="20" spans="1:14" x14ac:dyDescent="0.35">
      <c r="A20" s="14" t="s">
        <v>68</v>
      </c>
      <c r="B20" s="15">
        <v>3</v>
      </c>
      <c r="E20" s="14" t="s">
        <v>68</v>
      </c>
      <c r="F20" s="15">
        <v>4</v>
      </c>
      <c r="I20" s="14" t="s">
        <v>68</v>
      </c>
      <c r="J20" s="15">
        <v>5</v>
      </c>
      <c r="M20" s="14" t="s">
        <v>68</v>
      </c>
      <c r="N20" s="15">
        <v>4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3</v>
      </c>
      <c r="E22" s="14" t="s">
        <v>73</v>
      </c>
      <c r="F22" s="15">
        <v>4</v>
      </c>
      <c r="I22" s="14" t="s">
        <v>73</v>
      </c>
      <c r="J22" s="15">
        <v>5</v>
      </c>
      <c r="M22" s="14" t="s">
        <v>73</v>
      </c>
      <c r="N22" s="15">
        <v>4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7" workbookViewId="0">
      <selection activeCell="E16" sqref="E16"/>
    </sheetView>
  </sheetViews>
  <sheetFormatPr defaultColWidth="11.453125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76" t="s">
        <v>130</v>
      </c>
    </row>
    <row r="3" spans="1:8" x14ac:dyDescent="0.35">
      <c r="A3" s="40" t="s">
        <v>20</v>
      </c>
      <c r="B3" s="77"/>
      <c r="C3" t="s">
        <v>159</v>
      </c>
    </row>
    <row r="4" spans="1:8" x14ac:dyDescent="0.35">
      <c r="A4" s="40" t="s">
        <v>197</v>
      </c>
      <c r="B4" s="15">
        <v>7</v>
      </c>
      <c r="C4" t="s">
        <v>155</v>
      </c>
    </row>
    <row r="5" spans="1:8" x14ac:dyDescent="0.35">
      <c r="A5" s="40" t="s">
        <v>28</v>
      </c>
      <c r="B5" s="15">
        <v>6</v>
      </c>
      <c r="C5" t="s">
        <v>157</v>
      </c>
    </row>
    <row r="7" spans="1:8" x14ac:dyDescent="0.35">
      <c r="A7" s="7" t="s">
        <v>153</v>
      </c>
    </row>
    <row r="8" spans="1:8" x14ac:dyDescent="0.35">
      <c r="A8" s="43" t="s">
        <v>20</v>
      </c>
      <c r="B8" s="49" t="s">
        <v>293</v>
      </c>
      <c r="C8" s="50"/>
      <c r="D8" s="50"/>
      <c r="E8" s="50"/>
      <c r="F8" s="50"/>
      <c r="G8" s="50"/>
      <c r="H8" s="50"/>
    </row>
    <row r="9" spans="1:8" x14ac:dyDescent="0.35">
      <c r="A9" s="43" t="s">
        <v>24</v>
      </c>
      <c r="B9" s="49" t="s">
        <v>294</v>
      </c>
      <c r="C9" s="50"/>
      <c r="D9" s="50"/>
      <c r="E9" s="50"/>
      <c r="F9" s="50"/>
      <c r="G9" s="50"/>
      <c r="H9" s="50"/>
    </row>
    <row r="10" spans="1:8" x14ac:dyDescent="0.35">
      <c r="A10" s="69" t="s">
        <v>28</v>
      </c>
      <c r="B10" s="49" t="s">
        <v>295</v>
      </c>
      <c r="C10" s="50"/>
      <c r="D10" s="50"/>
      <c r="E10" s="50"/>
      <c r="F10" s="50"/>
      <c r="G10" s="50"/>
      <c r="H10" s="50"/>
    </row>
    <row r="11" spans="1:8" x14ac:dyDescent="0.35">
      <c r="A11" s="43" t="s">
        <v>31</v>
      </c>
      <c r="B11" s="49" t="s">
        <v>294</v>
      </c>
      <c r="C11" s="50"/>
      <c r="D11" s="50"/>
      <c r="E11" s="50"/>
      <c r="F11" s="50"/>
      <c r="G11" s="50"/>
      <c r="H11" s="50"/>
    </row>
    <row r="13" spans="1:8" x14ac:dyDescent="0.35">
      <c r="A13" s="7" t="s">
        <v>275</v>
      </c>
    </row>
    <row r="14" spans="1:8" x14ac:dyDescent="0.35">
      <c r="A14" s="40" t="s">
        <v>274</v>
      </c>
      <c r="B14" s="15">
        <v>0</v>
      </c>
    </row>
    <row r="15" spans="1:8" x14ac:dyDescent="0.35">
      <c r="A15" s="40" t="s">
        <v>273</v>
      </c>
      <c r="B15" s="15"/>
    </row>
    <row r="17" spans="1:9" x14ac:dyDescent="0.35">
      <c r="A17" t="s">
        <v>108</v>
      </c>
    </row>
    <row r="18" spans="1:9" x14ac:dyDescent="0.35">
      <c r="A18" s="76" t="s">
        <v>130</v>
      </c>
    </row>
    <row r="19" spans="1:9" x14ac:dyDescent="0.35">
      <c r="A19" s="40" t="s">
        <v>20</v>
      </c>
      <c r="B19" s="77">
        <v>1</v>
      </c>
      <c r="C19" t="s">
        <v>159</v>
      </c>
    </row>
    <row r="20" spans="1:9" x14ac:dyDescent="0.35">
      <c r="A20" s="40" t="s">
        <v>197</v>
      </c>
      <c r="B20" s="15">
        <v>7</v>
      </c>
      <c r="C20" t="s">
        <v>155</v>
      </c>
    </row>
    <row r="21" spans="1:9" x14ac:dyDescent="0.35">
      <c r="A21" s="40" t="s">
        <v>28</v>
      </c>
      <c r="B21" s="15">
        <v>6</v>
      </c>
      <c r="C21" t="s">
        <v>157</v>
      </c>
    </row>
    <row r="23" spans="1:9" x14ac:dyDescent="0.35">
      <c r="A23" s="7" t="s">
        <v>153</v>
      </c>
    </row>
    <row r="24" spans="1:9" x14ac:dyDescent="0.35">
      <c r="A24" s="43" t="s">
        <v>20</v>
      </c>
      <c r="B24" s="49" t="s">
        <v>293</v>
      </c>
      <c r="C24" s="50"/>
      <c r="D24" s="50"/>
      <c r="E24" s="50"/>
      <c r="F24" s="50"/>
      <c r="G24" s="50"/>
      <c r="H24" s="50"/>
      <c r="I24" s="78"/>
    </row>
    <row r="25" spans="1:9" x14ac:dyDescent="0.35">
      <c r="A25" s="43" t="s">
        <v>24</v>
      </c>
      <c r="B25" s="49" t="s">
        <v>294</v>
      </c>
      <c r="C25" s="50"/>
      <c r="D25" s="50"/>
      <c r="E25" s="50"/>
      <c r="F25" s="50"/>
      <c r="G25" s="50"/>
      <c r="H25" s="50"/>
      <c r="I25" s="78"/>
    </row>
    <row r="26" spans="1:9" x14ac:dyDescent="0.35">
      <c r="A26" s="69" t="s">
        <v>28</v>
      </c>
      <c r="B26" s="49" t="s">
        <v>296</v>
      </c>
      <c r="C26" s="50"/>
      <c r="D26" s="50"/>
      <c r="E26" s="50"/>
      <c r="F26" s="50"/>
      <c r="G26" s="50"/>
      <c r="H26" s="50"/>
      <c r="I26" s="78"/>
    </row>
    <row r="27" spans="1:9" x14ac:dyDescent="0.35">
      <c r="A27" s="43" t="s">
        <v>31</v>
      </c>
      <c r="B27" s="49" t="s">
        <v>294</v>
      </c>
      <c r="C27" s="50"/>
      <c r="D27" s="50"/>
      <c r="E27" s="50"/>
      <c r="F27" s="50"/>
      <c r="G27" s="50"/>
      <c r="H27" s="50"/>
      <c r="I27" s="78"/>
    </row>
    <row r="29" spans="1:9" x14ac:dyDescent="0.35">
      <c r="A29" s="7" t="s">
        <v>275</v>
      </c>
    </row>
    <row r="30" spans="1:9" x14ac:dyDescent="0.35">
      <c r="A30" s="40" t="s">
        <v>274</v>
      </c>
      <c r="B30" s="15">
        <v>0</v>
      </c>
    </row>
    <row r="31" spans="1:9" x14ac:dyDescent="0.35">
      <c r="A31" s="40" t="s">
        <v>273</v>
      </c>
      <c r="B31" s="15"/>
    </row>
    <row r="38" spans="1:8" x14ac:dyDescent="0.35">
      <c r="A38" s="58" t="s">
        <v>130</v>
      </c>
    </row>
    <row r="39" spans="1:8" x14ac:dyDescent="0.3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3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3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35">
      <c r="A43" s="58" t="s">
        <v>276</v>
      </c>
    </row>
    <row r="44" spans="1:8" x14ac:dyDescent="0.35">
      <c r="A44" s="40" t="s">
        <v>149</v>
      </c>
      <c r="B44" s="40"/>
      <c r="C44" s="40"/>
      <c r="D44" s="40"/>
      <c r="E44" s="40"/>
    </row>
    <row r="45" spans="1:8" x14ac:dyDescent="0.35">
      <c r="A45" s="40" t="s">
        <v>150</v>
      </c>
      <c r="B45" s="40"/>
      <c r="C45" s="40"/>
      <c r="D45" s="48"/>
      <c r="E45" s="40"/>
    </row>
    <row r="46" spans="1:8" x14ac:dyDescent="0.35">
      <c r="A46" s="40" t="s">
        <v>151</v>
      </c>
      <c r="B46" s="40"/>
      <c r="C46" s="48"/>
      <c r="D46" s="40"/>
      <c r="E46" s="40"/>
      <c r="F46" s="40"/>
      <c r="G46" s="40"/>
    </row>
    <row r="47" spans="1:8" x14ac:dyDescent="0.35">
      <c r="A47" s="40" t="s">
        <v>152</v>
      </c>
      <c r="B47" s="40"/>
      <c r="C47" s="40"/>
    </row>
    <row r="49" spans="1:15" x14ac:dyDescent="0.35">
      <c r="A49" s="58" t="s">
        <v>277</v>
      </c>
    </row>
    <row r="50" spans="1:15" x14ac:dyDescent="0.35">
      <c r="A50" s="43" t="s">
        <v>278</v>
      </c>
      <c r="B50" s="44"/>
      <c r="C50" s="44"/>
      <c r="D50" s="44"/>
      <c r="E50" s="45"/>
    </row>
    <row r="51" spans="1:15" x14ac:dyDescent="0.3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3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3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3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3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3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3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3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3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2023-09-28T15:20:17Z</dcterms:modified>
  <cp:category/>
  <cp:contentStatus/>
</cp:coreProperties>
</file>