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37" documentId="13_ncr:1_{A170B239-0F83-433B-B4F2-E1D69EC00BC7}" xr6:coauthVersionLast="47" xr6:coauthVersionMax="47" xr10:uidLastSave="{1CCA4476-71A8-4D00-9B86-34595F8ACBCF}"/>
  <bookViews>
    <workbookView xWindow="-120" yWindow="-120" windowWidth="29040" windowHeight="1584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M18" i="3"/>
  <c r="N18" i="3" s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AE14" i="3"/>
  <c r="AF9" i="3"/>
  <c r="AE12" i="3"/>
  <c r="AF10" i="3"/>
  <c r="AC10" i="3"/>
  <c r="AC13" i="3"/>
  <c r="AF14" i="3"/>
  <c r="AE10" i="3"/>
  <c r="AD10" i="3"/>
  <c r="AF12" i="3"/>
  <c r="AC11" i="3"/>
  <c r="AE13" i="3"/>
  <c r="AF13" i="3"/>
  <c r="AE9" i="3"/>
  <c r="AD11" i="3"/>
  <c r="AC14" i="3"/>
  <c r="AF11" i="3"/>
  <c r="AC9" i="3"/>
  <c r="AE11" i="3"/>
  <c r="AD9" i="3"/>
  <c r="AC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AD14" i="3"/>
  <c r="AD13" i="3"/>
  <c r="P11" i="3"/>
  <c r="T11" i="3" s="1"/>
  <c r="P12" i="3"/>
  <c r="T12" i="3" s="1"/>
  <c r="P4" i="3"/>
  <c r="T4" i="3" s="1"/>
  <c r="AD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AD15" i="3" a="1"/>
  <c r="AD15" i="3" s="1"/>
  <c r="AF15" i="3" a="1"/>
  <c r="AF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<sst xmlns="http://schemas.openxmlformats.org/spreadsheetml/2006/main" count="558" uniqueCount="303">
  <si>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</si>
  <si>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</si>
  <si>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</si>
  <si>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</si>
  <si>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</si>
  <si>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</si>
  <si>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</si>
  <si>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</si>
  <si>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</si>
  <si>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</si>
  <si>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</si>
  <si>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</si>
  <si>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</si>
  <si>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</si>
  <si>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</si>
  <si>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</si>
  <si>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</si>
  <si>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</si>
  <si>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</si>
  <si>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</si>
  <si>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</si>
  <si>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</si>
  <si>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</si>
  <si>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</si>
  <si>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</si>
  <si>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</si>
  <si>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</si>
  <si>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</si>
  <si>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</si>
  <si>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</si>
  <si>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</si>
  <si>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</si>
  <si>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</si>
  <si>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</si>
  <si>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</si>
  <si>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</si>
  <si>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</si>
  <si>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</si>
  <si>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</si>
  <si>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</si>
  <si>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</si>
  <si>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</si>
  <si>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</si>
  <si>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</si>
  <si>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</si>
  <si>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</si>
  <si>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</si>
  <si>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</si>
  <si>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</si>
  <si>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</si>
  <si>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</si>
  <si>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</si>
  <si>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</si>
  <si>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</si>
  <si>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</si>
  <si>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</si>
  <si>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</si>
  <si>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</si>
  <si>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</si>
  <si>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</si>
  <si>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</si>
  <si>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</si>
  <si>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</si>
  <si>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</si>
  <si>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</si>
  <si>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</si>
  <si>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</si>
  <si>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</si>
  <si>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</si>
  <si>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</si>
  <si>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</si>
  <si>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</si>
  <si>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</si>
  <si>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</si>
  <si>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</si>
  <si>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</si>
  <si>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</si>
  <si>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</si>
  <si>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</si>
  <si>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</si>
  <si>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</si>
  <si>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</si>
  <si>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</si>
  <si>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</si>
  <si>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</si>
  <si>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</si>
  <si>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</si>
  <si>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</si>
  <si>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</si>
  <si>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</si>
  <si>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</si>
  <si>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</si>
  <si>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</si>
  <si>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</si>
  <si>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</si>
  <si>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</si>
  <si>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</si>
  <si>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</si>
  <si>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</si>
  <si>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</si>
  <si>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</si>
  <si>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</si>
  <si>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</si>
  <si>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</si>
  <si>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</si>
  <si>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</si>
  <si>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</si>
  <si>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</si>
  <si>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</si>
  <si>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</si>
  <si>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</si>
  <si>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</si>
  <si>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</si>
  <si>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</si>
  <si>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</si>
  <si>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</si>
  <si>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</si>
  <si>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</si>
  <si>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</si>
  <si>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</si>
  <si>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</si>
  <si>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</si>
  <si>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</si>
  <si>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</si>
  <si>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</si>
  <si>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</si>
  <si>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</si>
  <si>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</si>
  <si>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</si>
  <si>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</si>
  <si>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</si>
  <si>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</si>
  <si>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</si>
  <si>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</si>
  <si>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</si>
  <si>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</si>
  <si>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</si>
  <si>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</si>
  <si>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</si>
  <si>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</si>
  <si>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</si>
  <si>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</si>
  <si>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</si>
  <si>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</si>
  <si>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</si>
  <si>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</si>
  <si>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</si>
  <si>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</si>
  <si>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</si>
  <si>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</si>
  <si>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</si>
  <si>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</si>
  <si>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</si>
  <si>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</si>
  <si>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</si>
  <si>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</si>
  <si>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</si>
  <si>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</si>
  <si>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</si>
  <si>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</si>
  <si>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</si>
  <si>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</si>
  <si>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</si>
  <si>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</si>
  <si>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</si>
  <si>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</si>
  <si>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</si>
  <si>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</si>
  <si>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</si>
  <si>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</si>
  <si>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</si>
  <si>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</si>
  <si>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</si>
  <si>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</si>
  <si>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</si>
  <si>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</si>
  <si>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</si>
  <si>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</si>
  <si>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</si>
  <si>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</si>
  <si>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</si>
  <si>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</si>
  <si>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</si>
  <si>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</si>
  <si>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</si>
  <si>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</si>
  <si>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</si>
  <si>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</si>
  <si>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</si>
  <si>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</si>
  <si>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</si>
  <si>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</si>
  <si>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</si>
  <si>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</si>
  <si>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</si>
  <si>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</si>
  <si>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</si>
  <si>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</si>
  <si>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</si>
  <si>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</si>
  <si>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</si>
  <si>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</si>
  <si>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</si>
  <si>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</si>
  <si>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</si>
  <si>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</si>
  <si>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</si>
  <si>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</si>
  <si>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</si>
  <si>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</si>
  <si>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</si>
  <si>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</si>
  <si>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</si>
  <si>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</si>
  <si>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</si>
  <si>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</si>
  <si>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</si>
  <si>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</si>
  <si>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</si>
  <si>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</si>
  <si>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</si>
  <si>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</si>
  <si>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</si>
  <si>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</si>
  <si>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</si>
  <si>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</si>
  <si>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</si>
  <si>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</si>
  <si>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</si>
  <si>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</si>
  <si>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</si>
  <si>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</si>
  <si>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</si>
  <si>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</si>
  <si>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</si>
  <si>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</si>
  <si>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</si>
  <si>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</si>
  <si>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</si>
  <si>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</si>
  <si>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</si>
  <si>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</si>
  <si>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</si>
  <si>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</si>
  <si>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</si>
  <si>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</si>
  <si>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</si>
  <si>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</si>
  <si>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</si>
  <si>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</si>
  <si>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</si>
  <si>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</si>
  <si>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</si>
  <si>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</si>
  <si>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</si>
  <si>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</si>
  <si>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</si>
  <si>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</si>
  <si>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</si>
  <si>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</si>
  <si>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</si>
  <si>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</si>
  <si>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</si>
  <si>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</si>
  <si>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</si>
  <si>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</si>
  <si>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</si>
  <si>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</si>
  <si>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</si>
  <si>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</si>
  <si>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</si>
  <si>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</si>
  <si>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</si>
  <si>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</si>
  <si>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</si>
  <si>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</si>
  <si>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</si>
  <si>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</si>
  <si>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</si>
  <si>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</si>
  <si>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</si>
  <si>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</si>
  <si>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</si>
  <si>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</si>
  <si>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</si>
  <si>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</si>
  <si>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</si>
  <si>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</si>
  <si>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</si>
  <si>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</si>
  <si>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</si>
  <si>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</si>
  <si>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nei</t>
  </si>
  <si>
    <t>master, jobb, middag, mynt eksempelet (tilfeldighet) - til andre mynter (andre currencies - vandring)</t>
  </si>
  <si>
    <t>master, jobb, sommerferie, linse</t>
  </si>
  <si>
    <t>q1</t>
  </si>
  <si>
    <t>q5</t>
  </si>
  <si>
    <t>q6</t>
  </si>
  <si>
    <t>q7</t>
  </si>
  <si>
    <t>q3</t>
  </si>
  <si>
    <t>q2</t>
  </si>
  <si>
    <t>q4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</si>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</sst>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6" fontId="0" fillId="4" borderId="3" xfId="0" applyNumberFormat="1" applyFill="1" applyBorder="1"/>
    <xf numFmtId="20" fontId="0" fillId="0" borderId="0" xfId="0" applyNumberFormat="1"/>
    <xf numFmtId="20" fontId="6" fillId="0" borderId="0" xfId="0" applyNumberFormat="1" applyFont="1"/>
    <xf numFmtId="0" fontId="0" fillId="13" borderId="5" xfId="0" applyFill="1" applyBorder="1"/>
    <xf numFmtId="14" fontId="0" fillId="12" borderId="5" xfId="0" applyNumberFormat="1" applyFill="1" applyBorder="1"/>
    <xf numFmtId="0" fontId="0" fillId="0" borderId="0" xfId="0" applyFill="1" applyBorder="1"/>
    <xf numFmtId="20" fontId="0" fillId="0" borderId="0" xfId="0" applyNumberFormat="1" applyFill="1" applyBorder="1"/>
    <xf numFmtId="20" fontId="6" fillId="0" borderId="0" xfId="0" applyNumberFormat="1" applyFon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28" sqref="D28"/>
    </sheetView>
  </sheetViews>
  <sheetFormatPr defaultColWidth="11.42578125" defaultRowHeight="15" x14ac:dyDescent="0.25"/>
  <cols>
    <col min="1" max="1" width="5.42578125" customWidth="1"/>
    <col min="2" max="2" width="29.7109375" customWidth="1"/>
    <col min="3" max="3" width="4.7109375" customWidth="1"/>
    <col min="4" max="4" width="11.28515625" customWidth="1"/>
    <col min="5" max="5" width="4.71093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32</v>
      </c>
      <c r="F2" t="s">
        <v>252</v>
      </c>
    </row>
    <row r="3" spans="1:8" x14ac:dyDescent="0.25">
      <c r="B3" s="43" t="s">
        <v>106</v>
      </c>
      <c r="C3" s="45"/>
      <c r="D3" s="37">
        <v>26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44637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51</v>
      </c>
      <c r="F8" s="57" t="s">
        <v>270</v>
      </c>
      <c r="H8" s="74">
        <f>((E8/0.6)/100)+D8</f>
        <v>11.85</v>
      </c>
    </row>
    <row r="9" spans="1:8" x14ac:dyDescent="0.25">
      <c r="B9" s="43" t="s">
        <v>110</v>
      </c>
      <c r="C9" s="45"/>
      <c r="D9" s="86">
        <v>44644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51</v>
      </c>
      <c r="F10" s="57" t="s">
        <v>270</v>
      </c>
      <c r="H10" s="74">
        <f>((E10/0.6)/100)+D10</f>
        <v>12.85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defaultColWidth="11.42578125" defaultRowHeight="14.25" x14ac:dyDescent="0.2"/>
  <cols>
    <col min="1" max="1" width="11.28515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28515625" style="1" customWidth="1"/>
    <col min="6" max="6" width="8" style="1" customWidth="1"/>
    <col min="7" max="7" width="2.7109375" style="1" customWidth="1"/>
    <col min="8" max="8" width="11.42578125" style="1"/>
    <col min="9" max="9" width="7.7109375" style="1" customWidth="1"/>
    <col min="10" max="10" width="3.28515625" style="1" customWidth="1"/>
    <col min="11" max="11" width="9.5703125" style="1" customWidth="1"/>
    <col min="12" max="12" width="7" style="1" customWidth="1"/>
    <col min="13" max="13" width="3.28515625" style="1" customWidth="1"/>
    <col min="14" max="14" width="12.5703125" style="1" customWidth="1"/>
    <col min="15" max="15" width="8.42578125" style="1" customWidth="1"/>
    <col min="16" max="16" width="10.7109375" style="1" customWidth="1"/>
    <col min="17" max="18" width="10.28515625" style="1" customWidth="1"/>
    <col min="19" max="19" width="2.7109375" style="1" customWidth="1"/>
    <col min="20" max="20" width="7.5703125" style="1" customWidth="1"/>
    <col min="21" max="21" width="7" style="1" customWidth="1"/>
    <col min="22" max="22" width="7.71093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5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30</v>
      </c>
      <c r="AA4"/>
      <c r="AB4" s="10" t="s">
        <v>24</v>
      </c>
      <c r="AC4" s="11">
        <v>3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8</v>
      </c>
      <c r="C6" s="11"/>
      <c r="E6" s="8" t="s">
        <v>31</v>
      </c>
      <c r="F6" s="9">
        <v>4</v>
      </c>
      <c r="H6" s="8" t="s">
        <v>31</v>
      </c>
      <c r="I6" s="9">
        <v>0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7</v>
      </c>
    </row>
    <row r="7" spans="1:29" ht="15" x14ac:dyDescent="0.25">
      <c r="A7" s="10" t="s">
        <v>31</v>
      </c>
      <c r="B7" s="11">
        <v>8</v>
      </c>
      <c r="C7" s="11"/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9</v>
      </c>
      <c r="P7" s="11">
        <v>0</v>
      </c>
      <c r="Q7" s="13">
        <f>((P7/0.6)/100)+O7</f>
        <v>9</v>
      </c>
      <c r="R7" s="13">
        <f>(Q8/(Q3+Q7))*100</f>
        <v>80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18</v>
      </c>
      <c r="AA7"/>
    </row>
    <row r="8" spans="1:29" ht="15" x14ac:dyDescent="0.25">
      <c r="A8" s="10" t="s">
        <v>35</v>
      </c>
      <c r="B8" s="11">
        <v>8</v>
      </c>
      <c r="C8" s="11"/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10</v>
      </c>
      <c r="C9" s="67"/>
      <c r="E9" s="8" t="s">
        <v>39</v>
      </c>
      <c r="F9" s="9">
        <v>2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1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1</v>
      </c>
      <c r="C12" s="52"/>
      <c r="E12" s="8" t="s">
        <v>16</v>
      </c>
      <c r="F12" s="20">
        <f>SUM(F3:F11)/9</f>
        <v>2.6666666666666665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4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G63"/>
  <sheetViews>
    <sheetView zoomScaleNormal="100" workbookViewId="0">
      <selection activeCell="R20" sqref="R3:R20"/>
    </sheetView>
  </sheetViews>
  <sheetFormatPr defaultColWidth="10.42578125" defaultRowHeight="15" x14ac:dyDescent="0.25"/>
  <cols>
    <col min="1" max="1" width="11.28515625" customWidth="1"/>
    <col min="2" max="2" width="5.140625" customWidth="1"/>
    <col min="3" max="3" width="5.28515625" customWidth="1"/>
    <col min="4" max="4" width="8.5703125" customWidth="1"/>
    <col min="5" max="6" width="8.7109375" customWidth="1"/>
    <col min="7" max="7" width="4.71093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28515625" customWidth="1"/>
    <col min="22" max="22" width="3.7109375" customWidth="1"/>
    <col min="23" max="23" width="13.71093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3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3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3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295</v>
      </c>
      <c r="X3" t="s">
        <v>296</v>
      </c>
      <c r="Y3" t="s">
        <v>297</v>
      </c>
      <c r="Z3" t="s">
        <v>298</v>
      </c>
    </row>
    <row r="4" spans="1:33" x14ac:dyDescent="0.25">
      <c r="A4" s="75">
        <v>44627</v>
      </c>
      <c r="B4" s="32">
        <v>1</v>
      </c>
      <c r="C4" s="33">
        <v>24</v>
      </c>
      <c r="D4" s="15">
        <v>23</v>
      </c>
      <c r="E4" s="15">
        <v>17</v>
      </c>
      <c r="F4" s="15">
        <v>60</v>
      </c>
      <c r="G4" s="34">
        <f>(E4/0.6)/100</f>
        <v>0.28333333333333338</v>
      </c>
      <c r="H4" s="34">
        <f>(F4/0.6)/100</f>
        <v>1</v>
      </c>
      <c r="I4" s="34">
        <f>D4+G4+H4</f>
        <v>24.283333333333335</v>
      </c>
      <c r="J4" s="34">
        <f>C4-I4</f>
        <v>-0.28333333333333499</v>
      </c>
      <c r="K4" s="15">
        <v>6</v>
      </c>
      <c r="L4" s="15">
        <v>50</v>
      </c>
      <c r="M4" s="34">
        <f>(L4/0.6)/100</f>
        <v>0.83333333333333348</v>
      </c>
      <c r="N4" s="34">
        <f>K4+M4</f>
        <v>6.8333333333333339</v>
      </c>
      <c r="O4" s="34">
        <f t="shared" ref="O4:O20" si="0">N4+J4</f>
        <v>6.5499999999999989</v>
      </c>
      <c r="P4" s="34">
        <f>ROUNDDOWN(O4,0)</f>
        <v>6</v>
      </c>
      <c r="Q4" s="34">
        <f>(O4-P4)*0.6</f>
        <v>0.32999999999999935</v>
      </c>
      <c r="R4" s="15">
        <v>3</v>
      </c>
      <c r="S4" s="34">
        <f>IF(R4&gt;0,R4-1,"")</f>
        <v>2</v>
      </c>
      <c r="T4" s="35">
        <f t="shared" ref="T4:T20" si="1">P4</f>
        <v>6</v>
      </c>
      <c r="U4" s="35">
        <f>Q4*100</f>
        <v>32.999999999999936</v>
      </c>
      <c r="W4" s="87">
        <v>0.94652777777777775</v>
      </c>
      <c r="X4">
        <v>4</v>
      </c>
      <c r="Y4">
        <v>40</v>
      </c>
      <c r="Z4" s="87">
        <v>0.3263888888888889</v>
      </c>
    </row>
    <row r="5" spans="1:33" x14ac:dyDescent="0.25">
      <c r="A5" s="75">
        <v>44628</v>
      </c>
      <c r="B5" s="32">
        <v>2</v>
      </c>
      <c r="C5" s="33">
        <v>24</v>
      </c>
      <c r="D5" s="15">
        <v>22</v>
      </c>
      <c r="E5" s="15">
        <v>40</v>
      </c>
      <c r="F5" s="15">
        <v>15</v>
      </c>
      <c r="G5" s="34">
        <f t="shared" ref="G5:H20" si="2">(E5/0.6)/100</f>
        <v>0.66666666666666674</v>
      </c>
      <c r="H5" s="34">
        <f t="shared" si="2"/>
        <v>0.25</v>
      </c>
      <c r="I5" s="34">
        <f t="shared" ref="I5:I20" si="3">D5+G5+H5</f>
        <v>22.916666666666668</v>
      </c>
      <c r="J5" s="34">
        <f t="shared" ref="J5:J20" si="4">C5-I5</f>
        <v>1.0833333333333321</v>
      </c>
      <c r="K5" s="15">
        <v>7</v>
      </c>
      <c r="L5" s="15">
        <v>0</v>
      </c>
      <c r="M5" s="34">
        <f t="shared" ref="M5:M20" si="5">(L5/0.6)/100</f>
        <v>0</v>
      </c>
      <c r="N5" s="34">
        <f t="shared" ref="N5:N20" si="6">K5+M5</f>
        <v>7</v>
      </c>
      <c r="O5" s="34">
        <f t="shared" si="0"/>
        <v>8.0833333333333321</v>
      </c>
      <c r="P5" s="34">
        <f t="shared" ref="P5:P20" si="7">ROUNDDOWN(O5,0)</f>
        <v>8</v>
      </c>
      <c r="Q5" s="34">
        <f t="shared" ref="Q5:Q20" si="8">(O5-P5)*0.6</f>
        <v>4.9999999999999288E-2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4.9999999999999289</v>
      </c>
      <c r="W5" s="87">
        <v>0.88194444444444453</v>
      </c>
      <c r="X5">
        <v>3</v>
      </c>
      <c r="Y5">
        <v>20</v>
      </c>
      <c r="Z5" s="87">
        <v>0.30208333333333331</v>
      </c>
      <c r="AD5" s="36"/>
    </row>
    <row r="6" spans="1:33" x14ac:dyDescent="0.25">
      <c r="A6" s="75">
        <v>44629</v>
      </c>
      <c r="B6" s="32">
        <v>3</v>
      </c>
      <c r="C6" s="33">
        <v>24</v>
      </c>
      <c r="D6" s="15">
        <v>23</v>
      </c>
      <c r="E6" s="15">
        <v>50</v>
      </c>
      <c r="F6" s="15">
        <v>15</v>
      </c>
      <c r="G6" s="34">
        <f t="shared" si="2"/>
        <v>0.83333333333333348</v>
      </c>
      <c r="H6" s="34">
        <f t="shared" si="2"/>
        <v>0.25</v>
      </c>
      <c r="I6" s="34">
        <f t="shared" si="3"/>
        <v>24.083333333333332</v>
      </c>
      <c r="J6" s="34">
        <f t="shared" si="4"/>
        <v>-8.3333333333332149E-2</v>
      </c>
      <c r="K6" s="15">
        <v>8</v>
      </c>
      <c r="L6" s="15">
        <v>31</v>
      </c>
      <c r="M6" s="34">
        <f t="shared" si="5"/>
        <v>0.51666666666666672</v>
      </c>
      <c r="N6" s="34">
        <f t="shared" si="6"/>
        <v>8.5166666666666675</v>
      </c>
      <c r="O6" s="34">
        <f t="shared" si="0"/>
        <v>8.4333333333333353</v>
      </c>
      <c r="P6" s="34">
        <f t="shared" si="7"/>
        <v>8</v>
      </c>
      <c r="Q6" s="34">
        <f t="shared" si="8"/>
        <v>0.26000000000000117</v>
      </c>
      <c r="R6" s="15">
        <v>3</v>
      </c>
      <c r="S6" s="34">
        <f t="shared" si="9"/>
        <v>2</v>
      </c>
      <c r="T6" s="35">
        <f t="shared" si="1"/>
        <v>8</v>
      </c>
      <c r="U6" s="35">
        <f t="shared" si="10"/>
        <v>26.000000000000117</v>
      </c>
      <c r="W6" s="87">
        <v>0.98611111111111116</v>
      </c>
      <c r="X6">
        <v>2</v>
      </c>
      <c r="Y6">
        <v>5</v>
      </c>
      <c r="Z6" s="87">
        <v>0.36805555555555558</v>
      </c>
      <c r="AD6" s="36"/>
    </row>
    <row r="7" spans="1:33" x14ac:dyDescent="0.25">
      <c r="A7" s="75">
        <v>44630</v>
      </c>
      <c r="B7" s="32">
        <v>4</v>
      </c>
      <c r="C7" s="33">
        <v>24</v>
      </c>
      <c r="D7" s="15">
        <v>23</v>
      </c>
      <c r="E7" s="15">
        <v>45</v>
      </c>
      <c r="F7" s="15">
        <v>20</v>
      </c>
      <c r="G7" s="34">
        <f t="shared" si="2"/>
        <v>0.75</v>
      </c>
      <c r="H7" s="34">
        <f t="shared" si="2"/>
        <v>0.33333333333333337</v>
      </c>
      <c r="I7" s="34">
        <f t="shared" si="3"/>
        <v>24.083333333333332</v>
      </c>
      <c r="J7" s="34">
        <f t="shared" si="4"/>
        <v>-8.3333333333332149E-2</v>
      </c>
      <c r="K7" s="15">
        <v>8</v>
      </c>
      <c r="L7" s="15">
        <v>30</v>
      </c>
      <c r="M7" s="34">
        <f t="shared" si="5"/>
        <v>0.5</v>
      </c>
      <c r="N7" s="34">
        <f t="shared" si="6"/>
        <v>8.5</v>
      </c>
      <c r="O7" s="34">
        <f t="shared" si="0"/>
        <v>8.4166666666666679</v>
      </c>
      <c r="P7" s="34">
        <f t="shared" si="7"/>
        <v>8</v>
      </c>
      <c r="Q7" s="34">
        <f t="shared" si="8"/>
        <v>0.25000000000000072</v>
      </c>
      <c r="R7" s="15">
        <v>3</v>
      </c>
      <c r="S7" s="34">
        <f t="shared" si="9"/>
        <v>2</v>
      </c>
      <c r="T7" s="35">
        <f t="shared" si="1"/>
        <v>8</v>
      </c>
      <c r="U7" s="35">
        <f t="shared" si="10"/>
        <v>25.000000000000071</v>
      </c>
      <c r="W7" s="87">
        <v>0.97916666666666663</v>
      </c>
      <c r="X7">
        <v>4</v>
      </c>
      <c r="Y7">
        <v>40</v>
      </c>
      <c r="Z7" s="88">
        <v>0.37152777777777773</v>
      </c>
      <c r="AD7" s="36"/>
    </row>
    <row r="8" spans="1:33" x14ac:dyDescent="0.25">
      <c r="A8" s="75">
        <v>44631</v>
      </c>
      <c r="B8" s="32">
        <v>5</v>
      </c>
      <c r="C8" s="33">
        <v>24</v>
      </c>
      <c r="D8" s="15">
        <v>23</v>
      </c>
      <c r="E8" s="15">
        <v>0</v>
      </c>
      <c r="F8" s="15">
        <v>20</v>
      </c>
      <c r="G8" s="34">
        <f t="shared" si="2"/>
        <v>0</v>
      </c>
      <c r="H8" s="34">
        <f t="shared" si="2"/>
        <v>0.33333333333333337</v>
      </c>
      <c r="I8" s="34">
        <f t="shared" si="3"/>
        <v>23.333333333333332</v>
      </c>
      <c r="J8" s="34">
        <f t="shared" si="4"/>
        <v>0.66666666666666785</v>
      </c>
      <c r="K8" s="15">
        <v>8</v>
      </c>
      <c r="L8" s="15">
        <v>50</v>
      </c>
      <c r="M8" s="34">
        <f t="shared" si="5"/>
        <v>0.83333333333333348</v>
      </c>
      <c r="N8" s="34">
        <f t="shared" si="6"/>
        <v>8.8333333333333339</v>
      </c>
      <c r="O8" s="34">
        <f t="shared" si="0"/>
        <v>9.5000000000000018</v>
      </c>
      <c r="P8" s="34">
        <f t="shared" si="7"/>
        <v>9</v>
      </c>
      <c r="Q8" s="34">
        <f t="shared" si="8"/>
        <v>0.30000000000000104</v>
      </c>
      <c r="R8" s="15">
        <v>2</v>
      </c>
      <c r="S8" s="34">
        <f t="shared" si="9"/>
        <v>1</v>
      </c>
      <c r="T8" s="35">
        <f t="shared" si="1"/>
        <v>9</v>
      </c>
      <c r="U8" s="35">
        <f t="shared" si="10"/>
        <v>30.000000000000103</v>
      </c>
      <c r="W8" s="87">
        <v>0.94791666666666663</v>
      </c>
      <c r="X8" s="36">
        <v>7</v>
      </c>
      <c r="Y8" s="36">
        <v>60</v>
      </c>
      <c r="Z8" s="87">
        <v>0.375</v>
      </c>
    </row>
    <row r="9" spans="1:33" x14ac:dyDescent="0.25">
      <c r="A9" s="75">
        <v>44632</v>
      </c>
      <c r="B9" s="32">
        <v>6</v>
      </c>
      <c r="C9" s="33">
        <v>24</v>
      </c>
      <c r="D9" s="15">
        <v>24</v>
      </c>
      <c r="E9" s="15">
        <v>0</v>
      </c>
      <c r="F9" s="15">
        <v>10</v>
      </c>
      <c r="G9" s="34">
        <f t="shared" si="2"/>
        <v>0</v>
      </c>
      <c r="H9" s="34">
        <f t="shared" si="2"/>
        <v>0.16666666666666669</v>
      </c>
      <c r="I9" s="34">
        <f t="shared" si="3"/>
        <v>24.166666666666668</v>
      </c>
      <c r="J9" s="34">
        <f t="shared" si="4"/>
        <v>-0.16666666666666785</v>
      </c>
      <c r="K9" s="15">
        <v>8</v>
      </c>
      <c r="L9" s="15">
        <v>30</v>
      </c>
      <c r="M9" s="34">
        <f t="shared" si="5"/>
        <v>0.5</v>
      </c>
      <c r="N9" s="34">
        <f t="shared" si="6"/>
        <v>8.5</v>
      </c>
      <c r="O9" s="34">
        <f t="shared" si="0"/>
        <v>8.3333333333333321</v>
      </c>
      <c r="P9" s="34">
        <f t="shared" si="7"/>
        <v>8</v>
      </c>
      <c r="Q9" s="34">
        <f t="shared" si="8"/>
        <v>0.19999999999999929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19.999999999999929</v>
      </c>
      <c r="W9" s="87">
        <v>0.98958333333333337</v>
      </c>
      <c r="X9">
        <v>3</v>
      </c>
      <c r="Y9">
        <v>20</v>
      </c>
      <c r="Z9" s="87">
        <v>0.36180555555555555</v>
      </c>
      <c r="AC9" t="str">
        <f>IF(B1=1,"DP_P_AVG","")</f>
        <v/>
      </c>
      <c r="AD9" s="36" t="str">
        <f>IF(B1=1,SUM(O15:O17)/(COUNT(O15:O17)),"")</f>
        <v/>
      </c>
      <c r="AE9" s="36" t="str">
        <f>IF(B1=1,SUM(S15:S17)/COUNT(S15:S17),"")</f>
        <v/>
      </c>
      <c r="AF9" t="str">
        <f>IF(B1=1,IF(COUNT(S15:S17)&lt;3,3-COUNT(S15:S17),""),"")</f>
        <v/>
      </c>
    </row>
    <row r="10" spans="1:33" x14ac:dyDescent="0.25">
      <c r="A10" s="75">
        <v>44633</v>
      </c>
      <c r="B10" s="32">
        <v>7</v>
      </c>
      <c r="C10" s="33">
        <v>24</v>
      </c>
      <c r="D10" s="15">
        <v>22</v>
      </c>
      <c r="E10" s="15">
        <v>30</v>
      </c>
      <c r="F10" s="15">
        <v>60</v>
      </c>
      <c r="G10" s="34">
        <f t="shared" si="2"/>
        <v>0.5</v>
      </c>
      <c r="H10" s="34">
        <f t="shared" si="2"/>
        <v>1</v>
      </c>
      <c r="I10" s="34">
        <f t="shared" si="3"/>
        <v>23.5</v>
      </c>
      <c r="J10" s="34">
        <f t="shared" si="4"/>
        <v>0.5</v>
      </c>
      <c r="K10" s="15">
        <v>8</v>
      </c>
      <c r="L10" s="15">
        <v>30</v>
      </c>
      <c r="M10" s="34">
        <f t="shared" si="5"/>
        <v>0.5</v>
      </c>
      <c r="N10" s="34">
        <f t="shared" si="6"/>
        <v>8.5</v>
      </c>
      <c r="O10" s="34">
        <f t="shared" si="0"/>
        <v>9</v>
      </c>
      <c r="P10" s="34">
        <f t="shared" si="7"/>
        <v>9</v>
      </c>
      <c r="Q10" s="34">
        <f t="shared" si="8"/>
        <v>0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0</v>
      </c>
      <c r="W10" s="87">
        <v>0.93055555555555547</v>
      </c>
      <c r="X10">
        <v>2</v>
      </c>
      <c r="Y10">
        <v>20</v>
      </c>
      <c r="Z10" s="87">
        <v>0.375</v>
      </c>
      <c r="AC10" t="str">
        <f>IF(B1=1,"NS_AVG","")</f>
        <v/>
      </c>
      <c r="AD10" s="36" t="str">
        <f>IF(B1=1,SUM(O4:O10)/(COUNT(O4:O10)),"")</f>
        <v/>
      </c>
      <c r="AE10" s="36" t="str">
        <f>IF(B1=1,SUM(S4:S10)/COUNT(S4:S10),"")</f>
        <v/>
      </c>
      <c r="AF10" t="str">
        <f>IF(B1=1,IF(COUNT(S4:S10)&lt;7,7-COUNT(S4:S10),""),"")</f>
        <v/>
      </c>
    </row>
    <row r="11" spans="1:33" x14ac:dyDescent="0.25">
      <c r="A11" s="75">
        <v>44634</v>
      </c>
      <c r="B11" s="32">
        <v>8</v>
      </c>
      <c r="C11" s="28">
        <v>24</v>
      </c>
      <c r="D11" s="15">
        <v>25</v>
      </c>
      <c r="E11" s="15">
        <v>45</v>
      </c>
      <c r="F11" s="15">
        <v>30</v>
      </c>
      <c r="G11" s="34">
        <f t="shared" si="2"/>
        <v>0.75</v>
      </c>
      <c r="H11" s="34">
        <f t="shared" si="2"/>
        <v>0.5</v>
      </c>
      <c r="I11" s="34">
        <f t="shared" si="3"/>
        <v>26.25</v>
      </c>
      <c r="J11" s="34">
        <f t="shared" si="4"/>
        <v>-2.25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6.25</v>
      </c>
      <c r="P11" s="34">
        <f t="shared" si="7"/>
        <v>6</v>
      </c>
      <c r="Q11" s="34">
        <f t="shared" si="8"/>
        <v>0.15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15</v>
      </c>
      <c r="W11" s="87">
        <v>4.8611111111111112E-2</v>
      </c>
      <c r="X11">
        <v>2</v>
      </c>
      <c r="Y11">
        <v>10</v>
      </c>
      <c r="Z11" s="87">
        <v>0.37152777777777773</v>
      </c>
      <c r="AC11" t="str">
        <f>IF(B1=0,"ESD","")</f>
        <v>ESD</v>
      </c>
      <c r="AD11" t="str">
        <f>IF(B1=0,"Time Slept","")</f>
        <v>Time Slept</v>
      </c>
      <c r="AE11" t="str">
        <f>IF(B1=0,"Sleep Quality","")</f>
        <v>Sleep Quality</v>
      </c>
      <c r="AF11" s="73" t="str">
        <f>IF(B1=0,"Missing day(s)","")</f>
        <v>Missing day(s)</v>
      </c>
    </row>
    <row r="12" spans="1:33" x14ac:dyDescent="0.25">
      <c r="A12" s="75">
        <v>44635</v>
      </c>
      <c r="B12" s="32">
        <v>9</v>
      </c>
      <c r="C12" s="28">
        <v>24</v>
      </c>
      <c r="D12" s="15">
        <v>26</v>
      </c>
      <c r="E12" s="15">
        <v>15</v>
      </c>
      <c r="F12" s="15">
        <v>20</v>
      </c>
      <c r="G12" s="34">
        <f t="shared" si="2"/>
        <v>0.25</v>
      </c>
      <c r="H12" s="34">
        <f t="shared" si="2"/>
        <v>0.33333333333333337</v>
      </c>
      <c r="I12" s="34">
        <f t="shared" si="3"/>
        <v>26.583333333333332</v>
      </c>
      <c r="J12" s="34">
        <f t="shared" si="4"/>
        <v>-2.5833333333333321</v>
      </c>
      <c r="K12" s="15">
        <v>7</v>
      </c>
      <c r="L12" s="15">
        <v>50</v>
      </c>
      <c r="M12" s="34">
        <f t="shared" si="5"/>
        <v>0.83333333333333348</v>
      </c>
      <c r="N12" s="34">
        <f t="shared" si="6"/>
        <v>7.8333333333333339</v>
      </c>
      <c r="O12" s="34">
        <f t="shared" si="0"/>
        <v>5.2500000000000018</v>
      </c>
      <c r="P12" s="34">
        <f t="shared" si="7"/>
        <v>5</v>
      </c>
      <c r="Q12" s="34">
        <f t="shared" si="8"/>
        <v>0.15000000000000105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15.000000000000105</v>
      </c>
      <c r="W12" s="87">
        <v>7.9861111111111105E-2</v>
      </c>
      <c r="X12">
        <v>4</v>
      </c>
      <c r="Y12">
        <v>25</v>
      </c>
      <c r="Z12" s="87">
        <v>0.34375</v>
      </c>
      <c r="AC12" t="str">
        <f>IF(B1=0,"PD_NS_AVG","")</f>
        <v>PD_NS_AVG</v>
      </c>
      <c r="AD12">
        <f>IF(B1=0,SUM(O4:O10)/COUNT(O4:O10),"")</f>
        <v>8.3309523809523807</v>
      </c>
      <c r="AE12">
        <f>IF(B1=0,SUM(S4:S10)/COUNT(S4:S10),"")</f>
        <v>2.1428571428571428</v>
      </c>
      <c r="AF12" t="str">
        <f>IF(B$1=0,IF(COUNT(S4:S10)&lt;7,7-COUNT(S4:S10),""),"")</f>
        <v/>
      </c>
    </row>
    <row r="13" spans="1:33" x14ac:dyDescent="0.25">
      <c r="A13" s="75">
        <v>44636</v>
      </c>
      <c r="B13" s="32">
        <v>10</v>
      </c>
      <c r="C13" s="28">
        <v>24</v>
      </c>
      <c r="D13" s="15">
        <v>26</v>
      </c>
      <c r="E13" s="15">
        <v>10</v>
      </c>
      <c r="F13" s="15">
        <v>10</v>
      </c>
      <c r="G13" s="34">
        <f t="shared" si="2"/>
        <v>0.16666666666666669</v>
      </c>
      <c r="H13" s="34">
        <f t="shared" si="2"/>
        <v>0.16666666666666669</v>
      </c>
      <c r="I13" s="34">
        <f t="shared" si="3"/>
        <v>26.333333333333336</v>
      </c>
      <c r="J13" s="34">
        <f t="shared" si="4"/>
        <v>-2.3333333333333357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5.1666666666666643</v>
      </c>
      <c r="P13" s="34">
        <f t="shared" si="7"/>
        <v>5</v>
      </c>
      <c r="Q13" s="34">
        <f t="shared" si="8"/>
        <v>9.9999999999998576E-2</v>
      </c>
      <c r="R13" s="15">
        <v>4</v>
      </c>
      <c r="S13" s="34">
        <f t="shared" si="9"/>
        <v>3</v>
      </c>
      <c r="T13" s="35">
        <f t="shared" si="1"/>
        <v>5</v>
      </c>
      <c r="U13" s="35">
        <f t="shared" si="10"/>
        <v>9.9999999999998579</v>
      </c>
      <c r="W13" s="87">
        <v>6.25E-2</v>
      </c>
      <c r="X13">
        <v>2</v>
      </c>
      <c r="Y13">
        <v>10</v>
      </c>
      <c r="Z13" s="87">
        <v>0.34027777777777773</v>
      </c>
      <c r="AC13" t="str">
        <f>IF(B1=0,"DP_PSD_AVG","")</f>
        <v>DP_PSD_AVG</v>
      </c>
      <c r="AD13">
        <f>IF(B1=0,SUM(O11:O13)/(COUNT(O11:O13)),"")</f>
        <v>5.5555555555555545</v>
      </c>
      <c r="AE13">
        <f>IF(B1=0,SUM(S11:S13)/COUNT(S11:S13),"")</f>
        <v>3</v>
      </c>
      <c r="AF13" t="str">
        <f>IF(B$1=0,IF(COUNT(S11:S13)&lt;3,3-COUNT(S11:S13),""),"")</f>
        <v/>
      </c>
    </row>
    <row r="14" spans="1:33" x14ac:dyDescent="0.25">
      <c r="A14" s="75">
        <v>44637</v>
      </c>
      <c r="B14" s="32">
        <v>11</v>
      </c>
      <c r="C14" s="28">
        <v>24</v>
      </c>
      <c r="D14" s="15">
        <v>22</v>
      </c>
      <c r="E14" s="15">
        <v>40</v>
      </c>
      <c r="F14" s="15">
        <v>30</v>
      </c>
      <c r="G14" s="34">
        <f t="shared" si="2"/>
        <v>0.66666666666666674</v>
      </c>
      <c r="H14" s="34">
        <f t="shared" si="2"/>
        <v>0.5</v>
      </c>
      <c r="I14" s="34">
        <f t="shared" si="3"/>
        <v>23.166666666666668</v>
      </c>
      <c r="J14" s="34">
        <f t="shared" si="4"/>
        <v>0.83333333333333215</v>
      </c>
      <c r="K14" s="15">
        <v>7</v>
      </c>
      <c r="L14" s="15">
        <v>40</v>
      </c>
      <c r="M14" s="34">
        <f t="shared" si="5"/>
        <v>0.66666666666666674</v>
      </c>
      <c r="N14" s="34">
        <f t="shared" si="6"/>
        <v>7.666666666666667</v>
      </c>
      <c r="O14" s="34">
        <f t="shared" si="0"/>
        <v>8.5</v>
      </c>
      <c r="P14" s="34">
        <f t="shared" si="7"/>
        <v>8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30</v>
      </c>
      <c r="W14" s="87">
        <v>0.9375</v>
      </c>
      <c r="X14">
        <v>4</v>
      </c>
      <c r="Y14">
        <v>15</v>
      </c>
      <c r="Z14" s="87">
        <v>0.33333333333333331</v>
      </c>
      <c r="AC14" t="str">
        <f>IF(B1=0,"NS_AVG","")</f>
        <v>NS_AVG</v>
      </c>
      <c r="AD14">
        <f>IF(B1=0,SUM(O14:O20)/(COUNT(O14:O20)),"")</f>
        <v>7.5738095238095235</v>
      </c>
      <c r="AE14">
        <f>IF(B1=0,SUM(S14:S20)/COUNT(S14:S20),"")</f>
        <v>2.8571428571428572</v>
      </c>
      <c r="AF14" t="str">
        <f>IF(B$1=0,IF(COUNT(S14:S20)&lt;7,7-COUNT(S14:S20),""),"")</f>
        <v/>
      </c>
    </row>
    <row r="15" spans="1:33" x14ac:dyDescent="0.25">
      <c r="A15" s="75">
        <v>44638</v>
      </c>
      <c r="B15" s="32">
        <v>12</v>
      </c>
      <c r="C15" s="28">
        <v>24</v>
      </c>
      <c r="D15" s="15">
        <v>24</v>
      </c>
      <c r="E15" s="15">
        <v>30</v>
      </c>
      <c r="F15" s="15">
        <v>40</v>
      </c>
      <c r="G15" s="34">
        <f t="shared" si="2"/>
        <v>0.5</v>
      </c>
      <c r="H15" s="34">
        <f t="shared" si="2"/>
        <v>0.66666666666666674</v>
      </c>
      <c r="I15" s="34">
        <f t="shared" si="3"/>
        <v>25.166666666666668</v>
      </c>
      <c r="J15" s="34">
        <f t="shared" si="4"/>
        <v>-1.1666666666666679</v>
      </c>
      <c r="K15" s="15">
        <v>8</v>
      </c>
      <c r="L15" s="15">
        <v>40</v>
      </c>
      <c r="M15" s="34">
        <f t="shared" si="5"/>
        <v>0.66666666666666674</v>
      </c>
      <c r="N15" s="34">
        <f t="shared" si="6"/>
        <v>8.6666666666666661</v>
      </c>
      <c r="O15" s="34">
        <f t="shared" si="0"/>
        <v>7.4999999999999982</v>
      </c>
      <c r="P15" s="34">
        <f t="shared" si="7"/>
        <v>7</v>
      </c>
      <c r="Q15" s="34">
        <f t="shared" si="8"/>
        <v>0.29999999999999893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29.999999999999893</v>
      </c>
      <c r="W15" s="87">
        <v>6.9444444444444441E-3</v>
      </c>
      <c r="X15">
        <v>3</v>
      </c>
      <c r="Y15">
        <v>10</v>
      </c>
      <c r="Z15" s="87">
        <v>0.37152777777777773</v>
      </c>
      <c r="AC15" s="82" t="s">
        <v>288</v>
      </c>
      <c r="AD15" s="84" cm="1">
        <f t="array" ref="AD15">_xlfn.IFS(B1=0,AD12-AD13,B1=1,X8-AD9)</f>
        <v>2.7753968253968262</v>
      </c>
      <c r="AE15" s="85" t="s">
        <v>289</v>
      </c>
      <c r="AF15" s="84" cm="1">
        <f t="array" ref="AF15">_xlfn.IFS(B1=0,AD14-AD13,B1=1,AD10-AD9)</f>
        <v>2.0182539682539691</v>
      </c>
      <c r="AG15" s="83" t="s">
        <v>290</v>
      </c>
    </row>
    <row r="16" spans="1:33" x14ac:dyDescent="0.25">
      <c r="A16" s="75">
        <v>44639</v>
      </c>
      <c r="B16" s="32">
        <v>13</v>
      </c>
      <c r="C16" s="28">
        <v>24</v>
      </c>
      <c r="D16" s="15">
        <v>24</v>
      </c>
      <c r="E16" s="15">
        <v>30</v>
      </c>
      <c r="F16" s="15">
        <v>30</v>
      </c>
      <c r="G16" s="34">
        <f t="shared" si="2"/>
        <v>0.5</v>
      </c>
      <c r="H16" s="34">
        <f t="shared" si="2"/>
        <v>0.5</v>
      </c>
      <c r="I16" s="34">
        <f t="shared" si="3"/>
        <v>25</v>
      </c>
      <c r="J16" s="34">
        <f t="shared" si="4"/>
        <v>-1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7.5</v>
      </c>
      <c r="P16" s="34">
        <f t="shared" si="7"/>
        <v>7</v>
      </c>
      <c r="Q16" s="34">
        <f t="shared" si="8"/>
        <v>0.3</v>
      </c>
      <c r="R16" s="15">
        <v>5</v>
      </c>
      <c r="S16" s="34">
        <f t="shared" si="9"/>
        <v>4</v>
      </c>
      <c r="T16" s="35">
        <f t="shared" si="1"/>
        <v>7</v>
      </c>
      <c r="U16" s="35">
        <f t="shared" si="10"/>
        <v>30</v>
      </c>
      <c r="W16" s="87">
        <v>0.9375</v>
      </c>
      <c r="X16">
        <v>2</v>
      </c>
      <c r="Y16">
        <v>5</v>
      </c>
      <c r="Z16" s="87">
        <v>0.36805555555555558</v>
      </c>
      <c r="AD16" t="s">
        <v>291</v>
      </c>
    </row>
    <row r="17" spans="1:29" x14ac:dyDescent="0.25">
      <c r="A17" s="75">
        <v>44640</v>
      </c>
      <c r="B17" s="32">
        <v>14</v>
      </c>
      <c r="C17" s="28">
        <v>24</v>
      </c>
      <c r="D17" s="15">
        <v>22</v>
      </c>
      <c r="E17" s="15">
        <v>40</v>
      </c>
      <c r="F17" s="15">
        <v>80</v>
      </c>
      <c r="G17" s="34">
        <f t="shared" si="2"/>
        <v>0.66666666666666674</v>
      </c>
      <c r="H17" s="34">
        <f t="shared" si="2"/>
        <v>1.3333333333333335</v>
      </c>
      <c r="I17" s="34">
        <f t="shared" si="3"/>
        <v>24</v>
      </c>
      <c r="J17" s="34">
        <f t="shared" si="4"/>
        <v>0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8.5</v>
      </c>
      <c r="P17" s="34">
        <f t="shared" si="7"/>
        <v>8</v>
      </c>
      <c r="Q17" s="34">
        <f t="shared" si="8"/>
        <v>0.3</v>
      </c>
      <c r="R17" s="15">
        <v>2</v>
      </c>
      <c r="S17" s="34">
        <f t="shared" si="9"/>
        <v>1</v>
      </c>
      <c r="T17" s="35">
        <f t="shared" si="1"/>
        <v>8</v>
      </c>
      <c r="U17" s="35">
        <f t="shared" si="10"/>
        <v>30</v>
      </c>
      <c r="W17" s="87">
        <v>0.93402777777777779</v>
      </c>
      <c r="X17">
        <v>4</v>
      </c>
      <c r="Y17">
        <v>20</v>
      </c>
      <c r="Z17" s="87">
        <v>0.3611111111111111</v>
      </c>
      <c r="AC17" t="s">
        <v>269</v>
      </c>
    </row>
    <row r="18" spans="1:29" x14ac:dyDescent="0.25">
      <c r="A18" s="75">
        <v>44641</v>
      </c>
      <c r="B18" s="32">
        <v>15</v>
      </c>
      <c r="C18" s="28">
        <v>24</v>
      </c>
      <c r="D18" s="15">
        <v>23</v>
      </c>
      <c r="E18" s="15">
        <v>39</v>
      </c>
      <c r="F18" s="15">
        <v>90</v>
      </c>
      <c r="G18" s="34">
        <f t="shared" si="2"/>
        <v>0.65</v>
      </c>
      <c r="H18" s="34">
        <f t="shared" si="2"/>
        <v>1.5</v>
      </c>
      <c r="I18" s="34">
        <f t="shared" si="3"/>
        <v>25.15</v>
      </c>
      <c r="J18" s="34">
        <f t="shared" si="4"/>
        <v>-1.1499999999999986</v>
      </c>
      <c r="K18" s="15">
        <v>7</v>
      </c>
      <c r="L18" s="15">
        <v>25</v>
      </c>
      <c r="M18" s="34">
        <f t="shared" si="5"/>
        <v>0.41666666666666674</v>
      </c>
      <c r="N18" s="34">
        <f t="shared" si="6"/>
        <v>7.416666666666667</v>
      </c>
      <c r="O18" s="34">
        <f t="shared" si="0"/>
        <v>6.2666666666666684</v>
      </c>
      <c r="P18" s="34">
        <f t="shared" si="7"/>
        <v>6</v>
      </c>
      <c r="Q18" s="34">
        <f t="shared" si="8"/>
        <v>0.16000000000000103</v>
      </c>
      <c r="R18" s="15">
        <v>3</v>
      </c>
      <c r="S18" s="34">
        <f>IF(R18&gt;0,R18-1,"")</f>
        <v>2</v>
      </c>
      <c r="T18" s="35">
        <f t="shared" si="1"/>
        <v>6</v>
      </c>
      <c r="U18" s="35">
        <f t="shared" si="10"/>
        <v>16.000000000000103</v>
      </c>
      <c r="W18" s="87">
        <v>0.9375</v>
      </c>
      <c r="X18">
        <v>6</v>
      </c>
      <c r="Y18">
        <v>30</v>
      </c>
      <c r="Z18" s="87">
        <v>0.3125</v>
      </c>
    </row>
    <row r="19" spans="1:29" x14ac:dyDescent="0.25">
      <c r="A19" s="75">
        <v>44642</v>
      </c>
      <c r="B19" s="32">
        <v>16</v>
      </c>
      <c r="C19" s="28">
        <v>24</v>
      </c>
      <c r="D19" s="15">
        <v>23</v>
      </c>
      <c r="E19" s="15">
        <v>0</v>
      </c>
      <c r="F19" s="15">
        <v>30</v>
      </c>
      <c r="G19" s="34">
        <f t="shared" si="2"/>
        <v>0</v>
      </c>
      <c r="H19" s="34">
        <f t="shared" si="2"/>
        <v>0.5</v>
      </c>
      <c r="I19" s="34">
        <f t="shared" si="3"/>
        <v>23.5</v>
      </c>
      <c r="J19" s="34">
        <f t="shared" si="4"/>
        <v>0.5</v>
      </c>
      <c r="K19" s="15">
        <v>6</v>
      </c>
      <c r="L19" s="15">
        <v>50</v>
      </c>
      <c r="M19" s="34">
        <f t="shared" si="5"/>
        <v>0.83333333333333348</v>
      </c>
      <c r="N19" s="34">
        <f t="shared" si="6"/>
        <v>6.8333333333333339</v>
      </c>
      <c r="O19" s="34">
        <f t="shared" si="0"/>
        <v>7.3333333333333339</v>
      </c>
      <c r="P19" s="34">
        <f t="shared" si="7"/>
        <v>7</v>
      </c>
      <c r="Q19" s="34">
        <f t="shared" si="8"/>
        <v>0.20000000000000034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20.000000000000036</v>
      </c>
      <c r="W19" s="87">
        <v>0.95138888888888884</v>
      </c>
      <c r="X19">
        <v>2</v>
      </c>
      <c r="Y19">
        <v>10</v>
      </c>
      <c r="Z19" s="87">
        <v>0.28819444444444448</v>
      </c>
    </row>
    <row r="20" spans="1:29" x14ac:dyDescent="0.25">
      <c r="A20" s="75">
        <v>44643</v>
      </c>
      <c r="B20" s="32">
        <v>17</v>
      </c>
      <c r="C20" s="28">
        <v>24</v>
      </c>
      <c r="D20" s="15">
        <v>23</v>
      </c>
      <c r="E20" s="15">
        <v>15</v>
      </c>
      <c r="F20" s="15">
        <v>20</v>
      </c>
      <c r="G20" s="34">
        <f t="shared" si="2"/>
        <v>0.25</v>
      </c>
      <c r="H20" s="34">
        <f t="shared" si="2"/>
        <v>0.33333333333333337</v>
      </c>
      <c r="I20" s="34">
        <f t="shared" si="3"/>
        <v>23.583333333333332</v>
      </c>
      <c r="J20" s="34">
        <f t="shared" si="4"/>
        <v>0.41666666666666785</v>
      </c>
      <c r="K20" s="15">
        <v>7</v>
      </c>
      <c r="L20" s="15">
        <v>0</v>
      </c>
      <c r="M20" s="34">
        <f t="shared" si="5"/>
        <v>0</v>
      </c>
      <c r="N20" s="34">
        <f t="shared" si="6"/>
        <v>7</v>
      </c>
      <c r="O20" s="34">
        <f t="shared" si="0"/>
        <v>7.4166666666666679</v>
      </c>
      <c r="P20" s="34">
        <f t="shared" si="7"/>
        <v>7</v>
      </c>
      <c r="Q20" s="34">
        <f t="shared" si="8"/>
        <v>0.25000000000000072</v>
      </c>
      <c r="R20" s="15">
        <v>5</v>
      </c>
      <c r="S20" s="34">
        <f t="shared" si="9"/>
        <v>4</v>
      </c>
      <c r="T20" s="35">
        <f t="shared" si="1"/>
        <v>7</v>
      </c>
      <c r="U20" s="35">
        <f t="shared" si="10"/>
        <v>25.000000000000071</v>
      </c>
      <c r="W20" s="87">
        <v>0.95833333333333337</v>
      </c>
      <c r="X20">
        <v>1</v>
      </c>
      <c r="Y20">
        <v>5</v>
      </c>
      <c r="Z20" s="87">
        <v>0.34027777777777773</v>
      </c>
    </row>
    <row r="24" spans="1:29" x14ac:dyDescent="0.25">
      <c r="R24" t="s">
        <v>266</v>
      </c>
    </row>
    <row r="26" spans="1:29" x14ac:dyDescent="0.25">
      <c r="B26" t="s">
        <v>162</v>
      </c>
      <c r="K26" t="s">
        <v>164</v>
      </c>
    </row>
    <row r="27" spans="1:29" x14ac:dyDescent="0.25">
      <c r="B27" t="s">
        <v>161</v>
      </c>
      <c r="K27" t="s">
        <v>163</v>
      </c>
    </row>
    <row r="28" spans="1:29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AC9:AC10 AC12:AC14">
    <cfRule type="notContainsBlanks" dxfId="6" priority="5">
      <formula>LEN(TRIM(AC9))&gt;0</formula>
    </cfRule>
  </conditionalFormatting>
  <conditionalFormatting sqref="AC11:AF11">
    <cfRule type="notContainsBlanks" dxfId="5" priority="4">
      <formula>LEN(TRIM(AC11))&gt;0</formula>
    </cfRule>
  </conditionalFormatting>
  <conditionalFormatting sqref="AD9:AE10">
    <cfRule type="notContainsBlanks" dxfId="4" priority="9">
      <formula>LEN(TRIM(AD9))&gt;0</formula>
    </cfRule>
  </conditionalFormatting>
  <conditionalFormatting sqref="AD12:AE14">
    <cfRule type="notContainsBlanks" dxfId="3" priority="2">
      <formula>LEN(TRIM(AD12))&gt;0</formula>
    </cfRule>
  </conditionalFormatting>
  <conditionalFormatting sqref="AD12:AF14">
    <cfRule type="notContainsBlanks" dxfId="2" priority="1">
      <formula>LEN(TRIM(AD12))&gt;0</formula>
    </cfRule>
  </conditionalFormatting>
  <conditionalFormatting sqref="AF9:AF10 AF12:AF14">
    <cfRule type="notContainsBlanks" dxfId="1" priority="8">
      <formula>LEN(TRIM(AF9))&gt;0</formula>
    </cfRule>
  </conditionalFormatting>
  <conditionalFormatting sqref="AG12">
    <cfRule type="notContainsBlanks" dxfId="0" priority="3">
      <formula>LEN(TRIM(AG12))&gt;0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F890-BA5A-4709-BAFA-F4D74BD715EA}">
  <dimension ref="A1:N20"/>
  <sheetViews>
    <sheetView tabSelected="1" workbookViewId="0">
      <selection activeCell="I2" sqref="I2"/>
    </sheetView>
  </sheetViews>
  <sheetFormatPr defaultRowHeight="15" x14ac:dyDescent="0.25"/>
  <cols>
    <col min="1" max="1" width="14.42578125" customWidth="1"/>
  </cols>
  <sheetData>
    <row r="1" spans="1:14" x14ac:dyDescent="0.25">
      <c r="A1" s="89" t="s">
        <v>272</v>
      </c>
      <c r="B1" s="91" t="s">
        <v>295</v>
      </c>
      <c r="C1" s="91" t="s">
        <v>300</v>
      </c>
      <c r="D1" s="91" t="s">
        <v>299</v>
      </c>
      <c r="E1" s="91" t="s">
        <v>301</v>
      </c>
      <c r="F1" s="91" t="s">
        <v>296</v>
      </c>
      <c r="G1" s="91" t="s">
        <v>297</v>
      </c>
      <c r="H1" s="91" t="s">
        <v>298</v>
      </c>
      <c r="I1" s="91" t="s">
        <v>302</v>
      </c>
      <c r="J1" s="91"/>
      <c r="K1" s="91"/>
    </row>
    <row r="2" spans="1:14" x14ac:dyDescent="0.25">
      <c r="A2" s="90">
        <v>44627</v>
      </c>
      <c r="B2" s="92">
        <v>0.94652777777777775</v>
      </c>
      <c r="C2" s="92">
        <v>0.97013888888888899</v>
      </c>
      <c r="D2" s="91">
        <v>60</v>
      </c>
      <c r="E2" s="91">
        <v>4</v>
      </c>
      <c r="F2" s="91">
        <v>40</v>
      </c>
      <c r="G2" s="92">
        <v>0.28472222222222221</v>
      </c>
      <c r="H2" s="92">
        <v>0.3263888888888889</v>
      </c>
      <c r="I2" s="91">
        <v>3</v>
      </c>
      <c r="J2" s="91"/>
      <c r="K2" s="91"/>
    </row>
    <row r="3" spans="1:14" x14ac:dyDescent="0.25">
      <c r="A3" s="90">
        <v>44628</v>
      </c>
      <c r="B3" s="92">
        <v>0.88194444444444453</v>
      </c>
      <c r="C3" s="92">
        <v>0.94444444444444453</v>
      </c>
      <c r="D3" s="91">
        <v>15</v>
      </c>
      <c r="E3" s="91">
        <v>3</v>
      </c>
      <c r="F3" s="91">
        <v>20</v>
      </c>
      <c r="G3" s="92">
        <v>0.29166666666666669</v>
      </c>
      <c r="H3" s="92">
        <v>0.30208333333333331</v>
      </c>
      <c r="I3" s="91">
        <v>4</v>
      </c>
      <c r="J3" s="91"/>
      <c r="K3" s="91"/>
    </row>
    <row r="4" spans="1:14" x14ac:dyDescent="0.25">
      <c r="A4" s="90">
        <v>44629</v>
      </c>
      <c r="B4" s="92">
        <v>0.98611111111111116</v>
      </c>
      <c r="C4" s="92">
        <v>0.99305555555555547</v>
      </c>
      <c r="D4" s="91">
        <v>15</v>
      </c>
      <c r="E4" s="91">
        <v>2</v>
      </c>
      <c r="F4" s="91">
        <v>5</v>
      </c>
      <c r="G4" s="92">
        <v>0.35486111111111113</v>
      </c>
      <c r="H4" s="92">
        <v>0.36805555555555558</v>
      </c>
      <c r="I4" s="91">
        <v>3</v>
      </c>
      <c r="J4" s="91"/>
      <c r="K4" s="91"/>
    </row>
    <row r="5" spans="1:14" x14ac:dyDescent="0.25">
      <c r="A5" s="90">
        <v>44630</v>
      </c>
      <c r="B5" s="92">
        <v>0.97916666666666663</v>
      </c>
      <c r="C5" s="92">
        <v>0.98958333333333337</v>
      </c>
      <c r="D5" s="91">
        <v>20</v>
      </c>
      <c r="E5" s="91">
        <v>4</v>
      </c>
      <c r="F5" s="91">
        <v>40</v>
      </c>
      <c r="G5" s="92">
        <v>0.35416666666666669</v>
      </c>
      <c r="H5" s="93">
        <v>0.37152777777777773</v>
      </c>
      <c r="I5" s="91">
        <v>3</v>
      </c>
      <c r="J5" s="91"/>
      <c r="K5" s="91"/>
    </row>
    <row r="6" spans="1:14" x14ac:dyDescent="0.25">
      <c r="A6" s="90">
        <v>44631</v>
      </c>
      <c r="B6" s="92">
        <v>0.94791666666666663</v>
      </c>
      <c r="C6" s="92">
        <v>0.95833333333333337</v>
      </c>
      <c r="D6" s="91">
        <v>20</v>
      </c>
      <c r="E6" s="94">
        <v>7</v>
      </c>
      <c r="F6" s="94">
        <v>60</v>
      </c>
      <c r="G6" s="92">
        <v>0.36805555555555558</v>
      </c>
      <c r="H6" s="92">
        <v>0.375</v>
      </c>
      <c r="I6" s="91">
        <v>2</v>
      </c>
      <c r="J6" s="91"/>
      <c r="K6" s="91"/>
      <c r="M6" s="36"/>
      <c r="N6" s="36"/>
    </row>
    <row r="7" spans="1:14" x14ac:dyDescent="0.25">
      <c r="A7" s="90">
        <v>44632</v>
      </c>
      <c r="B7" s="92">
        <v>0.98958333333333337</v>
      </c>
      <c r="C7" s="92">
        <v>0</v>
      </c>
      <c r="D7" s="91">
        <v>10</v>
      </c>
      <c r="E7" s="91">
        <v>3</v>
      </c>
      <c r="F7" s="91">
        <v>20</v>
      </c>
      <c r="G7" s="92">
        <v>0.35416666666666669</v>
      </c>
      <c r="H7" s="92">
        <v>0.36180555555555555</v>
      </c>
      <c r="I7" s="91">
        <v>4</v>
      </c>
      <c r="J7" s="91"/>
      <c r="K7" s="91"/>
    </row>
    <row r="8" spans="1:14" x14ac:dyDescent="0.25">
      <c r="A8" s="90">
        <v>44633</v>
      </c>
      <c r="B8" s="92">
        <v>0.93055555555555547</v>
      </c>
      <c r="C8" s="92">
        <v>0.9375</v>
      </c>
      <c r="D8" s="91">
        <v>60</v>
      </c>
      <c r="E8" s="91">
        <v>2</v>
      </c>
      <c r="F8" s="91">
        <v>20</v>
      </c>
      <c r="G8" s="92">
        <v>0.35416666666666669</v>
      </c>
      <c r="H8" s="92">
        <v>0.375</v>
      </c>
      <c r="I8" s="91">
        <v>3</v>
      </c>
      <c r="J8" s="91"/>
      <c r="K8" s="91"/>
    </row>
    <row r="9" spans="1:14" x14ac:dyDescent="0.25">
      <c r="A9" s="90">
        <v>44634</v>
      </c>
      <c r="B9" s="92">
        <v>4.8611111111111112E-2</v>
      </c>
      <c r="C9" s="92">
        <v>7.2916666666666671E-2</v>
      </c>
      <c r="D9" s="91">
        <v>30</v>
      </c>
      <c r="E9" s="91">
        <v>2</v>
      </c>
      <c r="F9" s="91">
        <v>10</v>
      </c>
      <c r="G9" s="92">
        <v>0.35416666666666669</v>
      </c>
      <c r="H9" s="92">
        <v>0.37152777777777773</v>
      </c>
      <c r="I9" s="91">
        <v>4</v>
      </c>
      <c r="J9" s="91"/>
      <c r="K9" s="91"/>
    </row>
    <row r="10" spans="1:14" x14ac:dyDescent="0.25">
      <c r="A10" s="90">
        <v>44635</v>
      </c>
      <c r="B10" s="92">
        <v>7.9861111111111105E-2</v>
      </c>
      <c r="C10" s="92">
        <v>9.375E-2</v>
      </c>
      <c r="D10" s="91">
        <v>20</v>
      </c>
      <c r="E10" s="91">
        <v>4</v>
      </c>
      <c r="F10" s="91">
        <v>25</v>
      </c>
      <c r="G10" s="92">
        <v>0.3263888888888889</v>
      </c>
      <c r="H10" s="92">
        <v>0.34375</v>
      </c>
      <c r="I10" s="91">
        <v>4</v>
      </c>
      <c r="J10" s="91"/>
      <c r="K10" s="91"/>
    </row>
    <row r="11" spans="1:14" x14ac:dyDescent="0.25">
      <c r="A11" s="90">
        <v>44636</v>
      </c>
      <c r="B11" s="92">
        <v>6.25E-2</v>
      </c>
      <c r="C11" s="92">
        <v>9.0277777777777776E-2</v>
      </c>
      <c r="D11" s="91">
        <v>10</v>
      </c>
      <c r="E11" s="91">
        <v>2</v>
      </c>
      <c r="F11" s="91">
        <v>10</v>
      </c>
      <c r="G11" s="92">
        <v>0.3125</v>
      </c>
      <c r="H11" s="92">
        <v>0.34027777777777773</v>
      </c>
      <c r="I11" s="91">
        <v>4</v>
      </c>
      <c r="J11" s="91"/>
      <c r="K11" s="91"/>
    </row>
    <row r="12" spans="1:14" x14ac:dyDescent="0.25">
      <c r="A12" s="90">
        <v>44637</v>
      </c>
      <c r="B12" s="92">
        <v>0.9375</v>
      </c>
      <c r="C12" s="92">
        <v>0.94444444444444453</v>
      </c>
      <c r="D12" s="91">
        <v>30</v>
      </c>
      <c r="E12" s="91">
        <v>4</v>
      </c>
      <c r="F12" s="91">
        <v>15</v>
      </c>
      <c r="G12" s="92">
        <v>0.31944444444444448</v>
      </c>
      <c r="H12" s="92">
        <v>0.33333333333333331</v>
      </c>
      <c r="I12" s="91">
        <v>4</v>
      </c>
      <c r="J12" s="91"/>
      <c r="K12" s="91"/>
    </row>
    <row r="13" spans="1:14" x14ac:dyDescent="0.25">
      <c r="A13" s="90">
        <v>44638</v>
      </c>
      <c r="B13" s="92">
        <v>6.9444444444444441E-3</v>
      </c>
      <c r="C13" s="92">
        <v>2.0833333333333332E-2</v>
      </c>
      <c r="D13" s="91">
        <v>40</v>
      </c>
      <c r="E13" s="91">
        <v>3</v>
      </c>
      <c r="F13" s="91">
        <v>10</v>
      </c>
      <c r="G13" s="92">
        <v>0.3611111111111111</v>
      </c>
      <c r="H13" s="92">
        <v>0.37152777777777773</v>
      </c>
      <c r="I13" s="91">
        <v>4</v>
      </c>
      <c r="J13" s="91"/>
      <c r="K13" s="91"/>
    </row>
    <row r="14" spans="1:14" x14ac:dyDescent="0.25">
      <c r="A14" s="90">
        <v>44639</v>
      </c>
      <c r="B14" s="92">
        <v>0.9375</v>
      </c>
      <c r="C14" s="92">
        <v>2.0833333333333332E-2</v>
      </c>
      <c r="D14" s="91">
        <v>30</v>
      </c>
      <c r="E14" s="91">
        <v>2</v>
      </c>
      <c r="F14" s="91">
        <v>5</v>
      </c>
      <c r="G14" s="92">
        <v>0.35416666666666669</v>
      </c>
      <c r="H14" s="92">
        <v>0.36805555555555558</v>
      </c>
      <c r="I14" s="91">
        <v>5</v>
      </c>
      <c r="J14" s="91"/>
      <c r="K14" s="91"/>
    </row>
    <row r="15" spans="1:14" x14ac:dyDescent="0.25">
      <c r="A15" s="90">
        <v>44640</v>
      </c>
      <c r="B15" s="92">
        <v>0.93402777777777779</v>
      </c>
      <c r="C15" s="92">
        <v>0.94444444444444453</v>
      </c>
      <c r="D15" s="91">
        <v>80</v>
      </c>
      <c r="E15" s="91">
        <v>4</v>
      </c>
      <c r="F15" s="91">
        <v>20</v>
      </c>
      <c r="G15" s="92">
        <v>0.35416666666666669</v>
      </c>
      <c r="H15" s="92">
        <v>0.3611111111111111</v>
      </c>
      <c r="I15" s="91">
        <v>2</v>
      </c>
      <c r="J15" s="91"/>
      <c r="K15" s="91"/>
    </row>
    <row r="16" spans="1:14" x14ac:dyDescent="0.25">
      <c r="A16" s="90">
        <v>44641</v>
      </c>
      <c r="B16" s="92">
        <v>0.9375</v>
      </c>
      <c r="C16" s="92">
        <v>0.98541666666666661</v>
      </c>
      <c r="D16" s="91">
        <v>90</v>
      </c>
      <c r="E16" s="91">
        <v>6</v>
      </c>
      <c r="F16" s="91">
        <v>30</v>
      </c>
      <c r="G16" s="92">
        <v>0.30902777777777779</v>
      </c>
      <c r="H16" s="92">
        <v>0.3125</v>
      </c>
      <c r="I16" s="91">
        <v>3</v>
      </c>
      <c r="J16" s="91"/>
      <c r="K16" s="91"/>
    </row>
    <row r="17" spans="1:11" x14ac:dyDescent="0.25">
      <c r="A17" s="90">
        <v>44642</v>
      </c>
      <c r="B17" s="92">
        <v>0.95138888888888884</v>
      </c>
      <c r="C17" s="92">
        <v>0.95833333333333337</v>
      </c>
      <c r="D17" s="91">
        <v>30</v>
      </c>
      <c r="E17" s="91">
        <v>2</v>
      </c>
      <c r="F17" s="91">
        <v>10</v>
      </c>
      <c r="G17" s="92">
        <v>0.28472222222222221</v>
      </c>
      <c r="H17" s="92">
        <v>0.28819444444444448</v>
      </c>
      <c r="I17" s="91">
        <v>4</v>
      </c>
      <c r="J17" s="91"/>
      <c r="K17" s="91"/>
    </row>
    <row r="18" spans="1:11" x14ac:dyDescent="0.25">
      <c r="A18" s="90">
        <v>44643</v>
      </c>
      <c r="B18" s="92">
        <v>0.95833333333333337</v>
      </c>
      <c r="C18" s="92">
        <v>0.96875</v>
      </c>
      <c r="D18" s="91">
        <v>20</v>
      </c>
      <c r="E18" s="91">
        <v>1</v>
      </c>
      <c r="F18" s="91">
        <v>5</v>
      </c>
      <c r="G18" s="92">
        <v>0.29166666666666669</v>
      </c>
      <c r="H18" s="92">
        <v>0.34027777777777773</v>
      </c>
      <c r="I18" s="91">
        <v>5</v>
      </c>
      <c r="J18" s="91"/>
      <c r="K18" s="91"/>
    </row>
    <row r="19" spans="1:11" x14ac:dyDescent="0.25">
      <c r="B19" s="91"/>
      <c r="C19" s="91"/>
      <c r="D19" s="91"/>
      <c r="E19" s="91"/>
      <c r="F19" s="91"/>
      <c r="G19" s="91"/>
      <c r="H19" s="91"/>
      <c r="I19" s="91"/>
      <c r="J19" s="91"/>
      <c r="K19" s="91"/>
    </row>
    <row r="20" spans="1:11" x14ac:dyDescent="0.25">
      <c r="B20" s="91"/>
      <c r="C20" s="91"/>
      <c r="D20" s="91"/>
      <c r="E20" s="91"/>
      <c r="F20" s="91"/>
      <c r="G20" s="91"/>
      <c r="H20" s="91"/>
      <c r="I20" s="91"/>
      <c r="J20" s="91"/>
      <c r="K20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E38" sqref="E38"/>
    </sheetView>
  </sheetViews>
  <sheetFormatPr defaultColWidth="11.42578125" defaultRowHeight="15" x14ac:dyDescent="0.25"/>
  <cols>
    <col min="1" max="1" width="8.28515625" customWidth="1"/>
    <col min="2" max="2" width="7.28515625" customWidth="1"/>
    <col min="3" max="3" width="12.7109375" customWidth="1"/>
    <col min="4" max="4" width="2.28515625" customWidth="1"/>
    <col min="6" max="6" width="8" customWidth="1"/>
    <col min="7" max="7" width="10.28515625" customWidth="1"/>
    <col min="8" max="8" width="7.42578125" customWidth="1"/>
    <col min="12" max="12" width="2.71093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24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24</v>
      </c>
      <c r="M5" s="17" t="s">
        <v>24</v>
      </c>
      <c r="N5" s="15">
        <v>1</v>
      </c>
      <c r="O5" s="18">
        <f>N4+N6+N8+N12+N13+N15+N17+N19+N20+N22</f>
        <v>24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4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2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4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292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293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292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10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292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292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294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292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1</v>
      </c>
    </row>
    <row r="31" spans="1:9" x14ac:dyDescent="0.25">
      <c r="A31" s="40" t="s">
        <v>273</v>
      </c>
      <c r="B31" s="15">
        <v>5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2023-09-27T16:01:59Z</dcterms:modified>
  <cp:category/>
  <cp:contentStatus/>
</cp:coreProperties>
</file>