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21" documentId="13_ncr:1_{0BCEDCA8-37D0-4468-8DC1-59DF04DF31B2}" xr6:coauthVersionLast="47" xr6:coauthVersionMax="47" xr10:uidLastSave="{A81E19AC-67CD-4B9C-962D-A7D36288F8F4}"/>
  <bookViews>
    <workbookView xWindow="-120" yWindow="-120" windowWidth="29040" windowHeight="15840" firstSheet="1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AE15" i="3"/>
  <c r="AE8" i="3"/>
  <c r="AF10" i="3"/>
  <c r="AE13" i="3"/>
  <c r="AF11" i="3"/>
  <c r="AD8" i="3"/>
  <c r="AC9" i="3"/>
  <c r="AC11" i="3"/>
  <c r="AC14" i="3"/>
  <c r="AF15" i="3"/>
  <c r="AE11" i="3"/>
  <c r="AF13" i="3"/>
  <c r="AE9" i="3"/>
  <c r="AC12" i="3"/>
  <c r="AE14" i="3"/>
  <c r="AF14" i="3"/>
  <c r="AE10" i="3"/>
  <c r="AF9" i="3"/>
  <c r="AD12" i="3"/>
  <c r="AC15" i="3"/>
  <c r="AF12" i="3"/>
  <c r="AC10" i="3"/>
  <c r="AE12" i="3"/>
  <c r="AF8" i="3"/>
  <c r="AC8" i="3"/>
  <c r="AC13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AD10" i="3" l="1"/>
  <c r="AD9" i="3"/>
  <c r="AD11" i="3"/>
  <c r="P16" i="3"/>
  <c r="T16" i="3" s="1"/>
  <c r="AD15" i="3"/>
  <c r="AD14" i="3"/>
  <c r="P11" i="3"/>
  <c r="T11" i="3" s="1"/>
  <c r="P12" i="3"/>
  <c r="T12" i="3" s="1"/>
  <c r="P4" i="3"/>
  <c r="T4" i="3" s="1"/>
  <c r="AD13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AD16" i="3" a="1"/>
  <c r="AD16" i="3" s="1"/>
  <c r="AF16" i="3" a="1"/>
  <c r="AF16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<sst xmlns="http://schemas.openxmlformats.org/spreadsheetml/2006/main" count="560" uniqueCount="309">
  <si>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</si>
  <si>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</si>
  <si>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</si>
  <si>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</si>
  <si>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</si>
  <si>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</si>
  <si>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</si>
  <si>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</si>
  <si>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</si>
  <si>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</si>
  <si>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</si>
  <si>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</si>
  <si>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</si>
  <si>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</si>
  <si>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</si>
  <si>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</si>
  <si>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</si>
  <si>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</si>
  <si>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</si>
  <si>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</si>
  <si>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</si>
  <si>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</si>
  <si>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</si>
  <si>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</si>
  <si>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</si>
  <si>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</si>
  <si>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</si>
  <si>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</si>
  <si>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</si>
  <si>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</si>
  <si>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</si>
  <si>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</si>
  <si>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</si>
  <si>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</si>
  <si>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</si>
  <si>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</si>
  <si>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</si>
  <si>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</si>
  <si>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</si>
  <si>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</si>
  <si>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</si>
  <si>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</si>
  <si>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</si>
  <si>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</si>
  <si>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</si>
  <si>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</si>
  <si>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</si>
  <si>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</si>
  <si>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</si>
  <si>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</si>
  <si>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</si>
  <si>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</si>
  <si>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</si>
  <si>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</si>
  <si>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</si>
  <si>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</si>
  <si>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</si>
  <si>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</si>
  <si>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</si>
  <si>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</si>
  <si>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</si>
  <si>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</si>
  <si>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</si>
  <si>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</si>
  <si>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</si>
  <si>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</si>
  <si>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</si>
  <si>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</si>
  <si>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</si>
  <si>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</si>
  <si>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</si>
  <si>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</si>
  <si>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</si>
  <si>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</si>
  <si>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</si>
  <si>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</si>
  <si>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</si>
  <si>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</si>
  <si>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</si>
  <si>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</si>
  <si>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</si>
  <si>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</si>
  <si>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</si>
  <si>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</si>
  <si>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</si>
  <si>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</si>
  <si>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</si>
  <si>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</si>
  <si>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</si>
  <si>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</si>
  <si>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</si>
  <si>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</si>
  <si>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</si>
  <si>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</si>
  <si>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</si>
  <si>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</si>
  <si>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</si>
  <si>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</si>
  <si>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</si>
  <si>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</si>
  <si>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</si>
  <si>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</si>
  <si>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</si>
  <si>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</si>
  <si>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</si>
  <si>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</si>
  <si>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</si>
  <si>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</si>
  <si>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</si>
  <si>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</si>
  <si>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</si>
  <si>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</si>
  <si>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</si>
  <si>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</si>
  <si>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</si>
  <si>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</si>
  <si>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</si>
  <si>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</si>
  <si>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</si>
  <si>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</si>
  <si>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</si>
  <si>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</si>
  <si>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</si>
  <si>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</si>
  <si>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</si>
  <si>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</si>
  <si>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</si>
  <si>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</si>
  <si>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</si>
  <si>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</si>
  <si>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</si>
  <si>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</si>
  <si>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</si>
  <si>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</si>
  <si>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</si>
  <si>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</si>
  <si>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</si>
  <si>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</si>
  <si>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</si>
  <si>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</si>
  <si>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</si>
  <si>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</si>
  <si>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</si>
  <si>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</si>
  <si>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</si>
  <si>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</si>
  <si>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</si>
  <si>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</si>
  <si>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</si>
  <si>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</si>
  <si>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</si>
  <si>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</si>
  <si>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</si>
  <si>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</si>
  <si>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</si>
  <si>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</si>
  <si>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</si>
  <si>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</si>
  <si>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</si>
  <si>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</si>
  <si>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</si>
  <si>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</si>
  <si>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</si>
  <si>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</si>
  <si>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</si>
  <si>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</si>
  <si>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</si>
  <si>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</si>
  <si>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</si>
  <si>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</si>
  <si>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</si>
  <si>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</si>
  <si>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</si>
  <si>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</si>
  <si>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</si>
  <si>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</si>
  <si>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</si>
  <si>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</si>
  <si>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</si>
  <si>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</si>
  <si>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</si>
  <si>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</si>
  <si>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</si>
  <si>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</si>
  <si>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</si>
  <si>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</si>
  <si>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</si>
  <si>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</si>
  <si>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</si>
  <si>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</si>
  <si>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</si>
  <si>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</si>
  <si>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</si>
  <si>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</si>
  <si>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</si>
  <si>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</si>
  <si>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</si>
  <si>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</si>
  <si>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</si>
  <si>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</si>
  <si>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</si>
  <si>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</si>
  <si>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</si>
  <si>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</si>
  <si>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</si>
  <si>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</si>
  <si>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</si>
  <si>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</si>
  <si>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</si>
  <si>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</si>
  <si>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</si>
  <si>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</si>
  <si>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</si>
  <si>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</si>
  <si>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</si>
  <si>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</si>
  <si>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</si>
  <si>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</si>
  <si>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</si>
  <si>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</si>
  <si>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</si>
  <si>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</si>
  <si>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</si>
  <si>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</si>
  <si>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</si>
  <si>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</si>
  <si>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</si>
  <si>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</si>
  <si>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</si>
  <si>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</si>
  <si>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</si>
  <si>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</si>
  <si>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</si>
  <si>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</si>
  <si>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</si>
  <si>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</si>
  <si>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</si>
  <si>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</si>
  <si>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</si>
  <si>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</si>
  <si>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</si>
  <si>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</si>
  <si>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</si>
  <si>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</si>
  <si>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</si>
  <si>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</si>
  <si>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</si>
  <si>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</si>
  <si>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</si>
  <si>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</si>
  <si>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</si>
  <si>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</si>
  <si>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</si>
  <si>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</si>
  <si>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</si>
  <si>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</si>
  <si>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</si>
  <si>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</si>
  <si>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</si>
  <si>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</si>
  <si>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</si>
  <si>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</si>
  <si>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</si>
  <si>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</si>
  <si>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</si>
  <si>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</si>
  <si>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</si>
  <si>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</si>
  <si>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</si>
  <si>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</si>
  <si>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</si>
  <si>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</si>
  <si>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</si>
  <si>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</si>
  <si>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</si>
  <si>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</si>
  <si>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</si>
  <si>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</si>
  <si>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</si>
  <si>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</si>
  <si>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</si>
  <si>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</si>
  <si>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</si>
  <si>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</si>
  <si>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</si>
  <si>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</si>
  <si>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</si>
  <si>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</si>
  <si>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</si>
  <si>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</si>
  <si>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</si>
  <si>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</si>
  <si>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General noise 20 min in (O1 &amp; O2 super noisy -- "Recorder" (splitter box) fell down w/towel - secure better)</t>
  </si>
  <si>
    <t>Po9 bad from 10 min</t>
  </si>
  <si>
    <t>Telte antall trykk, prøvde å variere. Visualiserte antall trykk.</t>
  </si>
  <si>
    <t>nei</t>
  </si>
  <si>
    <t xml:space="preserve">Det jeg skal gjøre </t>
  </si>
  <si>
    <t>Telte, visualiserte myntkast</t>
  </si>
  <si>
    <t xml:space="preserve">lang </t>
  </si>
  <si>
    <t>Det som skjer etterpå og den siste helgen.</t>
  </si>
  <si>
    <t>Nei</t>
  </si>
  <si>
    <t>q1</t>
  </si>
  <si>
    <t>q4</t>
  </si>
  <si>
    <t>q5</t>
  </si>
  <si>
    <t>q7</t>
  </si>
  <si>
    <t>q2</t>
  </si>
  <si>
    <t>q3</t>
  </si>
  <si>
    <t>q6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</si>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</sst>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6" fontId="0" fillId="4" borderId="3" xfId="0" applyNumberFormat="1" applyFill="1" applyBorder="1"/>
    <xf numFmtId="20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6" sqref="D36"/>
    </sheetView>
  </sheetViews>
  <sheetFormatPr defaultColWidth="11.42578125" defaultRowHeight="15" x14ac:dyDescent="0.25"/>
  <cols>
    <col min="1" max="1" width="5.42578125" customWidth="1"/>
    <col min="2" max="2" width="29.7109375" customWidth="1"/>
    <col min="3" max="3" width="4.7109375" customWidth="1"/>
    <col min="4" max="4" width="11.28515625" customWidth="1"/>
    <col min="5" max="5" width="4.71093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33</v>
      </c>
      <c r="F2" t="s">
        <v>252</v>
      </c>
    </row>
    <row r="3" spans="1:8" x14ac:dyDescent="0.25">
      <c r="B3" s="43" t="s">
        <v>106</v>
      </c>
      <c r="C3" s="45"/>
      <c r="D3" s="37">
        <v>19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6">
        <v>44634</v>
      </c>
      <c r="F7" s="57" t="s">
        <v>135</v>
      </c>
    </row>
    <row r="8" spans="1:8" x14ac:dyDescent="0.25">
      <c r="B8" s="43" t="s">
        <v>111</v>
      </c>
      <c r="C8" s="45"/>
      <c r="D8" s="37">
        <v>11</v>
      </c>
      <c r="E8" s="15">
        <v>26</v>
      </c>
      <c r="F8" s="57" t="s">
        <v>270</v>
      </c>
      <c r="H8" s="74">
        <f>((E8/0.6)/100)+D8</f>
        <v>11.433333333333334</v>
      </c>
    </row>
    <row r="9" spans="1:8" x14ac:dyDescent="0.25">
      <c r="B9" s="43" t="s">
        <v>110</v>
      </c>
      <c r="C9" s="45"/>
      <c r="D9" s="86">
        <v>44641</v>
      </c>
      <c r="F9" s="57" t="s">
        <v>135</v>
      </c>
    </row>
    <row r="10" spans="1:8" x14ac:dyDescent="0.25">
      <c r="B10" s="43" t="s">
        <v>112</v>
      </c>
      <c r="C10" s="45"/>
      <c r="D10" s="37">
        <v>12</v>
      </c>
      <c r="E10" s="15">
        <v>25</v>
      </c>
      <c r="F10" s="57" t="s">
        <v>270</v>
      </c>
      <c r="H10" s="74">
        <f>((E10/0.6)/100)+D10</f>
        <v>12.416666666666666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 t="s">
        <v>292</v>
      </c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 t="s">
        <v>293</v>
      </c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S1" zoomScaleNormal="100" workbookViewId="0">
      <selection activeCell="AC3" sqref="AC3"/>
    </sheetView>
  </sheetViews>
  <sheetFormatPr defaultColWidth="11.42578125" defaultRowHeight="14.25" x14ac:dyDescent="0.2"/>
  <cols>
    <col min="1" max="1" width="11.28515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28515625" style="1" customWidth="1"/>
    <col min="6" max="6" width="8" style="1" customWidth="1"/>
    <col min="7" max="7" width="2.7109375" style="1" customWidth="1"/>
    <col min="8" max="8" width="11.42578125" style="1"/>
    <col min="9" max="9" width="7.7109375" style="1" customWidth="1"/>
    <col min="10" max="10" width="3.28515625" style="1" customWidth="1"/>
    <col min="11" max="11" width="9.5703125" style="1" customWidth="1"/>
    <col min="12" max="12" width="7" style="1" customWidth="1"/>
    <col min="13" max="13" width="3.28515625" style="1" customWidth="1"/>
    <col min="14" max="14" width="12.5703125" style="1" customWidth="1"/>
    <col min="15" max="15" width="8.42578125" style="1" customWidth="1"/>
    <col min="16" max="16" width="10.7109375" style="1" customWidth="1"/>
    <col min="17" max="18" width="10.28515625" style="1" customWidth="1"/>
    <col min="19" max="19" width="2.7109375" style="1" customWidth="1"/>
    <col min="20" max="20" width="7.5703125" style="1" customWidth="1"/>
    <col min="21" max="21" width="7" style="1" customWidth="1"/>
    <col min="22" max="22" width="7.71093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3</v>
      </c>
      <c r="K3" s="8" t="s">
        <v>21</v>
      </c>
      <c r="L3" s="9">
        <v>0</v>
      </c>
      <c r="N3" s="10" t="s">
        <v>22</v>
      </c>
      <c r="O3" s="11">
        <v>24</v>
      </c>
      <c r="P3" s="11">
        <v>0</v>
      </c>
      <c r="Q3" s="12">
        <f>24-(((P3/0.6)/100)+O3)</f>
        <v>0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1.5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3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2</v>
      </c>
      <c r="V4" s="13">
        <f>U4</f>
        <v>2</v>
      </c>
      <c r="X4" s="17" t="s">
        <v>24</v>
      </c>
      <c r="Y4" s="15">
        <v>1</v>
      </c>
      <c r="Z4" s="18">
        <f>Y3+Y5+Y7+Y11+Y12+Y14+Y16+Y18+Y19+Y21</f>
        <v>31</v>
      </c>
      <c r="AA4"/>
      <c r="AB4" s="10" t="s">
        <v>24</v>
      </c>
      <c r="AC4" s="11">
        <v>1</v>
      </c>
    </row>
    <row r="5" spans="1:29" ht="15" x14ac:dyDescent="0.25">
      <c r="A5" s="10" t="s">
        <v>24</v>
      </c>
      <c r="B5" s="11">
        <v>22</v>
      </c>
      <c r="C5" s="11">
        <v>0</v>
      </c>
      <c r="E5" s="8" t="s">
        <v>28</v>
      </c>
      <c r="F5" s="9">
        <v>7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10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1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4</v>
      </c>
      <c r="Z5"/>
      <c r="AA5"/>
      <c r="AB5" s="10" t="s">
        <v>28</v>
      </c>
      <c r="AC5" s="11">
        <v>0</v>
      </c>
    </row>
    <row r="6" spans="1:29" ht="15" x14ac:dyDescent="0.25">
      <c r="A6" s="10" t="s">
        <v>28</v>
      </c>
      <c r="B6" s="11">
        <v>7</v>
      </c>
      <c r="C6" s="11">
        <v>0</v>
      </c>
      <c r="E6" s="8" t="s">
        <v>31</v>
      </c>
      <c r="F6" s="9">
        <v>6</v>
      </c>
      <c r="H6" s="8" t="s">
        <v>31</v>
      </c>
      <c r="I6" s="9">
        <v>1</v>
      </c>
      <c r="K6" s="8" t="s">
        <v>24</v>
      </c>
      <c r="L6" s="9">
        <v>4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1</v>
      </c>
      <c r="V6" s="13">
        <f>U6</f>
        <v>1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2.5</v>
      </c>
    </row>
    <row r="7" spans="1:29" ht="15" x14ac:dyDescent="0.25">
      <c r="A7" s="10" t="s">
        <v>31</v>
      </c>
      <c r="B7" s="11">
        <v>9</v>
      </c>
      <c r="C7" s="11">
        <v>0</v>
      </c>
      <c r="E7" s="8" t="s">
        <v>35</v>
      </c>
      <c r="F7" s="9">
        <v>5</v>
      </c>
      <c r="H7" s="8" t="s">
        <v>35</v>
      </c>
      <c r="I7" s="9">
        <v>3</v>
      </c>
      <c r="K7" s="8" t="s">
        <v>28</v>
      </c>
      <c r="L7" s="9">
        <v>4</v>
      </c>
      <c r="N7" s="10" t="s">
        <v>36</v>
      </c>
      <c r="O7" s="11">
        <v>10</v>
      </c>
      <c r="P7" s="11">
        <v>30</v>
      </c>
      <c r="Q7" s="13">
        <f>((P7/0.6)/100)+O7</f>
        <v>10.5</v>
      </c>
      <c r="R7" s="13">
        <f>(Q8/(Q3+Q7))*100</f>
        <v>66.666666666666657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2</v>
      </c>
      <c r="Z7" s="18">
        <f>Y4+Y6+Y8+Y9+Y10+Y13+Y15+Y17+Y20+Y22</f>
        <v>24</v>
      </c>
      <c r="AA7"/>
    </row>
    <row r="8" spans="1:29" ht="15" x14ac:dyDescent="0.25">
      <c r="A8" s="10" t="s">
        <v>35</v>
      </c>
      <c r="B8" s="11">
        <v>7</v>
      </c>
      <c r="C8" s="11">
        <v>0</v>
      </c>
      <c r="E8" s="8" t="s">
        <v>37</v>
      </c>
      <c r="F8" s="9">
        <v>4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4</v>
      </c>
      <c r="Z8"/>
      <c r="AA8"/>
    </row>
    <row r="9" spans="1:29" ht="15" x14ac:dyDescent="0.25">
      <c r="A9" s="19" t="s">
        <v>37</v>
      </c>
      <c r="B9" s="11">
        <v>10</v>
      </c>
      <c r="C9" s="67">
        <v>0</v>
      </c>
      <c r="E9" s="8" t="s">
        <v>39</v>
      </c>
      <c r="F9" s="9">
        <v>7</v>
      </c>
      <c r="H9" s="8" t="s">
        <v>39</v>
      </c>
      <c r="I9" s="9">
        <v>0</v>
      </c>
      <c r="K9" s="8" t="s">
        <v>35</v>
      </c>
      <c r="L9" s="9">
        <v>2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5" x14ac:dyDescent="0.25">
      <c r="B10" s="2" t="s">
        <v>7</v>
      </c>
      <c r="E10" s="8" t="s">
        <v>40</v>
      </c>
      <c r="F10" s="9">
        <v>7</v>
      </c>
      <c r="H10" s="8" t="s">
        <v>40</v>
      </c>
      <c r="I10" s="9">
        <v>0</v>
      </c>
      <c r="K10" s="8" t="s">
        <v>41</v>
      </c>
      <c r="L10" s="22">
        <f>SUM(L3:L9)</f>
        <v>13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2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2</v>
      </c>
      <c r="E11" s="8" t="s">
        <v>43</v>
      </c>
      <c r="F11" s="9">
        <v>7</v>
      </c>
      <c r="H11" s="8" t="s">
        <v>41</v>
      </c>
      <c r="I11" s="23">
        <f>SUM(I3:I10)</f>
        <v>10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4</v>
      </c>
      <c r="P11" s="13">
        <f t="shared" ref="P11:P23" si="0">O11-1</f>
        <v>3</v>
      </c>
      <c r="X11" s="14" t="s">
        <v>43</v>
      </c>
      <c r="Y11" s="15">
        <v>5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5.8888888888888893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8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1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2</v>
      </c>
      <c r="X15" s="17" t="s">
        <v>56</v>
      </c>
      <c r="Y15" s="15">
        <v>3</v>
      </c>
      <c r="Z15"/>
      <c r="AA15"/>
    </row>
    <row r="16" spans="1:29" ht="15" x14ac:dyDescent="0.25">
      <c r="N16" s="10" t="s">
        <v>57</v>
      </c>
      <c r="O16" s="11">
        <v>3</v>
      </c>
      <c r="P16" s="13">
        <f t="shared" si="0"/>
        <v>2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2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3</v>
      </c>
      <c r="P17" s="13">
        <f t="shared" si="0"/>
        <v>2</v>
      </c>
      <c r="Q17" s="38" t="s">
        <v>61</v>
      </c>
      <c r="R17" s="24">
        <f>P21</f>
        <v>0</v>
      </c>
      <c r="X17" s="17" t="s">
        <v>62</v>
      </c>
      <c r="Y17" s="15">
        <v>3</v>
      </c>
      <c r="Z17"/>
      <c r="AA17"/>
    </row>
    <row r="18" spans="1:27" ht="15" x14ac:dyDescent="0.25">
      <c r="N18" s="10" t="s">
        <v>63</v>
      </c>
      <c r="O18" s="11">
        <v>2</v>
      </c>
      <c r="P18" s="13">
        <f t="shared" si="0"/>
        <v>1</v>
      </c>
      <c r="Q18" s="38" t="s">
        <v>64</v>
      </c>
      <c r="R18" s="24" cm="1">
        <f t="array" ref="R18">_xlfn.IFS(Q23=0,0,Q23&lt;=2,1,Q23&lt;=4,2,Q23&lt;=6,3)</f>
        <v>2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8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3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9</v>
      </c>
      <c r="X21" s="14" t="s">
        <v>73</v>
      </c>
      <c r="Y21" s="15">
        <v>2</v>
      </c>
      <c r="AA21"/>
    </row>
    <row r="22" spans="1:27" ht="15" x14ac:dyDescent="0.25">
      <c r="N22" s="10" t="s">
        <v>74</v>
      </c>
      <c r="O22" s="11">
        <v>2</v>
      </c>
      <c r="P22" s="13">
        <f t="shared" si="0"/>
        <v>1</v>
      </c>
      <c r="Q22" s="4" t="s">
        <v>16</v>
      </c>
      <c r="X22" s="17" t="s">
        <v>75</v>
      </c>
      <c r="Y22" s="15">
        <v>2</v>
      </c>
    </row>
    <row r="23" spans="1:27" x14ac:dyDescent="0.2">
      <c r="N23" s="10" t="s">
        <v>76</v>
      </c>
      <c r="O23" s="11">
        <v>4</v>
      </c>
      <c r="P23" s="13">
        <f t="shared" si="0"/>
        <v>3</v>
      </c>
      <c r="Q23" s="12">
        <f>P23+P22</f>
        <v>4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G63"/>
  <sheetViews>
    <sheetView zoomScaleNormal="100" workbookViewId="0">
      <selection activeCell="R3" sqref="R3:R17"/>
    </sheetView>
  </sheetViews>
  <sheetFormatPr defaultColWidth="10.42578125" defaultRowHeight="15" x14ac:dyDescent="0.25"/>
  <cols>
    <col min="1" max="1" width="11.28515625" customWidth="1"/>
    <col min="2" max="2" width="5.140625" customWidth="1"/>
    <col min="3" max="3" width="5.28515625" customWidth="1"/>
    <col min="4" max="4" width="8.5703125" customWidth="1"/>
    <col min="5" max="6" width="8.7109375" customWidth="1"/>
    <col min="7" max="7" width="4.71093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28515625" customWidth="1"/>
    <col min="22" max="22" width="3.7109375" customWidth="1"/>
    <col min="23" max="23" width="13.71093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3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3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3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  <c r="W3" t="s">
        <v>301</v>
      </c>
      <c r="X3" t="s">
        <v>302</v>
      </c>
      <c r="Y3" t="s">
        <v>303</v>
      </c>
      <c r="Z3" t="s">
        <v>304</v>
      </c>
    </row>
    <row r="4" spans="1:33" x14ac:dyDescent="0.25">
      <c r="A4" s="75">
        <v>44628</v>
      </c>
      <c r="B4" s="32">
        <v>1</v>
      </c>
      <c r="C4" s="33">
        <v>24</v>
      </c>
      <c r="D4" s="15">
        <v>24</v>
      </c>
      <c r="E4" s="15">
        <v>40</v>
      </c>
      <c r="F4" s="15">
        <v>20</v>
      </c>
      <c r="G4" s="34">
        <f>(E4/0.6)/100</f>
        <v>0.66666666666666674</v>
      </c>
      <c r="H4" s="34">
        <f>(F4/0.6)/100</f>
        <v>0.33333333333333337</v>
      </c>
      <c r="I4" s="34">
        <f>D4+G4+H4</f>
        <v>25</v>
      </c>
      <c r="J4" s="34">
        <f>C4-I4</f>
        <v>-1</v>
      </c>
      <c r="K4" s="15">
        <v>9</v>
      </c>
      <c r="L4" s="15">
        <v>0</v>
      </c>
      <c r="M4" s="34">
        <f>(L4/0.6)/100</f>
        <v>0</v>
      </c>
      <c r="N4" s="34">
        <f>K4+M4</f>
        <v>9</v>
      </c>
      <c r="O4" s="34">
        <f t="shared" ref="O4:O20" si="0">N4+J4</f>
        <v>8</v>
      </c>
      <c r="P4" s="34">
        <f>ROUNDDOWN(O4,0)</f>
        <v>8</v>
      </c>
      <c r="Q4" s="34">
        <f>(O4-P4)*0.6</f>
        <v>0</v>
      </c>
      <c r="R4" s="15">
        <v>3</v>
      </c>
      <c r="S4" s="34">
        <f>IF(R4&gt;0,R4-1,"")</f>
        <v>2</v>
      </c>
      <c r="T4" s="35">
        <f t="shared" ref="T4:T20" si="1">P4</f>
        <v>8</v>
      </c>
      <c r="U4" s="35">
        <f>Q4*100</f>
        <v>0</v>
      </c>
      <c r="W4" s="87">
        <v>1.3888888888888888E-2</v>
      </c>
      <c r="X4">
        <v>2</v>
      </c>
      <c r="Y4">
        <v>20</v>
      </c>
      <c r="Z4" s="87">
        <v>0.375</v>
      </c>
    </row>
    <row r="5" spans="1:33" x14ac:dyDescent="0.25">
      <c r="A5" s="75">
        <v>44629</v>
      </c>
      <c r="B5" s="32">
        <v>2</v>
      </c>
      <c r="C5" s="33">
        <v>24</v>
      </c>
      <c r="D5" s="15">
        <v>25</v>
      </c>
      <c r="E5" s="15">
        <v>10</v>
      </c>
      <c r="F5" s="15">
        <v>15</v>
      </c>
      <c r="G5" s="34">
        <f t="shared" ref="G5:H20" si="2">(E5/0.6)/100</f>
        <v>0.16666666666666669</v>
      </c>
      <c r="H5" s="34">
        <f t="shared" si="2"/>
        <v>0.25</v>
      </c>
      <c r="I5" s="34">
        <f t="shared" ref="I5:I20" si="3">D5+G5+H5</f>
        <v>25.416666666666668</v>
      </c>
      <c r="J5" s="34">
        <f t="shared" ref="J5:J20" si="4">C5-I5</f>
        <v>-1.4166666666666679</v>
      </c>
      <c r="K5" s="15">
        <v>9</v>
      </c>
      <c r="L5" s="15">
        <v>0</v>
      </c>
      <c r="M5" s="34">
        <f t="shared" ref="M5:M20" si="5">(L5/0.6)/100</f>
        <v>0</v>
      </c>
      <c r="N5" s="34">
        <f t="shared" ref="N5:N20" si="6">K5+M5</f>
        <v>9</v>
      </c>
      <c r="O5" s="34">
        <f t="shared" si="0"/>
        <v>7.5833333333333321</v>
      </c>
      <c r="P5" s="34">
        <f t="shared" ref="P5:P20" si="7">ROUNDDOWN(O5,0)</f>
        <v>7</v>
      </c>
      <c r="Q5" s="34">
        <f t="shared" ref="Q5:Q20" si="8">(O5-P5)*0.6</f>
        <v>0.34999999999999926</v>
      </c>
      <c r="R5" s="15">
        <v>1</v>
      </c>
      <c r="S5" s="34">
        <f t="shared" ref="S5:S20" si="9">IF(R5&gt;0,R5-1,"")</f>
        <v>0</v>
      </c>
      <c r="T5" s="35">
        <f t="shared" si="1"/>
        <v>7</v>
      </c>
      <c r="U5" s="35">
        <f t="shared" ref="U5:U20" si="10">Q5*100</f>
        <v>34.999999999999929</v>
      </c>
      <c r="W5" s="87">
        <v>1.0416666666666666E-2</v>
      </c>
      <c r="X5">
        <v>2</v>
      </c>
      <c r="Y5">
        <v>100</v>
      </c>
      <c r="Z5" s="87">
        <v>0.41666666666666669</v>
      </c>
      <c r="AD5" s="36"/>
    </row>
    <row r="6" spans="1:33" x14ac:dyDescent="0.25">
      <c r="A6" s="75">
        <v>44630</v>
      </c>
      <c r="B6" s="32">
        <v>3</v>
      </c>
      <c r="C6" s="33">
        <v>24</v>
      </c>
      <c r="D6" s="15">
        <v>25</v>
      </c>
      <c r="E6" s="15">
        <v>0</v>
      </c>
      <c r="F6" s="15">
        <v>10</v>
      </c>
      <c r="G6" s="34">
        <f t="shared" si="2"/>
        <v>0</v>
      </c>
      <c r="H6" s="34">
        <f t="shared" si="2"/>
        <v>0.16666666666666669</v>
      </c>
      <c r="I6" s="34">
        <f t="shared" si="3"/>
        <v>25.166666666666668</v>
      </c>
      <c r="J6" s="34">
        <f t="shared" si="4"/>
        <v>-1.1666666666666679</v>
      </c>
      <c r="K6" s="15">
        <v>8</v>
      </c>
      <c r="L6" s="15">
        <v>50</v>
      </c>
      <c r="M6" s="34">
        <f t="shared" si="5"/>
        <v>0.83333333333333348</v>
      </c>
      <c r="N6" s="34">
        <f t="shared" si="6"/>
        <v>8.8333333333333339</v>
      </c>
      <c r="O6" s="34">
        <f t="shared" si="0"/>
        <v>7.6666666666666661</v>
      </c>
      <c r="P6" s="34">
        <f t="shared" si="7"/>
        <v>7</v>
      </c>
      <c r="Q6" s="34">
        <f t="shared" si="8"/>
        <v>0.39999999999999963</v>
      </c>
      <c r="R6" s="15">
        <v>4</v>
      </c>
      <c r="S6" s="34">
        <f t="shared" si="9"/>
        <v>3</v>
      </c>
      <c r="T6" s="35">
        <f t="shared" si="1"/>
        <v>7</v>
      </c>
      <c r="U6" s="35">
        <f t="shared" si="10"/>
        <v>39.999999999999964</v>
      </c>
      <c r="W6" s="87">
        <v>2.0833333333333332E-2</v>
      </c>
      <c r="X6">
        <v>1</v>
      </c>
      <c r="Y6">
        <v>10</v>
      </c>
      <c r="Z6" s="87">
        <v>0.375</v>
      </c>
      <c r="AD6" s="36"/>
    </row>
    <row r="7" spans="1:33" x14ac:dyDescent="0.25">
      <c r="A7" s="75">
        <v>44631</v>
      </c>
      <c r="B7" s="32">
        <v>4</v>
      </c>
      <c r="C7" s="33">
        <v>24</v>
      </c>
      <c r="D7" s="15">
        <v>26</v>
      </c>
      <c r="E7" s="15">
        <v>0</v>
      </c>
      <c r="F7" s="15"/>
      <c r="G7" s="34">
        <f t="shared" si="2"/>
        <v>0</v>
      </c>
      <c r="H7" s="34">
        <f t="shared" si="2"/>
        <v>0</v>
      </c>
      <c r="I7" s="34">
        <f t="shared" si="3"/>
        <v>26</v>
      </c>
      <c r="J7" s="34">
        <f t="shared" si="4"/>
        <v>-2</v>
      </c>
      <c r="K7" s="15">
        <v>9</v>
      </c>
      <c r="L7" s="15">
        <v>0</v>
      </c>
      <c r="M7" s="34">
        <f t="shared" si="5"/>
        <v>0</v>
      </c>
      <c r="N7" s="34">
        <f t="shared" si="6"/>
        <v>9</v>
      </c>
      <c r="O7" s="34">
        <f t="shared" si="0"/>
        <v>7</v>
      </c>
      <c r="P7" s="34">
        <f t="shared" si="7"/>
        <v>7</v>
      </c>
      <c r="Q7" s="34">
        <f t="shared" si="8"/>
        <v>0</v>
      </c>
      <c r="R7" s="15">
        <v>5</v>
      </c>
      <c r="S7" s="34">
        <f t="shared" si="9"/>
        <v>4</v>
      </c>
      <c r="T7" s="35">
        <f t="shared" si="1"/>
        <v>7</v>
      </c>
      <c r="U7" s="35">
        <f t="shared" si="10"/>
        <v>0</v>
      </c>
      <c r="W7" s="87">
        <v>2.0833333333333332E-2</v>
      </c>
      <c r="X7">
        <v>0</v>
      </c>
      <c r="Y7">
        <v>0</v>
      </c>
      <c r="Z7" s="87">
        <v>0.40277777777777773</v>
      </c>
    </row>
    <row r="8" spans="1:33" x14ac:dyDescent="0.25">
      <c r="A8" s="75">
        <v>44632</v>
      </c>
      <c r="B8" s="32">
        <v>5</v>
      </c>
      <c r="C8" s="33">
        <v>24</v>
      </c>
      <c r="D8" s="15">
        <v>26</v>
      </c>
      <c r="E8" s="15">
        <v>30</v>
      </c>
      <c r="F8" s="15">
        <v>10</v>
      </c>
      <c r="G8" s="34">
        <f t="shared" si="2"/>
        <v>0.5</v>
      </c>
      <c r="H8" s="34">
        <f t="shared" si="2"/>
        <v>0.16666666666666669</v>
      </c>
      <c r="I8" s="34">
        <f t="shared" si="3"/>
        <v>26.666666666666668</v>
      </c>
      <c r="J8" s="34">
        <f t="shared" si="4"/>
        <v>-2.6666666666666679</v>
      </c>
      <c r="K8" s="15">
        <v>9</v>
      </c>
      <c r="L8" s="15">
        <v>0</v>
      </c>
      <c r="M8" s="34">
        <f t="shared" si="5"/>
        <v>0</v>
      </c>
      <c r="N8" s="34">
        <f t="shared" si="6"/>
        <v>9</v>
      </c>
      <c r="O8" s="34">
        <f t="shared" si="0"/>
        <v>6.3333333333333321</v>
      </c>
      <c r="P8" s="34">
        <f t="shared" si="7"/>
        <v>6</v>
      </c>
      <c r="Q8" s="34">
        <f t="shared" si="8"/>
        <v>0.19999999999999929</v>
      </c>
      <c r="R8" s="15">
        <v>4</v>
      </c>
      <c r="S8" s="34">
        <f t="shared" si="9"/>
        <v>3</v>
      </c>
      <c r="T8" s="35">
        <f t="shared" si="1"/>
        <v>6</v>
      </c>
      <c r="U8" s="35">
        <f t="shared" si="10"/>
        <v>19.999999999999929</v>
      </c>
      <c r="W8" s="87">
        <v>2.0833333333333332E-2</v>
      </c>
      <c r="X8">
        <v>2</v>
      </c>
      <c r="Y8">
        <v>10</v>
      </c>
      <c r="Z8" s="87">
        <v>0.39583333333333331</v>
      </c>
      <c r="AC8" t="str">
        <f>IF(B1=1,"LSD","")</f>
        <v>LSD</v>
      </c>
      <c r="AD8" t="str">
        <f>IF(B1=1,"Time Slept","")</f>
        <v>Time Slept</v>
      </c>
      <c r="AE8" t="str">
        <f>IF(B1=1,"Sleep Quality","")</f>
        <v>Sleep Quality</v>
      </c>
      <c r="AF8" s="73" t="str">
        <f>IF(B1=1,"Missing day(s)","")</f>
        <v>Missing day(s)</v>
      </c>
    </row>
    <row r="9" spans="1:33" x14ac:dyDescent="0.25">
      <c r="A9" s="75">
        <v>44633</v>
      </c>
      <c r="B9" s="32">
        <v>6</v>
      </c>
      <c r="C9" s="33">
        <v>24</v>
      </c>
      <c r="D9" s="15">
        <v>27</v>
      </c>
      <c r="E9" s="15">
        <v>0</v>
      </c>
      <c r="F9" s="15">
        <v>30</v>
      </c>
      <c r="G9" s="34">
        <f t="shared" si="2"/>
        <v>0</v>
      </c>
      <c r="H9" s="34">
        <f t="shared" si="2"/>
        <v>0.5</v>
      </c>
      <c r="I9" s="34">
        <f t="shared" si="3"/>
        <v>27.5</v>
      </c>
      <c r="J9" s="34">
        <f t="shared" si="4"/>
        <v>-3.5</v>
      </c>
      <c r="K9" s="15">
        <v>9</v>
      </c>
      <c r="L9" s="15">
        <v>0</v>
      </c>
      <c r="M9" s="34">
        <f t="shared" si="5"/>
        <v>0</v>
      </c>
      <c r="N9" s="34">
        <f t="shared" si="6"/>
        <v>9</v>
      </c>
      <c r="O9" s="34">
        <f t="shared" si="0"/>
        <v>5.5</v>
      </c>
      <c r="P9" s="34">
        <f t="shared" si="7"/>
        <v>5</v>
      </c>
      <c r="Q9" s="34">
        <f t="shared" si="8"/>
        <v>0.3</v>
      </c>
      <c r="R9" s="15">
        <v>3</v>
      </c>
      <c r="S9" s="34">
        <f t="shared" si="9"/>
        <v>2</v>
      </c>
      <c r="T9" s="35">
        <f t="shared" si="1"/>
        <v>5</v>
      </c>
      <c r="U9" s="35">
        <f t="shared" si="10"/>
        <v>30</v>
      </c>
      <c r="W9" s="87">
        <v>2.0833333333333332E-2</v>
      </c>
      <c r="X9">
        <v>2</v>
      </c>
      <c r="Y9">
        <v>15</v>
      </c>
      <c r="Z9" s="87">
        <v>0.5</v>
      </c>
      <c r="AC9" t="str">
        <f>IF(B1=1,"DP_NS_AVG","")</f>
        <v>DP_NS_AVG</v>
      </c>
      <c r="AD9" s="36">
        <f>IF(B1=1,SUM(O8:O14)/(COUNT(O8:O14)),"")</f>
        <v>6.9285714285714262</v>
      </c>
      <c r="AE9" s="36">
        <f>IF(B1=1,SUM(S8:S14)/COUNT(S8:S14),"")</f>
        <v>3</v>
      </c>
      <c r="AF9" t="str">
        <f>IF(B1=1,IF(COUNT(S8:S14)&lt;7,7-COUNT(S8:S14),""),"")</f>
        <v/>
      </c>
    </row>
    <row r="10" spans="1:33" x14ac:dyDescent="0.25">
      <c r="A10" s="75">
        <v>44634</v>
      </c>
      <c r="B10" s="32">
        <v>7</v>
      </c>
      <c r="C10" s="33">
        <v>24</v>
      </c>
      <c r="D10" s="15">
        <v>25</v>
      </c>
      <c r="E10" s="15">
        <v>10</v>
      </c>
      <c r="F10" s="15">
        <v>10</v>
      </c>
      <c r="G10" s="34">
        <f t="shared" si="2"/>
        <v>0.16666666666666669</v>
      </c>
      <c r="H10" s="34">
        <f t="shared" si="2"/>
        <v>0.16666666666666669</v>
      </c>
      <c r="I10" s="34">
        <f t="shared" si="3"/>
        <v>25.333333333333336</v>
      </c>
      <c r="J10" s="34">
        <f t="shared" si="4"/>
        <v>-1.3333333333333357</v>
      </c>
      <c r="K10" s="15">
        <v>9</v>
      </c>
      <c r="L10" s="15">
        <v>0</v>
      </c>
      <c r="M10" s="34">
        <f t="shared" si="5"/>
        <v>0</v>
      </c>
      <c r="N10" s="34">
        <f t="shared" si="6"/>
        <v>9</v>
      </c>
      <c r="O10" s="34">
        <f t="shared" si="0"/>
        <v>7.6666666666666643</v>
      </c>
      <c r="P10" s="34">
        <f t="shared" si="7"/>
        <v>7</v>
      </c>
      <c r="Q10" s="34">
        <f t="shared" si="8"/>
        <v>0.39999999999999858</v>
      </c>
      <c r="R10" s="15">
        <v>4</v>
      </c>
      <c r="S10" s="34">
        <f t="shared" si="9"/>
        <v>3</v>
      </c>
      <c r="T10" s="35">
        <f t="shared" si="1"/>
        <v>7</v>
      </c>
      <c r="U10" s="35">
        <f t="shared" si="10"/>
        <v>39.999999999999858</v>
      </c>
      <c r="W10" s="87">
        <v>1.3888888888888888E-2</v>
      </c>
      <c r="X10">
        <v>0</v>
      </c>
      <c r="Y10">
        <v>0</v>
      </c>
      <c r="Z10" s="87">
        <v>0.38194444444444442</v>
      </c>
      <c r="AC10" t="str">
        <f>IF(B1=1,"DP_P_AVG","")</f>
        <v>DP_P_AVG</v>
      </c>
      <c r="AD10" s="36">
        <f>IF(B1=1,SUM(O15:O17)/(COUNT(O15:O17)),"")</f>
        <v>5.6944444444444455</v>
      </c>
      <c r="AE10" s="36">
        <f>IF(B1=1,SUM(S15:S17)/COUNT(S15:S17),"")</f>
        <v>1</v>
      </c>
      <c r="AF10" t="str">
        <f>IF(B1=1,IF(COUNT(S15:S17)&lt;3,3-COUNT(S15:S17),""),"")</f>
        <v/>
      </c>
    </row>
    <row r="11" spans="1:33" x14ac:dyDescent="0.25">
      <c r="A11" s="75">
        <v>44635</v>
      </c>
      <c r="B11" s="32">
        <v>8</v>
      </c>
      <c r="C11" s="28">
        <v>24</v>
      </c>
      <c r="D11" s="15">
        <v>25</v>
      </c>
      <c r="E11" s="15">
        <v>10</v>
      </c>
      <c r="F11" s="15">
        <v>15</v>
      </c>
      <c r="G11" s="34">
        <f t="shared" si="2"/>
        <v>0.16666666666666669</v>
      </c>
      <c r="H11" s="34">
        <f t="shared" si="2"/>
        <v>0.25</v>
      </c>
      <c r="I11" s="34">
        <f t="shared" si="3"/>
        <v>25.416666666666668</v>
      </c>
      <c r="J11" s="34">
        <f t="shared" si="4"/>
        <v>-1.4166666666666679</v>
      </c>
      <c r="K11" s="15">
        <v>9</v>
      </c>
      <c r="L11" s="15">
        <v>0</v>
      </c>
      <c r="M11" s="34">
        <f t="shared" si="5"/>
        <v>0</v>
      </c>
      <c r="N11" s="34">
        <f t="shared" si="6"/>
        <v>9</v>
      </c>
      <c r="O11" s="34">
        <f t="shared" si="0"/>
        <v>7.5833333333333321</v>
      </c>
      <c r="P11" s="34">
        <f t="shared" si="7"/>
        <v>7</v>
      </c>
      <c r="Q11" s="34">
        <f t="shared" si="8"/>
        <v>0.34999999999999926</v>
      </c>
      <c r="R11" s="15">
        <v>4</v>
      </c>
      <c r="S11" s="34">
        <f t="shared" si="9"/>
        <v>3</v>
      </c>
      <c r="T11" s="35">
        <f t="shared" si="1"/>
        <v>7</v>
      </c>
      <c r="U11" s="35">
        <f t="shared" si="10"/>
        <v>34.999999999999929</v>
      </c>
      <c r="W11" s="87">
        <v>2.0833333333333332E-2</v>
      </c>
      <c r="X11">
        <v>1</v>
      </c>
      <c r="Y11">
        <v>10</v>
      </c>
      <c r="Z11" s="87">
        <v>0.41666666666666669</v>
      </c>
      <c r="AC11" t="str">
        <f>IF(B1=1,"NS_AVG","")</f>
        <v>NS_AVG</v>
      </c>
      <c r="AD11" s="36">
        <f>IF(B1=1,SUM(O4:O10)/(COUNT(O4:O10)),"")</f>
        <v>7.1071428571428559</v>
      </c>
      <c r="AE11" s="36">
        <f>IF(B1=1,SUM(S4:S10)/COUNT(S4:S10),"")</f>
        <v>2.4285714285714284</v>
      </c>
      <c r="AF11" t="str">
        <f>IF(B1=1,IF(COUNT(S4:S10)&lt;7,7-COUNT(S4:S10),""),"")</f>
        <v/>
      </c>
    </row>
    <row r="12" spans="1:33" x14ac:dyDescent="0.25">
      <c r="A12" s="75">
        <v>44636</v>
      </c>
      <c r="B12" s="32">
        <v>9</v>
      </c>
      <c r="C12" s="28">
        <v>24</v>
      </c>
      <c r="D12" s="15">
        <v>25</v>
      </c>
      <c r="E12" s="15">
        <v>30</v>
      </c>
      <c r="F12" s="15">
        <v>15</v>
      </c>
      <c r="G12" s="34">
        <f t="shared" si="2"/>
        <v>0.5</v>
      </c>
      <c r="H12" s="34">
        <f t="shared" si="2"/>
        <v>0.25</v>
      </c>
      <c r="I12" s="34">
        <f t="shared" si="3"/>
        <v>25.75</v>
      </c>
      <c r="J12" s="34">
        <f t="shared" si="4"/>
        <v>-1.75</v>
      </c>
      <c r="K12" s="15">
        <v>9</v>
      </c>
      <c r="L12" s="15">
        <v>0</v>
      </c>
      <c r="M12" s="34">
        <f t="shared" si="5"/>
        <v>0</v>
      </c>
      <c r="N12" s="34">
        <f t="shared" si="6"/>
        <v>9</v>
      </c>
      <c r="O12" s="34">
        <f t="shared" si="0"/>
        <v>7.25</v>
      </c>
      <c r="P12" s="34">
        <f t="shared" si="7"/>
        <v>7</v>
      </c>
      <c r="Q12" s="34">
        <f t="shared" si="8"/>
        <v>0.15</v>
      </c>
      <c r="R12" s="15">
        <v>4</v>
      </c>
      <c r="S12" s="34">
        <f t="shared" si="9"/>
        <v>3</v>
      </c>
      <c r="T12" s="35">
        <f t="shared" si="1"/>
        <v>7</v>
      </c>
      <c r="U12" s="35">
        <f t="shared" si="10"/>
        <v>15</v>
      </c>
      <c r="W12" s="87">
        <v>0</v>
      </c>
      <c r="X12">
        <v>0</v>
      </c>
      <c r="Y12">
        <v>0</v>
      </c>
      <c r="Z12" s="87">
        <v>0.375</v>
      </c>
      <c r="AC12" t="str">
        <f>IF(B1=0,"ESD","")</f>
        <v/>
      </c>
      <c r="AD12" t="str">
        <f>IF(B1=0,"Time Slept","")</f>
        <v/>
      </c>
      <c r="AE12" t="str">
        <f>IF(B1=0,"Sleep Quality","")</f>
        <v/>
      </c>
      <c r="AF12" s="73" t="str">
        <f>IF(B1=0,"Missing day(s)","")</f>
        <v/>
      </c>
    </row>
    <row r="13" spans="1:33" x14ac:dyDescent="0.25">
      <c r="A13" s="75">
        <v>44637</v>
      </c>
      <c r="B13" s="32">
        <v>10</v>
      </c>
      <c r="C13" s="28">
        <v>24</v>
      </c>
      <c r="D13" s="15">
        <v>25</v>
      </c>
      <c r="E13" s="15">
        <v>10</v>
      </c>
      <c r="F13" s="15">
        <v>30</v>
      </c>
      <c r="G13" s="34">
        <f t="shared" si="2"/>
        <v>0.16666666666666669</v>
      </c>
      <c r="H13" s="34">
        <f t="shared" si="2"/>
        <v>0.5</v>
      </c>
      <c r="I13" s="34">
        <f t="shared" si="3"/>
        <v>25.666666666666668</v>
      </c>
      <c r="J13" s="34">
        <f t="shared" si="4"/>
        <v>-1.6666666666666679</v>
      </c>
      <c r="K13" s="15">
        <v>9</v>
      </c>
      <c r="L13" s="15">
        <v>0</v>
      </c>
      <c r="M13" s="34">
        <f t="shared" si="5"/>
        <v>0</v>
      </c>
      <c r="N13" s="34">
        <f t="shared" si="6"/>
        <v>9</v>
      </c>
      <c r="O13" s="34">
        <f t="shared" si="0"/>
        <v>7.3333333333333321</v>
      </c>
      <c r="P13" s="34">
        <f t="shared" si="7"/>
        <v>7</v>
      </c>
      <c r="Q13" s="34">
        <f t="shared" si="8"/>
        <v>0.19999999999999929</v>
      </c>
      <c r="R13" s="15">
        <v>5</v>
      </c>
      <c r="S13" s="34">
        <f t="shared" si="9"/>
        <v>4</v>
      </c>
      <c r="T13" s="35">
        <f t="shared" si="1"/>
        <v>7</v>
      </c>
      <c r="U13" s="35">
        <f t="shared" si="10"/>
        <v>19.999999999999929</v>
      </c>
      <c r="W13" s="87">
        <v>2.0833333333333332E-2</v>
      </c>
      <c r="X13">
        <v>0</v>
      </c>
      <c r="Y13">
        <v>0</v>
      </c>
      <c r="Z13" s="87">
        <v>0.375</v>
      </c>
      <c r="AC13" t="str">
        <f>IF(B1=0,"PD_NS_AVG","")</f>
        <v/>
      </c>
      <c r="AD13" t="str">
        <f>IF(B1=0,SUM(O4:O10)/COUNT(O4:O10),"")</f>
        <v/>
      </c>
      <c r="AE13" t="str">
        <f>IF(B1=0,SUM(S4:S10)/COUNT(S4:S10),"")</f>
        <v/>
      </c>
      <c r="AF13" t="str">
        <f>IF(B$1=0,IF(COUNT(S4:S10)&lt;7,7-COUNT(S4:S10),""),"")</f>
        <v/>
      </c>
    </row>
    <row r="14" spans="1:33" x14ac:dyDescent="0.25">
      <c r="A14" s="75">
        <v>44638</v>
      </c>
      <c r="B14" s="32">
        <v>11</v>
      </c>
      <c r="C14" s="28">
        <v>24</v>
      </c>
      <c r="D14" s="15">
        <v>26</v>
      </c>
      <c r="E14" s="15">
        <v>0</v>
      </c>
      <c r="F14" s="15">
        <v>10</v>
      </c>
      <c r="G14" s="34">
        <f t="shared" si="2"/>
        <v>0</v>
      </c>
      <c r="H14" s="34">
        <f t="shared" si="2"/>
        <v>0.16666666666666669</v>
      </c>
      <c r="I14" s="34">
        <f t="shared" si="3"/>
        <v>26.166666666666668</v>
      </c>
      <c r="J14" s="34">
        <f t="shared" si="4"/>
        <v>-2.1666666666666679</v>
      </c>
      <c r="K14" s="15">
        <v>9</v>
      </c>
      <c r="L14" s="15">
        <v>0</v>
      </c>
      <c r="M14" s="34">
        <f t="shared" si="5"/>
        <v>0</v>
      </c>
      <c r="N14" s="34">
        <f t="shared" si="6"/>
        <v>9</v>
      </c>
      <c r="O14" s="34">
        <f t="shared" si="0"/>
        <v>6.8333333333333321</v>
      </c>
      <c r="P14" s="34">
        <f t="shared" si="7"/>
        <v>6</v>
      </c>
      <c r="Q14" s="34">
        <f t="shared" si="8"/>
        <v>0.49999999999999928</v>
      </c>
      <c r="R14" s="15">
        <v>4</v>
      </c>
      <c r="S14" s="34">
        <f t="shared" si="9"/>
        <v>3</v>
      </c>
      <c r="T14" s="35">
        <f t="shared" si="1"/>
        <v>6</v>
      </c>
      <c r="U14" s="35">
        <f t="shared" si="10"/>
        <v>49.999999999999929</v>
      </c>
      <c r="W14" s="87">
        <v>2.0833333333333332E-2</v>
      </c>
      <c r="X14">
        <v>0</v>
      </c>
      <c r="Y14">
        <v>0</v>
      </c>
      <c r="Z14" s="87">
        <v>0.38194444444444442</v>
      </c>
      <c r="AC14" t="str">
        <f>IF(B1=0,"DP_PSD_AVG","")</f>
        <v/>
      </c>
      <c r="AD14" t="str">
        <f>IF(B1=0,SUM(O11:O13)/(COUNT(O11:O13)),"")</f>
        <v/>
      </c>
      <c r="AE14" t="str">
        <f>IF(B1=0,SUM(S11:S13)/COUNT(S11:S13),"")</f>
        <v/>
      </c>
      <c r="AF14" t="str">
        <f>IF(B$1=0,IF(COUNT(S11:S13)&lt;3,3-COUNT(S11:S13),""),"")</f>
        <v/>
      </c>
    </row>
    <row r="15" spans="1:33" x14ac:dyDescent="0.25">
      <c r="A15" s="75">
        <v>44639</v>
      </c>
      <c r="B15" s="32">
        <v>12</v>
      </c>
      <c r="C15" s="28">
        <v>24</v>
      </c>
      <c r="D15" s="15">
        <v>27</v>
      </c>
      <c r="E15" s="15">
        <v>0</v>
      </c>
      <c r="F15" s="15">
        <v>5</v>
      </c>
      <c r="G15" s="34">
        <f t="shared" si="2"/>
        <v>0</v>
      </c>
      <c r="H15" s="34">
        <f t="shared" si="2"/>
        <v>8.3333333333333343E-2</v>
      </c>
      <c r="I15" s="34">
        <f t="shared" si="3"/>
        <v>27.083333333333332</v>
      </c>
      <c r="J15" s="34">
        <f t="shared" si="4"/>
        <v>-3.0833333333333321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5.9166666666666679</v>
      </c>
      <c r="P15" s="34">
        <f t="shared" si="7"/>
        <v>5</v>
      </c>
      <c r="Q15" s="34">
        <f t="shared" si="8"/>
        <v>0.55000000000000071</v>
      </c>
      <c r="R15" s="15">
        <v>2</v>
      </c>
      <c r="S15" s="34">
        <f t="shared" si="9"/>
        <v>1</v>
      </c>
      <c r="T15" s="35">
        <f t="shared" si="1"/>
        <v>5</v>
      </c>
      <c r="U15" s="35">
        <f t="shared" si="10"/>
        <v>55.000000000000071</v>
      </c>
      <c r="W15" s="87">
        <v>8.3333333333333329E-2</v>
      </c>
      <c r="X15">
        <v>0</v>
      </c>
      <c r="Y15">
        <v>0</v>
      </c>
      <c r="Z15" s="87">
        <v>0.41666666666666669</v>
      </c>
      <c r="AC15" t="str">
        <f>IF(B1=0,"NS_AVG","")</f>
        <v/>
      </c>
      <c r="AD15" t="str">
        <f>IF(B1=0,SUM(O14:O20)/(COUNT(O14:O20)),"")</f>
        <v/>
      </c>
      <c r="AE15" t="str">
        <f>IF(B1=0,SUM(S14:S20)/COUNT(S14:S20),"")</f>
        <v/>
      </c>
      <c r="AF15" t="str">
        <f>IF(B$1=0,IF(COUNT(S14:S20)&lt;7,7-COUNT(S14:S20),""),"")</f>
        <v/>
      </c>
    </row>
    <row r="16" spans="1:33" x14ac:dyDescent="0.25">
      <c r="A16" s="75">
        <v>44640</v>
      </c>
      <c r="B16" s="32">
        <v>13</v>
      </c>
      <c r="C16" s="28">
        <v>24</v>
      </c>
      <c r="D16" s="15">
        <v>28</v>
      </c>
      <c r="E16" s="15">
        <v>0</v>
      </c>
      <c r="F16" s="15">
        <v>15</v>
      </c>
      <c r="G16" s="34">
        <f t="shared" si="2"/>
        <v>0</v>
      </c>
      <c r="H16" s="34">
        <f t="shared" si="2"/>
        <v>0.25</v>
      </c>
      <c r="I16" s="34">
        <f t="shared" si="3"/>
        <v>28.25</v>
      </c>
      <c r="J16" s="34">
        <f t="shared" si="4"/>
        <v>-4.25</v>
      </c>
      <c r="K16" s="15">
        <v>10</v>
      </c>
      <c r="L16" s="15">
        <v>0</v>
      </c>
      <c r="M16" s="34">
        <f t="shared" si="5"/>
        <v>0</v>
      </c>
      <c r="N16" s="34">
        <f t="shared" si="6"/>
        <v>10</v>
      </c>
      <c r="O16" s="34">
        <f t="shared" si="0"/>
        <v>5.75</v>
      </c>
      <c r="P16" s="34">
        <f t="shared" si="7"/>
        <v>5</v>
      </c>
      <c r="Q16" s="34">
        <f t="shared" si="8"/>
        <v>0.44999999999999996</v>
      </c>
      <c r="R16" s="15">
        <v>2</v>
      </c>
      <c r="S16" s="34">
        <f t="shared" si="9"/>
        <v>1</v>
      </c>
      <c r="T16" s="35">
        <f t="shared" si="1"/>
        <v>5</v>
      </c>
      <c r="U16" s="35">
        <f t="shared" si="10"/>
        <v>44.999999999999993</v>
      </c>
      <c r="W16" s="87">
        <v>0.14583333333333334</v>
      </c>
      <c r="X16">
        <v>2</v>
      </c>
      <c r="Y16">
        <v>15</v>
      </c>
      <c r="Z16" s="87">
        <v>0.41666666666666669</v>
      </c>
      <c r="AC16" s="82" t="s">
        <v>288</v>
      </c>
      <c r="AD16" s="84" cm="1">
        <f t="array" ref="AD16">_xlfn.IFS(B1=0,AD13-AD14,B1=1,AD9-AD10)</f>
        <v>1.2341269841269806</v>
      </c>
      <c r="AE16" s="85" t="s">
        <v>289</v>
      </c>
      <c r="AF16" s="84" cm="1">
        <f t="array" ref="AF16">_xlfn.IFS(B1=0,AD15-AD14,B1=1,AD11-AD10)</f>
        <v>1.4126984126984103</v>
      </c>
      <c r="AG16" s="83" t="s">
        <v>290</v>
      </c>
    </row>
    <row r="17" spans="1:30" x14ac:dyDescent="0.25">
      <c r="A17" s="75">
        <v>44641</v>
      </c>
      <c r="B17" s="32">
        <v>14</v>
      </c>
      <c r="C17" s="28">
        <v>24</v>
      </c>
      <c r="D17" s="15">
        <v>27</v>
      </c>
      <c r="E17" s="15">
        <v>30</v>
      </c>
      <c r="F17" s="15">
        <v>5</v>
      </c>
      <c r="G17" s="34">
        <f t="shared" si="2"/>
        <v>0.5</v>
      </c>
      <c r="H17" s="34">
        <f t="shared" si="2"/>
        <v>8.3333333333333343E-2</v>
      </c>
      <c r="I17" s="34">
        <f t="shared" si="3"/>
        <v>27.583333333333332</v>
      </c>
      <c r="J17" s="34">
        <f t="shared" si="4"/>
        <v>-3.5833333333333321</v>
      </c>
      <c r="K17" s="15">
        <v>9</v>
      </c>
      <c r="L17" s="15">
        <v>0</v>
      </c>
      <c r="M17" s="34">
        <f t="shared" si="5"/>
        <v>0</v>
      </c>
      <c r="N17" s="34">
        <f t="shared" si="6"/>
        <v>9</v>
      </c>
      <c r="O17" s="34">
        <f t="shared" si="0"/>
        <v>5.4166666666666679</v>
      </c>
      <c r="P17" s="34">
        <f t="shared" si="7"/>
        <v>5</v>
      </c>
      <c r="Q17" s="34">
        <f t="shared" si="8"/>
        <v>0.25000000000000072</v>
      </c>
      <c r="R17" s="15">
        <v>2</v>
      </c>
      <c r="S17" s="34">
        <f t="shared" si="9"/>
        <v>1</v>
      </c>
      <c r="T17" s="35">
        <f t="shared" si="1"/>
        <v>5</v>
      </c>
      <c r="U17" s="35">
        <f t="shared" si="10"/>
        <v>25.000000000000071</v>
      </c>
      <c r="W17" s="87">
        <v>0.14583333333333334</v>
      </c>
      <c r="X17">
        <v>0</v>
      </c>
      <c r="Y17">
        <v>0</v>
      </c>
      <c r="Z17" s="87">
        <v>0.41666666666666669</v>
      </c>
      <c r="AD17" t="s">
        <v>291</v>
      </c>
    </row>
    <row r="18" spans="1:30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  <c r="AC18" t="s">
        <v>269</v>
      </c>
    </row>
    <row r="19" spans="1:30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30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30" x14ac:dyDescent="0.25">
      <c r="R24" t="s">
        <v>266</v>
      </c>
    </row>
    <row r="26" spans="1:30" x14ac:dyDescent="0.25">
      <c r="B26" t="s">
        <v>162</v>
      </c>
      <c r="K26" t="s">
        <v>164</v>
      </c>
    </row>
    <row r="27" spans="1:30" x14ac:dyDescent="0.25">
      <c r="B27" t="s">
        <v>161</v>
      </c>
      <c r="K27" t="s">
        <v>163</v>
      </c>
    </row>
    <row r="28" spans="1:30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AC13:AC15">
    <cfRule type="notContainsBlanks" dxfId="7" priority="5">
      <formula>LEN(TRIM(AC13))&gt;0</formula>
    </cfRule>
  </conditionalFormatting>
  <conditionalFormatting sqref="AC8:AF8 AC9:AC11">
    <cfRule type="notContainsBlanks" dxfId="6" priority="6">
      <formula>LEN(TRIM(AC8))&gt;0</formula>
    </cfRule>
  </conditionalFormatting>
  <conditionalFormatting sqref="AC12:AF12">
    <cfRule type="notContainsBlanks" dxfId="5" priority="4">
      <formula>LEN(TRIM(AC12))&gt;0</formula>
    </cfRule>
  </conditionalFormatting>
  <conditionalFormatting sqref="AD9:AE11">
    <cfRule type="notContainsBlanks" dxfId="4" priority="9">
      <formula>LEN(TRIM(AD9))&gt;0</formula>
    </cfRule>
  </conditionalFormatting>
  <conditionalFormatting sqref="AD13:AE15">
    <cfRule type="notContainsBlanks" dxfId="3" priority="2">
      <formula>LEN(TRIM(AD13))&gt;0</formula>
    </cfRule>
  </conditionalFormatting>
  <conditionalFormatting sqref="AD13:AF15">
    <cfRule type="notContainsBlanks" dxfId="2" priority="1">
      <formula>LEN(TRIM(AD13))&gt;0</formula>
    </cfRule>
  </conditionalFormatting>
  <conditionalFormatting sqref="AF9:AF11 AF13:AF15">
    <cfRule type="notContainsBlanks" dxfId="1" priority="8">
      <formula>LEN(TRIM(AF9))&gt;0</formula>
    </cfRule>
  </conditionalFormatting>
  <conditionalFormatting sqref="AG13">
    <cfRule type="notContainsBlanks" dxfId="0" priority="3">
      <formula>LEN(TRIM(AG13))&gt;0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2C2A-333A-40E1-AC23-A3A3C7E4DC7B}">
  <dimension ref="A1:J18"/>
  <sheetViews>
    <sheetView tabSelected="1" workbookViewId="0">
      <selection activeCell="L10" sqref="L10"/>
    </sheetView>
  </sheetViews>
  <sheetFormatPr defaultRowHeight="15" x14ac:dyDescent="0.25"/>
  <cols>
    <col min="1" max="1" width="12.85546875" customWidth="1"/>
  </cols>
  <sheetData>
    <row r="1" spans="1:10" x14ac:dyDescent="0.25">
      <c r="A1" s="29" t="s">
        <v>272</v>
      </c>
      <c r="B1" t="s">
        <v>301</v>
      </c>
      <c r="C1" t="s">
        <v>305</v>
      </c>
      <c r="D1" t="s">
        <v>306</v>
      </c>
      <c r="E1" t="s">
        <v>302</v>
      </c>
      <c r="F1" t="s">
        <v>303</v>
      </c>
      <c r="G1" t="s">
        <v>307</v>
      </c>
      <c r="H1" t="s">
        <v>304</v>
      </c>
      <c r="I1" s="88" t="s">
        <v>308</v>
      </c>
      <c r="J1" s="88"/>
    </row>
    <row r="2" spans="1:10" x14ac:dyDescent="0.25">
      <c r="A2" s="75">
        <v>44628</v>
      </c>
      <c r="B2" s="87">
        <v>1.3888888888888888E-2</v>
      </c>
      <c r="C2" s="87">
        <v>2.7777777777777776E-2</v>
      </c>
      <c r="D2">
        <v>20</v>
      </c>
      <c r="E2">
        <v>2</v>
      </c>
      <c r="F2">
        <v>20</v>
      </c>
      <c r="G2" s="87">
        <v>0.375</v>
      </c>
      <c r="H2" s="87">
        <v>0.375</v>
      </c>
      <c r="I2" s="88">
        <v>3</v>
      </c>
      <c r="J2" s="88"/>
    </row>
    <row r="3" spans="1:10" x14ac:dyDescent="0.25">
      <c r="A3" s="75">
        <v>44629</v>
      </c>
      <c r="B3" s="87">
        <v>1.0416666666666666E-2</v>
      </c>
      <c r="C3" s="87">
        <v>4.8611111111111112E-2</v>
      </c>
      <c r="D3">
        <v>15</v>
      </c>
      <c r="E3">
        <v>2</v>
      </c>
      <c r="F3">
        <v>100</v>
      </c>
      <c r="G3" s="87">
        <v>0.375</v>
      </c>
      <c r="H3" s="87">
        <v>0.41666666666666669</v>
      </c>
      <c r="I3" s="88">
        <v>1</v>
      </c>
      <c r="J3" s="88"/>
    </row>
    <row r="4" spans="1:10" x14ac:dyDescent="0.25">
      <c r="A4" s="75">
        <v>44630</v>
      </c>
      <c r="B4" s="87">
        <v>2.0833333333333332E-2</v>
      </c>
      <c r="C4" s="87">
        <v>4.1666666666666664E-2</v>
      </c>
      <c r="D4">
        <v>10</v>
      </c>
      <c r="E4">
        <v>1</v>
      </c>
      <c r="F4">
        <v>10</v>
      </c>
      <c r="G4" s="87">
        <v>0.36805555555555558</v>
      </c>
      <c r="H4" s="87">
        <v>0.375</v>
      </c>
      <c r="I4" s="88">
        <v>4</v>
      </c>
      <c r="J4" s="88"/>
    </row>
    <row r="5" spans="1:10" x14ac:dyDescent="0.25">
      <c r="A5" s="75">
        <v>44631</v>
      </c>
      <c r="B5" s="87">
        <v>2.0833333333333332E-2</v>
      </c>
      <c r="C5" s="87">
        <v>8.3333333333333329E-2</v>
      </c>
      <c r="E5">
        <v>0</v>
      </c>
      <c r="F5">
        <v>0</v>
      </c>
      <c r="G5" s="87">
        <v>0.375</v>
      </c>
      <c r="H5" s="87">
        <v>0.40277777777777773</v>
      </c>
      <c r="I5" s="88">
        <v>5</v>
      </c>
      <c r="J5" s="88"/>
    </row>
    <row r="6" spans="1:10" x14ac:dyDescent="0.25">
      <c r="A6" s="75">
        <v>44632</v>
      </c>
      <c r="B6" s="87">
        <v>2.0833333333333332E-2</v>
      </c>
      <c r="C6" s="87">
        <v>0.10416666666666667</v>
      </c>
      <c r="D6">
        <v>10</v>
      </c>
      <c r="E6">
        <v>2</v>
      </c>
      <c r="F6">
        <v>10</v>
      </c>
      <c r="G6" s="87">
        <v>0.375</v>
      </c>
      <c r="H6" s="87">
        <v>0.39583333333333331</v>
      </c>
      <c r="I6" s="88">
        <v>4</v>
      </c>
      <c r="J6" s="88"/>
    </row>
    <row r="7" spans="1:10" x14ac:dyDescent="0.25">
      <c r="A7" s="75">
        <v>44633</v>
      </c>
      <c r="B7" s="87">
        <v>2.0833333333333332E-2</v>
      </c>
      <c r="C7" s="87">
        <v>0.125</v>
      </c>
      <c r="D7">
        <v>30</v>
      </c>
      <c r="E7">
        <v>2</v>
      </c>
      <c r="F7">
        <v>15</v>
      </c>
      <c r="G7" s="87">
        <v>0.375</v>
      </c>
      <c r="H7" s="87">
        <v>0.5</v>
      </c>
      <c r="I7" s="88">
        <v>3</v>
      </c>
      <c r="J7" s="88"/>
    </row>
    <row r="8" spans="1:10" x14ac:dyDescent="0.25">
      <c r="A8" s="75">
        <v>44634</v>
      </c>
      <c r="B8" s="87">
        <v>1.3888888888888888E-2</v>
      </c>
      <c r="C8" s="87">
        <v>4.8611111111111112E-2</v>
      </c>
      <c r="D8">
        <v>10</v>
      </c>
      <c r="E8">
        <v>0</v>
      </c>
      <c r="F8">
        <v>0</v>
      </c>
      <c r="G8" s="87">
        <v>0.375</v>
      </c>
      <c r="H8" s="87">
        <v>0.38194444444444442</v>
      </c>
      <c r="I8" s="88">
        <v>4</v>
      </c>
      <c r="J8" s="88"/>
    </row>
    <row r="9" spans="1:10" x14ac:dyDescent="0.25">
      <c r="A9" s="75">
        <v>44635</v>
      </c>
      <c r="B9" s="87">
        <v>2.0833333333333332E-2</v>
      </c>
      <c r="C9" s="87">
        <v>4.8611111111111112E-2</v>
      </c>
      <c r="D9">
        <v>15</v>
      </c>
      <c r="E9">
        <v>1</v>
      </c>
      <c r="F9">
        <v>10</v>
      </c>
      <c r="G9" s="87">
        <v>0.375</v>
      </c>
      <c r="H9" s="87">
        <v>0.41666666666666669</v>
      </c>
      <c r="I9" s="88">
        <v>4</v>
      </c>
      <c r="J9" s="88"/>
    </row>
    <row r="10" spans="1:10" x14ac:dyDescent="0.25">
      <c r="A10" s="75">
        <v>44636</v>
      </c>
      <c r="B10" s="87">
        <v>0</v>
      </c>
      <c r="C10" s="87">
        <v>6.25E-2</v>
      </c>
      <c r="D10">
        <v>15</v>
      </c>
      <c r="E10">
        <v>0</v>
      </c>
      <c r="F10">
        <v>0</v>
      </c>
      <c r="G10" s="87">
        <v>0.375</v>
      </c>
      <c r="H10" s="87">
        <v>0.375</v>
      </c>
      <c r="I10" s="88">
        <v>4</v>
      </c>
      <c r="J10" s="88"/>
    </row>
    <row r="11" spans="1:10" x14ac:dyDescent="0.25">
      <c r="A11" s="75">
        <v>44637</v>
      </c>
      <c r="B11" s="87">
        <v>2.0833333333333332E-2</v>
      </c>
      <c r="C11" s="87">
        <v>4.8611111111111112E-2</v>
      </c>
      <c r="D11">
        <v>30</v>
      </c>
      <c r="E11">
        <v>0</v>
      </c>
      <c r="F11">
        <v>0</v>
      </c>
      <c r="G11" s="87">
        <v>0.375</v>
      </c>
      <c r="H11" s="87">
        <v>0.375</v>
      </c>
      <c r="I11" s="88">
        <v>5</v>
      </c>
      <c r="J11" s="88"/>
    </row>
    <row r="12" spans="1:10" x14ac:dyDescent="0.25">
      <c r="A12" s="75">
        <v>44638</v>
      </c>
      <c r="B12" s="87">
        <v>2.0833333333333332E-2</v>
      </c>
      <c r="C12" s="87">
        <v>0.10416666666666667</v>
      </c>
      <c r="D12">
        <v>10</v>
      </c>
      <c r="E12">
        <v>0</v>
      </c>
      <c r="F12">
        <v>0</v>
      </c>
      <c r="G12" s="87">
        <v>0.375</v>
      </c>
      <c r="H12" s="87">
        <v>0.38194444444444442</v>
      </c>
      <c r="I12" s="88">
        <v>4</v>
      </c>
      <c r="J12" s="88"/>
    </row>
    <row r="13" spans="1:10" x14ac:dyDescent="0.25">
      <c r="A13" s="75">
        <v>44639</v>
      </c>
      <c r="B13" s="87">
        <v>8.3333333333333329E-2</v>
      </c>
      <c r="C13" s="87">
        <v>0.125</v>
      </c>
      <c r="D13">
        <v>5</v>
      </c>
      <c r="E13">
        <v>0</v>
      </c>
      <c r="F13">
        <v>0</v>
      </c>
      <c r="G13" s="87">
        <v>0.375</v>
      </c>
      <c r="H13" s="87">
        <v>0.41666666666666669</v>
      </c>
      <c r="I13" s="88">
        <v>2</v>
      </c>
      <c r="J13" s="88"/>
    </row>
    <row r="14" spans="1:10" x14ac:dyDescent="0.25">
      <c r="A14" s="75">
        <v>44640</v>
      </c>
      <c r="B14" s="87">
        <v>0.14583333333333334</v>
      </c>
      <c r="C14" s="87">
        <v>0.16666666666666666</v>
      </c>
      <c r="D14">
        <v>15</v>
      </c>
      <c r="E14">
        <v>2</v>
      </c>
      <c r="F14">
        <v>15</v>
      </c>
      <c r="G14" s="87">
        <v>0.41666666666666669</v>
      </c>
      <c r="H14" s="87">
        <v>0.41666666666666669</v>
      </c>
      <c r="I14" s="88">
        <v>2</v>
      </c>
      <c r="J14" s="88"/>
    </row>
    <row r="15" spans="1:10" x14ac:dyDescent="0.25">
      <c r="A15" s="75">
        <v>44641</v>
      </c>
      <c r="B15" s="87">
        <v>0.14583333333333334</v>
      </c>
      <c r="C15" s="87">
        <v>0.14583333333333334</v>
      </c>
      <c r="D15">
        <v>5</v>
      </c>
      <c r="E15">
        <v>0</v>
      </c>
      <c r="F15">
        <v>0</v>
      </c>
      <c r="G15" s="87">
        <v>0.375</v>
      </c>
      <c r="H15" s="87">
        <v>0.41666666666666669</v>
      </c>
      <c r="I15" s="88">
        <v>2</v>
      </c>
      <c r="J15" s="88"/>
    </row>
    <row r="16" spans="1:10" x14ac:dyDescent="0.25">
      <c r="I16" s="88"/>
      <c r="J16" s="88"/>
    </row>
    <row r="17" spans="9:10" x14ac:dyDescent="0.25">
      <c r="I17" s="88"/>
      <c r="J17" s="88"/>
    </row>
    <row r="18" spans="9:10" x14ac:dyDescent="0.25">
      <c r="I18" s="88"/>
      <c r="J18" s="8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G1" zoomScaleNormal="100" workbookViewId="0">
      <selection activeCell="F24" sqref="F24"/>
    </sheetView>
  </sheetViews>
  <sheetFormatPr defaultColWidth="11.42578125" defaultRowHeight="15" x14ac:dyDescent="0.25"/>
  <cols>
    <col min="1" max="1" width="8.28515625" customWidth="1"/>
    <col min="2" max="2" width="7.28515625" customWidth="1"/>
    <col min="3" max="3" width="12.7109375" customWidth="1"/>
    <col min="4" max="4" width="2.28515625" customWidth="1"/>
    <col min="6" max="6" width="8" customWidth="1"/>
    <col min="7" max="7" width="10.28515625" customWidth="1"/>
    <col min="8" max="8" width="7.42578125" customWidth="1"/>
    <col min="12" max="12" width="2.71093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2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2</v>
      </c>
      <c r="K4" s="7" t="s">
        <v>103</v>
      </c>
      <c r="M4" s="14" t="s">
        <v>20</v>
      </c>
      <c r="N4" s="15">
        <v>3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14</v>
      </c>
      <c r="E5" s="17" t="s">
        <v>24</v>
      </c>
      <c r="F5" s="15">
        <v>2</v>
      </c>
      <c r="G5" s="18">
        <f>F4+F6+F8+F12+F13+F15+F17+F19+F20+F22</f>
        <v>14</v>
      </c>
      <c r="I5" s="17" t="s">
        <v>24</v>
      </c>
      <c r="J5" s="15">
        <v>1</v>
      </c>
      <c r="K5" s="18">
        <f>J4+J6+J8+J12+J13+J15+J17+J19+J20+J22</f>
        <v>17</v>
      </c>
      <c r="M5" s="17" t="s">
        <v>24</v>
      </c>
      <c r="N5" s="15">
        <v>1</v>
      </c>
      <c r="O5" s="18">
        <f>N4+N6+N8+N12+N13+N15+N17+N19+N20+N22</f>
        <v>19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2</v>
      </c>
      <c r="M6" s="14" t="s">
        <v>28</v>
      </c>
      <c r="N6" s="15">
        <v>2</v>
      </c>
    </row>
    <row r="7" spans="1:15" x14ac:dyDescent="0.25">
      <c r="A7" s="17" t="s">
        <v>31</v>
      </c>
      <c r="B7" s="15">
        <v>2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1</v>
      </c>
      <c r="C8" s="18">
        <f>B5+B7+B9+B10+B11+B14+B16+B18+B21+B23</f>
        <v>12</v>
      </c>
      <c r="E8" s="14" t="s">
        <v>35</v>
      </c>
      <c r="F8" s="15">
        <v>1</v>
      </c>
      <c r="G8" s="18">
        <f>F5+F7+F9+F10+F11+F14+F16+F18+F21+F23</f>
        <v>16</v>
      </c>
      <c r="I8" s="14" t="s">
        <v>35</v>
      </c>
      <c r="J8" s="15">
        <v>1</v>
      </c>
      <c r="K8" s="18">
        <f>J5+J7+J9+J10+J11+J14+J16+J18+J21+J23</f>
        <v>12</v>
      </c>
      <c r="M8" s="14" t="s">
        <v>35</v>
      </c>
      <c r="N8" s="15">
        <v>1</v>
      </c>
      <c r="O8" s="18">
        <f>N5+N7+N9+N10+N11+N14+N16+N18+N21+N23</f>
        <v>13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2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2</v>
      </c>
      <c r="E13" s="14" t="s">
        <v>47</v>
      </c>
      <c r="F13" s="15">
        <v>3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25">
      <c r="A14" s="17" t="s">
        <v>50</v>
      </c>
      <c r="B14" s="15">
        <v>2</v>
      </c>
      <c r="E14" s="17" t="s">
        <v>50</v>
      </c>
      <c r="F14" s="15">
        <v>2</v>
      </c>
      <c r="I14" s="17" t="s">
        <v>50</v>
      </c>
      <c r="J14" s="15">
        <v>2</v>
      </c>
      <c r="M14" s="17" t="s">
        <v>50</v>
      </c>
      <c r="N14" s="15">
        <v>2</v>
      </c>
    </row>
    <row r="15" spans="1:15" x14ac:dyDescent="0.2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2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1</v>
      </c>
      <c r="M17" s="14" t="s">
        <v>59</v>
      </c>
      <c r="N17" s="15">
        <v>2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2</v>
      </c>
      <c r="I18" s="17" t="s">
        <v>62</v>
      </c>
      <c r="J18" s="15">
        <v>1</v>
      </c>
      <c r="M18" s="17" t="s">
        <v>62</v>
      </c>
      <c r="N18" s="15">
        <v>2</v>
      </c>
    </row>
    <row r="19" spans="1:14" x14ac:dyDescent="0.25">
      <c r="A19" s="14" t="s">
        <v>65</v>
      </c>
      <c r="B19" s="15">
        <v>1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25">
      <c r="A20" s="14" t="s">
        <v>68</v>
      </c>
      <c r="B20" s="15">
        <v>1</v>
      </c>
      <c r="E20" s="14" t="s">
        <v>68</v>
      </c>
      <c r="F20" s="15">
        <v>1</v>
      </c>
      <c r="I20" s="14" t="s">
        <v>68</v>
      </c>
      <c r="J20" s="15">
        <v>2</v>
      </c>
      <c r="M20" s="14" t="s">
        <v>68</v>
      </c>
      <c r="N20" s="15">
        <v>2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2</v>
      </c>
      <c r="I21" s="17" t="s">
        <v>71</v>
      </c>
      <c r="J21" s="15">
        <v>2</v>
      </c>
      <c r="M21" s="17" t="s">
        <v>71</v>
      </c>
      <c r="N21" s="15">
        <v>2</v>
      </c>
    </row>
    <row r="22" spans="1:14" x14ac:dyDescent="0.25">
      <c r="A22" s="14" t="s">
        <v>73</v>
      </c>
      <c r="B22" s="15">
        <v>2</v>
      </c>
      <c r="E22" s="14" t="s">
        <v>73</v>
      </c>
      <c r="F22" s="15">
        <v>1</v>
      </c>
      <c r="I22" s="14" t="s">
        <v>73</v>
      </c>
      <c r="J22" s="15">
        <v>1</v>
      </c>
      <c r="M22" s="14" t="s">
        <v>73</v>
      </c>
      <c r="N22" s="15">
        <v>1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2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1" sqref="B3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7</v>
      </c>
      <c r="C4" t="s">
        <v>155</v>
      </c>
    </row>
    <row r="5" spans="1:8" x14ac:dyDescent="0.25">
      <c r="A5" s="40" t="s">
        <v>28</v>
      </c>
      <c r="B5" s="15">
        <v>6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294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295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296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295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/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3</v>
      </c>
      <c r="C20" t="s">
        <v>155</v>
      </c>
    </row>
    <row r="21" spans="1:9" x14ac:dyDescent="0.25">
      <c r="A21" s="40" t="s">
        <v>28</v>
      </c>
      <c r="B21" s="15">
        <v>6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297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298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299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300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2023-09-27T16:01:16Z</dcterms:modified>
  <cp:category/>
  <cp:contentStatus/>
</cp:coreProperties>
</file>