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mw-sleep-analysis-simplified\data\raw\"/>
    </mc:Choice>
  </mc:AlternateContent>
  <xr:revisionPtr revIDLastSave="0" documentId="13_ncr:1_{A79880FE-2B83-4350-AF77-C88844568308}" xr6:coauthVersionLast="47" xr6:coauthVersionMax="47" xr10:uidLastSave="{00000000-0000-0000-0000-000000000000}"/>
  <bookViews>
    <workbookView xWindow="-28080" yWindow="1920" windowWidth="25440" windowHeight="13320" activeTab="4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V10" i="1" l="1"/>
  <c r="Q11" i="3"/>
  <c r="U11" i="3" s="1"/>
  <c r="Q8" i="3"/>
  <c r="U8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<sst xmlns="http://schemas.openxmlformats.org/spreadsheetml/2006/main" count="550" uniqueCount="305">
  <si>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</si>
  <si>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</si>
  <si>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</si>
  <si>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</si>
  <si>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</si>
  <si>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</si>
  <si>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</si>
  <si>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</si>
  <si>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</si>
  <si>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</si>
  <si>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</si>
  <si>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</si>
  <si>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</si>
  <si>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</si>
  <si>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</si>
  <si>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</si>
  <si>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</si>
  <si>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</si>
  <si>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</si>
  <si>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</si>
  <si>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</si>
  <si>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</si>
  <si>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</si>
  <si>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</si>
  <si>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</si>
  <si>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</si>
  <si>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</si>
  <si>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</si>
  <si>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</si>
  <si>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</si>
  <si>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</si>
  <si>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</si>
  <si>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</si>
  <si>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</si>
  <si>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</si>
  <si>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</si>
  <si>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</si>
  <si>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</si>
  <si>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</si>
  <si>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</si>
  <si>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</si>
  <si>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</si>
  <si>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</si>
  <si>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</si>
  <si>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</si>
  <si>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</si>
  <si>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</si>
  <si>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</si>
  <si>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</si>
  <si>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</si>
  <si>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</si>
  <si>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</si>
  <si>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</si>
  <si>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</si>
  <si>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</si>
  <si>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</si>
  <si>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</si>
  <si>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</si>
  <si>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</si>
  <si>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</si>
  <si>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</si>
  <si>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</si>
  <si>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</si>
  <si>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</si>
  <si>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</si>
  <si>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</si>
  <si>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</si>
  <si>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</si>
  <si>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</si>
  <si>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</si>
  <si>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</si>
  <si>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</si>
  <si>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</si>
  <si>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</si>
  <si>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</si>
  <si>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</si>
  <si>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</si>
  <si>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</si>
  <si>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</si>
  <si>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</si>
  <si>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</si>
  <si>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</si>
  <si>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</si>
  <si>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</si>
  <si>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</si>
  <si>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</si>
  <si>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</si>
  <si>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</si>
  <si>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</si>
  <si>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</si>
  <si>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</si>
  <si>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</si>
  <si>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</si>
  <si>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</si>
  <si>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</si>
  <si>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</si>
  <si>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</si>
  <si>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</si>
  <si>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</si>
  <si>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</si>
  <si>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</si>
  <si>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</si>
  <si>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</si>
  <si>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</si>
  <si>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</si>
  <si>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</si>
  <si>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</si>
  <si>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</si>
  <si>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</si>
  <si>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</si>
  <si>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</si>
  <si>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</si>
  <si>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</si>
  <si>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</si>
  <si>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</si>
  <si>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</si>
  <si>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</si>
  <si>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</si>
  <si>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</si>
  <si>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</si>
  <si>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</si>
  <si>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</si>
  <si>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</si>
  <si>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</si>
  <si>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</si>
  <si>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</si>
  <si>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</si>
  <si>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</si>
  <si>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</si>
  <si>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</si>
  <si>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</si>
  <si>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</si>
  <si>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</si>
  <si>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</si>
  <si>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</si>
  <si>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</si>
  <si>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</si>
  <si>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</si>
  <si>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</si>
  <si>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</si>
  <si>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</si>
  <si>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</si>
  <si>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</si>
  <si>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</si>
  <si>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</si>
  <si>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</si>
  <si>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</si>
  <si>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</si>
  <si>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</si>
  <si>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</si>
  <si>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</si>
  <si>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</si>
  <si>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</si>
  <si>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</si>
  <si>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</si>
  <si>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</si>
  <si>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</si>
  <si>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</si>
  <si>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</si>
  <si>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</si>
  <si>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</si>
  <si>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</si>
  <si>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</si>
  <si>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</si>
  <si>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</si>
  <si>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</si>
  <si>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</si>
  <si>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</si>
  <si>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</si>
  <si>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</si>
  <si>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</si>
  <si>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</si>
  <si>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</si>
  <si>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</si>
  <si>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</si>
  <si>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</si>
  <si>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</si>
  <si>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</si>
  <si>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</si>
  <si>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</si>
  <si>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</si>
  <si>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</si>
  <si>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</si>
  <si>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</si>
  <si>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</si>
  <si>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</si>
  <si>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</si>
  <si>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</si>
  <si>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</si>
  <si>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</si>
  <si>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</si>
  <si>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</si>
  <si>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</si>
  <si>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</si>
  <si>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</si>
  <si>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</si>
  <si>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</si>
  <si>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</si>
  <si>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</si>
  <si>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</si>
  <si>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</si>
  <si>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</si>
  <si>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</si>
  <si>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</si>
  <si>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</si>
  <si>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</si>
  <si>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</si>
  <si>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</si>
  <si>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</si>
  <si>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</si>
  <si>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</si>
  <si>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</si>
  <si>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</si>
  <si>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</si>
  <si>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</si>
  <si>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</si>
  <si>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</si>
  <si>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</si>
  <si>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</si>
  <si>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</si>
  <si>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</si>
  <si>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</si>
  <si>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</si>
  <si>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</si>
  <si>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</si>
  <si>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</si>
  <si>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</si>
  <si>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</si>
  <si>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</si>
  <si>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</si>
  <si>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</si>
  <si>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</si>
  <si>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</si>
  <si>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</si>
  <si>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</si>
  <si>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</si>
  <si>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</si>
  <si>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</si>
  <si>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</si>
  <si>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</si>
  <si>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</si>
  <si>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</si>
  <si>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</si>
  <si>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</si>
  <si>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</si>
  <si>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</si>
  <si>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</si>
  <si>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</si>
  <si>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</si>
  <si>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</si>
  <si>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</si>
  <si>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</si>
  <si>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</si>
  <si>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</si>
  <si>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</si>
  <si>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</si>
  <si>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</si>
  <si>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</si>
  <si>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</si>
  <si>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</si>
  <si>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</si>
  <si>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</si>
  <si>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</si>
  <si>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</si>
  <si>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</si>
  <si>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</si>
  <si>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</si>
  <si>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</si>
  <si>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</si>
  <si>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</si>
  <si>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</si>
  <si>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</si>
  <si>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</si>
  <si>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</si>
  <si>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</si>
  <si>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</si>
  <si>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</si>
  <si>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</si>
  <si>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</si>
  <si>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</si>
  <si>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</si>
  <si>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</si>
  <si>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</si>
  <si>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</si>
  <si>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</si>
  <si>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</si>
  <si>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</si>
  <si>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</si>
  <si>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Piano, drums</t>
  </si>
  <si>
    <t>5 years drums, 2 year piano</t>
  </si>
  <si>
    <t>Har deltat på lignended oppgave før (andreas sitt prosjekt)</t>
  </si>
  <si>
    <t>hadde ikke på hodestøtte v/ pannen pga. krasjet m/elektroder.</t>
  </si>
  <si>
    <t>USPESIFISERT HVILKEN TEST</t>
  </si>
  <si>
    <t>telte av og til, mlnstre.</t>
  </si>
  <si>
    <t>tonen var litt ujevn ut i oppg.</t>
  </si>
  <si>
    <t xml:space="preserve">alt muling, spontant. Mye forskjellig </t>
  </si>
  <si>
    <t xml:space="preserve">lyst på en type "progress bar" for å holde seg motivert </t>
  </si>
  <si>
    <t>Mønster i starten. Senere begynte å telle - telte på andre språk.</t>
  </si>
  <si>
    <t xml:space="preserve">tonen som er ut av takt </t>
  </si>
  <si>
    <t>tenkte på det meste: spising, venner</t>
  </si>
  <si>
    <t>nei</t>
  </si>
  <si>
    <t>Forskjell</t>
  </si>
  <si>
    <t>DP_NS - DP_P</t>
  </si>
  <si>
    <t>NS - DP_P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</si>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</sst>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20" borderId="0" xfId="0" applyFill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3" zoomScale="98" zoomScaleNormal="130" workbookViewId="0">
      <selection activeCell="D33" sqref="D33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5.8554687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7</v>
      </c>
      <c r="F2" t="s">
        <v>252</v>
      </c>
    </row>
    <row r="3" spans="1:8" x14ac:dyDescent="0.25">
      <c r="B3" s="43" t="s">
        <v>106</v>
      </c>
      <c r="C3" s="45"/>
      <c r="D3" s="37">
        <v>25</v>
      </c>
      <c r="F3" t="s">
        <v>254</v>
      </c>
    </row>
    <row r="4" spans="1:8" x14ac:dyDescent="0.25">
      <c r="B4" s="43" t="s">
        <v>133</v>
      </c>
      <c r="C4" s="45"/>
      <c r="D4" s="37">
        <v>2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0</v>
      </c>
      <c r="F6" t="s">
        <v>253</v>
      </c>
    </row>
    <row r="7" spans="1:8" x14ac:dyDescent="0.25">
      <c r="B7" s="43" t="s">
        <v>109</v>
      </c>
      <c r="C7" s="45"/>
      <c r="D7" s="82">
        <v>44269</v>
      </c>
      <c r="F7" s="57" t="s">
        <v>135</v>
      </c>
    </row>
    <row r="8" spans="1:8" x14ac:dyDescent="0.25">
      <c r="B8" s="43" t="s">
        <v>111</v>
      </c>
      <c r="C8" s="45"/>
      <c r="D8" s="37">
        <v>11</v>
      </c>
      <c r="E8" s="15">
        <v>47</v>
      </c>
      <c r="F8" s="57" t="s">
        <v>270</v>
      </c>
      <c r="H8" s="74">
        <f>((E8/0.6)/100)+D8</f>
        <v>11.783333333333333</v>
      </c>
    </row>
    <row r="9" spans="1:8" x14ac:dyDescent="0.25">
      <c r="B9" s="43" t="s">
        <v>110</v>
      </c>
      <c r="C9" s="45"/>
      <c r="D9" s="82">
        <v>44276</v>
      </c>
      <c r="F9" s="57" t="s">
        <v>135</v>
      </c>
    </row>
    <row r="10" spans="1:8" x14ac:dyDescent="0.25">
      <c r="B10" s="43" t="s">
        <v>112</v>
      </c>
      <c r="C10" s="45"/>
      <c r="D10" s="37">
        <v>12</v>
      </c>
      <c r="E10" s="15">
        <v>55</v>
      </c>
      <c r="F10" s="57" t="s">
        <v>270</v>
      </c>
      <c r="H10" s="74">
        <f>((E10/0.6)/100)+D10</f>
        <v>12.916666666666666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 t="s">
        <v>288</v>
      </c>
      <c r="F13" s="57" t="s">
        <v>271</v>
      </c>
      <c r="H13" s="74">
        <f>IF(ISTEXT(D13)=TRUE,1,0)</f>
        <v>1</v>
      </c>
    </row>
    <row r="14" spans="1:8" x14ac:dyDescent="0.25">
      <c r="B14" s="43" t="s">
        <v>114</v>
      </c>
      <c r="C14" s="45"/>
      <c r="D14" s="37" t="s">
        <v>289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 t="s">
        <v>290</v>
      </c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 t="s">
        <v>291</v>
      </c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I11" sqref="I11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2</v>
      </c>
      <c r="K3" s="8" t="s">
        <v>21</v>
      </c>
      <c r="L3" s="9">
        <v>1</v>
      </c>
      <c r="N3" s="10" t="s">
        <v>22</v>
      </c>
      <c r="O3" s="11">
        <v>24</v>
      </c>
      <c r="P3" s="11">
        <v>0</v>
      </c>
      <c r="Q3" s="12">
        <f>24-(((P3/0.6)/100)+O3)</f>
        <v>0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2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32</v>
      </c>
      <c r="AA4"/>
      <c r="AB4" s="10" t="s">
        <v>24</v>
      </c>
      <c r="AC4" s="11">
        <v>2</v>
      </c>
    </row>
    <row r="5" spans="1:29" ht="15" x14ac:dyDescent="0.25">
      <c r="A5" s="10" t="s">
        <v>24</v>
      </c>
      <c r="B5" s="11">
        <v>24</v>
      </c>
      <c r="C5" s="11">
        <v>0</v>
      </c>
      <c r="E5" s="8" t="s">
        <v>28</v>
      </c>
      <c r="F5" s="9">
        <v>4</v>
      </c>
      <c r="H5" s="8" t="s">
        <v>28</v>
      </c>
      <c r="I5" s="9">
        <v>2</v>
      </c>
      <c r="K5" s="8" t="s">
        <v>29</v>
      </c>
      <c r="L5" s="9">
        <v>1</v>
      </c>
      <c r="N5" s="19" t="s">
        <v>30</v>
      </c>
      <c r="O5" s="11">
        <v>20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1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4</v>
      </c>
      <c r="Z5"/>
      <c r="AA5"/>
      <c r="AB5" s="10" t="s">
        <v>28</v>
      </c>
      <c r="AC5" s="11">
        <v>2</v>
      </c>
    </row>
    <row r="6" spans="1:29" ht="15" x14ac:dyDescent="0.25">
      <c r="A6" s="10" t="s">
        <v>28</v>
      </c>
      <c r="B6" s="11">
        <v>10</v>
      </c>
      <c r="C6" s="11">
        <v>0</v>
      </c>
      <c r="E6" s="8" t="s">
        <v>31</v>
      </c>
      <c r="F6" s="9">
        <v>5</v>
      </c>
      <c r="H6" s="8" t="s">
        <v>31</v>
      </c>
      <c r="I6" s="9">
        <v>1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6</v>
      </c>
    </row>
    <row r="7" spans="1:29" ht="15" x14ac:dyDescent="0.25">
      <c r="A7" s="10" t="s">
        <v>31</v>
      </c>
      <c r="B7" s="11">
        <v>8</v>
      </c>
      <c r="C7" s="11">
        <v>0</v>
      </c>
      <c r="E7" s="8" t="s">
        <v>35</v>
      </c>
      <c r="F7" s="9">
        <v>2</v>
      </c>
      <c r="H7" s="8" t="s">
        <v>35</v>
      </c>
      <c r="I7" s="9">
        <v>3</v>
      </c>
      <c r="K7" s="8" t="s">
        <v>28</v>
      </c>
      <c r="L7" s="9">
        <v>1</v>
      </c>
      <c r="N7" s="10" t="s">
        <v>36</v>
      </c>
      <c r="O7" s="11">
        <v>10</v>
      </c>
      <c r="P7" s="11">
        <v>30</v>
      </c>
      <c r="Q7" s="13">
        <f>((P7/0.6)/100)+O7</f>
        <v>10.5</v>
      </c>
      <c r="R7" s="13">
        <f>(Q8/(Q3+Q7))*100</f>
        <v>66.666666666666657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3</v>
      </c>
      <c r="Z7" s="18">
        <f>Y4+Y6+Y8+Y9+Y10+Y13+Y15+Y17+Y20+Y22</f>
        <v>17</v>
      </c>
      <c r="AA7"/>
    </row>
    <row r="8" spans="1:29" ht="15" x14ac:dyDescent="0.25">
      <c r="A8" s="10" t="s">
        <v>35</v>
      </c>
      <c r="B8" s="11">
        <v>7</v>
      </c>
      <c r="C8" s="11">
        <v>30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2</v>
      </c>
      <c r="Z8"/>
      <c r="AA8"/>
    </row>
    <row r="9" spans="1:29" ht="15" x14ac:dyDescent="0.25">
      <c r="A9" s="19" t="s">
        <v>37</v>
      </c>
      <c r="B9" s="11">
        <v>8</v>
      </c>
      <c r="C9" s="67">
        <v>30</v>
      </c>
      <c r="E9" s="8" t="s">
        <v>39</v>
      </c>
      <c r="F9" s="9">
        <v>6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2</v>
      </c>
      <c r="Z9"/>
      <c r="AA9"/>
    </row>
    <row r="10" spans="1:29" ht="15" x14ac:dyDescent="0.25">
      <c r="B10" s="2" t="s">
        <v>7</v>
      </c>
      <c r="E10" s="8" t="s">
        <v>40</v>
      </c>
      <c r="F10" s="9">
        <v>3</v>
      </c>
      <c r="H10" s="8" t="s">
        <v>40</v>
      </c>
      <c r="I10" s="9">
        <v>0</v>
      </c>
      <c r="K10" s="8" t="s">
        <v>41</v>
      </c>
      <c r="L10" s="22">
        <f>SUM(L3:L9)</f>
        <v>7</v>
      </c>
      <c r="N10" s="10" t="s">
        <v>42</v>
      </c>
      <c r="O10" s="11">
        <v>3</v>
      </c>
      <c r="P10" s="13">
        <f>O10-1</f>
        <v>2</v>
      </c>
      <c r="Q10" s="12">
        <f>P5+P10</f>
        <v>3</v>
      </c>
      <c r="U10" s="4" t="s">
        <v>41</v>
      </c>
      <c r="V10" s="20">
        <f>SUM(V3:V9)/7</f>
        <v>2.4285714285714284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0</v>
      </c>
      <c r="E11" s="8" t="s">
        <v>43</v>
      </c>
      <c r="F11" s="9">
        <v>3</v>
      </c>
      <c r="H11" s="8" t="s">
        <v>41</v>
      </c>
      <c r="I11" s="23">
        <f>SUM(I3:I10)</f>
        <v>11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3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4.1111111111111107</v>
      </c>
      <c r="H12" s="8" t="s">
        <v>27</v>
      </c>
      <c r="I12" s="22">
        <f>SUM(GESTEP(I11,0),GESTEP(I11,6),GESTEP(I11,11),GESTEP(I11,13),GESTEP(I11,16))</f>
        <v>3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3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1</v>
      </c>
      <c r="X14" s="14" t="s">
        <v>53</v>
      </c>
      <c r="Y14" s="15">
        <v>3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2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2</v>
      </c>
      <c r="P16" s="13">
        <f t="shared" si="0"/>
        <v>1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3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8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2</v>
      </c>
      <c r="X21" s="14" t="s">
        <v>73</v>
      </c>
      <c r="Y21" s="15">
        <v>3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2</v>
      </c>
    </row>
    <row r="23" spans="1:27" x14ac:dyDescent="0.2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J1" zoomScaleNormal="100" workbookViewId="0">
      <selection activeCell="X17" sqref="X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44260</v>
      </c>
      <c r="B4" s="32">
        <v>1</v>
      </c>
      <c r="C4" s="33">
        <v>24</v>
      </c>
      <c r="D4" s="15">
        <v>25</v>
      </c>
      <c r="E4" s="15">
        <v>10</v>
      </c>
      <c r="F4" s="15">
        <v>30</v>
      </c>
      <c r="G4" s="34">
        <f>(E4/0.6)/100</f>
        <v>0.16666666666666669</v>
      </c>
      <c r="H4" s="34">
        <f>(F4/0.6)/100</f>
        <v>0.5</v>
      </c>
      <c r="I4" s="34">
        <f>D4+G4+H4</f>
        <v>25.666666666666668</v>
      </c>
      <c r="J4" s="34">
        <f>C4-I4</f>
        <v>-1.6666666666666679</v>
      </c>
      <c r="K4" s="15">
        <v>8</v>
      </c>
      <c r="L4" s="15">
        <v>55</v>
      </c>
      <c r="M4" s="34">
        <f>(L4/0.6)/100</f>
        <v>0.91666666666666674</v>
      </c>
      <c r="N4" s="34">
        <f>K4+M4</f>
        <v>8.9166666666666661</v>
      </c>
      <c r="O4" s="34">
        <f t="shared" ref="O4:O20" si="0">N4+J4</f>
        <v>7.2499999999999982</v>
      </c>
      <c r="P4" s="34">
        <f>ROUNDDOWN(O4,0)</f>
        <v>7</v>
      </c>
      <c r="Q4" s="34">
        <f>(O4-P4)*0.6</f>
        <v>0.14999999999999894</v>
      </c>
      <c r="R4" s="15">
        <v>2</v>
      </c>
      <c r="S4" s="34">
        <f>IF(R4&gt;0,R4-1,"")</f>
        <v>1</v>
      </c>
      <c r="T4" s="35">
        <f t="shared" ref="T4:T20" si="1">P4</f>
        <v>7</v>
      </c>
      <c r="U4" s="35">
        <f>Q4*100</f>
        <v>14.999999999999893</v>
      </c>
    </row>
    <row r="5" spans="1:30" x14ac:dyDescent="0.25">
      <c r="A5" s="75">
        <v>44261</v>
      </c>
      <c r="B5" s="32">
        <v>2</v>
      </c>
      <c r="C5" s="33">
        <v>24</v>
      </c>
      <c r="D5" s="15">
        <v>25</v>
      </c>
      <c r="E5" s="15">
        <v>45</v>
      </c>
      <c r="F5" s="15">
        <v>10</v>
      </c>
      <c r="G5" s="34">
        <f t="shared" ref="G5:H20" si="2">(E5/0.6)/100</f>
        <v>0.75</v>
      </c>
      <c r="H5" s="34">
        <f t="shared" si="2"/>
        <v>0.16666666666666669</v>
      </c>
      <c r="I5" s="34">
        <f t="shared" ref="I5:I20" si="3">D5+G5+H5</f>
        <v>25.916666666666668</v>
      </c>
      <c r="J5" s="34">
        <f t="shared" ref="J5:J20" si="4">C5-I5</f>
        <v>-1.9166666666666679</v>
      </c>
      <c r="K5" s="15">
        <v>9</v>
      </c>
      <c r="L5" s="15">
        <v>0</v>
      </c>
      <c r="M5" s="34">
        <f t="shared" ref="M5:M20" si="5">(L5/0.6)/100</f>
        <v>0</v>
      </c>
      <c r="N5" s="34">
        <f t="shared" ref="N5:N20" si="6">K5+M5</f>
        <v>9</v>
      </c>
      <c r="O5" s="34">
        <f t="shared" si="0"/>
        <v>7.0833333333333321</v>
      </c>
      <c r="P5" s="34">
        <f t="shared" ref="P5:P20" si="7">ROUNDDOWN(O5,0)</f>
        <v>7</v>
      </c>
      <c r="Q5" s="34">
        <f t="shared" ref="Q5:Q20" si="8">(O5-P5)*0.6</f>
        <v>4.9999999999999288E-2</v>
      </c>
      <c r="R5" s="15">
        <v>5</v>
      </c>
      <c r="S5" s="34">
        <f t="shared" ref="S5:S20" si="9">IF(R5&gt;0,R5-1,"")</f>
        <v>4</v>
      </c>
      <c r="T5" s="35">
        <f t="shared" si="1"/>
        <v>7</v>
      </c>
      <c r="U5" s="35">
        <f t="shared" ref="U5:U20" si="10">Q5*100</f>
        <v>4.9999999999999289</v>
      </c>
      <c r="AD5" s="36"/>
    </row>
    <row r="6" spans="1:30" x14ac:dyDescent="0.25">
      <c r="A6" s="75">
        <v>44262</v>
      </c>
      <c r="B6" s="32">
        <v>3</v>
      </c>
      <c r="C6" s="33">
        <v>24</v>
      </c>
      <c r="D6" s="15">
        <v>25</v>
      </c>
      <c r="E6" s="15">
        <v>30</v>
      </c>
      <c r="F6" s="15">
        <v>10</v>
      </c>
      <c r="G6" s="34">
        <f t="shared" si="2"/>
        <v>0.5</v>
      </c>
      <c r="H6" s="34">
        <f t="shared" si="2"/>
        <v>0.16666666666666669</v>
      </c>
      <c r="I6" s="34">
        <f t="shared" si="3"/>
        <v>25.666666666666668</v>
      </c>
      <c r="J6" s="34">
        <f t="shared" si="4"/>
        <v>-1.6666666666666679</v>
      </c>
      <c r="K6" s="15">
        <v>9</v>
      </c>
      <c r="L6" s="15">
        <v>10</v>
      </c>
      <c r="M6" s="34">
        <f t="shared" si="5"/>
        <v>0.16666666666666669</v>
      </c>
      <c r="N6" s="34">
        <f t="shared" si="6"/>
        <v>9.1666666666666661</v>
      </c>
      <c r="O6" s="34">
        <f t="shared" si="0"/>
        <v>7.4999999999999982</v>
      </c>
      <c r="P6" s="34">
        <f t="shared" si="7"/>
        <v>7</v>
      </c>
      <c r="Q6" s="34">
        <f t="shared" si="8"/>
        <v>0.29999999999999893</v>
      </c>
      <c r="R6" s="15">
        <v>4</v>
      </c>
      <c r="S6" s="34">
        <f t="shared" si="9"/>
        <v>3</v>
      </c>
      <c r="T6" s="35">
        <f t="shared" si="1"/>
        <v>7</v>
      </c>
      <c r="U6" s="35">
        <f t="shared" si="10"/>
        <v>29.999999999999893</v>
      </c>
      <c r="AD6" s="36"/>
    </row>
    <row r="7" spans="1:30" x14ac:dyDescent="0.25">
      <c r="A7" s="75">
        <v>44263</v>
      </c>
      <c r="B7" s="32">
        <v>4</v>
      </c>
      <c r="C7" s="33">
        <v>24</v>
      </c>
      <c r="D7" s="15">
        <v>25</v>
      </c>
      <c r="E7" s="15">
        <v>0</v>
      </c>
      <c r="F7" s="15">
        <v>30</v>
      </c>
      <c r="G7" s="34">
        <f t="shared" si="2"/>
        <v>0</v>
      </c>
      <c r="H7" s="34">
        <f t="shared" si="2"/>
        <v>0.5</v>
      </c>
      <c r="I7" s="34">
        <f t="shared" si="3"/>
        <v>25.5</v>
      </c>
      <c r="J7" s="34">
        <f t="shared" si="4"/>
        <v>-1.5</v>
      </c>
      <c r="K7" s="15">
        <v>9</v>
      </c>
      <c r="L7" s="15">
        <v>0</v>
      </c>
      <c r="M7" s="34">
        <f t="shared" si="5"/>
        <v>0</v>
      </c>
      <c r="N7" s="34">
        <f t="shared" si="6"/>
        <v>9</v>
      </c>
      <c r="O7" s="34">
        <f t="shared" si="0"/>
        <v>7.5</v>
      </c>
      <c r="P7" s="34">
        <f t="shared" si="7"/>
        <v>7</v>
      </c>
      <c r="Q7" s="34">
        <f t="shared" si="8"/>
        <v>0.3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30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3" t="str">
        <f>IF(B1=1,"Missing day(s)","")</f>
        <v/>
      </c>
      <c r="AD7" s="36"/>
    </row>
    <row r="8" spans="1:30" x14ac:dyDescent="0.25">
      <c r="A8" s="75">
        <v>44264</v>
      </c>
      <c r="B8" s="32">
        <v>5</v>
      </c>
      <c r="C8" s="33">
        <v>24</v>
      </c>
      <c r="D8" s="15">
        <v>25</v>
      </c>
      <c r="E8" s="15">
        <v>5</v>
      </c>
      <c r="F8" s="15">
        <v>15</v>
      </c>
      <c r="G8" s="34">
        <f t="shared" si="2"/>
        <v>8.3333333333333343E-2</v>
      </c>
      <c r="H8" s="34">
        <f t="shared" si="2"/>
        <v>0.25</v>
      </c>
      <c r="I8" s="34">
        <f t="shared" si="3"/>
        <v>25.333333333333332</v>
      </c>
      <c r="J8" s="34">
        <f t="shared" si="4"/>
        <v>-1.3333333333333321</v>
      </c>
      <c r="K8" s="15">
        <v>8</v>
      </c>
      <c r="L8" s="15">
        <v>45</v>
      </c>
      <c r="M8" s="34">
        <f t="shared" si="5"/>
        <v>0.75</v>
      </c>
      <c r="N8" s="34">
        <f t="shared" si="6"/>
        <v>8.75</v>
      </c>
      <c r="O8" s="34">
        <f t="shared" si="0"/>
        <v>7.4166666666666679</v>
      </c>
      <c r="P8" s="34">
        <f t="shared" si="7"/>
        <v>7</v>
      </c>
      <c r="Q8" s="34">
        <f t="shared" si="8"/>
        <v>0.25000000000000072</v>
      </c>
      <c r="R8" s="15">
        <v>4</v>
      </c>
      <c r="S8" s="34">
        <f t="shared" si="9"/>
        <v>3</v>
      </c>
      <c r="T8" s="35">
        <f t="shared" si="1"/>
        <v>7</v>
      </c>
      <c r="U8" s="35">
        <f t="shared" si="10"/>
        <v>25.000000000000071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25">
      <c r="A9" s="75">
        <v>44265</v>
      </c>
      <c r="B9" s="32">
        <v>6</v>
      </c>
      <c r="C9" s="33">
        <v>24</v>
      </c>
      <c r="D9" s="15">
        <v>26</v>
      </c>
      <c r="E9" s="15">
        <v>0</v>
      </c>
      <c r="F9" s="15">
        <v>20</v>
      </c>
      <c r="G9" s="34">
        <f t="shared" si="2"/>
        <v>0</v>
      </c>
      <c r="H9" s="34">
        <f t="shared" si="2"/>
        <v>0.33333333333333337</v>
      </c>
      <c r="I9" s="34">
        <f t="shared" si="3"/>
        <v>26.333333333333332</v>
      </c>
      <c r="J9" s="34">
        <f t="shared" si="4"/>
        <v>-2.3333333333333321</v>
      </c>
      <c r="K9" s="15">
        <v>8</v>
      </c>
      <c r="L9" s="15">
        <v>55</v>
      </c>
      <c r="M9" s="34">
        <f t="shared" si="5"/>
        <v>0.91666666666666674</v>
      </c>
      <c r="N9" s="34">
        <f t="shared" si="6"/>
        <v>8.9166666666666661</v>
      </c>
      <c r="O9" s="34">
        <f t="shared" si="0"/>
        <v>6.5833333333333339</v>
      </c>
      <c r="P9" s="34">
        <f t="shared" si="7"/>
        <v>6</v>
      </c>
      <c r="Q9" s="34">
        <f t="shared" si="8"/>
        <v>0.35000000000000037</v>
      </c>
      <c r="R9" s="15">
        <v>4</v>
      </c>
      <c r="S9" s="34">
        <f t="shared" si="9"/>
        <v>3</v>
      </c>
      <c r="T9" s="35">
        <f t="shared" si="1"/>
        <v>6</v>
      </c>
      <c r="U9" s="35">
        <f t="shared" si="10"/>
        <v>35.000000000000036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25">
      <c r="A10" s="75">
        <v>44266</v>
      </c>
      <c r="B10" s="32">
        <v>7</v>
      </c>
      <c r="C10" s="33">
        <v>24</v>
      </c>
      <c r="D10" s="15">
        <v>25</v>
      </c>
      <c r="E10" s="15">
        <v>0</v>
      </c>
      <c r="F10" s="15">
        <v>10</v>
      </c>
      <c r="G10" s="34">
        <f t="shared" si="2"/>
        <v>0</v>
      </c>
      <c r="H10" s="34">
        <f t="shared" si="2"/>
        <v>0.16666666666666669</v>
      </c>
      <c r="I10" s="34">
        <f t="shared" si="3"/>
        <v>25.166666666666668</v>
      </c>
      <c r="J10" s="34">
        <f t="shared" si="4"/>
        <v>-1.1666666666666679</v>
      </c>
      <c r="K10" s="15">
        <v>8</v>
      </c>
      <c r="L10" s="15">
        <v>45</v>
      </c>
      <c r="M10" s="34">
        <f t="shared" si="5"/>
        <v>0.75</v>
      </c>
      <c r="N10" s="34">
        <f t="shared" si="6"/>
        <v>8.75</v>
      </c>
      <c r="O10" s="34">
        <f t="shared" si="0"/>
        <v>7.5833333333333321</v>
      </c>
      <c r="P10" s="34">
        <f t="shared" si="7"/>
        <v>7</v>
      </c>
      <c r="Q10" s="34">
        <f t="shared" si="8"/>
        <v>0.34999999999999926</v>
      </c>
      <c r="R10" s="15">
        <v>5</v>
      </c>
      <c r="S10" s="34">
        <f t="shared" si="9"/>
        <v>4</v>
      </c>
      <c r="T10" s="35">
        <f t="shared" si="1"/>
        <v>7</v>
      </c>
      <c r="U10" s="35">
        <f t="shared" si="10"/>
        <v>34.999999999999929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25">
      <c r="A11" s="75">
        <v>44267</v>
      </c>
      <c r="B11" s="32">
        <v>8</v>
      </c>
      <c r="C11" s="28">
        <v>24</v>
      </c>
      <c r="D11" s="15">
        <v>27</v>
      </c>
      <c r="E11" s="15">
        <v>20</v>
      </c>
      <c r="F11" s="15">
        <v>10</v>
      </c>
      <c r="G11" s="34">
        <f t="shared" si="2"/>
        <v>0.33333333333333337</v>
      </c>
      <c r="H11" s="34">
        <f t="shared" si="2"/>
        <v>0.16666666666666669</v>
      </c>
      <c r="I11" s="34">
        <f t="shared" si="3"/>
        <v>27.5</v>
      </c>
      <c r="J11" s="34">
        <f t="shared" si="4"/>
        <v>-3.5</v>
      </c>
      <c r="K11" s="15">
        <v>9</v>
      </c>
      <c r="L11" s="15">
        <v>0</v>
      </c>
      <c r="M11" s="34">
        <f t="shared" si="5"/>
        <v>0</v>
      </c>
      <c r="N11" s="34">
        <f t="shared" si="6"/>
        <v>9</v>
      </c>
      <c r="O11" s="34">
        <f t="shared" si="0"/>
        <v>5.5</v>
      </c>
      <c r="P11" s="34">
        <f t="shared" si="7"/>
        <v>5</v>
      </c>
      <c r="Q11" s="34">
        <f t="shared" si="8"/>
        <v>0.3</v>
      </c>
      <c r="R11" s="15">
        <v>2</v>
      </c>
      <c r="S11" s="34">
        <f t="shared" si="9"/>
        <v>1</v>
      </c>
      <c r="T11" s="35">
        <f t="shared" si="1"/>
        <v>5</v>
      </c>
      <c r="U11" s="35">
        <f t="shared" si="10"/>
        <v>30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3" t="str">
        <f>IF(B1=0,"Missing day(s)","")</f>
        <v>Missing day(s)</v>
      </c>
    </row>
    <row r="12" spans="1:30" x14ac:dyDescent="0.25">
      <c r="A12" s="75">
        <v>44268</v>
      </c>
      <c r="B12" s="32">
        <v>9</v>
      </c>
      <c r="C12" s="28">
        <v>24</v>
      </c>
      <c r="D12" s="15">
        <v>27</v>
      </c>
      <c r="E12" s="15">
        <v>33</v>
      </c>
      <c r="F12" s="15">
        <v>15</v>
      </c>
      <c r="G12" s="34">
        <f t="shared" si="2"/>
        <v>0.55000000000000004</v>
      </c>
      <c r="H12" s="34">
        <f t="shared" si="2"/>
        <v>0.25</v>
      </c>
      <c r="I12" s="34">
        <f t="shared" si="3"/>
        <v>27.8</v>
      </c>
      <c r="J12" s="34">
        <f t="shared" si="4"/>
        <v>-3.8000000000000007</v>
      </c>
      <c r="K12" s="15">
        <v>9</v>
      </c>
      <c r="L12" s="15">
        <v>0</v>
      </c>
      <c r="M12" s="34">
        <f t="shared" si="5"/>
        <v>0</v>
      </c>
      <c r="N12" s="34">
        <f t="shared" si="6"/>
        <v>9</v>
      </c>
      <c r="O12" s="34">
        <f t="shared" si="0"/>
        <v>5.1999999999999993</v>
      </c>
      <c r="P12" s="34">
        <f t="shared" si="7"/>
        <v>5</v>
      </c>
      <c r="Q12" s="34">
        <f t="shared" si="8"/>
        <v>0.11999999999999957</v>
      </c>
      <c r="R12" s="15">
        <v>3</v>
      </c>
      <c r="S12" s="34">
        <f t="shared" si="9"/>
        <v>2</v>
      </c>
      <c r="T12" s="35">
        <f t="shared" si="1"/>
        <v>5</v>
      </c>
      <c r="U12" s="35">
        <f t="shared" si="10"/>
        <v>11.999999999999957</v>
      </c>
      <c r="W12" t="str">
        <f>IF(B1=0,"PD_NS_AVG","")</f>
        <v>PD_NS_AVG</v>
      </c>
      <c r="X12">
        <f>IF(B1=0,SUM(O4:O10)/COUNT(O4:O10),"")</f>
        <v>7.2738095238095246</v>
      </c>
      <c r="Y12">
        <f>IF(B1=0,SUM(S4:S10)/COUNT(S4:S10),"")</f>
        <v>3</v>
      </c>
      <c r="Z12" t="str">
        <f>IF(B$1=0,IF(COUNT(S4:S10)&lt;7,7-COUNT(S4:S10),""),"")</f>
        <v/>
      </c>
    </row>
    <row r="13" spans="1:30" x14ac:dyDescent="0.25">
      <c r="A13" s="75">
        <v>44269</v>
      </c>
      <c r="B13" s="32">
        <v>10</v>
      </c>
      <c r="C13" s="28">
        <v>24</v>
      </c>
      <c r="D13" s="15">
        <v>27</v>
      </c>
      <c r="E13" s="15">
        <v>30</v>
      </c>
      <c r="F13" s="15">
        <v>10</v>
      </c>
      <c r="G13" s="34">
        <f t="shared" si="2"/>
        <v>0.5</v>
      </c>
      <c r="H13" s="34">
        <f t="shared" si="2"/>
        <v>0.16666666666666669</v>
      </c>
      <c r="I13" s="34">
        <f t="shared" si="3"/>
        <v>27.666666666666668</v>
      </c>
      <c r="J13" s="34">
        <f t="shared" si="4"/>
        <v>-3.6666666666666679</v>
      </c>
      <c r="K13" s="15">
        <v>9</v>
      </c>
      <c r="L13" s="15">
        <v>0</v>
      </c>
      <c r="M13" s="34">
        <f t="shared" si="5"/>
        <v>0</v>
      </c>
      <c r="N13" s="34">
        <f t="shared" si="6"/>
        <v>9</v>
      </c>
      <c r="O13" s="34">
        <f t="shared" si="0"/>
        <v>5.3333333333333321</v>
      </c>
      <c r="P13" s="34">
        <f t="shared" si="7"/>
        <v>5</v>
      </c>
      <c r="Q13" s="34">
        <f t="shared" si="8"/>
        <v>0.19999999999999929</v>
      </c>
      <c r="R13" s="15">
        <v>3</v>
      </c>
      <c r="S13" s="34">
        <f t="shared" si="9"/>
        <v>2</v>
      </c>
      <c r="T13" s="35">
        <f t="shared" si="1"/>
        <v>5</v>
      </c>
      <c r="U13" s="35">
        <f t="shared" si="10"/>
        <v>19.999999999999929</v>
      </c>
      <c r="W13" t="str">
        <f>IF(B1=0,"DP_PSD_AVG","")</f>
        <v>DP_PSD_AVG</v>
      </c>
      <c r="X13">
        <f>IF(B1=0,SUM(O11:O13)/(COUNT(O11:O13)),"")</f>
        <v>5.3444444444444441</v>
      </c>
      <c r="Y13">
        <f>IF(B1=0,SUM(S11:S13)/COUNT(S11:S13),"")</f>
        <v>1.6666666666666667</v>
      </c>
      <c r="Z13" t="str">
        <f>IF(B$1=0,IF(COUNT(S11:S13)&lt;3,3-COUNT(S11:S13),""),"")</f>
        <v/>
      </c>
    </row>
    <row r="14" spans="1:30" x14ac:dyDescent="0.25">
      <c r="A14" s="75">
        <v>44270</v>
      </c>
      <c r="B14" s="32">
        <v>11</v>
      </c>
      <c r="C14" s="28">
        <v>24</v>
      </c>
      <c r="D14" s="15">
        <v>25</v>
      </c>
      <c r="E14" s="15">
        <v>40</v>
      </c>
      <c r="F14" s="15">
        <v>15</v>
      </c>
      <c r="G14" s="34">
        <f t="shared" si="2"/>
        <v>0.66666666666666674</v>
      </c>
      <c r="H14" s="34">
        <f t="shared" si="2"/>
        <v>0.25</v>
      </c>
      <c r="I14" s="34">
        <f t="shared" si="3"/>
        <v>25.916666666666668</v>
      </c>
      <c r="J14" s="34">
        <f t="shared" si="4"/>
        <v>-1.9166666666666679</v>
      </c>
      <c r="K14" s="15">
        <v>8</v>
      </c>
      <c r="L14" s="15">
        <v>55</v>
      </c>
      <c r="M14" s="34">
        <f t="shared" si="5"/>
        <v>0.91666666666666674</v>
      </c>
      <c r="N14" s="34">
        <f t="shared" si="6"/>
        <v>8.9166666666666661</v>
      </c>
      <c r="O14" s="34">
        <f t="shared" si="0"/>
        <v>6.9999999999999982</v>
      </c>
      <c r="P14" s="34">
        <f t="shared" si="7"/>
        <v>7</v>
      </c>
      <c r="Q14" s="34">
        <f t="shared" si="8"/>
        <v>-1.0658141036401502E-15</v>
      </c>
      <c r="R14" s="15">
        <v>3</v>
      </c>
      <c r="S14" s="34">
        <f t="shared" si="9"/>
        <v>2</v>
      </c>
      <c r="T14" s="35">
        <f t="shared" si="1"/>
        <v>7</v>
      </c>
      <c r="U14" s="35">
        <f t="shared" si="10"/>
        <v>-1.0658141036401503E-13</v>
      </c>
      <c r="W14" t="str">
        <f>IF(B1=0,"NS_AVG","")</f>
        <v>NS_AVG</v>
      </c>
      <c r="X14">
        <f>IF(B1=0,SUM(O14:O20)/(COUNT(O14:O20)),"")</f>
        <v>7.28095238095238</v>
      </c>
      <c r="Y14">
        <f>IF(B1=0,SUM(S14:S20)/COUNT(S14:S20),"")</f>
        <v>2.5714285714285716</v>
      </c>
      <c r="Z14" t="str">
        <f>IF(B$1=0,IF(COUNT(S14:S20)&lt;7,7-COUNT(S14:S20),""),"")</f>
        <v/>
      </c>
    </row>
    <row r="15" spans="1:30" x14ac:dyDescent="0.25">
      <c r="A15" s="75">
        <v>44271</v>
      </c>
      <c r="B15" s="32">
        <v>12</v>
      </c>
      <c r="C15" s="28">
        <v>24</v>
      </c>
      <c r="D15" s="15">
        <v>24</v>
      </c>
      <c r="E15" s="15">
        <v>50</v>
      </c>
      <c r="F15" s="15">
        <v>10</v>
      </c>
      <c r="G15" s="34">
        <f t="shared" si="2"/>
        <v>0.83333333333333348</v>
      </c>
      <c r="H15" s="34">
        <f t="shared" si="2"/>
        <v>0.16666666666666669</v>
      </c>
      <c r="I15" s="34">
        <f t="shared" si="3"/>
        <v>25</v>
      </c>
      <c r="J15" s="34">
        <f t="shared" si="4"/>
        <v>-1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8</v>
      </c>
      <c r="P15" s="34">
        <f t="shared" si="7"/>
        <v>8</v>
      </c>
      <c r="Q15" s="34">
        <f t="shared" si="8"/>
        <v>0</v>
      </c>
      <c r="R15" s="15">
        <v>4</v>
      </c>
      <c r="S15" s="34">
        <f t="shared" si="9"/>
        <v>3</v>
      </c>
      <c r="T15" s="35">
        <f t="shared" si="1"/>
        <v>8</v>
      </c>
      <c r="U15" s="35">
        <f t="shared" si="10"/>
        <v>0</v>
      </c>
      <c r="W15" s="84" t="s">
        <v>301</v>
      </c>
      <c r="X15" s="85" cm="1">
        <f t="array" ref="X15">_xlfn.IFS(B1=0,X12-X13,B1=1,X8-X9)</f>
        <v>1.9293650793650805</v>
      </c>
      <c r="Y15" s="86" t="s">
        <v>302</v>
      </c>
      <c r="Z15" s="85" cm="1">
        <f t="array" ref="Z15">_xlfn.IFS(B1=0,X14-X13,B1=1,X10-X9)</f>
        <v>1.9365079365079358</v>
      </c>
      <c r="AA15" s="87" t="s">
        <v>303</v>
      </c>
    </row>
    <row r="16" spans="1:30" x14ac:dyDescent="0.25">
      <c r="A16" s="75">
        <v>44272</v>
      </c>
      <c r="B16" s="32">
        <v>13</v>
      </c>
      <c r="C16" s="28">
        <v>24</v>
      </c>
      <c r="D16" s="15">
        <v>25</v>
      </c>
      <c r="E16" s="15">
        <v>7</v>
      </c>
      <c r="F16" s="15">
        <v>10</v>
      </c>
      <c r="G16" s="34">
        <f t="shared" si="2"/>
        <v>0.11666666666666668</v>
      </c>
      <c r="H16" s="34">
        <f t="shared" si="2"/>
        <v>0.16666666666666669</v>
      </c>
      <c r="I16" s="34">
        <f t="shared" si="3"/>
        <v>25.283333333333335</v>
      </c>
      <c r="J16" s="34">
        <f t="shared" si="4"/>
        <v>-1.283333333333335</v>
      </c>
      <c r="K16" s="15">
        <v>9</v>
      </c>
      <c r="L16" s="15">
        <v>0</v>
      </c>
      <c r="M16" s="34">
        <f t="shared" si="5"/>
        <v>0</v>
      </c>
      <c r="N16" s="34">
        <f t="shared" si="6"/>
        <v>9</v>
      </c>
      <c r="O16" s="34">
        <f t="shared" si="0"/>
        <v>7.716666666666665</v>
      </c>
      <c r="P16" s="34">
        <f t="shared" si="7"/>
        <v>7</v>
      </c>
      <c r="Q16" s="34">
        <f t="shared" si="8"/>
        <v>0.42999999999999899</v>
      </c>
      <c r="R16" s="15">
        <v>4</v>
      </c>
      <c r="S16" s="34">
        <f t="shared" si="9"/>
        <v>3</v>
      </c>
      <c r="T16" s="35">
        <f t="shared" si="1"/>
        <v>7</v>
      </c>
      <c r="U16" s="35">
        <f t="shared" si="10"/>
        <v>42.999999999999901</v>
      </c>
      <c r="W16" t="s">
        <v>269</v>
      </c>
    </row>
    <row r="17" spans="1:21" x14ac:dyDescent="0.25">
      <c r="A17" s="75">
        <v>44273</v>
      </c>
      <c r="B17" s="32">
        <v>14</v>
      </c>
      <c r="C17" s="28">
        <v>24</v>
      </c>
      <c r="D17" s="15">
        <v>26</v>
      </c>
      <c r="E17" s="15">
        <v>40</v>
      </c>
      <c r="F17" s="15">
        <v>20</v>
      </c>
      <c r="G17" s="34">
        <f t="shared" si="2"/>
        <v>0.66666666666666674</v>
      </c>
      <c r="H17" s="34">
        <f t="shared" si="2"/>
        <v>0.33333333333333337</v>
      </c>
      <c r="I17" s="34">
        <f t="shared" si="3"/>
        <v>27</v>
      </c>
      <c r="J17" s="34">
        <f t="shared" si="4"/>
        <v>-3</v>
      </c>
      <c r="K17" s="15">
        <v>8</v>
      </c>
      <c r="L17" s="15">
        <v>15</v>
      </c>
      <c r="M17" s="34">
        <f t="shared" si="5"/>
        <v>0.25</v>
      </c>
      <c r="N17" s="34">
        <f t="shared" si="6"/>
        <v>8.25</v>
      </c>
      <c r="O17" s="34">
        <f t="shared" si="0"/>
        <v>5.25</v>
      </c>
      <c r="P17" s="34">
        <f t="shared" si="7"/>
        <v>5</v>
      </c>
      <c r="Q17" s="34">
        <f t="shared" si="8"/>
        <v>0.15</v>
      </c>
      <c r="R17" s="15">
        <v>3</v>
      </c>
      <c r="S17" s="34">
        <f t="shared" si="9"/>
        <v>2</v>
      </c>
      <c r="T17" s="35">
        <f t="shared" si="1"/>
        <v>5</v>
      </c>
      <c r="U17" s="35">
        <f t="shared" si="10"/>
        <v>15</v>
      </c>
    </row>
    <row r="18" spans="1:21" x14ac:dyDescent="0.25">
      <c r="A18" s="75">
        <v>44274</v>
      </c>
      <c r="B18" s="32">
        <v>15</v>
      </c>
      <c r="C18" s="28">
        <v>24</v>
      </c>
      <c r="D18" s="15">
        <v>24</v>
      </c>
      <c r="E18" s="15">
        <v>30</v>
      </c>
      <c r="F18" s="15">
        <v>10</v>
      </c>
      <c r="G18" s="34">
        <f t="shared" si="2"/>
        <v>0.5</v>
      </c>
      <c r="H18" s="34">
        <f t="shared" si="2"/>
        <v>0.16666666666666669</v>
      </c>
      <c r="I18" s="34">
        <f t="shared" si="3"/>
        <v>24.666666666666668</v>
      </c>
      <c r="J18" s="34">
        <f t="shared" si="4"/>
        <v>-0.66666666666666785</v>
      </c>
      <c r="K18" s="15">
        <v>9</v>
      </c>
      <c r="L18" s="15">
        <v>0</v>
      </c>
      <c r="M18" s="34">
        <f t="shared" si="5"/>
        <v>0</v>
      </c>
      <c r="N18" s="34">
        <f t="shared" si="6"/>
        <v>9</v>
      </c>
      <c r="O18" s="34">
        <f t="shared" si="0"/>
        <v>8.3333333333333321</v>
      </c>
      <c r="P18" s="34">
        <f t="shared" si="7"/>
        <v>8</v>
      </c>
      <c r="Q18" s="34">
        <f t="shared" si="8"/>
        <v>0.19999999999999929</v>
      </c>
      <c r="R18" s="15">
        <v>4</v>
      </c>
      <c r="S18" s="34">
        <f>IF(R18&gt;0,R18-1,"")</f>
        <v>3</v>
      </c>
      <c r="T18" s="35">
        <f t="shared" si="1"/>
        <v>8</v>
      </c>
      <c r="U18" s="35">
        <f t="shared" si="10"/>
        <v>19.999999999999929</v>
      </c>
    </row>
    <row r="19" spans="1:21" x14ac:dyDescent="0.25">
      <c r="A19" s="75">
        <v>44275</v>
      </c>
      <c r="B19" s="32">
        <v>16</v>
      </c>
      <c r="C19" s="28">
        <v>24</v>
      </c>
      <c r="D19" s="15">
        <v>25</v>
      </c>
      <c r="E19" s="15">
        <v>10</v>
      </c>
      <c r="F19" s="15">
        <v>10</v>
      </c>
      <c r="G19" s="34">
        <f t="shared" si="2"/>
        <v>0.16666666666666669</v>
      </c>
      <c r="H19" s="34">
        <f t="shared" si="2"/>
        <v>0.16666666666666669</v>
      </c>
      <c r="I19" s="34">
        <f t="shared" si="3"/>
        <v>25.333333333333336</v>
      </c>
      <c r="J19" s="34">
        <f t="shared" si="4"/>
        <v>-1.3333333333333357</v>
      </c>
      <c r="K19" s="15">
        <v>9</v>
      </c>
      <c r="L19" s="15">
        <v>0</v>
      </c>
      <c r="M19" s="34">
        <f t="shared" si="5"/>
        <v>0</v>
      </c>
      <c r="N19" s="34">
        <f t="shared" si="6"/>
        <v>9</v>
      </c>
      <c r="O19" s="34">
        <f t="shared" si="0"/>
        <v>7.6666666666666643</v>
      </c>
      <c r="P19" s="34">
        <f t="shared" si="7"/>
        <v>7</v>
      </c>
      <c r="Q19" s="34">
        <f t="shared" si="8"/>
        <v>0.39999999999999858</v>
      </c>
      <c r="R19" s="15">
        <v>4</v>
      </c>
      <c r="S19" s="34">
        <f t="shared" si="9"/>
        <v>3</v>
      </c>
      <c r="T19" s="35">
        <f t="shared" si="1"/>
        <v>7</v>
      </c>
      <c r="U19" s="35">
        <f t="shared" si="10"/>
        <v>39.999999999999858</v>
      </c>
    </row>
    <row r="20" spans="1:21" x14ac:dyDescent="0.25">
      <c r="A20" s="75">
        <v>44276</v>
      </c>
      <c r="B20" s="32">
        <v>17</v>
      </c>
      <c r="C20" s="28">
        <v>24</v>
      </c>
      <c r="D20" s="15">
        <v>25</v>
      </c>
      <c r="E20" s="15">
        <v>50</v>
      </c>
      <c r="F20" s="15">
        <v>10</v>
      </c>
      <c r="G20" s="34">
        <f t="shared" si="2"/>
        <v>0.83333333333333348</v>
      </c>
      <c r="H20" s="34">
        <f t="shared" si="2"/>
        <v>0.16666666666666669</v>
      </c>
      <c r="I20" s="34">
        <f t="shared" si="3"/>
        <v>26</v>
      </c>
      <c r="J20" s="34">
        <f t="shared" si="4"/>
        <v>-2</v>
      </c>
      <c r="K20" s="15">
        <v>9</v>
      </c>
      <c r="L20" s="15">
        <v>0</v>
      </c>
      <c r="M20" s="34">
        <f t="shared" si="5"/>
        <v>0</v>
      </c>
      <c r="N20" s="34">
        <f t="shared" si="6"/>
        <v>9</v>
      </c>
      <c r="O20" s="34">
        <f t="shared" si="0"/>
        <v>7</v>
      </c>
      <c r="P20" s="34">
        <f t="shared" si="7"/>
        <v>7</v>
      </c>
      <c r="Q20" s="34">
        <f t="shared" si="8"/>
        <v>0</v>
      </c>
      <c r="R20" s="15">
        <v>3</v>
      </c>
      <c r="S20" s="34">
        <f t="shared" si="9"/>
        <v>2</v>
      </c>
      <c r="T20" s="35">
        <f t="shared" si="1"/>
        <v>7</v>
      </c>
      <c r="U20" s="35">
        <f t="shared" si="10"/>
        <v>0</v>
      </c>
    </row>
    <row r="24" spans="1:21" x14ac:dyDescent="0.25">
      <c r="R24" t="s">
        <v>266</v>
      </c>
    </row>
    <row r="26" spans="1:21" x14ac:dyDescent="0.25">
      <c r="B26" t="s">
        <v>162</v>
      </c>
      <c r="K26" t="s">
        <v>164</v>
      </c>
    </row>
    <row r="27" spans="1:21" x14ac:dyDescent="0.25">
      <c r="B27" t="s">
        <v>161</v>
      </c>
      <c r="K27" t="s">
        <v>163</v>
      </c>
    </row>
    <row r="28" spans="1:2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2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2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17</v>
      </c>
      <c r="E5" s="17" t="s">
        <v>24</v>
      </c>
      <c r="F5" s="15">
        <v>1</v>
      </c>
      <c r="G5" s="18">
        <f>F4+F6+F8+F12+F13+F15+F17+F19+F20+F22</f>
        <v>18</v>
      </c>
      <c r="I5" s="17" t="s">
        <v>24</v>
      </c>
      <c r="J5" s="15">
        <v>1</v>
      </c>
      <c r="K5" s="18">
        <f>J4+J6+J8+J12+J13+J15+J17+J19+J20+J22</f>
        <v>16</v>
      </c>
      <c r="M5" s="17" t="s">
        <v>24</v>
      </c>
      <c r="N5" s="15">
        <v>1</v>
      </c>
      <c r="O5" s="18">
        <f>N4+N6+N8+N12+N13+N15+N17+N19+N20+N22</f>
        <v>19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3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3</v>
      </c>
      <c r="C8" s="18">
        <f>B5+B7+B9+B10+B11+B14+B16+B18+B21+B23</f>
        <v>10</v>
      </c>
      <c r="E8" s="14" t="s">
        <v>35</v>
      </c>
      <c r="F8" s="15">
        <v>2</v>
      </c>
      <c r="G8" s="18">
        <f>F5+F7+F9+F10+F11+F14+F16+F18+F21+F23</f>
        <v>10</v>
      </c>
      <c r="I8" s="14" t="s">
        <v>35</v>
      </c>
      <c r="J8" s="15">
        <v>3</v>
      </c>
      <c r="K8" s="18">
        <f>J5+J7+J9+J10+J11+J14+J16+J18+J21+J23</f>
        <v>11</v>
      </c>
      <c r="M8" s="14" t="s">
        <v>35</v>
      </c>
      <c r="N8" s="15">
        <v>3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1</v>
      </c>
      <c r="E12" s="14" t="s">
        <v>43</v>
      </c>
      <c r="F12" s="15">
        <v>1</v>
      </c>
      <c r="I12" s="14" t="s">
        <v>43</v>
      </c>
      <c r="J12" s="15">
        <v>1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2</v>
      </c>
      <c r="I13" s="14" t="s">
        <v>47</v>
      </c>
      <c r="J13" s="15">
        <v>2</v>
      </c>
      <c r="M13" s="14" t="s">
        <v>47</v>
      </c>
      <c r="N13" s="15">
        <v>3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2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2</v>
      </c>
      <c r="E15" s="14" t="s">
        <v>53</v>
      </c>
      <c r="F15" s="15">
        <v>2</v>
      </c>
      <c r="I15" s="14" t="s">
        <v>53</v>
      </c>
      <c r="J15" s="15">
        <v>2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1</v>
      </c>
      <c r="M17" s="14" t="s">
        <v>59</v>
      </c>
      <c r="N17" s="15">
        <v>1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1</v>
      </c>
      <c r="M19" s="14" t="s">
        <v>65</v>
      </c>
      <c r="N19" s="15">
        <v>1</v>
      </c>
    </row>
    <row r="20" spans="1:14" x14ac:dyDescent="0.2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2</v>
      </c>
      <c r="M20" s="14" t="s">
        <v>68</v>
      </c>
      <c r="N20" s="15">
        <v>1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1</v>
      </c>
      <c r="E22" s="14" t="s">
        <v>73</v>
      </c>
      <c r="F22" s="15">
        <v>2</v>
      </c>
      <c r="I22" s="14" t="s">
        <v>73</v>
      </c>
      <c r="J22" s="15">
        <v>1</v>
      </c>
      <c r="M22" s="14" t="s">
        <v>73</v>
      </c>
      <c r="N22" s="15">
        <v>1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abSelected="1" workbookViewId="0">
      <selection activeCell="B17" sqref="B17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  <c r="B1" s="83" t="s">
        <v>292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>
        <v>1</v>
      </c>
      <c r="C3" t="s">
        <v>159</v>
      </c>
    </row>
    <row r="4" spans="1:8" x14ac:dyDescent="0.25">
      <c r="A4" s="40" t="s">
        <v>197</v>
      </c>
      <c r="B4" s="15">
        <v>3</v>
      </c>
      <c r="C4" t="s">
        <v>155</v>
      </c>
    </row>
    <row r="5" spans="1:8" x14ac:dyDescent="0.25">
      <c r="A5" s="40" t="s">
        <v>28</v>
      </c>
      <c r="B5" s="15">
        <v>5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293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294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295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296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0</v>
      </c>
    </row>
    <row r="15" spans="1:8" x14ac:dyDescent="0.25">
      <c r="A15" s="40" t="s">
        <v>273</v>
      </c>
      <c r="B15" s="15"/>
    </row>
    <row r="17" spans="1:9" x14ac:dyDescent="0.25">
      <c r="A17" t="s">
        <v>108</v>
      </c>
      <c r="B17" s="83" t="s">
        <v>304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>
        <v>1</v>
      </c>
      <c r="C19" t="s">
        <v>159</v>
      </c>
    </row>
    <row r="20" spans="1:9" x14ac:dyDescent="0.25">
      <c r="A20" s="40" t="s">
        <v>197</v>
      </c>
      <c r="B20" s="15">
        <v>4</v>
      </c>
      <c r="C20" t="s">
        <v>155</v>
      </c>
    </row>
    <row r="21" spans="1:9" x14ac:dyDescent="0.25">
      <c r="A21" s="40" t="s">
        <v>28</v>
      </c>
      <c r="B21" s="15">
        <v>6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297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298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299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300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be-t-be</cp:lastModifiedBy>
  <cp:revision/>
  <dcterms:created xsi:type="dcterms:W3CDTF">2021-04-29T10:54:44Z</dcterms:created>
  <dcterms:modified xsi:type="dcterms:W3CDTF">2023-09-23T14:42:55Z</dcterms:modified>
  <cp:category/>
  <cp:contentStatus/>
</cp:coreProperties>
</file>