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Volumes/Secondary/repos/neat/data/source-graphs/"/>
    </mc:Choice>
  </mc:AlternateContent>
  <xr:revisionPtr revIDLastSave="0" documentId="13_ncr:1_{7DA1C9B9-CC09-BD4C-AEF3-E0045FACB3B1}" xr6:coauthVersionLast="47" xr6:coauthVersionMax="47" xr10:uidLastSave="{00000000-0000-0000-0000-000000000000}"/>
  <bookViews>
    <workbookView xWindow="3560" yWindow="1120" windowWidth="35060" windowHeight="20580" xr2:uid="{00000000-000D-0000-FFFF-FFFF00000000}"/>
  </bookViews>
  <sheets>
    <sheet name="ConceptScheme" sheetId="2" r:id="rId1"/>
    <sheet name="Concep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0" i="1" l="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2" i="1"/>
  <c r="A3" i="1"/>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alcChain>
</file>

<file path=xl/sharedStrings.xml><?xml version="1.0" encoding="utf-8"?>
<sst xmlns="http://schemas.openxmlformats.org/spreadsheetml/2006/main" count="221" uniqueCount="161">
  <si>
    <t>identifier</t>
  </si>
  <si>
    <t>prefLabel</t>
  </si>
  <si>
    <t>definition</t>
  </si>
  <si>
    <t>altLabel</t>
  </si>
  <si>
    <t>inScheme</t>
  </si>
  <si>
    <t>topConceptOf</t>
  </si>
  <si>
    <t>broader</t>
  </si>
  <si>
    <t>narrower</t>
  </si>
  <si>
    <t>related</t>
  </si>
  <si>
    <t>closeMatch</t>
  </si>
  <si>
    <t>exactMatch</t>
  </si>
  <si>
    <t>relatedMatch</t>
  </si>
  <si>
    <t>hasTopConcept</t>
  </si>
  <si>
    <t>description</t>
  </si>
  <si>
    <t>title</t>
  </si>
  <si>
    <t>created</t>
  </si>
  <si>
    <t>modified</t>
  </si>
  <si>
    <t>hasVersion</t>
  </si>
  <si>
    <t>creator</t>
  </si>
  <si>
    <t>contributor</t>
  </si>
  <si>
    <t>license</t>
  </si>
  <si>
    <t>rights</t>
  </si>
  <si>
    <t>Economics</t>
  </si>
  <si>
    <t>Business Models</t>
  </si>
  <si>
    <t>Levelized Cost of Energy Models</t>
  </si>
  <si>
    <t>Project Finance</t>
  </si>
  <si>
    <t>Market Models</t>
  </si>
  <si>
    <t>Support Schemes</t>
  </si>
  <si>
    <t>Operation &amp; Maintenance</t>
  </si>
  <si>
    <t>Commissioning</t>
  </si>
  <si>
    <t>Decommissioning</t>
  </si>
  <si>
    <t>End-of-Life Extension</t>
  </si>
  <si>
    <t>Re-Certification</t>
  </si>
  <si>
    <t>Recycling</t>
  </si>
  <si>
    <t>Repowering</t>
  </si>
  <si>
    <t>Revamping</t>
  </si>
  <si>
    <t>Forecasting</t>
  </si>
  <si>
    <t>Health &amp; Safety</t>
  </si>
  <si>
    <t>Installation</t>
  </si>
  <si>
    <t>Maintenance Scheduling</t>
  </si>
  <si>
    <t>Siting</t>
  </si>
  <si>
    <t>Design Conditions</t>
  </si>
  <si>
    <t>Turbulence</t>
  </si>
  <si>
    <t>Infrastructures</t>
  </si>
  <si>
    <t>Long-Term Extrapolation</t>
  </si>
  <si>
    <t>Resource Assessment</t>
  </si>
  <si>
    <t>Spatial Planning</t>
  </si>
  <si>
    <t>Enviromental Impact</t>
  </si>
  <si>
    <t>Nature Impacts</t>
  </si>
  <si>
    <t>Noise Perception</t>
  </si>
  <si>
    <t>Social Acceptance</t>
  </si>
  <si>
    <t>Legal Aspects</t>
  </si>
  <si>
    <t>Wind Atlas</t>
  </si>
  <si>
    <t>Wind Mapping</t>
  </si>
  <si>
    <t>Wind Power Plant</t>
  </si>
  <si>
    <t>Ancillary Services</t>
  </si>
  <si>
    <t>Grid Connection</t>
  </si>
  <si>
    <t>Array Cables</t>
  </si>
  <si>
    <t>Substation</t>
  </si>
  <si>
    <t>Transmission System</t>
  </si>
  <si>
    <t>Loads</t>
  </si>
  <si>
    <t>Performance</t>
  </si>
  <si>
    <t>Wind Farm</t>
  </si>
  <si>
    <t>Wakes</t>
  </si>
  <si>
    <t>Wind Farm Control</t>
  </si>
  <si>
    <t>Wind Turbine</t>
  </si>
  <si>
    <t>Concept Design</t>
  </si>
  <si>
    <t>Aerial</t>
  </si>
  <si>
    <t>Horizontal Axis</t>
  </si>
  <si>
    <t>Mono-Multi Rotor</t>
  </si>
  <si>
    <t>Vertical Axis</t>
  </si>
  <si>
    <t>Controls</t>
  </si>
  <si>
    <t>Black-Box</t>
  </si>
  <si>
    <t>Nacelle</t>
  </si>
  <si>
    <t>Cooling</t>
  </si>
  <si>
    <t>Gearbox</t>
  </si>
  <si>
    <t>Generator</t>
  </si>
  <si>
    <t>Main Shaft</t>
  </si>
  <si>
    <t>Power Electronics</t>
  </si>
  <si>
    <t>Turbine Control</t>
  </si>
  <si>
    <t>Rotor</t>
  </si>
  <si>
    <t>Blades</t>
  </si>
  <si>
    <t>Hub</t>
  </si>
  <si>
    <t>Support Structure</t>
  </si>
  <si>
    <t>Floating</t>
  </si>
  <si>
    <t>Foundation</t>
  </si>
  <si>
    <t>Mooring Lines</t>
  </si>
  <si>
    <t>Substructure</t>
  </si>
  <si>
    <t>Tower</t>
  </si>
  <si>
    <t>Tubular</t>
  </si>
  <si>
    <t>Lattice</t>
  </si>
  <si>
    <t>A conceptual structure that supports the viability of wind energy projects and details how they operate to create profit.</t>
  </si>
  <si>
    <t>An expression of the production cost of each unit of electricity generated over the working life of the plant taking into account wind farm development costs, capital investment, financial costs and lifetime running costs.</t>
  </si>
  <si>
    <t>Combination of all technical and management actions intended to retain an item in, or restore it to, a state in which it can perform as required.</t>
  </si>
  <si>
    <t>Activities undertaken to prepare a system or product prior to demonstrating that it meets its specified requirements.</t>
  </si>
  <si>
    <t>Administrative and technical actions taken to allow the removal of some or all of the regulatory controls from a facility</t>
  </si>
  <si>
    <t>When the life cycle stage of a product instead of end is extended for a certain period.</t>
  </si>
  <si>
    <t>Wind turbines are dismantled and new wind turbines are installed in a brownfield and/or greenfield site.</t>
  </si>
  <si>
    <t>An act of upgrading certain components of a wind turbine to extend the overall life time of the turbine (e.g. generator). The overall external layout of the farm remains unchanged (e.g. hub height, siting, size). Revamping differs from a normal operation and maintenance activities. New technology is installed or components are replaced instead of the initial equipment of the turbine.</t>
  </si>
  <si>
    <t>An estimate of the expected parameter from a system at a given future date.</t>
  </si>
  <si>
    <t>An apparatus or a set of devices and/or apparatuses associated in a given location to fulfil specified purposes, including all means for their satisfactory operation</t>
  </si>
  <si>
    <t>A maintenance carried out in accordance with a specified schedule, which can identify the need for some corrective maintenance action.</t>
  </si>
  <si>
    <t>A process of evaluating a number of factor before deciding to pursue development of a new wind farm project. These factors include: wind resource and compatibility of land/area, environmental impacts and community input (i.e., social acceptance)</t>
  </si>
  <si>
    <t>A possible mode of wind turbine operation, e.g. power production, parking etc.</t>
  </si>
  <si>
    <t>Random variations in velocity within a liquid or gaseous medium which may induce heterogeneous values of certain characteristics of the medium, such as refractive index.</t>
  </si>
  <si>
    <t>Long-term extrapolation involves making statistical forecasts by using historical trends that are projected for a specified period of time into the future.This type of extrapolation is only used for time-series forecasts.</t>
  </si>
  <si>
    <t>An estimate of the total energy production of a wind turbine generator system during a one-year period by applying the power curve to different reference wind speed frequency distributions at hub height, assuming 100% availability.</t>
  </si>
  <si>
    <t>A change to the environment, whether adverse or beneficial, wholly or partly resulting from environmental aspects.</t>
  </si>
  <si>
    <t>Individual perception of the acoustic noise level produced by a machine under specified conditions of operation and measurement.</t>
  </si>
  <si>
    <t>A wind atlas is a systematic and comprehensive collection of generalized wind climates derived by the wind atlas methodology.</t>
  </si>
  <si>
    <t>A process of visualizing spatial variation of wind speed over geographic areas to help choosing prospective development areas for wind turbines installation.</t>
  </si>
  <si>
    <t>A power station comprising a group or groups of wind turbines.</t>
  </si>
  <si>
    <t>Services necessary for the operation of an electric power system provided by the system operator and/or by power system users.</t>
  </si>
  <si>
    <t>A connection to an electric power network.</t>
  </si>
  <si>
    <t>A part of a power system, concentrated in a given place, including mainly the terminations of transmission or distribution lines switchgear and housing and which may also include transformers. It generally includes facilities necessary for system security and control (e.g. the protective devices).</t>
  </si>
  <si>
    <t>Whole of the means of transmission, comprising the transmission medium, terminal equipment, any necessary intermediate equipment and any equipment provided for such ancillary purposes as power feeding, supervision and testing.</t>
  </si>
  <si>
    <t>A combination of design situations and external conditions which result in a structural loading.</t>
  </si>
  <si>
    <t>A group of wind turbine generator jointly operated.</t>
  </si>
  <si>
    <t>A region behind the wind turbine with reduced wind speed and increased turbulence due to the extraction of energy from the wind when the flow pass through the rotor.</t>
  </si>
  <si>
    <t>A sub‑system that receives information about the condition of the wind farm and/or its environment and adjusts the turbines in order to operate them within their operating limits.</t>
  </si>
  <si>
    <t>A rotating machinery in which the kinetic wind energy is transformed into another form of energy.</t>
  </si>
  <si>
    <t>An activity applied in order to analyse and transform specified requirements into acceptable design solutions.</t>
  </si>
  <si>
    <t>An aerial wind turbine is a design concept for a wind turbine with a rotor supported in the air without a tower, thus benefiting from more mechanical and aerodynamic options, the higher velocity and persistence of wind at high altitudes.</t>
  </si>
  <si>
    <t>A wind turbine which rotor axis is horizontal.</t>
  </si>
  <si>
    <t>A wind turbine with one or more rotors, independent on the number of blades.</t>
  </si>
  <si>
    <t>A wind turbine which rotor axis is vertical.</t>
  </si>
  <si>
    <t>A purposeful action on or in a process to meet specified objectives.</t>
  </si>
  <si>
    <t>A housing which contains the drive‑train and other elements on top of a horizontal axis wind turbine tower.</t>
  </si>
  <si>
    <t>A procedure by means of which heat resulting from losses occurring in a machine is given up to a primary coolant which may be continuously replaced or may itself be cooled by a secondary coolant in a heat exchanger.</t>
  </si>
  <si>
    <t>A protective casing providing a reservoir of oil or grease for the gearing.</t>
  </si>
  <si>
    <t>A machine which converts mechanical energy into electrical energy.</t>
  </si>
  <si>
    <t>A field of electronics which deals with the conversion or switching of electric power with or without control of that power.</t>
  </si>
  <si>
    <t>A wind turbine sub‑system that receives information about the condition of the wind turbine and/or its environment and adjusts the turbine in order to operate it within its operating limits.</t>
  </si>
  <si>
    <t>One of the main part of a wind turbine</t>
  </si>
  <si>
    <t>Components of a wind turbine that harness wind energy and drive the rotor of a wind turbine.</t>
  </si>
  <si>
    <t>A fixture for attaching the blades or blade assembly to the rotor shaft.</t>
  </si>
  <si>
    <t>A part of a wind turbine comprising the tower and foundation.</t>
  </si>
  <si>
    <t>A structure set in the ground, to which the base of a support is attached to provide the necessary anchorage to withstand all applied loads.</t>
  </si>
  <si>
    <t>A support which may be made of such material as steel, wood, concrete, and comprising a body which is normally four-sided, and cross-arms.</t>
  </si>
  <si>
    <t>A structure of a tower having the form or shape of a tube slightly conical (i.e. with their diameter increasing towards the base) in order to increase their strength and to save materials at the same time.</t>
  </si>
  <si>
    <t>A structure consisting of strips of wood or metal crossed and fastened together with square-shaped spaces left between, used as a support for climbing plants.</t>
  </si>
  <si>
    <t>Wind Energy Taxonomy of Topics</t>
  </si>
  <si>
    <t>0.1</t>
  </si>
  <si>
    <t>Nikola Vasiljeivc</t>
  </si>
  <si>
    <t>CC-BY 4.0</t>
  </si>
  <si>
    <t>Free to use</t>
  </si>
  <si>
    <t>A taxonomical organization of research topics in wind energy which follows a typical lifecycle of wind farm development.</t>
  </si>
  <si>
    <t>TaxonomyOfWindEnergyTopics</t>
  </si>
  <si>
    <t>OperationMaintenance</t>
  </si>
  <si>
    <t>WindPowerPlant</t>
  </si>
  <si>
    <t>EndofLifeExtension</t>
  </si>
  <si>
    <t>DesignConditions</t>
  </si>
  <si>
    <t>SpatialPlanning</t>
  </si>
  <si>
    <t>EnviromentalImpact</t>
  </si>
  <si>
    <t>GridConnection</t>
  </si>
  <si>
    <t>WindFarm</t>
  </si>
  <si>
    <t>WindTurbine</t>
  </si>
  <si>
    <t>ConceptDesign</t>
  </si>
  <si>
    <t>SupportStructure</t>
  </si>
  <si>
    <t>Taxonomy of Topics</t>
  </si>
  <si>
    <t>Economics, WindPowerPlant, Siting, OperationMaintenance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</si>
</sst>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name val="Calibri"/>
      <family val="2"/>
    </font>
    <font>
      <b/>
      <sz val="12"/>
      <color theme="1"/>
      <name val="Calibri"/>
      <family val="2"/>
      <scheme val="minor"/>
    </font>
    <font>
      <sz val="12"/>
      <color theme="1"/>
      <name val="Helvetica Neue"/>
      <family val="2"/>
    </font>
  </fonts>
  <fills count="5">
    <fill>
      <patternFill patternType="none"/>
    </fill>
    <fill>
      <patternFill patternType="gray125"/>
    </fill>
    <fill>
      <patternFill patternType="solid">
        <fgColor rgb="FF2FB5F2"/>
      </patternFill>
    </fill>
    <fill>
      <patternFill patternType="solid">
        <fgColor rgb="FFFFB202"/>
      </patternFill>
    </fill>
    <fill>
      <patternFill patternType="solid">
        <fgColor theme="6"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1"/>
  </cellStyleXfs>
  <cellXfs count="10">
    <xf numFmtId="0" fontId="0" fillId="0" borderId="0" xfId="0"/>
    <xf numFmtId="0" fontId="1" fillId="2" borderId="1" xfId="1" applyFill="1" applyAlignment="1">
      <alignment horizontal="center" vertical="center"/>
    </xf>
    <xf numFmtId="0" fontId="1" fillId="3" borderId="1" xfId="1" applyFill="1" applyAlignment="1">
      <alignment horizontal="center" vertical="center"/>
    </xf>
    <xf numFmtId="14" fontId="0" fillId="0" borderId="0" xfId="0" applyNumberFormat="1"/>
    <xf numFmtId="0" fontId="3" fillId="0" borderId="0" xfId="0" applyFont="1" applyAlignment="1">
      <alignment wrapText="1"/>
    </xf>
    <xf numFmtId="0" fontId="0" fillId="0" borderId="0" xfId="0" applyAlignment="1">
      <alignment wrapText="1"/>
    </xf>
    <xf numFmtId="0" fontId="0" fillId="4" borderId="0" xfId="0" applyFill="1"/>
    <xf numFmtId="0" fontId="3" fillId="4" borderId="0" xfId="0" applyFont="1" applyFill="1" applyAlignment="1">
      <alignment wrapText="1"/>
    </xf>
    <xf numFmtId="0" fontId="2" fillId="4" borderId="0" xfId="0" applyFont="1" applyFill="1"/>
    <xf numFmtId="0" fontId="2" fillId="0" borderId="0" xfId="0" applyFont="1"/>
  </cellXfs>
  <cellStyles count="2">
    <cellStyle name="header style" xfId="1" xr:uid="{00000000-0005-0000-0000-00000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tabSelected="1" zoomScale="150" workbookViewId="0">
      <selection activeCell="E9" sqref="E9"/>
    </sheetView>
  </sheetViews>
  <sheetFormatPr baseColWidth="10" defaultColWidth="8.83203125" defaultRowHeight="15" x14ac:dyDescent="0.2"/>
  <cols>
    <col min="1" max="1" width="25" bestFit="1" customWidth="1"/>
    <col min="2" max="2" width="29.33203125" customWidth="1"/>
    <col min="3" max="3" width="19.1640625" customWidth="1"/>
    <col min="4" max="5" width="26.1640625" bestFit="1" customWidth="1"/>
    <col min="6" max="6" width="14.33203125" customWidth="1"/>
    <col min="7" max="7" width="15.6640625" customWidth="1"/>
    <col min="8" max="8" width="18" customWidth="1"/>
    <col min="9" max="9" width="14.33203125" customWidth="1"/>
    <col min="10" max="10" width="19.1640625" customWidth="1"/>
    <col min="11" max="11" width="14.33203125" customWidth="1"/>
    <col min="12" max="12" width="13.1640625" customWidth="1"/>
  </cols>
  <sheetData>
    <row r="1" spans="1:12" ht="21" x14ac:dyDescent="0.2">
      <c r="A1" s="1" t="s">
        <v>0</v>
      </c>
      <c r="B1" s="2" t="s">
        <v>12</v>
      </c>
      <c r="C1" s="2" t="s">
        <v>13</v>
      </c>
      <c r="D1" s="2" t="s">
        <v>1</v>
      </c>
      <c r="E1" s="2" t="s">
        <v>14</v>
      </c>
      <c r="F1" s="2" t="s">
        <v>15</v>
      </c>
      <c r="G1" s="2" t="s">
        <v>16</v>
      </c>
      <c r="H1" s="2" t="s">
        <v>17</v>
      </c>
      <c r="I1" s="2" t="s">
        <v>18</v>
      </c>
      <c r="J1" s="2" t="s">
        <v>19</v>
      </c>
      <c r="K1" s="2" t="s">
        <v>20</v>
      </c>
      <c r="L1" s="2" t="s">
        <v>21</v>
      </c>
    </row>
    <row r="2" spans="1:12" ht="74" customHeight="1" x14ac:dyDescent="0.2">
      <c r="A2" t="s">
        <v>147</v>
      </c>
      <c r="B2" s="5" t="s">
        <v>160</v>
      </c>
      <c r="C2" t="s">
        <v>146</v>
      </c>
      <c r="D2" t="s">
        <v>159</v>
      </c>
      <c r="E2" t="s">
        <v>141</v>
      </c>
      <c r="F2" s="3">
        <v>44166</v>
      </c>
      <c r="G2" s="3">
        <v>44166</v>
      </c>
      <c r="H2" t="s">
        <v>142</v>
      </c>
      <c r="I2" t="s">
        <v>143</v>
      </c>
      <c r="K2" t="s">
        <v>144</v>
      </c>
      <c r="L2" t="s">
        <v>145</v>
      </c>
    </row>
    <row r="3" spans="1:12" x14ac:dyDescent="0.2">
      <c r="A3" t="str">
        <f>IF(ISBLANK(B3), "","ConceptScheme-2")</f>
        <v/>
      </c>
    </row>
    <row r="4" spans="1:12" x14ac:dyDescent="0.2">
      <c r="A4" t="str">
        <f>IF(ISBLANK(B4), "","ConceptScheme-3")</f>
        <v/>
      </c>
    </row>
    <row r="5" spans="1:12" x14ac:dyDescent="0.2">
      <c r="A5" t="str">
        <f>IF(ISBLANK(B5), "","ConceptScheme-4")</f>
        <v/>
      </c>
    </row>
    <row r="6" spans="1:12" x14ac:dyDescent="0.2">
      <c r="A6" t="str">
        <f>IF(ISBLANK(B6), "","ConceptScheme-5")</f>
        <v/>
      </c>
    </row>
    <row r="7" spans="1:12" x14ac:dyDescent="0.2">
      <c r="A7" t="str">
        <f>IF(ISBLANK(B7), "","ConceptScheme-6")</f>
        <v/>
      </c>
    </row>
    <row r="8" spans="1:12" x14ac:dyDescent="0.2">
      <c r="A8" t="str">
        <f>IF(ISBLANK(B8), "","ConceptScheme-7")</f>
        <v/>
      </c>
    </row>
    <row r="9" spans="1:12" x14ac:dyDescent="0.2">
      <c r="A9" t="str">
        <f>IF(ISBLANK(B9), "","ConceptScheme-8")</f>
        <v/>
      </c>
    </row>
    <row r="10" spans="1:12" x14ac:dyDescent="0.2">
      <c r="A10" t="str">
        <f>IF(ISBLANK(B10), "","ConceptScheme-9")</f>
        <v/>
      </c>
    </row>
    <row r="11" spans="1:12" x14ac:dyDescent="0.2">
      <c r="A11" t="str">
        <f>IF(ISBLANK(B11), "","ConceptScheme-10")</f>
        <v/>
      </c>
    </row>
    <row r="12" spans="1:12" x14ac:dyDescent="0.2">
      <c r="A12" t="str">
        <f>IF(ISBLANK(B12), "","ConceptScheme-11")</f>
        <v/>
      </c>
    </row>
    <row r="13" spans="1:12" x14ac:dyDescent="0.2">
      <c r="A13" t="str">
        <f>IF(ISBLANK(B13), "","ConceptScheme-12")</f>
        <v/>
      </c>
    </row>
    <row r="14" spans="1:12" x14ac:dyDescent="0.2">
      <c r="A14" t="str">
        <f>IF(ISBLANK(B14), "","ConceptScheme-13")</f>
        <v/>
      </c>
    </row>
    <row r="15" spans="1:12" x14ac:dyDescent="0.2">
      <c r="A15" t="str">
        <f>IF(ISBLANK(B15), "","ConceptScheme-14")</f>
        <v/>
      </c>
    </row>
    <row r="16" spans="1:12" x14ac:dyDescent="0.2">
      <c r="A16" t="str">
        <f>IF(ISBLANK(B16), "","ConceptScheme-15")</f>
        <v/>
      </c>
    </row>
    <row r="17" spans="1:1" x14ac:dyDescent="0.2">
      <c r="A17" t="str">
        <f>IF(ISBLANK(B17), "","ConceptScheme-16")</f>
        <v/>
      </c>
    </row>
    <row r="18" spans="1:1" x14ac:dyDescent="0.2">
      <c r="A18" t="str">
        <f>IF(ISBLANK(B18), "","ConceptScheme-17")</f>
        <v/>
      </c>
    </row>
    <row r="19" spans="1:1" x14ac:dyDescent="0.2">
      <c r="A19" t="str">
        <f>IF(ISBLANK(B19), "","ConceptScheme-18")</f>
        <v/>
      </c>
    </row>
    <row r="20" spans="1:1" x14ac:dyDescent="0.2">
      <c r="A20" t="str">
        <f>IF(ISBLANK(B20), "","ConceptScheme-19")</f>
        <v/>
      </c>
    </row>
    <row r="21" spans="1:1" x14ac:dyDescent="0.2">
      <c r="A21" t="str">
        <f>IF(ISBLANK(B21), "","ConceptScheme-20")</f>
        <v/>
      </c>
    </row>
    <row r="22" spans="1:1" x14ac:dyDescent="0.2">
      <c r="A22" t="str">
        <f>IF(ISBLANK(B22), "","ConceptScheme-21")</f>
        <v/>
      </c>
    </row>
    <row r="23" spans="1:1" x14ac:dyDescent="0.2">
      <c r="A23" t="str">
        <f>IF(ISBLANK(B23), "","ConceptScheme-22")</f>
        <v/>
      </c>
    </row>
    <row r="24" spans="1:1" x14ac:dyDescent="0.2">
      <c r="A24" t="str">
        <f>IF(ISBLANK(B24), "","ConceptScheme-23")</f>
        <v/>
      </c>
    </row>
    <row r="25" spans="1:1" x14ac:dyDescent="0.2">
      <c r="A25" t="str">
        <f>IF(ISBLANK(B25), "","ConceptScheme-24")</f>
        <v/>
      </c>
    </row>
    <row r="26" spans="1:1" x14ac:dyDescent="0.2">
      <c r="A26" t="str">
        <f>IF(ISBLANK(B26), "","ConceptScheme-25")</f>
        <v/>
      </c>
    </row>
    <row r="27" spans="1:1" x14ac:dyDescent="0.2">
      <c r="A27" t="str">
        <f>IF(ISBLANK(B27), "","ConceptScheme-26")</f>
        <v/>
      </c>
    </row>
    <row r="28" spans="1:1" x14ac:dyDescent="0.2">
      <c r="A28" t="str">
        <f>IF(ISBLANK(B28), "","ConceptScheme-27")</f>
        <v/>
      </c>
    </row>
    <row r="29" spans="1:1" x14ac:dyDescent="0.2">
      <c r="A29" t="str">
        <f>IF(ISBLANK(B29), "","ConceptScheme-28")</f>
        <v/>
      </c>
    </row>
    <row r="30" spans="1:1" x14ac:dyDescent="0.2">
      <c r="A30" t="str">
        <f>IF(ISBLANK(B30), "","ConceptScheme-29")</f>
        <v/>
      </c>
    </row>
    <row r="31" spans="1:1" x14ac:dyDescent="0.2">
      <c r="A31" t="str">
        <f>IF(ISBLANK(B31), "","ConceptScheme-30")</f>
        <v/>
      </c>
    </row>
    <row r="32" spans="1:1" x14ac:dyDescent="0.2">
      <c r="A32" t="str">
        <f>IF(ISBLANK(B32), "","ConceptScheme-31")</f>
        <v/>
      </c>
    </row>
    <row r="33" spans="1:1" x14ac:dyDescent="0.2">
      <c r="A33" t="str">
        <f>IF(ISBLANK(B33), "","ConceptScheme-32")</f>
        <v/>
      </c>
    </row>
    <row r="34" spans="1:1" x14ac:dyDescent="0.2">
      <c r="A34" t="str">
        <f>IF(ISBLANK(B34), "","ConceptScheme-33")</f>
        <v/>
      </c>
    </row>
    <row r="35" spans="1:1" x14ac:dyDescent="0.2">
      <c r="A35" t="str">
        <f>IF(ISBLANK(B35), "","ConceptScheme-34")</f>
        <v/>
      </c>
    </row>
    <row r="36" spans="1:1" x14ac:dyDescent="0.2">
      <c r="A36" t="str">
        <f>IF(ISBLANK(B36), "","ConceptScheme-35")</f>
        <v/>
      </c>
    </row>
    <row r="37" spans="1:1" x14ac:dyDescent="0.2">
      <c r="A37" t="str">
        <f>IF(ISBLANK(B37), "","ConceptScheme-36")</f>
        <v/>
      </c>
    </row>
    <row r="38" spans="1:1" x14ac:dyDescent="0.2">
      <c r="A38" t="str">
        <f>IF(ISBLANK(B38), "","ConceptScheme-37")</f>
        <v/>
      </c>
    </row>
    <row r="39" spans="1:1" x14ac:dyDescent="0.2">
      <c r="A39" t="str">
        <f>IF(ISBLANK(B39), "","ConceptScheme-38")</f>
        <v/>
      </c>
    </row>
    <row r="40" spans="1:1" x14ac:dyDescent="0.2">
      <c r="A40" t="str">
        <f>IF(ISBLANK(B40), "","ConceptScheme-39")</f>
        <v/>
      </c>
    </row>
    <row r="41" spans="1:1" x14ac:dyDescent="0.2">
      <c r="A41" t="str">
        <f>IF(ISBLANK(B41), "","ConceptScheme-40")</f>
        <v/>
      </c>
    </row>
    <row r="42" spans="1:1" x14ac:dyDescent="0.2">
      <c r="A42" t="str">
        <f>IF(ISBLANK(B42), "","ConceptScheme-41")</f>
        <v/>
      </c>
    </row>
    <row r="43" spans="1:1" x14ac:dyDescent="0.2">
      <c r="A43" t="str">
        <f>IF(ISBLANK(B43), "","ConceptScheme-42")</f>
        <v/>
      </c>
    </row>
    <row r="44" spans="1:1" x14ac:dyDescent="0.2">
      <c r="A44" t="str">
        <f>IF(ISBLANK(B44), "","ConceptScheme-43")</f>
        <v/>
      </c>
    </row>
    <row r="45" spans="1:1" x14ac:dyDescent="0.2">
      <c r="A45" t="str">
        <f>IF(ISBLANK(B45), "","ConceptScheme-44")</f>
        <v/>
      </c>
    </row>
    <row r="46" spans="1:1" x14ac:dyDescent="0.2">
      <c r="A46" t="str">
        <f>IF(ISBLANK(B46), "","ConceptScheme-45")</f>
        <v/>
      </c>
    </row>
    <row r="47" spans="1:1" x14ac:dyDescent="0.2">
      <c r="A47" t="str">
        <f>IF(ISBLANK(B47), "","ConceptScheme-46")</f>
        <v/>
      </c>
    </row>
    <row r="48" spans="1:1" x14ac:dyDescent="0.2">
      <c r="A48" t="str">
        <f>IF(ISBLANK(B48), "","ConceptScheme-47")</f>
        <v/>
      </c>
    </row>
    <row r="49" spans="1:1" x14ac:dyDescent="0.2">
      <c r="A49" t="str">
        <f>IF(ISBLANK(B49), "","ConceptScheme-48")</f>
        <v/>
      </c>
    </row>
    <row r="50" spans="1:1" x14ac:dyDescent="0.2">
      <c r="A50" t="str">
        <f>IF(ISBLANK(B50), "","ConceptScheme-49")</f>
        <v/>
      </c>
    </row>
    <row r="51" spans="1:1" x14ac:dyDescent="0.2">
      <c r="A51" t="str">
        <f>IF(ISBLANK(B51), "","ConceptScheme-50")</f>
        <v/>
      </c>
    </row>
    <row r="52" spans="1:1" x14ac:dyDescent="0.2">
      <c r="A52" t="str">
        <f>IF(ISBLANK(B52), "","ConceptScheme-51")</f>
        <v/>
      </c>
    </row>
    <row r="53" spans="1:1" x14ac:dyDescent="0.2">
      <c r="A53" t="str">
        <f>IF(ISBLANK(B53), "","ConceptScheme-52")</f>
        <v/>
      </c>
    </row>
    <row r="54" spans="1:1" x14ac:dyDescent="0.2">
      <c r="A54" t="str">
        <f>IF(ISBLANK(B54), "","ConceptScheme-53")</f>
        <v/>
      </c>
    </row>
    <row r="55" spans="1:1" x14ac:dyDescent="0.2">
      <c r="A55" t="str">
        <f>IF(ISBLANK(B55), "","ConceptScheme-54")</f>
        <v/>
      </c>
    </row>
    <row r="56" spans="1:1" x14ac:dyDescent="0.2">
      <c r="A56" t="str">
        <f>IF(ISBLANK(B56), "","ConceptScheme-55")</f>
        <v/>
      </c>
    </row>
    <row r="57" spans="1:1" x14ac:dyDescent="0.2">
      <c r="A57" t="str">
        <f>IF(ISBLANK(B57), "","ConceptScheme-56")</f>
        <v/>
      </c>
    </row>
    <row r="58" spans="1:1" x14ac:dyDescent="0.2">
      <c r="A58" t="str">
        <f>IF(ISBLANK(B58), "","ConceptScheme-57")</f>
        <v/>
      </c>
    </row>
    <row r="59" spans="1:1" x14ac:dyDescent="0.2">
      <c r="A59" t="str">
        <f>IF(ISBLANK(B59), "","ConceptScheme-58")</f>
        <v/>
      </c>
    </row>
    <row r="60" spans="1:1" x14ac:dyDescent="0.2">
      <c r="A60" t="str">
        <f>IF(ISBLANK(B60), "","ConceptScheme-59")</f>
        <v/>
      </c>
    </row>
    <row r="61" spans="1:1" x14ac:dyDescent="0.2">
      <c r="A61" t="str">
        <f>IF(ISBLANK(B61), "","ConceptScheme-60")</f>
        <v/>
      </c>
    </row>
    <row r="62" spans="1:1" x14ac:dyDescent="0.2">
      <c r="A62" t="str">
        <f>IF(ISBLANK(B62), "","ConceptScheme-61")</f>
        <v/>
      </c>
    </row>
    <row r="63" spans="1:1" x14ac:dyDescent="0.2">
      <c r="A63" t="str">
        <f>IF(ISBLANK(B63), "","ConceptScheme-62")</f>
        <v/>
      </c>
    </row>
    <row r="64" spans="1:1" x14ac:dyDescent="0.2">
      <c r="A64" t="str">
        <f>IF(ISBLANK(B64), "","ConceptScheme-63")</f>
        <v/>
      </c>
    </row>
    <row r="65" spans="1:1" x14ac:dyDescent="0.2">
      <c r="A65" t="str">
        <f>IF(ISBLANK(B65), "","ConceptScheme-64")</f>
        <v/>
      </c>
    </row>
    <row r="66" spans="1:1" x14ac:dyDescent="0.2">
      <c r="A66" t="str">
        <f>IF(ISBLANK(B66), "","ConceptScheme-65")</f>
        <v/>
      </c>
    </row>
    <row r="67" spans="1:1" x14ac:dyDescent="0.2">
      <c r="A67" t="str">
        <f>IF(ISBLANK(B67), "","ConceptScheme-66")</f>
        <v/>
      </c>
    </row>
    <row r="68" spans="1:1" x14ac:dyDescent="0.2">
      <c r="A68" t="str">
        <f>IF(ISBLANK(B68), "","ConceptScheme-67")</f>
        <v/>
      </c>
    </row>
    <row r="69" spans="1:1" x14ac:dyDescent="0.2">
      <c r="A69" t="str">
        <f>IF(ISBLANK(B69), "","ConceptScheme-68")</f>
        <v/>
      </c>
    </row>
    <row r="70" spans="1:1" x14ac:dyDescent="0.2">
      <c r="A70" t="str">
        <f>IF(ISBLANK(B70), "","ConceptScheme-69")</f>
        <v/>
      </c>
    </row>
    <row r="71" spans="1:1" x14ac:dyDescent="0.2">
      <c r="A71" t="str">
        <f>IF(ISBLANK(B71), "","ConceptScheme-70")</f>
        <v/>
      </c>
    </row>
    <row r="72" spans="1:1" x14ac:dyDescent="0.2">
      <c r="A72" t="str">
        <f>IF(ISBLANK(B72), "","ConceptScheme-71")</f>
        <v/>
      </c>
    </row>
    <row r="73" spans="1:1" x14ac:dyDescent="0.2">
      <c r="A73" t="str">
        <f>IF(ISBLANK(B73), "","ConceptScheme-72")</f>
        <v/>
      </c>
    </row>
    <row r="74" spans="1:1" x14ac:dyDescent="0.2">
      <c r="A74" t="str">
        <f>IF(ISBLANK(B74), "","ConceptScheme-73")</f>
        <v/>
      </c>
    </row>
    <row r="75" spans="1:1" x14ac:dyDescent="0.2">
      <c r="A75" t="str">
        <f>IF(ISBLANK(B75), "","ConceptScheme-74")</f>
        <v/>
      </c>
    </row>
    <row r="76" spans="1:1" x14ac:dyDescent="0.2">
      <c r="A76" t="str">
        <f>IF(ISBLANK(B76), "","ConceptScheme-75")</f>
        <v/>
      </c>
    </row>
    <row r="77" spans="1:1" x14ac:dyDescent="0.2">
      <c r="A77" t="str">
        <f>IF(ISBLANK(B77), "","ConceptScheme-76")</f>
        <v/>
      </c>
    </row>
    <row r="78" spans="1:1" x14ac:dyDescent="0.2">
      <c r="A78" t="str">
        <f>IF(ISBLANK(B78), "","ConceptScheme-77")</f>
        <v/>
      </c>
    </row>
    <row r="79" spans="1:1" x14ac:dyDescent="0.2">
      <c r="A79" t="str">
        <f>IF(ISBLANK(B79), "","ConceptScheme-78")</f>
        <v/>
      </c>
    </row>
    <row r="80" spans="1:1" x14ac:dyDescent="0.2">
      <c r="A80" t="str">
        <f>IF(ISBLANK(B80), "","ConceptScheme-79")</f>
        <v/>
      </c>
    </row>
    <row r="81" spans="1:1" x14ac:dyDescent="0.2">
      <c r="A81" t="str">
        <f>IF(ISBLANK(B81), "","ConceptScheme-80")</f>
        <v/>
      </c>
    </row>
    <row r="82" spans="1:1" x14ac:dyDescent="0.2">
      <c r="A82" t="str">
        <f>IF(ISBLANK(B82), "","ConceptScheme-81")</f>
        <v/>
      </c>
    </row>
    <row r="83" spans="1:1" x14ac:dyDescent="0.2">
      <c r="A83" t="str">
        <f>IF(ISBLANK(B83), "","ConceptScheme-82")</f>
        <v/>
      </c>
    </row>
    <row r="84" spans="1:1" x14ac:dyDescent="0.2">
      <c r="A84" t="str">
        <f>IF(ISBLANK(B84), "","ConceptScheme-83")</f>
        <v/>
      </c>
    </row>
    <row r="85" spans="1:1" x14ac:dyDescent="0.2">
      <c r="A85" t="str">
        <f>IF(ISBLANK(B85), "","ConceptScheme-84")</f>
        <v/>
      </c>
    </row>
    <row r="86" spans="1:1" x14ac:dyDescent="0.2">
      <c r="A86" t="str">
        <f>IF(ISBLANK(B86), "","ConceptScheme-85")</f>
        <v/>
      </c>
    </row>
    <row r="87" spans="1:1" x14ac:dyDescent="0.2">
      <c r="A87" t="str">
        <f>IF(ISBLANK(B87), "","ConceptScheme-86")</f>
        <v/>
      </c>
    </row>
    <row r="88" spans="1:1" x14ac:dyDescent="0.2">
      <c r="A88" t="str">
        <f>IF(ISBLANK(B88), "","ConceptScheme-87")</f>
        <v/>
      </c>
    </row>
    <row r="89" spans="1:1" x14ac:dyDescent="0.2">
      <c r="A89" t="str">
        <f>IF(ISBLANK(B89), "","ConceptScheme-88")</f>
        <v/>
      </c>
    </row>
    <row r="90" spans="1:1" x14ac:dyDescent="0.2">
      <c r="A90" t="str">
        <f>IF(ISBLANK(B90), "","ConceptScheme-89")</f>
        <v/>
      </c>
    </row>
    <row r="91" spans="1:1" x14ac:dyDescent="0.2">
      <c r="A91" t="str">
        <f>IF(ISBLANK(B91), "","ConceptScheme-90")</f>
        <v/>
      </c>
    </row>
    <row r="92" spans="1:1" x14ac:dyDescent="0.2">
      <c r="A92" t="str">
        <f>IF(ISBLANK(B92), "","ConceptScheme-91")</f>
        <v/>
      </c>
    </row>
    <row r="93" spans="1:1" x14ac:dyDescent="0.2">
      <c r="A93" t="str">
        <f>IF(ISBLANK(B93), "","ConceptScheme-92")</f>
        <v/>
      </c>
    </row>
    <row r="94" spans="1:1" x14ac:dyDescent="0.2">
      <c r="A94" t="str">
        <f>IF(ISBLANK(B94), "","ConceptScheme-93")</f>
        <v/>
      </c>
    </row>
    <row r="95" spans="1:1" x14ac:dyDescent="0.2">
      <c r="A95" t="str">
        <f>IF(ISBLANK(B95), "","ConceptScheme-94")</f>
        <v/>
      </c>
    </row>
    <row r="96" spans="1:1" x14ac:dyDescent="0.2">
      <c r="A96" t="str">
        <f>IF(ISBLANK(B96), "","ConceptScheme-95")</f>
        <v/>
      </c>
    </row>
    <row r="97" spans="1:1" x14ac:dyDescent="0.2">
      <c r="A97" t="str">
        <f>IF(ISBLANK(B97), "","ConceptScheme-96")</f>
        <v/>
      </c>
    </row>
    <row r="98" spans="1:1" x14ac:dyDescent="0.2">
      <c r="A98" t="str">
        <f>IF(ISBLANK(B98), "","ConceptScheme-97")</f>
        <v/>
      </c>
    </row>
    <row r="99" spans="1:1" x14ac:dyDescent="0.2">
      <c r="A99" t="str">
        <f>IF(ISBLANK(B99), "","ConceptScheme-98")</f>
        <v/>
      </c>
    </row>
    <row r="100" spans="1:1" x14ac:dyDescent="0.2">
      <c r="A100" t="str">
        <f>IF(ISBLANK(B100), "","ConceptScheme-99")</f>
        <v/>
      </c>
    </row>
    <row r="101" spans="1:1" x14ac:dyDescent="0.2">
      <c r="A101" t="str">
        <f>IF(ISBLANK(B101), "","ConceptScheme-100")</f>
        <v/>
      </c>
    </row>
    <row r="102" spans="1:1" x14ac:dyDescent="0.2">
      <c r="A102" t="str">
        <f>IF(ISBLANK(B102), "","ConceptScheme-101")</f>
        <v/>
      </c>
    </row>
    <row r="103" spans="1:1" x14ac:dyDescent="0.2">
      <c r="A103" t="str">
        <f>IF(ISBLANK(B103), "","ConceptScheme-102")</f>
        <v/>
      </c>
    </row>
    <row r="104" spans="1:1" x14ac:dyDescent="0.2">
      <c r="A104" t="str">
        <f>IF(ISBLANK(B104), "","ConceptScheme-103")</f>
        <v/>
      </c>
    </row>
    <row r="105" spans="1:1" x14ac:dyDescent="0.2">
      <c r="A105" t="str">
        <f>IF(ISBLANK(B105), "","ConceptScheme-104")</f>
        <v/>
      </c>
    </row>
    <row r="106" spans="1:1" x14ac:dyDescent="0.2">
      <c r="A106" t="str">
        <f>IF(ISBLANK(B106), "","ConceptScheme-105")</f>
        <v/>
      </c>
    </row>
    <row r="107" spans="1:1" x14ac:dyDescent="0.2">
      <c r="A107" t="str">
        <f>IF(ISBLANK(B107), "","ConceptScheme-106")</f>
        <v/>
      </c>
    </row>
    <row r="108" spans="1:1" x14ac:dyDescent="0.2">
      <c r="A108" t="str">
        <f>IF(ISBLANK(B108), "","ConceptScheme-107")</f>
        <v/>
      </c>
    </row>
    <row r="109" spans="1:1" x14ac:dyDescent="0.2">
      <c r="A109" t="str">
        <f>IF(ISBLANK(B109), "","ConceptScheme-108")</f>
        <v/>
      </c>
    </row>
    <row r="110" spans="1:1" x14ac:dyDescent="0.2">
      <c r="A110" t="str">
        <f>IF(ISBLANK(B110), "","ConceptScheme-109")</f>
        <v/>
      </c>
    </row>
    <row r="111" spans="1:1" x14ac:dyDescent="0.2">
      <c r="A111" t="str">
        <f>IF(ISBLANK(B111), "","ConceptScheme-110")</f>
        <v/>
      </c>
    </row>
    <row r="112" spans="1:1" x14ac:dyDescent="0.2">
      <c r="A112" t="str">
        <f>IF(ISBLANK(B112), "","ConceptScheme-111")</f>
        <v/>
      </c>
    </row>
    <row r="113" spans="1:1" x14ac:dyDescent="0.2">
      <c r="A113" t="str">
        <f>IF(ISBLANK(B113), "","ConceptScheme-112")</f>
        <v/>
      </c>
    </row>
    <row r="114" spans="1:1" x14ac:dyDescent="0.2">
      <c r="A114" t="str">
        <f>IF(ISBLANK(B114), "","ConceptScheme-113")</f>
        <v/>
      </c>
    </row>
    <row r="115" spans="1:1" x14ac:dyDescent="0.2">
      <c r="A115" t="str">
        <f>IF(ISBLANK(B115), "","ConceptScheme-114")</f>
        <v/>
      </c>
    </row>
    <row r="116" spans="1:1" x14ac:dyDescent="0.2">
      <c r="A116" t="str">
        <f>IF(ISBLANK(B116), "","ConceptScheme-115")</f>
        <v/>
      </c>
    </row>
    <row r="117" spans="1:1" x14ac:dyDescent="0.2">
      <c r="A117" t="str">
        <f>IF(ISBLANK(B117), "","ConceptScheme-116")</f>
        <v/>
      </c>
    </row>
    <row r="118" spans="1:1" x14ac:dyDescent="0.2">
      <c r="A118" t="str">
        <f>IF(ISBLANK(B118), "","ConceptScheme-117")</f>
        <v/>
      </c>
    </row>
    <row r="119" spans="1:1" x14ac:dyDescent="0.2">
      <c r="A119" t="str">
        <f>IF(ISBLANK(B119), "","ConceptScheme-118")</f>
        <v/>
      </c>
    </row>
    <row r="120" spans="1:1" x14ac:dyDescent="0.2">
      <c r="A120" t="str">
        <f>IF(ISBLANK(B120), "","ConceptScheme-119")</f>
        <v/>
      </c>
    </row>
    <row r="121" spans="1:1" x14ac:dyDescent="0.2">
      <c r="A121" t="str">
        <f>IF(ISBLANK(B121), "","ConceptScheme-120")</f>
        <v/>
      </c>
    </row>
    <row r="122" spans="1:1" x14ac:dyDescent="0.2">
      <c r="A122" t="str">
        <f>IF(ISBLANK(B122), "","ConceptScheme-121")</f>
        <v/>
      </c>
    </row>
    <row r="123" spans="1:1" x14ac:dyDescent="0.2">
      <c r="A123" t="str">
        <f>IF(ISBLANK(B123), "","ConceptScheme-122")</f>
        <v/>
      </c>
    </row>
    <row r="124" spans="1:1" x14ac:dyDescent="0.2">
      <c r="A124" t="str">
        <f>IF(ISBLANK(B124), "","ConceptScheme-123")</f>
        <v/>
      </c>
    </row>
    <row r="125" spans="1:1" x14ac:dyDescent="0.2">
      <c r="A125" t="str">
        <f>IF(ISBLANK(B125), "","ConceptScheme-124")</f>
        <v/>
      </c>
    </row>
    <row r="126" spans="1:1" x14ac:dyDescent="0.2">
      <c r="A126" t="str">
        <f>IF(ISBLANK(B126), "","ConceptScheme-125")</f>
        <v/>
      </c>
    </row>
    <row r="127" spans="1:1" x14ac:dyDescent="0.2">
      <c r="A127" t="str">
        <f>IF(ISBLANK(B127), "","ConceptScheme-126")</f>
        <v/>
      </c>
    </row>
    <row r="128" spans="1:1" x14ac:dyDescent="0.2">
      <c r="A128" t="str">
        <f>IF(ISBLANK(B128), "","ConceptScheme-127")</f>
        <v/>
      </c>
    </row>
    <row r="129" spans="1:1" x14ac:dyDescent="0.2">
      <c r="A129" t="str">
        <f>IF(ISBLANK(B129), "","ConceptScheme-128")</f>
        <v/>
      </c>
    </row>
    <row r="130" spans="1:1" x14ac:dyDescent="0.2">
      <c r="A130" t="str">
        <f>IF(ISBLANK(B130), "","ConceptScheme-129")</f>
        <v/>
      </c>
    </row>
    <row r="131" spans="1:1" x14ac:dyDescent="0.2">
      <c r="A131" t="str">
        <f>IF(ISBLANK(B131), "","ConceptScheme-130")</f>
        <v/>
      </c>
    </row>
    <row r="132" spans="1:1" x14ac:dyDescent="0.2">
      <c r="A132" t="str">
        <f>IF(ISBLANK(B132), "","ConceptScheme-131")</f>
        <v/>
      </c>
    </row>
    <row r="133" spans="1:1" x14ac:dyDescent="0.2">
      <c r="A133" t="str">
        <f>IF(ISBLANK(B133), "","ConceptScheme-132")</f>
        <v/>
      </c>
    </row>
    <row r="134" spans="1:1" x14ac:dyDescent="0.2">
      <c r="A134" t="str">
        <f>IF(ISBLANK(B134), "","ConceptScheme-133")</f>
        <v/>
      </c>
    </row>
    <row r="135" spans="1:1" x14ac:dyDescent="0.2">
      <c r="A135" t="str">
        <f>IF(ISBLANK(B135), "","ConceptScheme-134")</f>
        <v/>
      </c>
    </row>
    <row r="136" spans="1:1" x14ac:dyDescent="0.2">
      <c r="A136" t="str">
        <f>IF(ISBLANK(B136), "","ConceptScheme-135")</f>
        <v/>
      </c>
    </row>
    <row r="137" spans="1:1" x14ac:dyDescent="0.2">
      <c r="A137" t="str">
        <f>IF(ISBLANK(B137), "","ConceptScheme-136")</f>
        <v/>
      </c>
    </row>
    <row r="138" spans="1:1" x14ac:dyDescent="0.2">
      <c r="A138" t="str">
        <f>IF(ISBLANK(B138), "","ConceptScheme-137")</f>
        <v/>
      </c>
    </row>
    <row r="139" spans="1:1" x14ac:dyDescent="0.2">
      <c r="A139" t="str">
        <f>IF(ISBLANK(B139), "","ConceptScheme-138")</f>
        <v/>
      </c>
    </row>
    <row r="140" spans="1:1" x14ac:dyDescent="0.2">
      <c r="A140" t="str">
        <f>IF(ISBLANK(B140), "","ConceptScheme-139")</f>
        <v/>
      </c>
    </row>
    <row r="141" spans="1:1" x14ac:dyDescent="0.2">
      <c r="A141" t="str">
        <f>IF(ISBLANK(B141), "","ConceptScheme-140")</f>
        <v/>
      </c>
    </row>
    <row r="142" spans="1:1" x14ac:dyDescent="0.2">
      <c r="A142" t="str">
        <f>IF(ISBLANK(B142), "","ConceptScheme-141")</f>
        <v/>
      </c>
    </row>
    <row r="143" spans="1:1" x14ac:dyDescent="0.2">
      <c r="A143" t="str">
        <f>IF(ISBLANK(B143), "","ConceptScheme-142")</f>
        <v/>
      </c>
    </row>
    <row r="144" spans="1:1" x14ac:dyDescent="0.2">
      <c r="A144" t="str">
        <f>IF(ISBLANK(B144), "","ConceptScheme-143")</f>
        <v/>
      </c>
    </row>
    <row r="145" spans="1:1" x14ac:dyDescent="0.2">
      <c r="A145" t="str">
        <f>IF(ISBLANK(B145), "","ConceptScheme-144")</f>
        <v/>
      </c>
    </row>
    <row r="146" spans="1:1" x14ac:dyDescent="0.2">
      <c r="A146" t="str">
        <f>IF(ISBLANK(B146), "","ConceptScheme-145")</f>
        <v/>
      </c>
    </row>
    <row r="147" spans="1:1" x14ac:dyDescent="0.2">
      <c r="A147" t="str">
        <f>IF(ISBLANK(B147), "","ConceptScheme-146")</f>
        <v/>
      </c>
    </row>
    <row r="148" spans="1:1" x14ac:dyDescent="0.2">
      <c r="A148" t="str">
        <f>IF(ISBLANK(B148), "","ConceptScheme-147")</f>
        <v/>
      </c>
    </row>
    <row r="149" spans="1:1" x14ac:dyDescent="0.2">
      <c r="A149" t="str">
        <f>IF(ISBLANK(B149), "","ConceptScheme-148")</f>
        <v/>
      </c>
    </row>
    <row r="150" spans="1:1" x14ac:dyDescent="0.2">
      <c r="A150" t="str">
        <f>IF(ISBLANK(B150), "","ConceptScheme-149")</f>
        <v/>
      </c>
    </row>
    <row r="151" spans="1:1" x14ac:dyDescent="0.2">
      <c r="A151" t="str">
        <f>IF(ISBLANK(B151), "","ConceptScheme-150")</f>
        <v/>
      </c>
    </row>
    <row r="152" spans="1:1" x14ac:dyDescent="0.2">
      <c r="A152" t="str">
        <f>IF(ISBLANK(B152), "","ConceptScheme-151")</f>
        <v/>
      </c>
    </row>
    <row r="153" spans="1:1" x14ac:dyDescent="0.2">
      <c r="A153" t="str">
        <f>IF(ISBLANK(B153), "","ConceptScheme-152")</f>
        <v/>
      </c>
    </row>
    <row r="154" spans="1:1" x14ac:dyDescent="0.2">
      <c r="A154" t="str">
        <f>IF(ISBLANK(B154), "","ConceptScheme-153")</f>
        <v/>
      </c>
    </row>
    <row r="155" spans="1:1" x14ac:dyDescent="0.2">
      <c r="A155" t="str">
        <f>IF(ISBLANK(B155), "","ConceptScheme-154")</f>
        <v/>
      </c>
    </row>
    <row r="156" spans="1:1" x14ac:dyDescent="0.2">
      <c r="A156" t="str">
        <f>IF(ISBLANK(B156), "","ConceptScheme-155")</f>
        <v/>
      </c>
    </row>
    <row r="157" spans="1:1" x14ac:dyDescent="0.2">
      <c r="A157" t="str">
        <f>IF(ISBLANK(B157), "","ConceptScheme-156")</f>
        <v/>
      </c>
    </row>
    <row r="158" spans="1:1" x14ac:dyDescent="0.2">
      <c r="A158" t="str">
        <f>IF(ISBLANK(B158), "","ConceptScheme-157")</f>
        <v/>
      </c>
    </row>
    <row r="159" spans="1:1" x14ac:dyDescent="0.2">
      <c r="A159" t="str">
        <f>IF(ISBLANK(B159), "","ConceptScheme-158")</f>
        <v/>
      </c>
    </row>
    <row r="160" spans="1:1" x14ac:dyDescent="0.2">
      <c r="A160" t="str">
        <f>IF(ISBLANK(B160), "","ConceptScheme-159")</f>
        <v/>
      </c>
    </row>
    <row r="161" spans="1:1" x14ac:dyDescent="0.2">
      <c r="A161" t="str">
        <f>IF(ISBLANK(B161), "","ConceptScheme-160")</f>
        <v/>
      </c>
    </row>
    <row r="162" spans="1:1" x14ac:dyDescent="0.2">
      <c r="A162" t="str">
        <f>IF(ISBLANK(B162), "","ConceptScheme-161")</f>
        <v/>
      </c>
    </row>
    <row r="163" spans="1:1" x14ac:dyDescent="0.2">
      <c r="A163" t="str">
        <f>IF(ISBLANK(B163), "","ConceptScheme-162")</f>
        <v/>
      </c>
    </row>
    <row r="164" spans="1:1" x14ac:dyDescent="0.2">
      <c r="A164" t="str">
        <f>IF(ISBLANK(B164), "","ConceptScheme-163")</f>
        <v/>
      </c>
    </row>
    <row r="165" spans="1:1" x14ac:dyDescent="0.2">
      <c r="A165" t="str">
        <f>IF(ISBLANK(B165), "","ConceptScheme-164")</f>
        <v/>
      </c>
    </row>
    <row r="166" spans="1:1" x14ac:dyDescent="0.2">
      <c r="A166" t="str">
        <f>IF(ISBLANK(B166), "","ConceptScheme-165")</f>
        <v/>
      </c>
    </row>
    <row r="167" spans="1:1" x14ac:dyDescent="0.2">
      <c r="A167" t="str">
        <f>IF(ISBLANK(B167), "","ConceptScheme-166")</f>
        <v/>
      </c>
    </row>
    <row r="168" spans="1:1" x14ac:dyDescent="0.2">
      <c r="A168" t="str">
        <f>IF(ISBLANK(B168), "","ConceptScheme-167")</f>
        <v/>
      </c>
    </row>
    <row r="169" spans="1:1" x14ac:dyDescent="0.2">
      <c r="A169" t="str">
        <f>IF(ISBLANK(B169), "","ConceptScheme-168")</f>
        <v/>
      </c>
    </row>
    <row r="170" spans="1:1" x14ac:dyDescent="0.2">
      <c r="A170" t="str">
        <f>IF(ISBLANK(B170), "","ConceptScheme-169")</f>
        <v/>
      </c>
    </row>
    <row r="171" spans="1:1" x14ac:dyDescent="0.2">
      <c r="A171" t="str">
        <f>IF(ISBLANK(B171), "","ConceptScheme-170")</f>
        <v/>
      </c>
    </row>
    <row r="172" spans="1:1" x14ac:dyDescent="0.2">
      <c r="A172" t="str">
        <f>IF(ISBLANK(B172), "","ConceptScheme-171")</f>
        <v/>
      </c>
    </row>
    <row r="173" spans="1:1" x14ac:dyDescent="0.2">
      <c r="A173" t="str">
        <f>IF(ISBLANK(B173), "","ConceptScheme-172")</f>
        <v/>
      </c>
    </row>
    <row r="174" spans="1:1" x14ac:dyDescent="0.2">
      <c r="A174" t="str">
        <f>IF(ISBLANK(B174), "","ConceptScheme-173")</f>
        <v/>
      </c>
    </row>
    <row r="175" spans="1:1" x14ac:dyDescent="0.2">
      <c r="A175" t="str">
        <f>IF(ISBLANK(B175), "","ConceptScheme-174")</f>
        <v/>
      </c>
    </row>
    <row r="176" spans="1:1" x14ac:dyDescent="0.2">
      <c r="A176" t="str">
        <f>IF(ISBLANK(B176), "","ConceptScheme-175")</f>
        <v/>
      </c>
    </row>
    <row r="177" spans="1:1" x14ac:dyDescent="0.2">
      <c r="A177" t="str">
        <f>IF(ISBLANK(B177), "","ConceptScheme-176")</f>
        <v/>
      </c>
    </row>
    <row r="178" spans="1:1" x14ac:dyDescent="0.2">
      <c r="A178" t="str">
        <f>IF(ISBLANK(B178), "","ConceptScheme-177")</f>
        <v/>
      </c>
    </row>
    <row r="179" spans="1:1" x14ac:dyDescent="0.2">
      <c r="A179" t="str">
        <f>IF(ISBLANK(B179), "","ConceptScheme-178")</f>
        <v/>
      </c>
    </row>
    <row r="180" spans="1:1" x14ac:dyDescent="0.2">
      <c r="A180" t="str">
        <f>IF(ISBLANK(B180), "","ConceptScheme-179")</f>
        <v/>
      </c>
    </row>
    <row r="181" spans="1:1" x14ac:dyDescent="0.2">
      <c r="A181" t="str">
        <f>IF(ISBLANK(B181), "","ConceptScheme-180")</f>
        <v/>
      </c>
    </row>
    <row r="182" spans="1:1" x14ac:dyDescent="0.2">
      <c r="A182" t="str">
        <f>IF(ISBLANK(B182), "","ConceptScheme-181")</f>
        <v/>
      </c>
    </row>
    <row r="183" spans="1:1" x14ac:dyDescent="0.2">
      <c r="A183" t="str">
        <f>IF(ISBLANK(B183), "","ConceptScheme-182")</f>
        <v/>
      </c>
    </row>
    <row r="184" spans="1:1" x14ac:dyDescent="0.2">
      <c r="A184" t="str">
        <f>IF(ISBLANK(B184), "","ConceptScheme-183")</f>
        <v/>
      </c>
    </row>
    <row r="185" spans="1:1" x14ac:dyDescent="0.2">
      <c r="A185" t="str">
        <f>IF(ISBLANK(B185), "","ConceptScheme-184")</f>
        <v/>
      </c>
    </row>
    <row r="186" spans="1:1" x14ac:dyDescent="0.2">
      <c r="A186" t="str">
        <f>IF(ISBLANK(B186), "","ConceptScheme-185")</f>
        <v/>
      </c>
    </row>
    <row r="187" spans="1:1" x14ac:dyDescent="0.2">
      <c r="A187" t="str">
        <f>IF(ISBLANK(B187), "","ConceptScheme-186")</f>
        <v/>
      </c>
    </row>
    <row r="188" spans="1:1" x14ac:dyDescent="0.2">
      <c r="A188" t="str">
        <f>IF(ISBLANK(B188), "","ConceptScheme-187")</f>
        <v/>
      </c>
    </row>
    <row r="189" spans="1:1" x14ac:dyDescent="0.2">
      <c r="A189" t="str">
        <f>IF(ISBLANK(B189), "","ConceptScheme-188")</f>
        <v/>
      </c>
    </row>
    <row r="190" spans="1:1" x14ac:dyDescent="0.2">
      <c r="A190" t="str">
        <f>IF(ISBLANK(B190), "","ConceptScheme-189")</f>
        <v/>
      </c>
    </row>
    <row r="191" spans="1:1" x14ac:dyDescent="0.2">
      <c r="A191" t="str">
        <f>IF(ISBLANK(B191), "","ConceptScheme-190")</f>
        <v/>
      </c>
    </row>
    <row r="192" spans="1:1" x14ac:dyDescent="0.2">
      <c r="A192" t="str">
        <f>IF(ISBLANK(B192), "","ConceptScheme-191")</f>
        <v/>
      </c>
    </row>
    <row r="193" spans="1:1" x14ac:dyDescent="0.2">
      <c r="A193" t="str">
        <f>IF(ISBLANK(B193), "","ConceptScheme-192")</f>
        <v/>
      </c>
    </row>
    <row r="194" spans="1:1" x14ac:dyDescent="0.2">
      <c r="A194" t="str">
        <f>IF(ISBLANK(B194), "","ConceptScheme-193")</f>
        <v/>
      </c>
    </row>
    <row r="195" spans="1:1" x14ac:dyDescent="0.2">
      <c r="A195" t="str">
        <f>IF(ISBLANK(B195), "","ConceptScheme-194")</f>
        <v/>
      </c>
    </row>
    <row r="196" spans="1:1" x14ac:dyDescent="0.2">
      <c r="A196" t="str">
        <f>IF(ISBLANK(B196), "","ConceptScheme-195")</f>
        <v/>
      </c>
    </row>
    <row r="197" spans="1:1" x14ac:dyDescent="0.2">
      <c r="A197" t="str">
        <f>IF(ISBLANK(B197), "","ConceptScheme-196")</f>
        <v/>
      </c>
    </row>
    <row r="198" spans="1:1" x14ac:dyDescent="0.2">
      <c r="A198" t="str">
        <f>IF(ISBLANK(B198), "","ConceptScheme-197")</f>
        <v/>
      </c>
    </row>
    <row r="199" spans="1:1" x14ac:dyDescent="0.2">
      <c r="A199" t="str">
        <f>IF(ISBLANK(B199), "","ConceptScheme-198")</f>
        <v/>
      </c>
    </row>
    <row r="200" spans="1:1" x14ac:dyDescent="0.2">
      <c r="A200" t="str">
        <f>IF(ISBLANK(B200), "","ConceptScheme-199")</f>
        <v/>
      </c>
    </row>
    <row r="201" spans="1:1" x14ac:dyDescent="0.2">
      <c r="A201" t="str">
        <f>IF(ISBLANK(B201), "","ConceptScheme-200")</f>
        <v/>
      </c>
    </row>
    <row r="202" spans="1:1" x14ac:dyDescent="0.2">
      <c r="A202" t="str">
        <f>IF(ISBLANK(B202), "","ConceptScheme-201")</f>
        <v/>
      </c>
    </row>
    <row r="203" spans="1:1" x14ac:dyDescent="0.2">
      <c r="A203" t="str">
        <f>IF(ISBLANK(B203), "","ConceptScheme-202")</f>
        <v/>
      </c>
    </row>
    <row r="204" spans="1:1" x14ac:dyDescent="0.2">
      <c r="A204" t="str">
        <f>IF(ISBLANK(B204), "","ConceptScheme-203")</f>
        <v/>
      </c>
    </row>
    <row r="205" spans="1:1" x14ac:dyDescent="0.2">
      <c r="A205" t="str">
        <f>IF(ISBLANK(B205), "","ConceptScheme-204")</f>
        <v/>
      </c>
    </row>
    <row r="206" spans="1:1" x14ac:dyDescent="0.2">
      <c r="A206" t="str">
        <f>IF(ISBLANK(B206), "","ConceptScheme-205")</f>
        <v/>
      </c>
    </row>
    <row r="207" spans="1:1" x14ac:dyDescent="0.2">
      <c r="A207" t="str">
        <f>IF(ISBLANK(B207), "","ConceptScheme-206")</f>
        <v/>
      </c>
    </row>
    <row r="208" spans="1:1" x14ac:dyDescent="0.2">
      <c r="A208" t="str">
        <f>IF(ISBLANK(B208), "","ConceptScheme-207")</f>
        <v/>
      </c>
    </row>
    <row r="209" spans="1:1" x14ac:dyDescent="0.2">
      <c r="A209" t="str">
        <f>IF(ISBLANK(B209), "","ConceptScheme-208")</f>
        <v/>
      </c>
    </row>
    <row r="210" spans="1:1" x14ac:dyDescent="0.2">
      <c r="A210" t="str">
        <f>IF(ISBLANK(B210), "","ConceptScheme-209")</f>
        <v/>
      </c>
    </row>
    <row r="211" spans="1:1" x14ac:dyDescent="0.2">
      <c r="A211" t="str">
        <f>IF(ISBLANK(B211), "","ConceptScheme-210")</f>
        <v/>
      </c>
    </row>
    <row r="212" spans="1:1" x14ac:dyDescent="0.2">
      <c r="A212" t="str">
        <f>IF(ISBLANK(B212), "","ConceptScheme-211")</f>
        <v/>
      </c>
    </row>
    <row r="213" spans="1:1" x14ac:dyDescent="0.2">
      <c r="A213" t="str">
        <f>IF(ISBLANK(B213), "","ConceptScheme-212")</f>
        <v/>
      </c>
    </row>
    <row r="214" spans="1:1" x14ac:dyDescent="0.2">
      <c r="A214" t="str">
        <f>IF(ISBLANK(B214), "","ConceptScheme-213")</f>
        <v/>
      </c>
    </row>
    <row r="215" spans="1:1" x14ac:dyDescent="0.2">
      <c r="A215" t="str">
        <f>IF(ISBLANK(B215), "","ConceptScheme-214")</f>
        <v/>
      </c>
    </row>
    <row r="216" spans="1:1" x14ac:dyDescent="0.2">
      <c r="A216" t="str">
        <f>IF(ISBLANK(B216), "","ConceptScheme-215")</f>
        <v/>
      </c>
    </row>
    <row r="217" spans="1:1" x14ac:dyDescent="0.2">
      <c r="A217" t="str">
        <f>IF(ISBLANK(B217), "","ConceptScheme-216")</f>
        <v/>
      </c>
    </row>
    <row r="218" spans="1:1" x14ac:dyDescent="0.2">
      <c r="A218" t="str">
        <f>IF(ISBLANK(B218), "","ConceptScheme-217")</f>
        <v/>
      </c>
    </row>
    <row r="219" spans="1:1" x14ac:dyDescent="0.2">
      <c r="A219" t="str">
        <f>IF(ISBLANK(B219), "","ConceptScheme-218")</f>
        <v/>
      </c>
    </row>
    <row r="220" spans="1:1" x14ac:dyDescent="0.2">
      <c r="A220" t="str">
        <f>IF(ISBLANK(B220), "","ConceptScheme-219")</f>
        <v/>
      </c>
    </row>
    <row r="221" spans="1:1" x14ac:dyDescent="0.2">
      <c r="A221" t="str">
        <f>IF(ISBLANK(B221), "","ConceptScheme-220")</f>
        <v/>
      </c>
    </row>
    <row r="222" spans="1:1" x14ac:dyDescent="0.2">
      <c r="A222" t="str">
        <f>IF(ISBLANK(B222), "","ConceptScheme-221")</f>
        <v/>
      </c>
    </row>
    <row r="223" spans="1:1" x14ac:dyDescent="0.2">
      <c r="A223" t="str">
        <f>IF(ISBLANK(B223), "","ConceptScheme-222")</f>
        <v/>
      </c>
    </row>
    <row r="224" spans="1:1" x14ac:dyDescent="0.2">
      <c r="A224" t="str">
        <f>IF(ISBLANK(B224), "","ConceptScheme-223")</f>
        <v/>
      </c>
    </row>
    <row r="225" spans="1:1" x14ac:dyDescent="0.2">
      <c r="A225" t="str">
        <f>IF(ISBLANK(B225), "","ConceptScheme-224")</f>
        <v/>
      </c>
    </row>
    <row r="226" spans="1:1" x14ac:dyDescent="0.2">
      <c r="A226" t="str">
        <f>IF(ISBLANK(B226), "","ConceptScheme-225")</f>
        <v/>
      </c>
    </row>
    <row r="227" spans="1:1" x14ac:dyDescent="0.2">
      <c r="A227" t="str">
        <f>IF(ISBLANK(B227), "","ConceptScheme-226")</f>
        <v/>
      </c>
    </row>
    <row r="228" spans="1:1" x14ac:dyDescent="0.2">
      <c r="A228" t="str">
        <f>IF(ISBLANK(B228), "","ConceptScheme-227")</f>
        <v/>
      </c>
    </row>
    <row r="229" spans="1:1" x14ac:dyDescent="0.2">
      <c r="A229" t="str">
        <f>IF(ISBLANK(B229), "","ConceptScheme-228")</f>
        <v/>
      </c>
    </row>
    <row r="230" spans="1:1" x14ac:dyDescent="0.2">
      <c r="A230" t="str">
        <f>IF(ISBLANK(B230), "","ConceptScheme-229")</f>
        <v/>
      </c>
    </row>
    <row r="231" spans="1:1" x14ac:dyDescent="0.2">
      <c r="A231" t="str">
        <f>IF(ISBLANK(B231), "","ConceptScheme-230")</f>
        <v/>
      </c>
    </row>
    <row r="232" spans="1:1" x14ac:dyDescent="0.2">
      <c r="A232" t="str">
        <f>IF(ISBLANK(B232), "","ConceptScheme-231")</f>
        <v/>
      </c>
    </row>
    <row r="233" spans="1:1" x14ac:dyDescent="0.2">
      <c r="A233" t="str">
        <f>IF(ISBLANK(B233), "","ConceptScheme-232")</f>
        <v/>
      </c>
    </row>
    <row r="234" spans="1:1" x14ac:dyDescent="0.2">
      <c r="A234" t="str">
        <f>IF(ISBLANK(B234), "","ConceptScheme-233")</f>
        <v/>
      </c>
    </row>
    <row r="235" spans="1:1" x14ac:dyDescent="0.2">
      <c r="A235" t="str">
        <f>IF(ISBLANK(B235), "","ConceptScheme-234")</f>
        <v/>
      </c>
    </row>
    <row r="236" spans="1:1" x14ac:dyDescent="0.2">
      <c r="A236" t="str">
        <f>IF(ISBLANK(B236), "","ConceptScheme-235")</f>
        <v/>
      </c>
    </row>
    <row r="237" spans="1:1" x14ac:dyDescent="0.2">
      <c r="A237" t="str">
        <f>IF(ISBLANK(B237), "","ConceptScheme-236")</f>
        <v/>
      </c>
    </row>
    <row r="238" spans="1:1" x14ac:dyDescent="0.2">
      <c r="A238" t="str">
        <f>IF(ISBLANK(B238), "","ConceptScheme-237")</f>
        <v/>
      </c>
    </row>
    <row r="239" spans="1:1" x14ac:dyDescent="0.2">
      <c r="A239" t="str">
        <f>IF(ISBLANK(B239), "","ConceptScheme-238")</f>
        <v/>
      </c>
    </row>
    <row r="240" spans="1:1" x14ac:dyDescent="0.2">
      <c r="A240" t="str">
        <f>IF(ISBLANK(B240), "","ConceptScheme-239")</f>
        <v/>
      </c>
    </row>
    <row r="241" spans="1:1" x14ac:dyDescent="0.2">
      <c r="A241" t="str">
        <f>IF(ISBLANK(B241), "","ConceptScheme-240")</f>
        <v/>
      </c>
    </row>
    <row r="242" spans="1:1" x14ac:dyDescent="0.2">
      <c r="A242" t="str">
        <f>IF(ISBLANK(B242), "","ConceptScheme-241")</f>
        <v/>
      </c>
    </row>
    <row r="243" spans="1:1" x14ac:dyDescent="0.2">
      <c r="A243" t="str">
        <f>IF(ISBLANK(B243), "","ConceptScheme-242")</f>
        <v/>
      </c>
    </row>
    <row r="244" spans="1:1" x14ac:dyDescent="0.2">
      <c r="A244" t="str">
        <f>IF(ISBLANK(B244), "","ConceptScheme-243")</f>
        <v/>
      </c>
    </row>
    <row r="245" spans="1:1" x14ac:dyDescent="0.2">
      <c r="A245" t="str">
        <f>IF(ISBLANK(B245), "","ConceptScheme-244")</f>
        <v/>
      </c>
    </row>
    <row r="246" spans="1:1" x14ac:dyDescent="0.2">
      <c r="A246" t="str">
        <f>IF(ISBLANK(B246), "","ConceptScheme-245")</f>
        <v/>
      </c>
    </row>
    <row r="247" spans="1:1" x14ac:dyDescent="0.2">
      <c r="A247" t="str">
        <f>IF(ISBLANK(B247), "","ConceptScheme-246")</f>
        <v/>
      </c>
    </row>
    <row r="248" spans="1:1" x14ac:dyDescent="0.2">
      <c r="A248" t="str">
        <f>IF(ISBLANK(B248), "","ConceptScheme-247")</f>
        <v/>
      </c>
    </row>
    <row r="249" spans="1:1" x14ac:dyDescent="0.2">
      <c r="A249" t="str">
        <f>IF(ISBLANK(B249), "","ConceptScheme-248")</f>
        <v/>
      </c>
    </row>
    <row r="250" spans="1:1" x14ac:dyDescent="0.2">
      <c r="A250" t="str">
        <f>IF(ISBLANK(B250), "","ConceptScheme-249")</f>
        <v/>
      </c>
    </row>
    <row r="251" spans="1:1" x14ac:dyDescent="0.2">
      <c r="A251" t="str">
        <f>IF(ISBLANK(B251), "","ConceptScheme-250")</f>
        <v/>
      </c>
    </row>
    <row r="252" spans="1:1" x14ac:dyDescent="0.2">
      <c r="A252" t="str">
        <f>IF(ISBLANK(B252), "","ConceptScheme-251")</f>
        <v/>
      </c>
    </row>
    <row r="253" spans="1:1" x14ac:dyDescent="0.2">
      <c r="A253" t="str">
        <f>IF(ISBLANK(B253), "","ConceptScheme-252")</f>
        <v/>
      </c>
    </row>
    <row r="254" spans="1:1" x14ac:dyDescent="0.2">
      <c r="A254" t="str">
        <f>IF(ISBLANK(B254), "","ConceptScheme-253")</f>
        <v/>
      </c>
    </row>
    <row r="255" spans="1:1" x14ac:dyDescent="0.2">
      <c r="A255" t="str">
        <f>IF(ISBLANK(B255), "","ConceptScheme-254")</f>
        <v/>
      </c>
    </row>
    <row r="256" spans="1:1" x14ac:dyDescent="0.2">
      <c r="A256" t="str">
        <f>IF(ISBLANK(B256), "","ConceptScheme-255")</f>
        <v/>
      </c>
    </row>
    <row r="257" spans="1:1" x14ac:dyDescent="0.2">
      <c r="A257" t="str">
        <f>IF(ISBLANK(B257), "","ConceptScheme-256")</f>
        <v/>
      </c>
    </row>
    <row r="258" spans="1:1" x14ac:dyDescent="0.2">
      <c r="A258" t="str">
        <f>IF(ISBLANK(B258), "","ConceptScheme-257")</f>
        <v/>
      </c>
    </row>
    <row r="259" spans="1:1" x14ac:dyDescent="0.2">
      <c r="A259" t="str">
        <f>IF(ISBLANK(B259), "","ConceptScheme-258")</f>
        <v/>
      </c>
    </row>
    <row r="260" spans="1:1" x14ac:dyDescent="0.2">
      <c r="A260" t="str">
        <f>IF(ISBLANK(B260), "","ConceptScheme-259")</f>
        <v/>
      </c>
    </row>
    <row r="261" spans="1:1" x14ac:dyDescent="0.2">
      <c r="A261" t="str">
        <f>IF(ISBLANK(B261), "","ConceptScheme-260")</f>
        <v/>
      </c>
    </row>
    <row r="262" spans="1:1" x14ac:dyDescent="0.2">
      <c r="A262" t="str">
        <f>IF(ISBLANK(B262), "","ConceptScheme-261")</f>
        <v/>
      </c>
    </row>
    <row r="263" spans="1:1" x14ac:dyDescent="0.2">
      <c r="A263" t="str">
        <f>IF(ISBLANK(B263), "","ConceptScheme-262")</f>
        <v/>
      </c>
    </row>
    <row r="264" spans="1:1" x14ac:dyDescent="0.2">
      <c r="A264" t="str">
        <f>IF(ISBLANK(B264), "","ConceptScheme-263")</f>
        <v/>
      </c>
    </row>
    <row r="265" spans="1:1" x14ac:dyDescent="0.2">
      <c r="A265" t="str">
        <f>IF(ISBLANK(B265), "","ConceptScheme-264")</f>
        <v/>
      </c>
    </row>
    <row r="266" spans="1:1" x14ac:dyDescent="0.2">
      <c r="A266" t="str">
        <f>IF(ISBLANK(B266), "","ConceptScheme-265")</f>
        <v/>
      </c>
    </row>
    <row r="267" spans="1:1" x14ac:dyDescent="0.2">
      <c r="A267" t="str">
        <f>IF(ISBLANK(B267), "","ConceptScheme-266")</f>
        <v/>
      </c>
    </row>
    <row r="268" spans="1:1" x14ac:dyDescent="0.2">
      <c r="A268" t="str">
        <f>IF(ISBLANK(B268), "","ConceptScheme-267")</f>
        <v/>
      </c>
    </row>
    <row r="269" spans="1:1" x14ac:dyDescent="0.2">
      <c r="A269" t="str">
        <f>IF(ISBLANK(B269), "","ConceptScheme-268")</f>
        <v/>
      </c>
    </row>
    <row r="270" spans="1:1" x14ac:dyDescent="0.2">
      <c r="A270" t="str">
        <f>IF(ISBLANK(B270), "","ConceptScheme-269")</f>
        <v/>
      </c>
    </row>
    <row r="271" spans="1:1" x14ac:dyDescent="0.2">
      <c r="A271" t="str">
        <f>IF(ISBLANK(B271), "","ConceptScheme-270")</f>
        <v/>
      </c>
    </row>
    <row r="272" spans="1:1" x14ac:dyDescent="0.2">
      <c r="A272" t="str">
        <f>IF(ISBLANK(B272), "","ConceptScheme-271")</f>
        <v/>
      </c>
    </row>
    <row r="273" spans="1:1" x14ac:dyDescent="0.2">
      <c r="A273" t="str">
        <f>IF(ISBLANK(B273), "","ConceptScheme-272")</f>
        <v/>
      </c>
    </row>
    <row r="274" spans="1:1" x14ac:dyDescent="0.2">
      <c r="A274" t="str">
        <f>IF(ISBLANK(B274), "","ConceptScheme-273")</f>
        <v/>
      </c>
    </row>
    <row r="275" spans="1:1" x14ac:dyDescent="0.2">
      <c r="A275" t="str">
        <f>IF(ISBLANK(B275), "","ConceptScheme-274")</f>
        <v/>
      </c>
    </row>
    <row r="276" spans="1:1" x14ac:dyDescent="0.2">
      <c r="A276" t="str">
        <f>IF(ISBLANK(B276), "","ConceptScheme-275")</f>
        <v/>
      </c>
    </row>
    <row r="277" spans="1:1" x14ac:dyDescent="0.2">
      <c r="A277" t="str">
        <f>IF(ISBLANK(B277), "","ConceptScheme-276")</f>
        <v/>
      </c>
    </row>
    <row r="278" spans="1:1" x14ac:dyDescent="0.2">
      <c r="A278" t="str">
        <f>IF(ISBLANK(B278), "","ConceptScheme-277")</f>
        <v/>
      </c>
    </row>
    <row r="279" spans="1:1" x14ac:dyDescent="0.2">
      <c r="A279" t="str">
        <f>IF(ISBLANK(B279), "","ConceptScheme-278")</f>
        <v/>
      </c>
    </row>
    <row r="280" spans="1:1" x14ac:dyDescent="0.2">
      <c r="A280" t="str">
        <f>IF(ISBLANK(B280), "","ConceptScheme-279")</f>
        <v/>
      </c>
    </row>
    <row r="281" spans="1:1" x14ac:dyDescent="0.2">
      <c r="A281" t="str">
        <f>IF(ISBLANK(B281), "","ConceptScheme-280")</f>
        <v/>
      </c>
    </row>
    <row r="282" spans="1:1" x14ac:dyDescent="0.2">
      <c r="A282" t="str">
        <f>IF(ISBLANK(B282), "","ConceptScheme-281")</f>
        <v/>
      </c>
    </row>
    <row r="283" spans="1:1" x14ac:dyDescent="0.2">
      <c r="A283" t="str">
        <f>IF(ISBLANK(B283), "","ConceptScheme-282")</f>
        <v/>
      </c>
    </row>
    <row r="284" spans="1:1" x14ac:dyDescent="0.2">
      <c r="A284" t="str">
        <f>IF(ISBLANK(B284), "","ConceptScheme-283")</f>
        <v/>
      </c>
    </row>
    <row r="285" spans="1:1" x14ac:dyDescent="0.2">
      <c r="A285" t="str">
        <f>IF(ISBLANK(B285), "","ConceptScheme-284")</f>
        <v/>
      </c>
    </row>
    <row r="286" spans="1:1" x14ac:dyDescent="0.2">
      <c r="A286" t="str">
        <f>IF(ISBLANK(B286), "","ConceptScheme-285")</f>
        <v/>
      </c>
    </row>
    <row r="287" spans="1:1" x14ac:dyDescent="0.2">
      <c r="A287" t="str">
        <f>IF(ISBLANK(B287), "","ConceptScheme-286")</f>
        <v/>
      </c>
    </row>
    <row r="288" spans="1:1" x14ac:dyDescent="0.2">
      <c r="A288" t="str">
        <f>IF(ISBLANK(B288), "","ConceptScheme-287")</f>
        <v/>
      </c>
    </row>
    <row r="289" spans="1:1" x14ac:dyDescent="0.2">
      <c r="A289" t="str">
        <f>IF(ISBLANK(B289), "","ConceptScheme-288")</f>
        <v/>
      </c>
    </row>
    <row r="290" spans="1:1" x14ac:dyDescent="0.2">
      <c r="A290" t="str">
        <f>IF(ISBLANK(B290), "","ConceptScheme-289")</f>
        <v/>
      </c>
    </row>
    <row r="291" spans="1:1" x14ac:dyDescent="0.2">
      <c r="A291" t="str">
        <f>IF(ISBLANK(B291), "","ConceptScheme-290")</f>
        <v/>
      </c>
    </row>
    <row r="292" spans="1:1" x14ac:dyDescent="0.2">
      <c r="A292" t="str">
        <f>IF(ISBLANK(B292), "","ConceptScheme-291")</f>
        <v/>
      </c>
    </row>
    <row r="293" spans="1:1" x14ac:dyDescent="0.2">
      <c r="A293" t="str">
        <f>IF(ISBLANK(B293), "","ConceptScheme-292")</f>
        <v/>
      </c>
    </row>
    <row r="294" spans="1:1" x14ac:dyDescent="0.2">
      <c r="A294" t="str">
        <f>IF(ISBLANK(B294), "","ConceptScheme-293")</f>
        <v/>
      </c>
    </row>
    <row r="295" spans="1:1" x14ac:dyDescent="0.2">
      <c r="A295" t="str">
        <f>IF(ISBLANK(B295), "","ConceptScheme-294")</f>
        <v/>
      </c>
    </row>
    <row r="296" spans="1:1" x14ac:dyDescent="0.2">
      <c r="A296" t="str">
        <f>IF(ISBLANK(B296), "","ConceptScheme-295")</f>
        <v/>
      </c>
    </row>
    <row r="297" spans="1:1" x14ac:dyDescent="0.2">
      <c r="A297" t="str">
        <f>IF(ISBLANK(B297), "","ConceptScheme-296")</f>
        <v/>
      </c>
    </row>
    <row r="298" spans="1:1" x14ac:dyDescent="0.2">
      <c r="A298" t="str">
        <f>IF(ISBLANK(B298), "","ConceptScheme-297")</f>
        <v/>
      </c>
    </row>
    <row r="299" spans="1:1" x14ac:dyDescent="0.2">
      <c r="A299" t="str">
        <f>IF(ISBLANK(B299), "","ConceptScheme-298")</f>
        <v/>
      </c>
    </row>
    <row r="300" spans="1:1" x14ac:dyDescent="0.2">
      <c r="A300" t="str">
        <f>IF(ISBLANK(B300), "","ConceptScheme-299")</f>
        <v/>
      </c>
    </row>
    <row r="301" spans="1:1" x14ac:dyDescent="0.2">
      <c r="A301" t="str">
        <f>IF(ISBLANK(B301), "","ConceptScheme-300")</f>
        <v/>
      </c>
    </row>
    <row r="302" spans="1:1" x14ac:dyDescent="0.2">
      <c r="A302" t="str">
        <f>IF(ISBLANK(B302), "","ConceptScheme-301")</f>
        <v/>
      </c>
    </row>
    <row r="303" spans="1:1" x14ac:dyDescent="0.2">
      <c r="A303" t="str">
        <f>IF(ISBLANK(B303), "","ConceptScheme-302")</f>
        <v/>
      </c>
    </row>
    <row r="304" spans="1:1" x14ac:dyDescent="0.2">
      <c r="A304" t="str">
        <f>IF(ISBLANK(B304), "","ConceptScheme-303")</f>
        <v/>
      </c>
    </row>
    <row r="305" spans="1:1" x14ac:dyDescent="0.2">
      <c r="A305" t="str">
        <f>IF(ISBLANK(B305), "","ConceptScheme-304")</f>
        <v/>
      </c>
    </row>
    <row r="306" spans="1:1" x14ac:dyDescent="0.2">
      <c r="A306" t="str">
        <f>IF(ISBLANK(B306), "","ConceptScheme-305")</f>
        <v/>
      </c>
    </row>
    <row r="307" spans="1:1" x14ac:dyDescent="0.2">
      <c r="A307" t="str">
        <f>IF(ISBLANK(B307), "","ConceptScheme-306")</f>
        <v/>
      </c>
    </row>
    <row r="308" spans="1:1" x14ac:dyDescent="0.2">
      <c r="A308" t="str">
        <f>IF(ISBLANK(B308), "","ConceptScheme-307")</f>
        <v/>
      </c>
    </row>
    <row r="309" spans="1:1" x14ac:dyDescent="0.2">
      <c r="A309" t="str">
        <f>IF(ISBLANK(B309), "","ConceptScheme-308")</f>
        <v/>
      </c>
    </row>
    <row r="310" spans="1:1" x14ac:dyDescent="0.2">
      <c r="A310" t="str">
        <f>IF(ISBLANK(B310), "","ConceptScheme-309")</f>
        <v/>
      </c>
    </row>
    <row r="311" spans="1:1" x14ac:dyDescent="0.2">
      <c r="A311" t="str">
        <f>IF(ISBLANK(B311), "","ConceptScheme-310")</f>
        <v/>
      </c>
    </row>
    <row r="312" spans="1:1" x14ac:dyDescent="0.2">
      <c r="A312" t="str">
        <f>IF(ISBLANK(B312), "","ConceptScheme-311")</f>
        <v/>
      </c>
    </row>
    <row r="313" spans="1:1" x14ac:dyDescent="0.2">
      <c r="A313" t="str">
        <f>IF(ISBLANK(B313), "","ConceptScheme-312")</f>
        <v/>
      </c>
    </row>
    <row r="314" spans="1:1" x14ac:dyDescent="0.2">
      <c r="A314" t="str">
        <f>IF(ISBLANK(B314), "","ConceptScheme-313")</f>
        <v/>
      </c>
    </row>
    <row r="315" spans="1:1" x14ac:dyDescent="0.2">
      <c r="A315" t="str">
        <f>IF(ISBLANK(B315), "","ConceptScheme-314")</f>
        <v/>
      </c>
    </row>
    <row r="316" spans="1:1" x14ac:dyDescent="0.2">
      <c r="A316" t="str">
        <f>IF(ISBLANK(B316), "","ConceptScheme-315")</f>
        <v/>
      </c>
    </row>
    <row r="317" spans="1:1" x14ac:dyDescent="0.2">
      <c r="A317" t="str">
        <f>IF(ISBLANK(B317), "","ConceptScheme-316")</f>
        <v/>
      </c>
    </row>
    <row r="318" spans="1:1" x14ac:dyDescent="0.2">
      <c r="A318" t="str">
        <f>IF(ISBLANK(B318), "","ConceptScheme-317")</f>
        <v/>
      </c>
    </row>
    <row r="319" spans="1:1" x14ac:dyDescent="0.2">
      <c r="A319" t="str">
        <f>IF(ISBLANK(B319), "","ConceptScheme-318")</f>
        <v/>
      </c>
    </row>
    <row r="320" spans="1:1" x14ac:dyDescent="0.2">
      <c r="A320" t="str">
        <f>IF(ISBLANK(B320), "","ConceptScheme-319")</f>
        <v/>
      </c>
    </row>
    <row r="321" spans="1:1" x14ac:dyDescent="0.2">
      <c r="A321" t="str">
        <f>IF(ISBLANK(B321), "","ConceptScheme-320")</f>
        <v/>
      </c>
    </row>
    <row r="322" spans="1:1" x14ac:dyDescent="0.2">
      <c r="A322" t="str">
        <f>IF(ISBLANK(B322), "","ConceptScheme-321")</f>
        <v/>
      </c>
    </row>
    <row r="323" spans="1:1" x14ac:dyDescent="0.2">
      <c r="A323" t="str">
        <f>IF(ISBLANK(B323), "","ConceptScheme-322")</f>
        <v/>
      </c>
    </row>
    <row r="324" spans="1:1" x14ac:dyDescent="0.2">
      <c r="A324" t="str">
        <f>IF(ISBLANK(B324), "","ConceptScheme-323")</f>
        <v/>
      </c>
    </row>
    <row r="325" spans="1:1" x14ac:dyDescent="0.2">
      <c r="A325" t="str">
        <f>IF(ISBLANK(B325), "","ConceptScheme-324")</f>
        <v/>
      </c>
    </row>
    <row r="326" spans="1:1" x14ac:dyDescent="0.2">
      <c r="A326" t="str">
        <f>IF(ISBLANK(B326), "","ConceptScheme-325")</f>
        <v/>
      </c>
    </row>
    <row r="327" spans="1:1" x14ac:dyDescent="0.2">
      <c r="A327" t="str">
        <f>IF(ISBLANK(B327), "","ConceptScheme-326")</f>
        <v/>
      </c>
    </row>
    <row r="328" spans="1:1" x14ac:dyDescent="0.2">
      <c r="A328" t="str">
        <f>IF(ISBLANK(B328), "","ConceptScheme-327")</f>
        <v/>
      </c>
    </row>
    <row r="329" spans="1:1" x14ac:dyDescent="0.2">
      <c r="A329" t="str">
        <f>IF(ISBLANK(B329), "","ConceptScheme-328")</f>
        <v/>
      </c>
    </row>
    <row r="330" spans="1:1" x14ac:dyDescent="0.2">
      <c r="A330" t="str">
        <f>IF(ISBLANK(B330), "","ConceptScheme-329")</f>
        <v/>
      </c>
    </row>
    <row r="331" spans="1:1" x14ac:dyDescent="0.2">
      <c r="A331" t="str">
        <f>IF(ISBLANK(B331), "","ConceptScheme-330")</f>
        <v/>
      </c>
    </row>
    <row r="332" spans="1:1" x14ac:dyDescent="0.2">
      <c r="A332" t="str">
        <f>IF(ISBLANK(B332), "","ConceptScheme-331")</f>
        <v/>
      </c>
    </row>
    <row r="333" spans="1:1" x14ac:dyDescent="0.2">
      <c r="A333" t="str">
        <f>IF(ISBLANK(B333), "","ConceptScheme-332")</f>
        <v/>
      </c>
    </row>
    <row r="334" spans="1:1" x14ac:dyDescent="0.2">
      <c r="A334" t="str">
        <f>IF(ISBLANK(B334), "","ConceptScheme-333")</f>
        <v/>
      </c>
    </row>
    <row r="335" spans="1:1" x14ac:dyDescent="0.2">
      <c r="A335" t="str">
        <f>IF(ISBLANK(B335), "","ConceptScheme-334")</f>
        <v/>
      </c>
    </row>
    <row r="336" spans="1:1" x14ac:dyDescent="0.2">
      <c r="A336" t="str">
        <f>IF(ISBLANK(B336), "","ConceptScheme-335")</f>
        <v/>
      </c>
    </row>
    <row r="337" spans="1:1" x14ac:dyDescent="0.2">
      <c r="A337" t="str">
        <f>IF(ISBLANK(B337), "","ConceptScheme-336")</f>
        <v/>
      </c>
    </row>
    <row r="338" spans="1:1" x14ac:dyDescent="0.2">
      <c r="A338" t="str">
        <f>IF(ISBLANK(B338), "","ConceptScheme-337")</f>
        <v/>
      </c>
    </row>
    <row r="339" spans="1:1" x14ac:dyDescent="0.2">
      <c r="A339" t="str">
        <f>IF(ISBLANK(B339), "","ConceptScheme-338")</f>
        <v/>
      </c>
    </row>
    <row r="340" spans="1:1" x14ac:dyDescent="0.2">
      <c r="A340" t="str">
        <f>IF(ISBLANK(B340), "","ConceptScheme-339")</f>
        <v/>
      </c>
    </row>
    <row r="341" spans="1:1" x14ac:dyDescent="0.2">
      <c r="A341" t="str">
        <f>IF(ISBLANK(B341), "","ConceptScheme-340")</f>
        <v/>
      </c>
    </row>
    <row r="342" spans="1:1" x14ac:dyDescent="0.2">
      <c r="A342" t="str">
        <f>IF(ISBLANK(B342), "","ConceptScheme-341")</f>
        <v/>
      </c>
    </row>
    <row r="343" spans="1:1" x14ac:dyDescent="0.2">
      <c r="A343" t="str">
        <f>IF(ISBLANK(B343), "","ConceptScheme-342")</f>
        <v/>
      </c>
    </row>
    <row r="344" spans="1:1" x14ac:dyDescent="0.2">
      <c r="A344" t="str">
        <f>IF(ISBLANK(B344), "","ConceptScheme-343")</f>
        <v/>
      </c>
    </row>
    <row r="345" spans="1:1" x14ac:dyDescent="0.2">
      <c r="A345" t="str">
        <f>IF(ISBLANK(B345), "","ConceptScheme-344")</f>
        <v/>
      </c>
    </row>
    <row r="346" spans="1:1" x14ac:dyDescent="0.2">
      <c r="A346" t="str">
        <f>IF(ISBLANK(B346), "","ConceptScheme-345")</f>
        <v/>
      </c>
    </row>
    <row r="347" spans="1:1" x14ac:dyDescent="0.2">
      <c r="A347" t="str">
        <f>IF(ISBLANK(B347), "","ConceptScheme-346")</f>
        <v/>
      </c>
    </row>
    <row r="348" spans="1:1" x14ac:dyDescent="0.2">
      <c r="A348" t="str">
        <f>IF(ISBLANK(B348), "","ConceptScheme-347")</f>
        <v/>
      </c>
    </row>
    <row r="349" spans="1:1" x14ac:dyDescent="0.2">
      <c r="A349" t="str">
        <f>IF(ISBLANK(B349), "","ConceptScheme-348")</f>
        <v/>
      </c>
    </row>
    <row r="350" spans="1:1" x14ac:dyDescent="0.2">
      <c r="A350" t="str">
        <f>IF(ISBLANK(B350), "","ConceptScheme-349")</f>
        <v/>
      </c>
    </row>
    <row r="351" spans="1:1" x14ac:dyDescent="0.2">
      <c r="A351" t="str">
        <f>IF(ISBLANK(B351), "","ConceptScheme-350")</f>
        <v/>
      </c>
    </row>
    <row r="352" spans="1:1" x14ac:dyDescent="0.2">
      <c r="A352" t="str">
        <f>IF(ISBLANK(B352), "","ConceptScheme-351")</f>
        <v/>
      </c>
    </row>
    <row r="353" spans="1:1" x14ac:dyDescent="0.2">
      <c r="A353" t="str">
        <f>IF(ISBLANK(B353), "","ConceptScheme-352")</f>
        <v/>
      </c>
    </row>
    <row r="354" spans="1:1" x14ac:dyDescent="0.2">
      <c r="A354" t="str">
        <f>IF(ISBLANK(B354), "","ConceptScheme-353")</f>
        <v/>
      </c>
    </row>
    <row r="355" spans="1:1" x14ac:dyDescent="0.2">
      <c r="A355" t="str">
        <f>IF(ISBLANK(B355), "","ConceptScheme-354")</f>
        <v/>
      </c>
    </row>
    <row r="356" spans="1:1" x14ac:dyDescent="0.2">
      <c r="A356" t="str">
        <f>IF(ISBLANK(B356), "","ConceptScheme-355")</f>
        <v/>
      </c>
    </row>
    <row r="357" spans="1:1" x14ac:dyDescent="0.2">
      <c r="A357" t="str">
        <f>IF(ISBLANK(B357), "","ConceptScheme-356")</f>
        <v/>
      </c>
    </row>
    <row r="358" spans="1:1" x14ac:dyDescent="0.2">
      <c r="A358" t="str">
        <f>IF(ISBLANK(B358), "","ConceptScheme-357")</f>
        <v/>
      </c>
    </row>
    <row r="359" spans="1:1" x14ac:dyDescent="0.2">
      <c r="A359" t="str">
        <f>IF(ISBLANK(B359), "","ConceptScheme-358")</f>
        <v/>
      </c>
    </row>
    <row r="360" spans="1:1" x14ac:dyDescent="0.2">
      <c r="A360" t="str">
        <f>IF(ISBLANK(B360), "","ConceptScheme-359")</f>
        <v/>
      </c>
    </row>
    <row r="361" spans="1:1" x14ac:dyDescent="0.2">
      <c r="A361" t="str">
        <f>IF(ISBLANK(B361), "","ConceptScheme-360")</f>
        <v/>
      </c>
    </row>
    <row r="362" spans="1:1" x14ac:dyDescent="0.2">
      <c r="A362" t="str">
        <f>IF(ISBLANK(B362), "","ConceptScheme-361")</f>
        <v/>
      </c>
    </row>
    <row r="363" spans="1:1" x14ac:dyDescent="0.2">
      <c r="A363" t="str">
        <f>IF(ISBLANK(B363), "","ConceptScheme-362")</f>
        <v/>
      </c>
    </row>
    <row r="364" spans="1:1" x14ac:dyDescent="0.2">
      <c r="A364" t="str">
        <f>IF(ISBLANK(B364), "","ConceptScheme-363")</f>
        <v/>
      </c>
    </row>
    <row r="365" spans="1:1" x14ac:dyDescent="0.2">
      <c r="A365" t="str">
        <f>IF(ISBLANK(B365), "","ConceptScheme-364")</f>
        <v/>
      </c>
    </row>
    <row r="366" spans="1:1" x14ac:dyDescent="0.2">
      <c r="A366" t="str">
        <f>IF(ISBLANK(B366), "","ConceptScheme-365")</f>
        <v/>
      </c>
    </row>
    <row r="367" spans="1:1" x14ac:dyDescent="0.2">
      <c r="A367" t="str">
        <f>IF(ISBLANK(B367), "","ConceptScheme-366")</f>
        <v/>
      </c>
    </row>
    <row r="368" spans="1:1" x14ac:dyDescent="0.2">
      <c r="A368" t="str">
        <f>IF(ISBLANK(B368), "","ConceptScheme-367")</f>
        <v/>
      </c>
    </row>
    <row r="369" spans="1:1" x14ac:dyDescent="0.2">
      <c r="A369" t="str">
        <f>IF(ISBLANK(B369), "","ConceptScheme-368")</f>
        <v/>
      </c>
    </row>
    <row r="370" spans="1:1" x14ac:dyDescent="0.2">
      <c r="A370" t="str">
        <f>IF(ISBLANK(B370), "","ConceptScheme-369")</f>
        <v/>
      </c>
    </row>
    <row r="371" spans="1:1" x14ac:dyDescent="0.2">
      <c r="A371" t="str">
        <f>IF(ISBLANK(B371), "","ConceptScheme-370")</f>
        <v/>
      </c>
    </row>
    <row r="372" spans="1:1" x14ac:dyDescent="0.2">
      <c r="A372" t="str">
        <f>IF(ISBLANK(B372), "","ConceptScheme-371")</f>
        <v/>
      </c>
    </row>
    <row r="373" spans="1:1" x14ac:dyDescent="0.2">
      <c r="A373" t="str">
        <f>IF(ISBLANK(B373), "","ConceptScheme-372")</f>
        <v/>
      </c>
    </row>
    <row r="374" spans="1:1" x14ac:dyDescent="0.2">
      <c r="A374" t="str">
        <f>IF(ISBLANK(B374), "","ConceptScheme-373")</f>
        <v/>
      </c>
    </row>
    <row r="375" spans="1:1" x14ac:dyDescent="0.2">
      <c r="A375" t="str">
        <f>IF(ISBLANK(B375), "","ConceptScheme-374")</f>
        <v/>
      </c>
    </row>
    <row r="376" spans="1:1" x14ac:dyDescent="0.2">
      <c r="A376" t="str">
        <f>IF(ISBLANK(B376), "","ConceptScheme-375")</f>
        <v/>
      </c>
    </row>
    <row r="377" spans="1:1" x14ac:dyDescent="0.2">
      <c r="A377" t="str">
        <f>IF(ISBLANK(B377), "","ConceptScheme-376")</f>
        <v/>
      </c>
    </row>
    <row r="378" spans="1:1" x14ac:dyDescent="0.2">
      <c r="A378" t="str">
        <f>IF(ISBLANK(B378), "","ConceptScheme-377")</f>
        <v/>
      </c>
    </row>
    <row r="379" spans="1:1" x14ac:dyDescent="0.2">
      <c r="A379" t="str">
        <f>IF(ISBLANK(B379), "","ConceptScheme-378")</f>
        <v/>
      </c>
    </row>
    <row r="380" spans="1:1" x14ac:dyDescent="0.2">
      <c r="A380" t="str">
        <f>IF(ISBLANK(B380), "","ConceptScheme-379")</f>
        <v/>
      </c>
    </row>
    <row r="381" spans="1:1" x14ac:dyDescent="0.2">
      <c r="A381" t="str">
        <f>IF(ISBLANK(B381), "","ConceptScheme-380")</f>
        <v/>
      </c>
    </row>
    <row r="382" spans="1:1" x14ac:dyDescent="0.2">
      <c r="A382" t="str">
        <f>IF(ISBLANK(B382), "","ConceptScheme-381")</f>
        <v/>
      </c>
    </row>
    <row r="383" spans="1:1" x14ac:dyDescent="0.2">
      <c r="A383" t="str">
        <f>IF(ISBLANK(B383), "","ConceptScheme-382")</f>
        <v/>
      </c>
    </row>
    <row r="384" spans="1:1" x14ac:dyDescent="0.2">
      <c r="A384" t="str">
        <f>IF(ISBLANK(B384), "","ConceptScheme-383")</f>
        <v/>
      </c>
    </row>
    <row r="385" spans="1:1" x14ac:dyDescent="0.2">
      <c r="A385" t="str">
        <f>IF(ISBLANK(B385), "","ConceptScheme-384")</f>
        <v/>
      </c>
    </row>
    <row r="386" spans="1:1" x14ac:dyDescent="0.2">
      <c r="A386" t="str">
        <f>IF(ISBLANK(B386), "","ConceptScheme-385")</f>
        <v/>
      </c>
    </row>
    <row r="387" spans="1:1" x14ac:dyDescent="0.2">
      <c r="A387" t="str">
        <f>IF(ISBLANK(B387), "","ConceptScheme-386")</f>
        <v/>
      </c>
    </row>
    <row r="388" spans="1:1" x14ac:dyDescent="0.2">
      <c r="A388" t="str">
        <f>IF(ISBLANK(B388), "","ConceptScheme-387")</f>
        <v/>
      </c>
    </row>
    <row r="389" spans="1:1" x14ac:dyDescent="0.2">
      <c r="A389" t="str">
        <f>IF(ISBLANK(B389), "","ConceptScheme-388")</f>
        <v/>
      </c>
    </row>
    <row r="390" spans="1:1" x14ac:dyDescent="0.2">
      <c r="A390" t="str">
        <f>IF(ISBLANK(B390), "","ConceptScheme-389")</f>
        <v/>
      </c>
    </row>
    <row r="391" spans="1:1" x14ac:dyDescent="0.2">
      <c r="A391" t="str">
        <f>IF(ISBLANK(B391), "","ConceptScheme-390")</f>
        <v/>
      </c>
    </row>
    <row r="392" spans="1:1" x14ac:dyDescent="0.2">
      <c r="A392" t="str">
        <f>IF(ISBLANK(B392), "","ConceptScheme-391")</f>
        <v/>
      </c>
    </row>
    <row r="393" spans="1:1" x14ac:dyDescent="0.2">
      <c r="A393" t="str">
        <f>IF(ISBLANK(B393), "","ConceptScheme-392")</f>
        <v/>
      </c>
    </row>
    <row r="394" spans="1:1" x14ac:dyDescent="0.2">
      <c r="A394" t="str">
        <f>IF(ISBLANK(B394), "","ConceptScheme-393")</f>
        <v/>
      </c>
    </row>
    <row r="395" spans="1:1" x14ac:dyDescent="0.2">
      <c r="A395" t="str">
        <f>IF(ISBLANK(B395), "","ConceptScheme-394")</f>
        <v/>
      </c>
    </row>
    <row r="396" spans="1:1" x14ac:dyDescent="0.2">
      <c r="A396" t="str">
        <f>IF(ISBLANK(B396), "","ConceptScheme-395")</f>
        <v/>
      </c>
    </row>
    <row r="397" spans="1:1" x14ac:dyDescent="0.2">
      <c r="A397" t="str">
        <f>IF(ISBLANK(B397), "","ConceptScheme-396")</f>
        <v/>
      </c>
    </row>
    <row r="398" spans="1:1" x14ac:dyDescent="0.2">
      <c r="A398" t="str">
        <f>IF(ISBLANK(B398), "","ConceptScheme-397")</f>
        <v/>
      </c>
    </row>
    <row r="399" spans="1:1" x14ac:dyDescent="0.2">
      <c r="A399" t="str">
        <f>IF(ISBLANK(B399), "","ConceptScheme-398")</f>
        <v/>
      </c>
    </row>
    <row r="400" spans="1:1" x14ac:dyDescent="0.2">
      <c r="A400" t="str">
        <f>IF(ISBLANK(B400), "","ConceptScheme-399")</f>
        <v/>
      </c>
    </row>
    <row r="401" spans="1:1" x14ac:dyDescent="0.2">
      <c r="A401" t="str">
        <f>IF(ISBLANK(B401), "","ConceptScheme-400")</f>
        <v/>
      </c>
    </row>
    <row r="402" spans="1:1" x14ac:dyDescent="0.2">
      <c r="A402" t="str">
        <f>IF(ISBLANK(B402), "","ConceptScheme-401")</f>
        <v/>
      </c>
    </row>
    <row r="403" spans="1:1" x14ac:dyDescent="0.2">
      <c r="A403" t="str">
        <f>IF(ISBLANK(B403), "","ConceptScheme-402")</f>
        <v/>
      </c>
    </row>
    <row r="404" spans="1:1" x14ac:dyDescent="0.2">
      <c r="A404" t="str">
        <f>IF(ISBLANK(B404), "","ConceptScheme-403")</f>
        <v/>
      </c>
    </row>
    <row r="405" spans="1:1" x14ac:dyDescent="0.2">
      <c r="A405" t="str">
        <f>IF(ISBLANK(B405), "","ConceptScheme-404")</f>
        <v/>
      </c>
    </row>
    <row r="406" spans="1:1" x14ac:dyDescent="0.2">
      <c r="A406" t="str">
        <f>IF(ISBLANK(B406), "","ConceptScheme-405")</f>
        <v/>
      </c>
    </row>
    <row r="407" spans="1:1" x14ac:dyDescent="0.2">
      <c r="A407" t="str">
        <f>IF(ISBLANK(B407), "","ConceptScheme-406")</f>
        <v/>
      </c>
    </row>
    <row r="408" spans="1:1" x14ac:dyDescent="0.2">
      <c r="A408" t="str">
        <f>IF(ISBLANK(B408), "","ConceptScheme-407")</f>
        <v/>
      </c>
    </row>
    <row r="409" spans="1:1" x14ac:dyDescent="0.2">
      <c r="A409" t="str">
        <f>IF(ISBLANK(B409), "","ConceptScheme-408")</f>
        <v/>
      </c>
    </row>
    <row r="410" spans="1:1" x14ac:dyDescent="0.2">
      <c r="A410" t="str">
        <f>IF(ISBLANK(B410), "","ConceptScheme-409")</f>
        <v/>
      </c>
    </row>
    <row r="411" spans="1:1" x14ac:dyDescent="0.2">
      <c r="A411" t="str">
        <f>IF(ISBLANK(B411), "","ConceptScheme-410")</f>
        <v/>
      </c>
    </row>
    <row r="412" spans="1:1" x14ac:dyDescent="0.2">
      <c r="A412" t="str">
        <f>IF(ISBLANK(B412), "","ConceptScheme-411")</f>
        <v/>
      </c>
    </row>
    <row r="413" spans="1:1" x14ac:dyDescent="0.2">
      <c r="A413" t="str">
        <f>IF(ISBLANK(B413), "","ConceptScheme-412")</f>
        <v/>
      </c>
    </row>
    <row r="414" spans="1:1" x14ac:dyDescent="0.2">
      <c r="A414" t="str">
        <f>IF(ISBLANK(B414), "","ConceptScheme-413")</f>
        <v/>
      </c>
    </row>
    <row r="415" spans="1:1" x14ac:dyDescent="0.2">
      <c r="A415" t="str">
        <f>IF(ISBLANK(B415), "","ConceptScheme-414")</f>
        <v/>
      </c>
    </row>
    <row r="416" spans="1:1" x14ac:dyDescent="0.2">
      <c r="A416" t="str">
        <f>IF(ISBLANK(B416), "","ConceptScheme-415")</f>
        <v/>
      </c>
    </row>
    <row r="417" spans="1:1" x14ac:dyDescent="0.2">
      <c r="A417" t="str">
        <f>IF(ISBLANK(B417), "","ConceptScheme-416")</f>
        <v/>
      </c>
    </row>
    <row r="418" spans="1:1" x14ac:dyDescent="0.2">
      <c r="A418" t="str">
        <f>IF(ISBLANK(B418), "","ConceptScheme-417")</f>
        <v/>
      </c>
    </row>
    <row r="419" spans="1:1" x14ac:dyDescent="0.2">
      <c r="A419" t="str">
        <f>IF(ISBLANK(B419), "","ConceptScheme-418")</f>
        <v/>
      </c>
    </row>
    <row r="420" spans="1:1" x14ac:dyDescent="0.2">
      <c r="A420" t="str">
        <f>IF(ISBLANK(B420), "","ConceptScheme-419")</f>
        <v/>
      </c>
    </row>
    <row r="421" spans="1:1" x14ac:dyDescent="0.2">
      <c r="A421" t="str">
        <f>IF(ISBLANK(B421), "","ConceptScheme-420")</f>
        <v/>
      </c>
    </row>
    <row r="422" spans="1:1" x14ac:dyDescent="0.2">
      <c r="A422" t="str">
        <f>IF(ISBLANK(B422), "","ConceptScheme-421")</f>
        <v/>
      </c>
    </row>
    <row r="423" spans="1:1" x14ac:dyDescent="0.2">
      <c r="A423" t="str">
        <f>IF(ISBLANK(B423), "","ConceptScheme-422")</f>
        <v/>
      </c>
    </row>
    <row r="424" spans="1:1" x14ac:dyDescent="0.2">
      <c r="A424" t="str">
        <f>IF(ISBLANK(B424), "","ConceptScheme-423")</f>
        <v/>
      </c>
    </row>
    <row r="425" spans="1:1" x14ac:dyDescent="0.2">
      <c r="A425" t="str">
        <f>IF(ISBLANK(B425), "","ConceptScheme-424")</f>
        <v/>
      </c>
    </row>
    <row r="426" spans="1:1" x14ac:dyDescent="0.2">
      <c r="A426" t="str">
        <f>IF(ISBLANK(B426), "","ConceptScheme-425")</f>
        <v/>
      </c>
    </row>
    <row r="427" spans="1:1" x14ac:dyDescent="0.2">
      <c r="A427" t="str">
        <f>IF(ISBLANK(B427), "","ConceptScheme-426")</f>
        <v/>
      </c>
    </row>
    <row r="428" spans="1:1" x14ac:dyDescent="0.2">
      <c r="A428" t="str">
        <f>IF(ISBLANK(B428), "","ConceptScheme-427")</f>
        <v/>
      </c>
    </row>
    <row r="429" spans="1:1" x14ac:dyDescent="0.2">
      <c r="A429" t="str">
        <f>IF(ISBLANK(B429), "","ConceptScheme-428")</f>
        <v/>
      </c>
    </row>
    <row r="430" spans="1:1" x14ac:dyDescent="0.2">
      <c r="A430" t="str">
        <f>IF(ISBLANK(B430), "","ConceptScheme-429")</f>
        <v/>
      </c>
    </row>
    <row r="431" spans="1:1" x14ac:dyDescent="0.2">
      <c r="A431" t="str">
        <f>IF(ISBLANK(B431), "","ConceptScheme-430")</f>
        <v/>
      </c>
    </row>
    <row r="432" spans="1:1" x14ac:dyDescent="0.2">
      <c r="A432" t="str">
        <f>IF(ISBLANK(B432), "","ConceptScheme-431")</f>
        <v/>
      </c>
    </row>
    <row r="433" spans="1:1" x14ac:dyDescent="0.2">
      <c r="A433" t="str">
        <f>IF(ISBLANK(B433), "","ConceptScheme-432")</f>
        <v/>
      </c>
    </row>
    <row r="434" spans="1:1" x14ac:dyDescent="0.2">
      <c r="A434" t="str">
        <f>IF(ISBLANK(B434), "","ConceptScheme-433")</f>
        <v/>
      </c>
    </row>
    <row r="435" spans="1:1" x14ac:dyDescent="0.2">
      <c r="A435" t="str">
        <f>IF(ISBLANK(B435), "","ConceptScheme-434")</f>
        <v/>
      </c>
    </row>
    <row r="436" spans="1:1" x14ac:dyDescent="0.2">
      <c r="A436" t="str">
        <f>IF(ISBLANK(B436), "","ConceptScheme-435")</f>
        <v/>
      </c>
    </row>
    <row r="437" spans="1:1" x14ac:dyDescent="0.2">
      <c r="A437" t="str">
        <f>IF(ISBLANK(B437), "","ConceptScheme-436")</f>
        <v/>
      </c>
    </row>
    <row r="438" spans="1:1" x14ac:dyDescent="0.2">
      <c r="A438" t="str">
        <f>IF(ISBLANK(B438), "","ConceptScheme-437")</f>
        <v/>
      </c>
    </row>
    <row r="439" spans="1:1" x14ac:dyDescent="0.2">
      <c r="A439" t="str">
        <f>IF(ISBLANK(B439), "","ConceptScheme-438")</f>
        <v/>
      </c>
    </row>
    <row r="440" spans="1:1" x14ac:dyDescent="0.2">
      <c r="A440" t="str">
        <f>IF(ISBLANK(B440), "","ConceptScheme-439")</f>
        <v/>
      </c>
    </row>
    <row r="441" spans="1:1" x14ac:dyDescent="0.2">
      <c r="A441" t="str">
        <f>IF(ISBLANK(B441), "","ConceptScheme-440")</f>
        <v/>
      </c>
    </row>
    <row r="442" spans="1:1" x14ac:dyDescent="0.2">
      <c r="A442" t="str">
        <f>IF(ISBLANK(B442), "","ConceptScheme-441")</f>
        <v/>
      </c>
    </row>
    <row r="443" spans="1:1" x14ac:dyDescent="0.2">
      <c r="A443" t="str">
        <f>IF(ISBLANK(B443), "","ConceptScheme-442")</f>
        <v/>
      </c>
    </row>
    <row r="444" spans="1:1" x14ac:dyDescent="0.2">
      <c r="A444" t="str">
        <f>IF(ISBLANK(B444), "","ConceptScheme-443")</f>
        <v/>
      </c>
    </row>
    <row r="445" spans="1:1" x14ac:dyDescent="0.2">
      <c r="A445" t="str">
        <f>IF(ISBLANK(B445), "","ConceptScheme-444")</f>
        <v/>
      </c>
    </row>
    <row r="446" spans="1:1" x14ac:dyDescent="0.2">
      <c r="A446" t="str">
        <f>IF(ISBLANK(B446), "","ConceptScheme-445")</f>
        <v/>
      </c>
    </row>
    <row r="447" spans="1:1" x14ac:dyDescent="0.2">
      <c r="A447" t="str">
        <f>IF(ISBLANK(B447), "","ConceptScheme-446")</f>
        <v/>
      </c>
    </row>
    <row r="448" spans="1:1" x14ac:dyDescent="0.2">
      <c r="A448" t="str">
        <f>IF(ISBLANK(B448), "","ConceptScheme-447")</f>
        <v/>
      </c>
    </row>
    <row r="449" spans="1:1" x14ac:dyDescent="0.2">
      <c r="A449" t="str">
        <f>IF(ISBLANK(B449), "","ConceptScheme-448")</f>
        <v/>
      </c>
    </row>
    <row r="450" spans="1:1" x14ac:dyDescent="0.2">
      <c r="A450" t="str">
        <f>IF(ISBLANK(B450), "","ConceptScheme-449")</f>
        <v/>
      </c>
    </row>
    <row r="451" spans="1:1" x14ac:dyDescent="0.2">
      <c r="A451" t="str">
        <f>IF(ISBLANK(B451), "","ConceptScheme-450")</f>
        <v/>
      </c>
    </row>
    <row r="452" spans="1:1" x14ac:dyDescent="0.2">
      <c r="A452" t="str">
        <f>IF(ISBLANK(B452), "","ConceptScheme-451")</f>
        <v/>
      </c>
    </row>
    <row r="453" spans="1:1" x14ac:dyDescent="0.2">
      <c r="A453" t="str">
        <f>IF(ISBLANK(B453), "","ConceptScheme-452")</f>
        <v/>
      </c>
    </row>
    <row r="454" spans="1:1" x14ac:dyDescent="0.2">
      <c r="A454" t="str">
        <f>IF(ISBLANK(B454), "","ConceptScheme-453")</f>
        <v/>
      </c>
    </row>
    <row r="455" spans="1:1" x14ac:dyDescent="0.2">
      <c r="A455" t="str">
        <f>IF(ISBLANK(B455), "","ConceptScheme-454")</f>
        <v/>
      </c>
    </row>
    <row r="456" spans="1:1" x14ac:dyDescent="0.2">
      <c r="A456" t="str">
        <f>IF(ISBLANK(B456), "","ConceptScheme-455")</f>
        <v/>
      </c>
    </row>
    <row r="457" spans="1:1" x14ac:dyDescent="0.2">
      <c r="A457" t="str">
        <f>IF(ISBLANK(B457), "","ConceptScheme-456")</f>
        <v/>
      </c>
    </row>
    <row r="458" spans="1:1" x14ac:dyDescent="0.2">
      <c r="A458" t="str">
        <f>IF(ISBLANK(B458), "","ConceptScheme-457")</f>
        <v/>
      </c>
    </row>
    <row r="459" spans="1:1" x14ac:dyDescent="0.2">
      <c r="A459" t="str">
        <f>IF(ISBLANK(B459), "","ConceptScheme-458")</f>
        <v/>
      </c>
    </row>
    <row r="460" spans="1:1" x14ac:dyDescent="0.2">
      <c r="A460" t="str">
        <f>IF(ISBLANK(B460), "","ConceptScheme-459")</f>
        <v/>
      </c>
    </row>
    <row r="461" spans="1:1" x14ac:dyDescent="0.2">
      <c r="A461" t="str">
        <f>IF(ISBLANK(B461), "","ConceptScheme-460")</f>
        <v/>
      </c>
    </row>
    <row r="462" spans="1:1" x14ac:dyDescent="0.2">
      <c r="A462" t="str">
        <f>IF(ISBLANK(B462), "","ConceptScheme-461")</f>
        <v/>
      </c>
    </row>
    <row r="463" spans="1:1" x14ac:dyDescent="0.2">
      <c r="A463" t="str">
        <f>IF(ISBLANK(B463), "","ConceptScheme-462")</f>
        <v/>
      </c>
    </row>
    <row r="464" spans="1:1" x14ac:dyDescent="0.2">
      <c r="A464" t="str">
        <f>IF(ISBLANK(B464), "","ConceptScheme-463")</f>
        <v/>
      </c>
    </row>
    <row r="465" spans="1:1" x14ac:dyDescent="0.2">
      <c r="A465" t="str">
        <f>IF(ISBLANK(B465), "","ConceptScheme-464")</f>
        <v/>
      </c>
    </row>
    <row r="466" spans="1:1" x14ac:dyDescent="0.2">
      <c r="A466" t="str">
        <f>IF(ISBLANK(B466), "","ConceptScheme-465")</f>
        <v/>
      </c>
    </row>
    <row r="467" spans="1:1" x14ac:dyDescent="0.2">
      <c r="A467" t="str">
        <f>IF(ISBLANK(B467), "","ConceptScheme-466")</f>
        <v/>
      </c>
    </row>
    <row r="468" spans="1:1" x14ac:dyDescent="0.2">
      <c r="A468" t="str">
        <f>IF(ISBLANK(B468), "","ConceptScheme-467")</f>
        <v/>
      </c>
    </row>
    <row r="469" spans="1:1" x14ac:dyDescent="0.2">
      <c r="A469" t="str">
        <f>IF(ISBLANK(B469), "","ConceptScheme-468")</f>
        <v/>
      </c>
    </row>
    <row r="470" spans="1:1" x14ac:dyDescent="0.2">
      <c r="A470" t="str">
        <f>IF(ISBLANK(B470), "","ConceptScheme-469")</f>
        <v/>
      </c>
    </row>
    <row r="471" spans="1:1" x14ac:dyDescent="0.2">
      <c r="A471" t="str">
        <f>IF(ISBLANK(B471), "","ConceptScheme-470")</f>
        <v/>
      </c>
    </row>
    <row r="472" spans="1:1" x14ac:dyDescent="0.2">
      <c r="A472" t="str">
        <f>IF(ISBLANK(B472), "","ConceptScheme-471")</f>
        <v/>
      </c>
    </row>
    <row r="473" spans="1:1" x14ac:dyDescent="0.2">
      <c r="A473" t="str">
        <f>IF(ISBLANK(B473), "","ConceptScheme-472")</f>
        <v/>
      </c>
    </row>
    <row r="474" spans="1:1" x14ac:dyDescent="0.2">
      <c r="A474" t="str">
        <f>IF(ISBLANK(B474), "","ConceptScheme-473")</f>
        <v/>
      </c>
    </row>
    <row r="475" spans="1:1" x14ac:dyDescent="0.2">
      <c r="A475" t="str">
        <f>IF(ISBLANK(B475), "","ConceptScheme-474")</f>
        <v/>
      </c>
    </row>
    <row r="476" spans="1:1" x14ac:dyDescent="0.2">
      <c r="A476" t="str">
        <f>IF(ISBLANK(B476), "","ConceptScheme-475")</f>
        <v/>
      </c>
    </row>
    <row r="477" spans="1:1" x14ac:dyDescent="0.2">
      <c r="A477" t="str">
        <f>IF(ISBLANK(B477), "","ConceptScheme-476")</f>
        <v/>
      </c>
    </row>
    <row r="478" spans="1:1" x14ac:dyDescent="0.2">
      <c r="A478" t="str">
        <f>IF(ISBLANK(B478), "","ConceptScheme-477")</f>
        <v/>
      </c>
    </row>
    <row r="479" spans="1:1" x14ac:dyDescent="0.2">
      <c r="A479" t="str">
        <f>IF(ISBLANK(B479), "","ConceptScheme-478")</f>
        <v/>
      </c>
    </row>
    <row r="480" spans="1:1" x14ac:dyDescent="0.2">
      <c r="A480" t="str">
        <f>IF(ISBLANK(B480), "","ConceptScheme-479")</f>
        <v/>
      </c>
    </row>
    <row r="481" spans="1:1" x14ac:dyDescent="0.2">
      <c r="A481" t="str">
        <f>IF(ISBLANK(B481), "","ConceptScheme-480")</f>
        <v/>
      </c>
    </row>
    <row r="482" spans="1:1" x14ac:dyDescent="0.2">
      <c r="A482" t="str">
        <f>IF(ISBLANK(B482), "","ConceptScheme-481")</f>
        <v/>
      </c>
    </row>
    <row r="483" spans="1:1" x14ac:dyDescent="0.2">
      <c r="A483" t="str">
        <f>IF(ISBLANK(B483), "","ConceptScheme-482")</f>
        <v/>
      </c>
    </row>
    <row r="484" spans="1:1" x14ac:dyDescent="0.2">
      <c r="A484" t="str">
        <f>IF(ISBLANK(B484), "","ConceptScheme-483")</f>
        <v/>
      </c>
    </row>
    <row r="485" spans="1:1" x14ac:dyDescent="0.2">
      <c r="A485" t="str">
        <f>IF(ISBLANK(B485), "","ConceptScheme-484")</f>
        <v/>
      </c>
    </row>
    <row r="486" spans="1:1" x14ac:dyDescent="0.2">
      <c r="A486" t="str">
        <f>IF(ISBLANK(B486), "","ConceptScheme-485")</f>
        <v/>
      </c>
    </row>
    <row r="487" spans="1:1" x14ac:dyDescent="0.2">
      <c r="A487" t="str">
        <f>IF(ISBLANK(B487), "","ConceptScheme-486")</f>
        <v/>
      </c>
    </row>
    <row r="488" spans="1:1" x14ac:dyDescent="0.2">
      <c r="A488" t="str">
        <f>IF(ISBLANK(B488), "","ConceptScheme-487")</f>
        <v/>
      </c>
    </row>
    <row r="489" spans="1:1" x14ac:dyDescent="0.2">
      <c r="A489" t="str">
        <f>IF(ISBLANK(B489), "","ConceptScheme-488")</f>
        <v/>
      </c>
    </row>
    <row r="490" spans="1:1" x14ac:dyDescent="0.2">
      <c r="A490" t="str">
        <f>IF(ISBLANK(B490), "","ConceptScheme-489")</f>
        <v/>
      </c>
    </row>
    <row r="491" spans="1:1" x14ac:dyDescent="0.2">
      <c r="A491" t="str">
        <f>IF(ISBLANK(B491), "","ConceptScheme-490")</f>
        <v/>
      </c>
    </row>
    <row r="492" spans="1:1" x14ac:dyDescent="0.2">
      <c r="A492" t="str">
        <f>IF(ISBLANK(B492), "","ConceptScheme-491")</f>
        <v/>
      </c>
    </row>
    <row r="493" spans="1:1" x14ac:dyDescent="0.2">
      <c r="A493" t="str">
        <f>IF(ISBLANK(B493), "","ConceptScheme-492")</f>
        <v/>
      </c>
    </row>
    <row r="494" spans="1:1" x14ac:dyDescent="0.2">
      <c r="A494" t="str">
        <f>IF(ISBLANK(B494), "","ConceptScheme-493")</f>
        <v/>
      </c>
    </row>
    <row r="495" spans="1:1" x14ac:dyDescent="0.2">
      <c r="A495" t="str">
        <f>IF(ISBLANK(B495), "","ConceptScheme-494")</f>
        <v/>
      </c>
    </row>
    <row r="496" spans="1:1" x14ac:dyDescent="0.2">
      <c r="A496" t="str">
        <f>IF(ISBLANK(B496), "","ConceptScheme-495")</f>
        <v/>
      </c>
    </row>
    <row r="497" spans="1:1" x14ac:dyDescent="0.2">
      <c r="A497" t="str">
        <f>IF(ISBLANK(B497), "","ConceptScheme-496")</f>
        <v/>
      </c>
    </row>
    <row r="498" spans="1:1" x14ac:dyDescent="0.2">
      <c r="A498" t="str">
        <f>IF(ISBLANK(B498), "","ConceptScheme-497")</f>
        <v/>
      </c>
    </row>
    <row r="499" spans="1:1" x14ac:dyDescent="0.2">
      <c r="A499" t="str">
        <f>IF(ISBLANK(B499), "","ConceptScheme-498")</f>
        <v/>
      </c>
    </row>
    <row r="500" spans="1:1" x14ac:dyDescent="0.2">
      <c r="A500" t="str">
        <f>IF(ISBLANK(B500), "","ConceptScheme-499")</f>
        <v/>
      </c>
    </row>
    <row r="501" spans="1:1" x14ac:dyDescent="0.2">
      <c r="A501" t="str">
        <f>IF(ISBLANK(B501), "","ConceptScheme-500")</f>
        <v/>
      </c>
    </row>
    <row r="502" spans="1:1" x14ac:dyDescent="0.2">
      <c r="A502" t="str">
        <f>IF(ISBLANK(B502), "","ConceptScheme-501")</f>
        <v/>
      </c>
    </row>
    <row r="503" spans="1:1" x14ac:dyDescent="0.2">
      <c r="A503" t="str">
        <f>IF(ISBLANK(B503), "","ConceptScheme-502")</f>
        <v/>
      </c>
    </row>
    <row r="504" spans="1:1" x14ac:dyDescent="0.2">
      <c r="A504" t="str">
        <f>IF(ISBLANK(B504), "","ConceptScheme-503")</f>
        <v/>
      </c>
    </row>
    <row r="505" spans="1:1" x14ac:dyDescent="0.2">
      <c r="A505" t="str">
        <f>IF(ISBLANK(B505), "","ConceptScheme-504")</f>
        <v/>
      </c>
    </row>
    <row r="506" spans="1:1" x14ac:dyDescent="0.2">
      <c r="A506" t="str">
        <f>IF(ISBLANK(B506), "","ConceptScheme-505")</f>
        <v/>
      </c>
    </row>
    <row r="507" spans="1:1" x14ac:dyDescent="0.2">
      <c r="A507" t="str">
        <f>IF(ISBLANK(B507), "","ConceptScheme-506")</f>
        <v/>
      </c>
    </row>
    <row r="508" spans="1:1" x14ac:dyDescent="0.2">
      <c r="A508" t="str">
        <f>IF(ISBLANK(B508), "","ConceptScheme-507")</f>
        <v/>
      </c>
    </row>
    <row r="509" spans="1:1" x14ac:dyDescent="0.2">
      <c r="A509" t="str">
        <f>IF(ISBLANK(B509), "","ConceptScheme-508")</f>
        <v/>
      </c>
    </row>
    <row r="510" spans="1:1" x14ac:dyDescent="0.2">
      <c r="A510" t="str">
        <f>IF(ISBLANK(B510), "","ConceptScheme-509")</f>
        <v/>
      </c>
    </row>
    <row r="511" spans="1:1" x14ac:dyDescent="0.2">
      <c r="A511" t="str">
        <f>IF(ISBLANK(B511), "","ConceptScheme-510")</f>
        <v/>
      </c>
    </row>
    <row r="512" spans="1:1" x14ac:dyDescent="0.2">
      <c r="A512" t="str">
        <f>IF(ISBLANK(B512), "","ConceptScheme-511")</f>
        <v/>
      </c>
    </row>
    <row r="513" spans="1:1" x14ac:dyDescent="0.2">
      <c r="A513" t="str">
        <f>IF(ISBLANK(B513), "","ConceptScheme-512")</f>
        <v/>
      </c>
    </row>
    <row r="514" spans="1:1" x14ac:dyDescent="0.2">
      <c r="A514" t="str">
        <f>IF(ISBLANK(B514), "","ConceptScheme-513")</f>
        <v/>
      </c>
    </row>
    <row r="515" spans="1:1" x14ac:dyDescent="0.2">
      <c r="A515" t="str">
        <f>IF(ISBLANK(B515), "","ConceptScheme-514")</f>
        <v/>
      </c>
    </row>
    <row r="516" spans="1:1" x14ac:dyDescent="0.2">
      <c r="A516" t="str">
        <f>IF(ISBLANK(B516), "","ConceptScheme-515")</f>
        <v/>
      </c>
    </row>
    <row r="517" spans="1:1" x14ac:dyDescent="0.2">
      <c r="A517" t="str">
        <f>IF(ISBLANK(B517), "","ConceptScheme-516")</f>
        <v/>
      </c>
    </row>
    <row r="518" spans="1:1" x14ac:dyDescent="0.2">
      <c r="A518" t="str">
        <f>IF(ISBLANK(B518), "","ConceptScheme-517")</f>
        <v/>
      </c>
    </row>
    <row r="519" spans="1:1" x14ac:dyDescent="0.2">
      <c r="A519" t="str">
        <f>IF(ISBLANK(B519), "","ConceptScheme-518")</f>
        <v/>
      </c>
    </row>
    <row r="520" spans="1:1" x14ac:dyDescent="0.2">
      <c r="A520" t="str">
        <f>IF(ISBLANK(B520), "","ConceptScheme-519")</f>
        <v/>
      </c>
    </row>
    <row r="521" spans="1:1" x14ac:dyDescent="0.2">
      <c r="A521" t="str">
        <f>IF(ISBLANK(B521), "","ConceptScheme-520")</f>
        <v/>
      </c>
    </row>
    <row r="522" spans="1:1" x14ac:dyDescent="0.2">
      <c r="A522" t="str">
        <f>IF(ISBLANK(B522), "","ConceptScheme-521")</f>
        <v/>
      </c>
    </row>
    <row r="523" spans="1:1" x14ac:dyDescent="0.2">
      <c r="A523" t="str">
        <f>IF(ISBLANK(B523), "","ConceptScheme-522")</f>
        <v/>
      </c>
    </row>
    <row r="524" spans="1:1" x14ac:dyDescent="0.2">
      <c r="A524" t="str">
        <f>IF(ISBLANK(B524), "","ConceptScheme-523")</f>
        <v/>
      </c>
    </row>
    <row r="525" spans="1:1" x14ac:dyDescent="0.2">
      <c r="A525" t="str">
        <f>IF(ISBLANK(B525), "","ConceptScheme-524")</f>
        <v/>
      </c>
    </row>
    <row r="526" spans="1:1" x14ac:dyDescent="0.2">
      <c r="A526" t="str">
        <f>IF(ISBLANK(B526), "","ConceptScheme-525")</f>
        <v/>
      </c>
    </row>
    <row r="527" spans="1:1" x14ac:dyDescent="0.2">
      <c r="A527" t="str">
        <f>IF(ISBLANK(B527), "","ConceptScheme-526")</f>
        <v/>
      </c>
    </row>
    <row r="528" spans="1:1" x14ac:dyDescent="0.2">
      <c r="A528" t="str">
        <f>IF(ISBLANK(B528), "","ConceptScheme-527")</f>
        <v/>
      </c>
    </row>
    <row r="529" spans="1:1" x14ac:dyDescent="0.2">
      <c r="A529" t="str">
        <f>IF(ISBLANK(B529), "","ConceptScheme-528")</f>
        <v/>
      </c>
    </row>
    <row r="530" spans="1:1" x14ac:dyDescent="0.2">
      <c r="A530" t="str">
        <f>IF(ISBLANK(B530), "","ConceptScheme-529")</f>
        <v/>
      </c>
    </row>
    <row r="531" spans="1:1" x14ac:dyDescent="0.2">
      <c r="A531" t="str">
        <f>IF(ISBLANK(B531), "","ConceptScheme-530")</f>
        <v/>
      </c>
    </row>
    <row r="532" spans="1:1" x14ac:dyDescent="0.2">
      <c r="A532" t="str">
        <f>IF(ISBLANK(B532), "","ConceptScheme-531")</f>
        <v/>
      </c>
    </row>
    <row r="533" spans="1:1" x14ac:dyDescent="0.2">
      <c r="A533" t="str">
        <f>IF(ISBLANK(B533), "","ConceptScheme-532")</f>
        <v/>
      </c>
    </row>
    <row r="534" spans="1:1" x14ac:dyDescent="0.2">
      <c r="A534" t="str">
        <f>IF(ISBLANK(B534), "","ConceptScheme-533")</f>
        <v/>
      </c>
    </row>
    <row r="535" spans="1:1" x14ac:dyDescent="0.2">
      <c r="A535" t="str">
        <f>IF(ISBLANK(B535), "","ConceptScheme-534")</f>
        <v/>
      </c>
    </row>
    <row r="536" spans="1:1" x14ac:dyDescent="0.2">
      <c r="A536" t="str">
        <f>IF(ISBLANK(B536), "","ConceptScheme-535")</f>
        <v/>
      </c>
    </row>
    <row r="537" spans="1:1" x14ac:dyDescent="0.2">
      <c r="A537" t="str">
        <f>IF(ISBLANK(B537), "","ConceptScheme-536")</f>
        <v/>
      </c>
    </row>
    <row r="538" spans="1:1" x14ac:dyDescent="0.2">
      <c r="A538" t="str">
        <f>IF(ISBLANK(B538), "","ConceptScheme-537")</f>
        <v/>
      </c>
    </row>
    <row r="539" spans="1:1" x14ac:dyDescent="0.2">
      <c r="A539" t="str">
        <f>IF(ISBLANK(B539), "","ConceptScheme-538")</f>
        <v/>
      </c>
    </row>
    <row r="540" spans="1:1" x14ac:dyDescent="0.2">
      <c r="A540" t="str">
        <f>IF(ISBLANK(B540), "","ConceptScheme-539")</f>
        <v/>
      </c>
    </row>
    <row r="541" spans="1:1" x14ac:dyDescent="0.2">
      <c r="A541" t="str">
        <f>IF(ISBLANK(B541), "","ConceptScheme-540")</f>
        <v/>
      </c>
    </row>
    <row r="542" spans="1:1" x14ac:dyDescent="0.2">
      <c r="A542" t="str">
        <f>IF(ISBLANK(B542), "","ConceptScheme-541")</f>
        <v/>
      </c>
    </row>
    <row r="543" spans="1:1" x14ac:dyDescent="0.2">
      <c r="A543" t="str">
        <f>IF(ISBLANK(B543), "","ConceptScheme-542")</f>
        <v/>
      </c>
    </row>
    <row r="544" spans="1:1" x14ac:dyDescent="0.2">
      <c r="A544" t="str">
        <f>IF(ISBLANK(B544), "","ConceptScheme-543")</f>
        <v/>
      </c>
    </row>
    <row r="545" spans="1:1" x14ac:dyDescent="0.2">
      <c r="A545" t="str">
        <f>IF(ISBLANK(B545), "","ConceptScheme-544")</f>
        <v/>
      </c>
    </row>
    <row r="546" spans="1:1" x14ac:dyDescent="0.2">
      <c r="A546" t="str">
        <f>IF(ISBLANK(B546), "","ConceptScheme-545")</f>
        <v/>
      </c>
    </row>
    <row r="547" spans="1:1" x14ac:dyDescent="0.2">
      <c r="A547" t="str">
        <f>IF(ISBLANK(B547), "","ConceptScheme-546")</f>
        <v/>
      </c>
    </row>
    <row r="548" spans="1:1" x14ac:dyDescent="0.2">
      <c r="A548" t="str">
        <f>IF(ISBLANK(B548), "","ConceptScheme-547")</f>
        <v/>
      </c>
    </row>
    <row r="549" spans="1:1" x14ac:dyDescent="0.2">
      <c r="A549" t="str">
        <f>IF(ISBLANK(B549), "","ConceptScheme-548")</f>
        <v/>
      </c>
    </row>
    <row r="550" spans="1:1" x14ac:dyDescent="0.2">
      <c r="A550" t="str">
        <f>IF(ISBLANK(B550), "","ConceptScheme-549")</f>
        <v/>
      </c>
    </row>
    <row r="551" spans="1:1" x14ac:dyDescent="0.2">
      <c r="A551" t="str">
        <f>IF(ISBLANK(B551), "","ConceptScheme-550")</f>
        <v/>
      </c>
    </row>
    <row r="552" spans="1:1" x14ac:dyDescent="0.2">
      <c r="A552" t="str">
        <f>IF(ISBLANK(B552), "","ConceptScheme-551")</f>
        <v/>
      </c>
    </row>
    <row r="553" spans="1:1" x14ac:dyDescent="0.2">
      <c r="A553" t="str">
        <f>IF(ISBLANK(B553), "","ConceptScheme-552")</f>
        <v/>
      </c>
    </row>
    <row r="554" spans="1:1" x14ac:dyDescent="0.2">
      <c r="A554" t="str">
        <f>IF(ISBLANK(B554), "","ConceptScheme-553")</f>
        <v/>
      </c>
    </row>
    <row r="555" spans="1:1" x14ac:dyDescent="0.2">
      <c r="A555" t="str">
        <f>IF(ISBLANK(B555), "","ConceptScheme-554")</f>
        <v/>
      </c>
    </row>
    <row r="556" spans="1:1" x14ac:dyDescent="0.2">
      <c r="A556" t="str">
        <f>IF(ISBLANK(B556), "","ConceptScheme-555")</f>
        <v/>
      </c>
    </row>
    <row r="557" spans="1:1" x14ac:dyDescent="0.2">
      <c r="A557" t="str">
        <f>IF(ISBLANK(B557), "","ConceptScheme-556")</f>
        <v/>
      </c>
    </row>
    <row r="558" spans="1:1" x14ac:dyDescent="0.2">
      <c r="A558" t="str">
        <f>IF(ISBLANK(B558), "","ConceptScheme-557")</f>
        <v/>
      </c>
    </row>
    <row r="559" spans="1:1" x14ac:dyDescent="0.2">
      <c r="A559" t="str">
        <f>IF(ISBLANK(B559), "","ConceptScheme-558")</f>
        <v/>
      </c>
    </row>
    <row r="560" spans="1:1" x14ac:dyDescent="0.2">
      <c r="A560" t="str">
        <f>IF(ISBLANK(B560), "","ConceptScheme-559")</f>
        <v/>
      </c>
    </row>
    <row r="561" spans="1:1" x14ac:dyDescent="0.2">
      <c r="A561" t="str">
        <f>IF(ISBLANK(B561), "","ConceptScheme-560")</f>
        <v/>
      </c>
    </row>
    <row r="562" spans="1:1" x14ac:dyDescent="0.2">
      <c r="A562" t="str">
        <f>IF(ISBLANK(B562), "","ConceptScheme-561")</f>
        <v/>
      </c>
    </row>
    <row r="563" spans="1:1" x14ac:dyDescent="0.2">
      <c r="A563" t="str">
        <f>IF(ISBLANK(B563), "","ConceptScheme-562")</f>
        <v/>
      </c>
    </row>
    <row r="564" spans="1:1" x14ac:dyDescent="0.2">
      <c r="A564" t="str">
        <f>IF(ISBLANK(B564), "","ConceptScheme-563")</f>
        <v/>
      </c>
    </row>
    <row r="565" spans="1:1" x14ac:dyDescent="0.2">
      <c r="A565" t="str">
        <f>IF(ISBLANK(B565), "","ConceptScheme-564")</f>
        <v/>
      </c>
    </row>
    <row r="566" spans="1:1" x14ac:dyDescent="0.2">
      <c r="A566" t="str">
        <f>IF(ISBLANK(B566), "","ConceptScheme-565")</f>
        <v/>
      </c>
    </row>
    <row r="567" spans="1:1" x14ac:dyDescent="0.2">
      <c r="A567" t="str">
        <f>IF(ISBLANK(B567), "","ConceptScheme-566")</f>
        <v/>
      </c>
    </row>
    <row r="568" spans="1:1" x14ac:dyDescent="0.2">
      <c r="A568" t="str">
        <f>IF(ISBLANK(B568), "","ConceptScheme-567")</f>
        <v/>
      </c>
    </row>
    <row r="569" spans="1:1" x14ac:dyDescent="0.2">
      <c r="A569" t="str">
        <f>IF(ISBLANK(B569), "","ConceptScheme-568")</f>
        <v/>
      </c>
    </row>
    <row r="570" spans="1:1" x14ac:dyDescent="0.2">
      <c r="A570" t="str">
        <f>IF(ISBLANK(B570), "","ConceptScheme-569")</f>
        <v/>
      </c>
    </row>
    <row r="571" spans="1:1" x14ac:dyDescent="0.2">
      <c r="A571" t="str">
        <f>IF(ISBLANK(B571), "","ConceptScheme-570")</f>
        <v/>
      </c>
    </row>
    <row r="572" spans="1:1" x14ac:dyDescent="0.2">
      <c r="A572" t="str">
        <f>IF(ISBLANK(B572), "","ConceptScheme-571")</f>
        <v/>
      </c>
    </row>
    <row r="573" spans="1:1" x14ac:dyDescent="0.2">
      <c r="A573" t="str">
        <f>IF(ISBLANK(B573), "","ConceptScheme-572")</f>
        <v/>
      </c>
    </row>
    <row r="574" spans="1:1" x14ac:dyDescent="0.2">
      <c r="A574" t="str">
        <f>IF(ISBLANK(B574), "","ConceptScheme-573")</f>
        <v/>
      </c>
    </row>
    <row r="575" spans="1:1" x14ac:dyDescent="0.2">
      <c r="A575" t="str">
        <f>IF(ISBLANK(B575), "","ConceptScheme-574")</f>
        <v/>
      </c>
    </row>
    <row r="576" spans="1:1" x14ac:dyDescent="0.2">
      <c r="A576" t="str">
        <f>IF(ISBLANK(B576), "","ConceptScheme-575")</f>
        <v/>
      </c>
    </row>
    <row r="577" spans="1:1" x14ac:dyDescent="0.2">
      <c r="A577" t="str">
        <f>IF(ISBLANK(B577), "","ConceptScheme-576")</f>
        <v/>
      </c>
    </row>
    <row r="578" spans="1:1" x14ac:dyDescent="0.2">
      <c r="A578" t="str">
        <f>IF(ISBLANK(B578), "","ConceptScheme-577")</f>
        <v/>
      </c>
    </row>
    <row r="579" spans="1:1" x14ac:dyDescent="0.2">
      <c r="A579" t="str">
        <f>IF(ISBLANK(B579), "","ConceptScheme-578")</f>
        <v/>
      </c>
    </row>
    <row r="580" spans="1:1" x14ac:dyDescent="0.2">
      <c r="A580" t="str">
        <f>IF(ISBLANK(B580), "","ConceptScheme-579")</f>
        <v/>
      </c>
    </row>
    <row r="581" spans="1:1" x14ac:dyDescent="0.2">
      <c r="A581" t="str">
        <f>IF(ISBLANK(B581), "","ConceptScheme-580")</f>
        <v/>
      </c>
    </row>
    <row r="582" spans="1:1" x14ac:dyDescent="0.2">
      <c r="A582" t="str">
        <f>IF(ISBLANK(B582), "","ConceptScheme-581")</f>
        <v/>
      </c>
    </row>
    <row r="583" spans="1:1" x14ac:dyDescent="0.2">
      <c r="A583" t="str">
        <f>IF(ISBLANK(B583), "","ConceptScheme-582")</f>
        <v/>
      </c>
    </row>
    <row r="584" spans="1:1" x14ac:dyDescent="0.2">
      <c r="A584" t="str">
        <f>IF(ISBLANK(B584), "","ConceptScheme-583")</f>
        <v/>
      </c>
    </row>
    <row r="585" spans="1:1" x14ac:dyDescent="0.2">
      <c r="A585" t="str">
        <f>IF(ISBLANK(B585), "","ConceptScheme-584")</f>
        <v/>
      </c>
    </row>
    <row r="586" spans="1:1" x14ac:dyDescent="0.2">
      <c r="A586" t="str">
        <f>IF(ISBLANK(B586), "","ConceptScheme-585")</f>
        <v/>
      </c>
    </row>
    <row r="587" spans="1:1" x14ac:dyDescent="0.2">
      <c r="A587" t="str">
        <f>IF(ISBLANK(B587), "","ConceptScheme-586")</f>
        <v/>
      </c>
    </row>
    <row r="588" spans="1:1" x14ac:dyDescent="0.2">
      <c r="A588" t="str">
        <f>IF(ISBLANK(B588), "","ConceptScheme-587")</f>
        <v/>
      </c>
    </row>
    <row r="589" spans="1:1" x14ac:dyDescent="0.2">
      <c r="A589" t="str">
        <f>IF(ISBLANK(B589), "","ConceptScheme-588")</f>
        <v/>
      </c>
    </row>
    <row r="590" spans="1:1" x14ac:dyDescent="0.2">
      <c r="A590" t="str">
        <f>IF(ISBLANK(B590), "","ConceptScheme-589")</f>
        <v/>
      </c>
    </row>
    <row r="591" spans="1:1" x14ac:dyDescent="0.2">
      <c r="A591" t="str">
        <f>IF(ISBLANK(B591), "","ConceptScheme-590")</f>
        <v/>
      </c>
    </row>
    <row r="592" spans="1:1" x14ac:dyDescent="0.2">
      <c r="A592" t="str">
        <f>IF(ISBLANK(B592), "","ConceptScheme-591")</f>
        <v/>
      </c>
    </row>
    <row r="593" spans="1:1" x14ac:dyDescent="0.2">
      <c r="A593" t="str">
        <f>IF(ISBLANK(B593), "","ConceptScheme-592")</f>
        <v/>
      </c>
    </row>
    <row r="594" spans="1:1" x14ac:dyDescent="0.2">
      <c r="A594" t="str">
        <f>IF(ISBLANK(B594), "","ConceptScheme-593")</f>
        <v/>
      </c>
    </row>
    <row r="595" spans="1:1" x14ac:dyDescent="0.2">
      <c r="A595" t="str">
        <f>IF(ISBLANK(B595), "","ConceptScheme-594")</f>
        <v/>
      </c>
    </row>
    <row r="596" spans="1:1" x14ac:dyDescent="0.2">
      <c r="A596" t="str">
        <f>IF(ISBLANK(B596), "","ConceptScheme-595")</f>
        <v/>
      </c>
    </row>
    <row r="597" spans="1:1" x14ac:dyDescent="0.2">
      <c r="A597" t="str">
        <f>IF(ISBLANK(B597), "","ConceptScheme-596")</f>
        <v/>
      </c>
    </row>
    <row r="598" spans="1:1" x14ac:dyDescent="0.2">
      <c r="A598" t="str">
        <f>IF(ISBLANK(B598), "","ConceptScheme-597")</f>
        <v/>
      </c>
    </row>
    <row r="599" spans="1:1" x14ac:dyDescent="0.2">
      <c r="A599" t="str">
        <f>IF(ISBLANK(B599), "","ConceptScheme-598")</f>
        <v/>
      </c>
    </row>
    <row r="600" spans="1:1" x14ac:dyDescent="0.2">
      <c r="A600" t="str">
        <f>IF(ISBLANK(B600), "","ConceptScheme-599")</f>
        <v/>
      </c>
    </row>
    <row r="601" spans="1:1" x14ac:dyDescent="0.2">
      <c r="A601" t="str">
        <f>IF(ISBLANK(B601), "","ConceptScheme-600")</f>
        <v/>
      </c>
    </row>
    <row r="602" spans="1:1" x14ac:dyDescent="0.2">
      <c r="A602" t="str">
        <f>IF(ISBLANK(B602), "","ConceptScheme-601")</f>
        <v/>
      </c>
    </row>
    <row r="603" spans="1:1" x14ac:dyDescent="0.2">
      <c r="A603" t="str">
        <f>IF(ISBLANK(B603), "","ConceptScheme-602")</f>
        <v/>
      </c>
    </row>
    <row r="604" spans="1:1" x14ac:dyDescent="0.2">
      <c r="A604" t="str">
        <f>IF(ISBLANK(B604), "","ConceptScheme-603")</f>
        <v/>
      </c>
    </row>
    <row r="605" spans="1:1" x14ac:dyDescent="0.2">
      <c r="A605" t="str">
        <f>IF(ISBLANK(B605), "","ConceptScheme-604")</f>
        <v/>
      </c>
    </row>
    <row r="606" spans="1:1" x14ac:dyDescent="0.2">
      <c r="A606" t="str">
        <f>IF(ISBLANK(B606), "","ConceptScheme-605")</f>
        <v/>
      </c>
    </row>
    <row r="607" spans="1:1" x14ac:dyDescent="0.2">
      <c r="A607" t="str">
        <f>IF(ISBLANK(B607), "","ConceptScheme-606")</f>
        <v/>
      </c>
    </row>
    <row r="608" spans="1:1" x14ac:dyDescent="0.2">
      <c r="A608" t="str">
        <f>IF(ISBLANK(B608), "","ConceptScheme-607")</f>
        <v/>
      </c>
    </row>
    <row r="609" spans="1:1" x14ac:dyDescent="0.2">
      <c r="A609" t="str">
        <f>IF(ISBLANK(B609), "","ConceptScheme-608")</f>
        <v/>
      </c>
    </row>
    <row r="610" spans="1:1" x14ac:dyDescent="0.2">
      <c r="A610" t="str">
        <f>IF(ISBLANK(B610), "","ConceptScheme-609")</f>
        <v/>
      </c>
    </row>
    <row r="611" spans="1:1" x14ac:dyDescent="0.2">
      <c r="A611" t="str">
        <f>IF(ISBLANK(B611), "","ConceptScheme-610")</f>
        <v/>
      </c>
    </row>
    <row r="612" spans="1:1" x14ac:dyDescent="0.2">
      <c r="A612" t="str">
        <f>IF(ISBLANK(B612), "","ConceptScheme-611")</f>
        <v/>
      </c>
    </row>
    <row r="613" spans="1:1" x14ac:dyDescent="0.2">
      <c r="A613" t="str">
        <f>IF(ISBLANK(B613), "","ConceptScheme-612")</f>
        <v/>
      </c>
    </row>
    <row r="614" spans="1:1" x14ac:dyDescent="0.2">
      <c r="A614" t="str">
        <f>IF(ISBLANK(B614), "","ConceptScheme-613")</f>
        <v/>
      </c>
    </row>
    <row r="615" spans="1:1" x14ac:dyDescent="0.2">
      <c r="A615" t="str">
        <f>IF(ISBLANK(B615), "","ConceptScheme-614")</f>
        <v/>
      </c>
    </row>
    <row r="616" spans="1:1" x14ac:dyDescent="0.2">
      <c r="A616" t="str">
        <f>IF(ISBLANK(B616), "","ConceptScheme-615")</f>
        <v/>
      </c>
    </row>
    <row r="617" spans="1:1" x14ac:dyDescent="0.2">
      <c r="A617" t="str">
        <f>IF(ISBLANK(B617), "","ConceptScheme-616")</f>
        <v/>
      </c>
    </row>
    <row r="618" spans="1:1" x14ac:dyDescent="0.2">
      <c r="A618" t="str">
        <f>IF(ISBLANK(B618), "","ConceptScheme-617")</f>
        <v/>
      </c>
    </row>
    <row r="619" spans="1:1" x14ac:dyDescent="0.2">
      <c r="A619" t="str">
        <f>IF(ISBLANK(B619), "","ConceptScheme-618")</f>
        <v/>
      </c>
    </row>
    <row r="620" spans="1:1" x14ac:dyDescent="0.2">
      <c r="A620" t="str">
        <f>IF(ISBLANK(B620), "","ConceptScheme-619")</f>
        <v/>
      </c>
    </row>
    <row r="621" spans="1:1" x14ac:dyDescent="0.2">
      <c r="A621" t="str">
        <f>IF(ISBLANK(B621), "","ConceptScheme-620")</f>
        <v/>
      </c>
    </row>
    <row r="622" spans="1:1" x14ac:dyDescent="0.2">
      <c r="A622" t="str">
        <f>IF(ISBLANK(B622), "","ConceptScheme-621")</f>
        <v/>
      </c>
    </row>
    <row r="623" spans="1:1" x14ac:dyDescent="0.2">
      <c r="A623" t="str">
        <f>IF(ISBLANK(B623), "","ConceptScheme-622")</f>
        <v/>
      </c>
    </row>
    <row r="624" spans="1:1" x14ac:dyDescent="0.2">
      <c r="A624" t="str">
        <f>IF(ISBLANK(B624), "","ConceptScheme-623")</f>
        <v/>
      </c>
    </row>
    <row r="625" spans="1:1" x14ac:dyDescent="0.2">
      <c r="A625" t="str">
        <f>IF(ISBLANK(B625), "","ConceptScheme-624")</f>
        <v/>
      </c>
    </row>
    <row r="626" spans="1:1" x14ac:dyDescent="0.2">
      <c r="A626" t="str">
        <f>IF(ISBLANK(B626), "","ConceptScheme-625")</f>
        <v/>
      </c>
    </row>
    <row r="627" spans="1:1" x14ac:dyDescent="0.2">
      <c r="A627" t="str">
        <f>IF(ISBLANK(B627), "","ConceptScheme-626")</f>
        <v/>
      </c>
    </row>
    <row r="628" spans="1:1" x14ac:dyDescent="0.2">
      <c r="A628" t="str">
        <f>IF(ISBLANK(B628), "","ConceptScheme-627")</f>
        <v/>
      </c>
    </row>
    <row r="629" spans="1:1" x14ac:dyDescent="0.2">
      <c r="A629" t="str">
        <f>IF(ISBLANK(B629), "","ConceptScheme-628")</f>
        <v/>
      </c>
    </row>
    <row r="630" spans="1:1" x14ac:dyDescent="0.2">
      <c r="A630" t="str">
        <f>IF(ISBLANK(B630), "","ConceptScheme-629")</f>
        <v/>
      </c>
    </row>
    <row r="631" spans="1:1" x14ac:dyDescent="0.2">
      <c r="A631" t="str">
        <f>IF(ISBLANK(B631), "","ConceptScheme-630")</f>
        <v/>
      </c>
    </row>
    <row r="632" spans="1:1" x14ac:dyDescent="0.2">
      <c r="A632" t="str">
        <f>IF(ISBLANK(B632), "","ConceptScheme-631")</f>
        <v/>
      </c>
    </row>
    <row r="633" spans="1:1" x14ac:dyDescent="0.2">
      <c r="A633" t="str">
        <f>IF(ISBLANK(B633), "","ConceptScheme-632")</f>
        <v/>
      </c>
    </row>
    <row r="634" spans="1:1" x14ac:dyDescent="0.2">
      <c r="A634" t="str">
        <f>IF(ISBLANK(B634), "","ConceptScheme-633")</f>
        <v/>
      </c>
    </row>
    <row r="635" spans="1:1" x14ac:dyDescent="0.2">
      <c r="A635" t="str">
        <f>IF(ISBLANK(B635), "","ConceptScheme-634")</f>
        <v/>
      </c>
    </row>
    <row r="636" spans="1:1" x14ac:dyDescent="0.2">
      <c r="A636" t="str">
        <f>IF(ISBLANK(B636), "","ConceptScheme-635")</f>
        <v/>
      </c>
    </row>
    <row r="637" spans="1:1" x14ac:dyDescent="0.2">
      <c r="A637" t="str">
        <f>IF(ISBLANK(B637), "","ConceptScheme-636")</f>
        <v/>
      </c>
    </row>
    <row r="638" spans="1:1" x14ac:dyDescent="0.2">
      <c r="A638" t="str">
        <f>IF(ISBLANK(B638), "","ConceptScheme-637")</f>
        <v/>
      </c>
    </row>
    <row r="639" spans="1:1" x14ac:dyDescent="0.2">
      <c r="A639" t="str">
        <f>IF(ISBLANK(B639), "","ConceptScheme-638")</f>
        <v/>
      </c>
    </row>
    <row r="640" spans="1:1" x14ac:dyDescent="0.2">
      <c r="A640" t="str">
        <f>IF(ISBLANK(B640), "","ConceptScheme-639")</f>
        <v/>
      </c>
    </row>
    <row r="641" spans="1:1" x14ac:dyDescent="0.2">
      <c r="A641" t="str">
        <f>IF(ISBLANK(B641), "","ConceptScheme-640")</f>
        <v/>
      </c>
    </row>
    <row r="642" spans="1:1" x14ac:dyDescent="0.2">
      <c r="A642" t="str">
        <f>IF(ISBLANK(B642), "","ConceptScheme-641")</f>
        <v/>
      </c>
    </row>
    <row r="643" spans="1:1" x14ac:dyDescent="0.2">
      <c r="A643" t="str">
        <f>IF(ISBLANK(B643), "","ConceptScheme-642")</f>
        <v/>
      </c>
    </row>
    <row r="644" spans="1:1" x14ac:dyDescent="0.2">
      <c r="A644" t="str">
        <f>IF(ISBLANK(B644), "","ConceptScheme-643")</f>
        <v/>
      </c>
    </row>
    <row r="645" spans="1:1" x14ac:dyDescent="0.2">
      <c r="A645" t="str">
        <f>IF(ISBLANK(B645), "","ConceptScheme-644")</f>
        <v/>
      </c>
    </row>
    <row r="646" spans="1:1" x14ac:dyDescent="0.2">
      <c r="A646" t="str">
        <f>IF(ISBLANK(B646), "","ConceptScheme-645")</f>
        <v/>
      </c>
    </row>
    <row r="647" spans="1:1" x14ac:dyDescent="0.2">
      <c r="A647" t="str">
        <f>IF(ISBLANK(B647), "","ConceptScheme-646")</f>
        <v/>
      </c>
    </row>
    <row r="648" spans="1:1" x14ac:dyDescent="0.2">
      <c r="A648" t="str">
        <f>IF(ISBLANK(B648), "","ConceptScheme-647")</f>
        <v/>
      </c>
    </row>
    <row r="649" spans="1:1" x14ac:dyDescent="0.2">
      <c r="A649" t="str">
        <f>IF(ISBLANK(B649), "","ConceptScheme-648")</f>
        <v/>
      </c>
    </row>
    <row r="650" spans="1:1" x14ac:dyDescent="0.2">
      <c r="A650" t="str">
        <f>IF(ISBLANK(B650), "","ConceptScheme-649")</f>
        <v/>
      </c>
    </row>
    <row r="651" spans="1:1" x14ac:dyDescent="0.2">
      <c r="A651" t="str">
        <f>IF(ISBLANK(B651), "","ConceptScheme-650")</f>
        <v/>
      </c>
    </row>
    <row r="652" spans="1:1" x14ac:dyDescent="0.2">
      <c r="A652" t="str">
        <f>IF(ISBLANK(B652), "","ConceptScheme-651")</f>
        <v/>
      </c>
    </row>
    <row r="653" spans="1:1" x14ac:dyDescent="0.2">
      <c r="A653" t="str">
        <f>IF(ISBLANK(B653), "","ConceptScheme-652")</f>
        <v/>
      </c>
    </row>
    <row r="654" spans="1:1" x14ac:dyDescent="0.2">
      <c r="A654" t="str">
        <f>IF(ISBLANK(B654), "","ConceptScheme-653")</f>
        <v/>
      </c>
    </row>
    <row r="655" spans="1:1" x14ac:dyDescent="0.2">
      <c r="A655" t="str">
        <f>IF(ISBLANK(B655), "","ConceptScheme-654")</f>
        <v/>
      </c>
    </row>
    <row r="656" spans="1:1" x14ac:dyDescent="0.2">
      <c r="A656" t="str">
        <f>IF(ISBLANK(B656), "","ConceptScheme-655")</f>
        <v/>
      </c>
    </row>
    <row r="657" spans="1:1" x14ac:dyDescent="0.2">
      <c r="A657" t="str">
        <f>IF(ISBLANK(B657), "","ConceptScheme-656")</f>
        <v/>
      </c>
    </row>
    <row r="658" spans="1:1" x14ac:dyDescent="0.2">
      <c r="A658" t="str">
        <f>IF(ISBLANK(B658), "","ConceptScheme-657")</f>
        <v/>
      </c>
    </row>
    <row r="659" spans="1:1" x14ac:dyDescent="0.2">
      <c r="A659" t="str">
        <f>IF(ISBLANK(B659), "","ConceptScheme-658")</f>
        <v/>
      </c>
    </row>
    <row r="660" spans="1:1" x14ac:dyDescent="0.2">
      <c r="A660" t="str">
        <f>IF(ISBLANK(B660), "","ConceptScheme-659")</f>
        <v/>
      </c>
    </row>
    <row r="661" spans="1:1" x14ac:dyDescent="0.2">
      <c r="A661" t="str">
        <f>IF(ISBLANK(B661), "","ConceptScheme-660")</f>
        <v/>
      </c>
    </row>
    <row r="662" spans="1:1" x14ac:dyDescent="0.2">
      <c r="A662" t="str">
        <f>IF(ISBLANK(B662), "","ConceptScheme-661")</f>
        <v/>
      </c>
    </row>
    <row r="663" spans="1:1" x14ac:dyDescent="0.2">
      <c r="A663" t="str">
        <f>IF(ISBLANK(B663), "","ConceptScheme-662")</f>
        <v/>
      </c>
    </row>
    <row r="664" spans="1:1" x14ac:dyDescent="0.2">
      <c r="A664" t="str">
        <f>IF(ISBLANK(B664), "","ConceptScheme-663")</f>
        <v/>
      </c>
    </row>
    <row r="665" spans="1:1" x14ac:dyDescent="0.2">
      <c r="A665" t="str">
        <f>IF(ISBLANK(B665), "","ConceptScheme-664")</f>
        <v/>
      </c>
    </row>
    <row r="666" spans="1:1" x14ac:dyDescent="0.2">
      <c r="A666" t="str">
        <f>IF(ISBLANK(B666), "","ConceptScheme-665")</f>
        <v/>
      </c>
    </row>
    <row r="667" spans="1:1" x14ac:dyDescent="0.2">
      <c r="A667" t="str">
        <f>IF(ISBLANK(B667), "","ConceptScheme-666")</f>
        <v/>
      </c>
    </row>
    <row r="668" spans="1:1" x14ac:dyDescent="0.2">
      <c r="A668" t="str">
        <f>IF(ISBLANK(B668), "","ConceptScheme-667")</f>
        <v/>
      </c>
    </row>
    <row r="669" spans="1:1" x14ac:dyDescent="0.2">
      <c r="A669" t="str">
        <f>IF(ISBLANK(B669), "","ConceptScheme-668")</f>
        <v/>
      </c>
    </row>
    <row r="670" spans="1:1" x14ac:dyDescent="0.2">
      <c r="A670" t="str">
        <f>IF(ISBLANK(B670), "","ConceptScheme-669")</f>
        <v/>
      </c>
    </row>
    <row r="671" spans="1:1" x14ac:dyDescent="0.2">
      <c r="A671" t="str">
        <f>IF(ISBLANK(B671), "","ConceptScheme-670")</f>
        <v/>
      </c>
    </row>
    <row r="672" spans="1:1" x14ac:dyDescent="0.2">
      <c r="A672" t="str">
        <f>IF(ISBLANK(B672), "","ConceptScheme-671")</f>
        <v/>
      </c>
    </row>
    <row r="673" spans="1:1" x14ac:dyDescent="0.2">
      <c r="A673" t="str">
        <f>IF(ISBLANK(B673), "","ConceptScheme-672")</f>
        <v/>
      </c>
    </row>
    <row r="674" spans="1:1" x14ac:dyDescent="0.2">
      <c r="A674" t="str">
        <f>IF(ISBLANK(B674), "","ConceptScheme-673")</f>
        <v/>
      </c>
    </row>
    <row r="675" spans="1:1" x14ac:dyDescent="0.2">
      <c r="A675" t="str">
        <f>IF(ISBLANK(B675), "","ConceptScheme-674")</f>
        <v/>
      </c>
    </row>
    <row r="676" spans="1:1" x14ac:dyDescent="0.2">
      <c r="A676" t="str">
        <f>IF(ISBLANK(B676), "","ConceptScheme-675")</f>
        <v/>
      </c>
    </row>
    <row r="677" spans="1:1" x14ac:dyDescent="0.2">
      <c r="A677" t="str">
        <f>IF(ISBLANK(B677), "","ConceptScheme-676")</f>
        <v/>
      </c>
    </row>
    <row r="678" spans="1:1" x14ac:dyDescent="0.2">
      <c r="A678" t="str">
        <f>IF(ISBLANK(B678), "","ConceptScheme-677")</f>
        <v/>
      </c>
    </row>
    <row r="679" spans="1:1" x14ac:dyDescent="0.2">
      <c r="A679" t="str">
        <f>IF(ISBLANK(B679), "","ConceptScheme-678")</f>
        <v/>
      </c>
    </row>
    <row r="680" spans="1:1" x14ac:dyDescent="0.2">
      <c r="A680" t="str">
        <f>IF(ISBLANK(B680), "","ConceptScheme-679")</f>
        <v/>
      </c>
    </row>
    <row r="681" spans="1:1" x14ac:dyDescent="0.2">
      <c r="A681" t="str">
        <f>IF(ISBLANK(B681), "","ConceptScheme-680")</f>
        <v/>
      </c>
    </row>
    <row r="682" spans="1:1" x14ac:dyDescent="0.2">
      <c r="A682" t="str">
        <f>IF(ISBLANK(B682), "","ConceptScheme-681")</f>
        <v/>
      </c>
    </row>
    <row r="683" spans="1:1" x14ac:dyDescent="0.2">
      <c r="A683" t="str">
        <f>IF(ISBLANK(B683), "","ConceptScheme-682")</f>
        <v/>
      </c>
    </row>
    <row r="684" spans="1:1" x14ac:dyDescent="0.2">
      <c r="A684" t="str">
        <f>IF(ISBLANK(B684), "","ConceptScheme-683")</f>
        <v/>
      </c>
    </row>
    <row r="685" spans="1:1" x14ac:dyDescent="0.2">
      <c r="A685" t="str">
        <f>IF(ISBLANK(B685), "","ConceptScheme-684")</f>
        <v/>
      </c>
    </row>
    <row r="686" spans="1:1" x14ac:dyDescent="0.2">
      <c r="A686" t="str">
        <f>IF(ISBLANK(B686), "","ConceptScheme-685")</f>
        <v/>
      </c>
    </row>
    <row r="687" spans="1:1" x14ac:dyDescent="0.2">
      <c r="A687" t="str">
        <f>IF(ISBLANK(B687), "","ConceptScheme-686")</f>
        <v/>
      </c>
    </row>
    <row r="688" spans="1:1" x14ac:dyDescent="0.2">
      <c r="A688" t="str">
        <f>IF(ISBLANK(B688), "","ConceptScheme-687")</f>
        <v/>
      </c>
    </row>
    <row r="689" spans="1:1" x14ac:dyDescent="0.2">
      <c r="A689" t="str">
        <f>IF(ISBLANK(B689), "","ConceptScheme-688")</f>
        <v/>
      </c>
    </row>
    <row r="690" spans="1:1" x14ac:dyDescent="0.2">
      <c r="A690" t="str">
        <f>IF(ISBLANK(B690), "","ConceptScheme-689")</f>
        <v/>
      </c>
    </row>
    <row r="691" spans="1:1" x14ac:dyDescent="0.2">
      <c r="A691" t="str">
        <f>IF(ISBLANK(B691), "","ConceptScheme-690")</f>
        <v/>
      </c>
    </row>
    <row r="692" spans="1:1" x14ac:dyDescent="0.2">
      <c r="A692" t="str">
        <f>IF(ISBLANK(B692), "","ConceptScheme-691")</f>
        <v/>
      </c>
    </row>
    <row r="693" spans="1:1" x14ac:dyDescent="0.2">
      <c r="A693" t="str">
        <f>IF(ISBLANK(B693), "","ConceptScheme-692")</f>
        <v/>
      </c>
    </row>
    <row r="694" spans="1:1" x14ac:dyDescent="0.2">
      <c r="A694" t="str">
        <f>IF(ISBLANK(B694), "","ConceptScheme-693")</f>
        <v/>
      </c>
    </row>
    <row r="695" spans="1:1" x14ac:dyDescent="0.2">
      <c r="A695" t="str">
        <f>IF(ISBLANK(B695), "","ConceptScheme-694")</f>
        <v/>
      </c>
    </row>
    <row r="696" spans="1:1" x14ac:dyDescent="0.2">
      <c r="A696" t="str">
        <f>IF(ISBLANK(B696), "","ConceptScheme-695")</f>
        <v/>
      </c>
    </row>
    <row r="697" spans="1:1" x14ac:dyDescent="0.2">
      <c r="A697" t="str">
        <f>IF(ISBLANK(B697), "","ConceptScheme-696")</f>
        <v/>
      </c>
    </row>
    <row r="698" spans="1:1" x14ac:dyDescent="0.2">
      <c r="A698" t="str">
        <f>IF(ISBLANK(B698), "","ConceptScheme-697")</f>
        <v/>
      </c>
    </row>
    <row r="699" spans="1:1" x14ac:dyDescent="0.2">
      <c r="A699" t="str">
        <f>IF(ISBLANK(B699), "","ConceptScheme-698")</f>
        <v/>
      </c>
    </row>
    <row r="700" spans="1:1" x14ac:dyDescent="0.2">
      <c r="A700" t="str">
        <f>IF(ISBLANK(B700), "","ConceptScheme-699")</f>
        <v/>
      </c>
    </row>
    <row r="701" spans="1:1" x14ac:dyDescent="0.2">
      <c r="A701" t="str">
        <f>IF(ISBLANK(B701), "","ConceptScheme-700")</f>
        <v/>
      </c>
    </row>
    <row r="702" spans="1:1" x14ac:dyDescent="0.2">
      <c r="A702" t="str">
        <f>IF(ISBLANK(B702), "","ConceptScheme-701")</f>
        <v/>
      </c>
    </row>
    <row r="703" spans="1:1" x14ac:dyDescent="0.2">
      <c r="A703" t="str">
        <f>IF(ISBLANK(B703), "","ConceptScheme-702")</f>
        <v/>
      </c>
    </row>
    <row r="704" spans="1:1" x14ac:dyDescent="0.2">
      <c r="A704" t="str">
        <f>IF(ISBLANK(B704), "","ConceptScheme-703")</f>
        <v/>
      </c>
    </row>
    <row r="705" spans="1:1" x14ac:dyDescent="0.2">
      <c r="A705" t="str">
        <f>IF(ISBLANK(B705), "","ConceptScheme-704")</f>
        <v/>
      </c>
    </row>
    <row r="706" spans="1:1" x14ac:dyDescent="0.2">
      <c r="A706" t="str">
        <f>IF(ISBLANK(B706), "","ConceptScheme-705")</f>
        <v/>
      </c>
    </row>
    <row r="707" spans="1:1" x14ac:dyDescent="0.2">
      <c r="A707" t="str">
        <f>IF(ISBLANK(B707), "","ConceptScheme-706")</f>
        <v/>
      </c>
    </row>
    <row r="708" spans="1:1" x14ac:dyDescent="0.2">
      <c r="A708" t="str">
        <f>IF(ISBLANK(B708), "","ConceptScheme-707")</f>
        <v/>
      </c>
    </row>
    <row r="709" spans="1:1" x14ac:dyDescent="0.2">
      <c r="A709" t="str">
        <f>IF(ISBLANK(B709), "","ConceptScheme-708")</f>
        <v/>
      </c>
    </row>
    <row r="710" spans="1:1" x14ac:dyDescent="0.2">
      <c r="A710" t="str">
        <f>IF(ISBLANK(B710), "","ConceptScheme-709")</f>
        <v/>
      </c>
    </row>
    <row r="711" spans="1:1" x14ac:dyDescent="0.2">
      <c r="A711" t="str">
        <f>IF(ISBLANK(B711), "","ConceptScheme-710")</f>
        <v/>
      </c>
    </row>
    <row r="712" spans="1:1" x14ac:dyDescent="0.2">
      <c r="A712" t="str">
        <f>IF(ISBLANK(B712), "","ConceptScheme-711")</f>
        <v/>
      </c>
    </row>
    <row r="713" spans="1:1" x14ac:dyDescent="0.2">
      <c r="A713" t="str">
        <f>IF(ISBLANK(B713), "","ConceptScheme-712")</f>
        <v/>
      </c>
    </row>
    <row r="714" spans="1:1" x14ac:dyDescent="0.2">
      <c r="A714" t="str">
        <f>IF(ISBLANK(B714), "","ConceptScheme-713")</f>
        <v/>
      </c>
    </row>
    <row r="715" spans="1:1" x14ac:dyDescent="0.2">
      <c r="A715" t="str">
        <f>IF(ISBLANK(B715), "","ConceptScheme-714")</f>
        <v/>
      </c>
    </row>
    <row r="716" spans="1:1" x14ac:dyDescent="0.2">
      <c r="A716" t="str">
        <f>IF(ISBLANK(B716), "","ConceptScheme-715")</f>
        <v/>
      </c>
    </row>
    <row r="717" spans="1:1" x14ac:dyDescent="0.2">
      <c r="A717" t="str">
        <f>IF(ISBLANK(B717), "","ConceptScheme-716")</f>
        <v/>
      </c>
    </row>
    <row r="718" spans="1:1" x14ac:dyDescent="0.2">
      <c r="A718" t="str">
        <f>IF(ISBLANK(B718), "","ConceptScheme-717")</f>
        <v/>
      </c>
    </row>
    <row r="719" spans="1:1" x14ac:dyDescent="0.2">
      <c r="A719" t="str">
        <f>IF(ISBLANK(B719), "","ConceptScheme-718")</f>
        <v/>
      </c>
    </row>
    <row r="720" spans="1:1" x14ac:dyDescent="0.2">
      <c r="A720" t="str">
        <f>IF(ISBLANK(B720), "","ConceptScheme-719")</f>
        <v/>
      </c>
    </row>
    <row r="721" spans="1:1" x14ac:dyDescent="0.2">
      <c r="A721" t="str">
        <f>IF(ISBLANK(B721), "","ConceptScheme-720")</f>
        <v/>
      </c>
    </row>
    <row r="722" spans="1:1" x14ac:dyDescent="0.2">
      <c r="A722" t="str">
        <f>IF(ISBLANK(B722), "","ConceptScheme-721")</f>
        <v/>
      </c>
    </row>
    <row r="723" spans="1:1" x14ac:dyDescent="0.2">
      <c r="A723" t="str">
        <f>IF(ISBLANK(B723), "","ConceptScheme-722")</f>
        <v/>
      </c>
    </row>
    <row r="724" spans="1:1" x14ac:dyDescent="0.2">
      <c r="A724" t="str">
        <f>IF(ISBLANK(B724), "","ConceptScheme-723")</f>
        <v/>
      </c>
    </row>
    <row r="725" spans="1:1" x14ac:dyDescent="0.2">
      <c r="A725" t="str">
        <f>IF(ISBLANK(B725), "","ConceptScheme-724")</f>
        <v/>
      </c>
    </row>
    <row r="726" spans="1:1" x14ac:dyDescent="0.2">
      <c r="A726" t="str">
        <f>IF(ISBLANK(B726), "","ConceptScheme-725")</f>
        <v/>
      </c>
    </row>
    <row r="727" spans="1:1" x14ac:dyDescent="0.2">
      <c r="A727" t="str">
        <f>IF(ISBLANK(B727), "","ConceptScheme-726")</f>
        <v/>
      </c>
    </row>
    <row r="728" spans="1:1" x14ac:dyDescent="0.2">
      <c r="A728" t="str">
        <f>IF(ISBLANK(B728), "","ConceptScheme-727")</f>
        <v/>
      </c>
    </row>
    <row r="729" spans="1:1" x14ac:dyDescent="0.2">
      <c r="A729" t="str">
        <f>IF(ISBLANK(B729), "","ConceptScheme-728")</f>
        <v/>
      </c>
    </row>
    <row r="730" spans="1:1" x14ac:dyDescent="0.2">
      <c r="A730" t="str">
        <f>IF(ISBLANK(B730), "","ConceptScheme-729")</f>
        <v/>
      </c>
    </row>
    <row r="731" spans="1:1" x14ac:dyDescent="0.2">
      <c r="A731" t="str">
        <f>IF(ISBLANK(B731), "","ConceptScheme-730")</f>
        <v/>
      </c>
    </row>
    <row r="732" spans="1:1" x14ac:dyDescent="0.2">
      <c r="A732" t="str">
        <f>IF(ISBLANK(B732), "","ConceptScheme-731")</f>
        <v/>
      </c>
    </row>
    <row r="733" spans="1:1" x14ac:dyDescent="0.2">
      <c r="A733" t="str">
        <f>IF(ISBLANK(B733), "","ConceptScheme-732")</f>
        <v/>
      </c>
    </row>
    <row r="734" spans="1:1" x14ac:dyDescent="0.2">
      <c r="A734" t="str">
        <f>IF(ISBLANK(B734), "","ConceptScheme-733")</f>
        <v/>
      </c>
    </row>
    <row r="735" spans="1:1" x14ac:dyDescent="0.2">
      <c r="A735" t="str">
        <f>IF(ISBLANK(B735), "","ConceptScheme-734")</f>
        <v/>
      </c>
    </row>
    <row r="736" spans="1:1" x14ac:dyDescent="0.2">
      <c r="A736" t="str">
        <f>IF(ISBLANK(B736), "","ConceptScheme-735")</f>
        <v/>
      </c>
    </row>
    <row r="737" spans="1:1" x14ac:dyDescent="0.2">
      <c r="A737" t="str">
        <f>IF(ISBLANK(B737), "","ConceptScheme-736")</f>
        <v/>
      </c>
    </row>
    <row r="738" spans="1:1" x14ac:dyDescent="0.2">
      <c r="A738" t="str">
        <f>IF(ISBLANK(B738), "","ConceptScheme-737")</f>
        <v/>
      </c>
    </row>
    <row r="739" spans="1:1" x14ac:dyDescent="0.2">
      <c r="A739" t="str">
        <f>IF(ISBLANK(B739), "","ConceptScheme-738")</f>
        <v/>
      </c>
    </row>
    <row r="740" spans="1:1" x14ac:dyDescent="0.2">
      <c r="A740" t="str">
        <f>IF(ISBLANK(B740), "","ConceptScheme-739")</f>
        <v/>
      </c>
    </row>
    <row r="741" spans="1:1" x14ac:dyDescent="0.2">
      <c r="A741" t="str">
        <f>IF(ISBLANK(B741), "","ConceptScheme-740")</f>
        <v/>
      </c>
    </row>
    <row r="742" spans="1:1" x14ac:dyDescent="0.2">
      <c r="A742" t="str">
        <f>IF(ISBLANK(B742), "","ConceptScheme-741")</f>
        <v/>
      </c>
    </row>
    <row r="743" spans="1:1" x14ac:dyDescent="0.2">
      <c r="A743" t="str">
        <f>IF(ISBLANK(B743), "","ConceptScheme-742")</f>
        <v/>
      </c>
    </row>
    <row r="744" spans="1:1" x14ac:dyDescent="0.2">
      <c r="A744" t="str">
        <f>IF(ISBLANK(B744), "","ConceptScheme-743")</f>
        <v/>
      </c>
    </row>
    <row r="745" spans="1:1" x14ac:dyDescent="0.2">
      <c r="A745" t="str">
        <f>IF(ISBLANK(B745), "","ConceptScheme-744")</f>
        <v/>
      </c>
    </row>
    <row r="746" spans="1:1" x14ac:dyDescent="0.2">
      <c r="A746" t="str">
        <f>IF(ISBLANK(B746), "","ConceptScheme-745")</f>
        <v/>
      </c>
    </row>
    <row r="747" spans="1:1" x14ac:dyDescent="0.2">
      <c r="A747" t="str">
        <f>IF(ISBLANK(B747), "","ConceptScheme-746")</f>
        <v/>
      </c>
    </row>
    <row r="748" spans="1:1" x14ac:dyDescent="0.2">
      <c r="A748" t="str">
        <f>IF(ISBLANK(B748), "","ConceptScheme-747")</f>
        <v/>
      </c>
    </row>
    <row r="749" spans="1:1" x14ac:dyDescent="0.2">
      <c r="A749" t="str">
        <f>IF(ISBLANK(B749), "","ConceptScheme-748")</f>
        <v/>
      </c>
    </row>
    <row r="750" spans="1:1" x14ac:dyDescent="0.2">
      <c r="A750" t="str">
        <f>IF(ISBLANK(B750), "","ConceptScheme-749")</f>
        <v/>
      </c>
    </row>
    <row r="751" spans="1:1" x14ac:dyDescent="0.2">
      <c r="A751" t="str">
        <f>IF(ISBLANK(B751), "","ConceptScheme-750")</f>
        <v/>
      </c>
    </row>
    <row r="752" spans="1:1" x14ac:dyDescent="0.2">
      <c r="A752" t="str">
        <f>IF(ISBLANK(B752), "","ConceptScheme-751")</f>
        <v/>
      </c>
    </row>
    <row r="753" spans="1:1" x14ac:dyDescent="0.2">
      <c r="A753" t="str">
        <f>IF(ISBLANK(B753), "","ConceptScheme-752")</f>
        <v/>
      </c>
    </row>
    <row r="754" spans="1:1" x14ac:dyDescent="0.2">
      <c r="A754" t="str">
        <f>IF(ISBLANK(B754), "","ConceptScheme-753")</f>
        <v/>
      </c>
    </row>
    <row r="755" spans="1:1" x14ac:dyDescent="0.2">
      <c r="A755" t="str">
        <f>IF(ISBLANK(B755), "","ConceptScheme-754")</f>
        <v/>
      </c>
    </row>
    <row r="756" spans="1:1" x14ac:dyDescent="0.2">
      <c r="A756" t="str">
        <f>IF(ISBLANK(B756), "","ConceptScheme-755")</f>
        <v/>
      </c>
    </row>
    <row r="757" spans="1:1" x14ac:dyDescent="0.2">
      <c r="A757" t="str">
        <f>IF(ISBLANK(B757), "","ConceptScheme-756")</f>
        <v/>
      </c>
    </row>
    <row r="758" spans="1:1" x14ac:dyDescent="0.2">
      <c r="A758" t="str">
        <f>IF(ISBLANK(B758), "","ConceptScheme-757")</f>
        <v/>
      </c>
    </row>
    <row r="759" spans="1:1" x14ac:dyDescent="0.2">
      <c r="A759" t="str">
        <f>IF(ISBLANK(B759), "","ConceptScheme-758")</f>
        <v/>
      </c>
    </row>
    <row r="760" spans="1:1" x14ac:dyDescent="0.2">
      <c r="A760" t="str">
        <f>IF(ISBLANK(B760), "","ConceptScheme-759")</f>
        <v/>
      </c>
    </row>
    <row r="761" spans="1:1" x14ac:dyDescent="0.2">
      <c r="A761" t="str">
        <f>IF(ISBLANK(B761), "","ConceptScheme-760")</f>
        <v/>
      </c>
    </row>
    <row r="762" spans="1:1" x14ac:dyDescent="0.2">
      <c r="A762" t="str">
        <f>IF(ISBLANK(B762), "","ConceptScheme-761")</f>
        <v/>
      </c>
    </row>
    <row r="763" spans="1:1" x14ac:dyDescent="0.2">
      <c r="A763" t="str">
        <f>IF(ISBLANK(B763), "","ConceptScheme-762")</f>
        <v/>
      </c>
    </row>
    <row r="764" spans="1:1" x14ac:dyDescent="0.2">
      <c r="A764" t="str">
        <f>IF(ISBLANK(B764), "","ConceptScheme-763")</f>
        <v/>
      </c>
    </row>
    <row r="765" spans="1:1" x14ac:dyDescent="0.2">
      <c r="A765" t="str">
        <f>IF(ISBLANK(B765), "","ConceptScheme-764")</f>
        <v/>
      </c>
    </row>
    <row r="766" spans="1:1" x14ac:dyDescent="0.2">
      <c r="A766" t="str">
        <f>IF(ISBLANK(B766), "","ConceptScheme-765")</f>
        <v/>
      </c>
    </row>
    <row r="767" spans="1:1" x14ac:dyDescent="0.2">
      <c r="A767" t="str">
        <f>IF(ISBLANK(B767), "","ConceptScheme-766")</f>
        <v/>
      </c>
    </row>
    <row r="768" spans="1:1" x14ac:dyDescent="0.2">
      <c r="A768" t="str">
        <f>IF(ISBLANK(B768), "","ConceptScheme-767")</f>
        <v/>
      </c>
    </row>
    <row r="769" spans="1:1" x14ac:dyDescent="0.2">
      <c r="A769" t="str">
        <f>IF(ISBLANK(B769), "","ConceptScheme-768")</f>
        <v/>
      </c>
    </row>
    <row r="770" spans="1:1" x14ac:dyDescent="0.2">
      <c r="A770" t="str">
        <f>IF(ISBLANK(B770), "","ConceptScheme-769")</f>
        <v/>
      </c>
    </row>
    <row r="771" spans="1:1" x14ac:dyDescent="0.2">
      <c r="A771" t="str">
        <f>IF(ISBLANK(B771), "","ConceptScheme-770")</f>
        <v/>
      </c>
    </row>
    <row r="772" spans="1:1" x14ac:dyDescent="0.2">
      <c r="A772" t="str">
        <f>IF(ISBLANK(B772), "","ConceptScheme-771")</f>
        <v/>
      </c>
    </row>
    <row r="773" spans="1:1" x14ac:dyDescent="0.2">
      <c r="A773" t="str">
        <f>IF(ISBLANK(B773), "","ConceptScheme-772")</f>
        <v/>
      </c>
    </row>
    <row r="774" spans="1:1" x14ac:dyDescent="0.2">
      <c r="A774" t="str">
        <f>IF(ISBLANK(B774), "","ConceptScheme-773")</f>
        <v/>
      </c>
    </row>
    <row r="775" spans="1:1" x14ac:dyDescent="0.2">
      <c r="A775" t="str">
        <f>IF(ISBLANK(B775), "","ConceptScheme-774")</f>
        <v/>
      </c>
    </row>
    <row r="776" spans="1:1" x14ac:dyDescent="0.2">
      <c r="A776" t="str">
        <f>IF(ISBLANK(B776), "","ConceptScheme-775")</f>
        <v/>
      </c>
    </row>
    <row r="777" spans="1:1" x14ac:dyDescent="0.2">
      <c r="A777" t="str">
        <f>IF(ISBLANK(B777), "","ConceptScheme-776")</f>
        <v/>
      </c>
    </row>
    <row r="778" spans="1:1" x14ac:dyDescent="0.2">
      <c r="A778" t="str">
        <f>IF(ISBLANK(B778), "","ConceptScheme-777")</f>
        <v/>
      </c>
    </row>
    <row r="779" spans="1:1" x14ac:dyDescent="0.2">
      <c r="A779" t="str">
        <f>IF(ISBLANK(B779), "","ConceptScheme-778")</f>
        <v/>
      </c>
    </row>
    <row r="780" spans="1:1" x14ac:dyDescent="0.2">
      <c r="A780" t="str">
        <f>IF(ISBLANK(B780), "","ConceptScheme-779")</f>
        <v/>
      </c>
    </row>
    <row r="781" spans="1:1" x14ac:dyDescent="0.2">
      <c r="A781" t="str">
        <f>IF(ISBLANK(B781), "","ConceptScheme-780")</f>
        <v/>
      </c>
    </row>
    <row r="782" spans="1:1" x14ac:dyDescent="0.2">
      <c r="A782" t="str">
        <f>IF(ISBLANK(B782), "","ConceptScheme-781")</f>
        <v/>
      </c>
    </row>
    <row r="783" spans="1:1" x14ac:dyDescent="0.2">
      <c r="A783" t="str">
        <f>IF(ISBLANK(B783), "","ConceptScheme-782")</f>
        <v/>
      </c>
    </row>
    <row r="784" spans="1:1" x14ac:dyDescent="0.2">
      <c r="A784" t="str">
        <f>IF(ISBLANK(B784), "","ConceptScheme-783")</f>
        <v/>
      </c>
    </row>
    <row r="785" spans="1:1" x14ac:dyDescent="0.2">
      <c r="A785" t="str">
        <f>IF(ISBLANK(B785), "","ConceptScheme-784")</f>
        <v/>
      </c>
    </row>
    <row r="786" spans="1:1" x14ac:dyDescent="0.2">
      <c r="A786" t="str">
        <f>IF(ISBLANK(B786), "","ConceptScheme-785")</f>
        <v/>
      </c>
    </row>
    <row r="787" spans="1:1" x14ac:dyDescent="0.2">
      <c r="A787" t="str">
        <f>IF(ISBLANK(B787), "","ConceptScheme-786")</f>
        <v/>
      </c>
    </row>
    <row r="788" spans="1:1" x14ac:dyDescent="0.2">
      <c r="A788" t="str">
        <f>IF(ISBLANK(B788), "","ConceptScheme-787")</f>
        <v/>
      </c>
    </row>
    <row r="789" spans="1:1" x14ac:dyDescent="0.2">
      <c r="A789" t="str">
        <f>IF(ISBLANK(B789), "","ConceptScheme-788")</f>
        <v/>
      </c>
    </row>
    <row r="790" spans="1:1" x14ac:dyDescent="0.2">
      <c r="A790" t="str">
        <f>IF(ISBLANK(B790), "","ConceptScheme-789")</f>
        <v/>
      </c>
    </row>
    <row r="791" spans="1:1" x14ac:dyDescent="0.2">
      <c r="A791" t="str">
        <f>IF(ISBLANK(B791), "","ConceptScheme-790")</f>
        <v/>
      </c>
    </row>
    <row r="792" spans="1:1" x14ac:dyDescent="0.2">
      <c r="A792" t="str">
        <f>IF(ISBLANK(B792), "","ConceptScheme-791")</f>
        <v/>
      </c>
    </row>
    <row r="793" spans="1:1" x14ac:dyDescent="0.2">
      <c r="A793" t="str">
        <f>IF(ISBLANK(B793), "","ConceptScheme-792")</f>
        <v/>
      </c>
    </row>
    <row r="794" spans="1:1" x14ac:dyDescent="0.2">
      <c r="A794" t="str">
        <f>IF(ISBLANK(B794), "","ConceptScheme-793")</f>
        <v/>
      </c>
    </row>
    <row r="795" spans="1:1" x14ac:dyDescent="0.2">
      <c r="A795" t="str">
        <f>IF(ISBLANK(B795), "","ConceptScheme-794")</f>
        <v/>
      </c>
    </row>
    <row r="796" spans="1:1" x14ac:dyDescent="0.2">
      <c r="A796" t="str">
        <f>IF(ISBLANK(B796), "","ConceptScheme-795")</f>
        <v/>
      </c>
    </row>
    <row r="797" spans="1:1" x14ac:dyDescent="0.2">
      <c r="A797" t="str">
        <f>IF(ISBLANK(B797), "","ConceptScheme-796")</f>
        <v/>
      </c>
    </row>
    <row r="798" spans="1:1" x14ac:dyDescent="0.2">
      <c r="A798" t="str">
        <f>IF(ISBLANK(B798), "","ConceptScheme-797")</f>
        <v/>
      </c>
    </row>
    <row r="799" spans="1:1" x14ac:dyDescent="0.2">
      <c r="A799" t="str">
        <f>IF(ISBLANK(B799), "","ConceptScheme-798")</f>
        <v/>
      </c>
    </row>
    <row r="800" spans="1:1" x14ac:dyDescent="0.2">
      <c r="A800" t="str">
        <f>IF(ISBLANK(B800), "","ConceptScheme-799")</f>
        <v/>
      </c>
    </row>
    <row r="801" spans="1:1" x14ac:dyDescent="0.2">
      <c r="A801" t="str">
        <f>IF(ISBLANK(B801), "","ConceptScheme-800")</f>
        <v/>
      </c>
    </row>
    <row r="802" spans="1:1" x14ac:dyDescent="0.2">
      <c r="A802" t="str">
        <f>IF(ISBLANK(B802), "","ConceptScheme-801")</f>
        <v/>
      </c>
    </row>
    <row r="803" spans="1:1" x14ac:dyDescent="0.2">
      <c r="A803" t="str">
        <f>IF(ISBLANK(B803), "","ConceptScheme-802")</f>
        <v/>
      </c>
    </row>
    <row r="804" spans="1:1" x14ac:dyDescent="0.2">
      <c r="A804" t="str">
        <f>IF(ISBLANK(B804), "","ConceptScheme-803")</f>
        <v/>
      </c>
    </row>
    <row r="805" spans="1:1" x14ac:dyDescent="0.2">
      <c r="A805" t="str">
        <f>IF(ISBLANK(B805), "","ConceptScheme-804")</f>
        <v/>
      </c>
    </row>
    <row r="806" spans="1:1" x14ac:dyDescent="0.2">
      <c r="A806" t="str">
        <f>IF(ISBLANK(B806), "","ConceptScheme-805")</f>
        <v/>
      </c>
    </row>
    <row r="807" spans="1:1" x14ac:dyDescent="0.2">
      <c r="A807" t="str">
        <f>IF(ISBLANK(B807), "","ConceptScheme-806")</f>
        <v/>
      </c>
    </row>
    <row r="808" spans="1:1" x14ac:dyDescent="0.2">
      <c r="A808" t="str">
        <f>IF(ISBLANK(B808), "","ConceptScheme-807")</f>
        <v/>
      </c>
    </row>
    <row r="809" spans="1:1" x14ac:dyDescent="0.2">
      <c r="A809" t="str">
        <f>IF(ISBLANK(B809), "","ConceptScheme-808")</f>
        <v/>
      </c>
    </row>
    <row r="810" spans="1:1" x14ac:dyDescent="0.2">
      <c r="A810" t="str">
        <f>IF(ISBLANK(B810), "","ConceptScheme-809")</f>
        <v/>
      </c>
    </row>
    <row r="811" spans="1:1" x14ac:dyDescent="0.2">
      <c r="A811" t="str">
        <f>IF(ISBLANK(B811), "","ConceptScheme-810")</f>
        <v/>
      </c>
    </row>
    <row r="812" spans="1:1" x14ac:dyDescent="0.2">
      <c r="A812" t="str">
        <f>IF(ISBLANK(B812), "","ConceptScheme-811")</f>
        <v/>
      </c>
    </row>
    <row r="813" spans="1:1" x14ac:dyDescent="0.2">
      <c r="A813" t="str">
        <f>IF(ISBLANK(B813), "","ConceptScheme-812")</f>
        <v/>
      </c>
    </row>
    <row r="814" spans="1:1" x14ac:dyDescent="0.2">
      <c r="A814" t="str">
        <f>IF(ISBLANK(B814), "","ConceptScheme-813")</f>
        <v/>
      </c>
    </row>
    <row r="815" spans="1:1" x14ac:dyDescent="0.2">
      <c r="A815" t="str">
        <f>IF(ISBLANK(B815), "","ConceptScheme-814")</f>
        <v/>
      </c>
    </row>
    <row r="816" spans="1:1" x14ac:dyDescent="0.2">
      <c r="A816" t="str">
        <f>IF(ISBLANK(B816), "","ConceptScheme-815")</f>
        <v/>
      </c>
    </row>
    <row r="817" spans="1:1" x14ac:dyDescent="0.2">
      <c r="A817" t="str">
        <f>IF(ISBLANK(B817), "","ConceptScheme-816")</f>
        <v/>
      </c>
    </row>
    <row r="818" spans="1:1" x14ac:dyDescent="0.2">
      <c r="A818" t="str">
        <f>IF(ISBLANK(B818), "","ConceptScheme-817")</f>
        <v/>
      </c>
    </row>
    <row r="819" spans="1:1" x14ac:dyDescent="0.2">
      <c r="A819" t="str">
        <f>IF(ISBLANK(B819), "","ConceptScheme-818")</f>
        <v/>
      </c>
    </row>
    <row r="820" spans="1:1" x14ac:dyDescent="0.2">
      <c r="A820" t="str">
        <f>IF(ISBLANK(B820), "","ConceptScheme-819")</f>
        <v/>
      </c>
    </row>
    <row r="821" spans="1:1" x14ac:dyDescent="0.2">
      <c r="A821" t="str">
        <f>IF(ISBLANK(B821), "","ConceptScheme-820")</f>
        <v/>
      </c>
    </row>
    <row r="822" spans="1:1" x14ac:dyDescent="0.2">
      <c r="A822" t="str">
        <f>IF(ISBLANK(B822), "","ConceptScheme-821")</f>
        <v/>
      </c>
    </row>
    <row r="823" spans="1:1" x14ac:dyDescent="0.2">
      <c r="A823" t="str">
        <f>IF(ISBLANK(B823), "","ConceptScheme-822")</f>
        <v/>
      </c>
    </row>
    <row r="824" spans="1:1" x14ac:dyDescent="0.2">
      <c r="A824" t="str">
        <f>IF(ISBLANK(B824), "","ConceptScheme-823")</f>
        <v/>
      </c>
    </row>
    <row r="825" spans="1:1" x14ac:dyDescent="0.2">
      <c r="A825" t="str">
        <f>IF(ISBLANK(B825), "","ConceptScheme-824")</f>
        <v/>
      </c>
    </row>
    <row r="826" spans="1:1" x14ac:dyDescent="0.2">
      <c r="A826" t="str">
        <f>IF(ISBLANK(B826), "","ConceptScheme-825")</f>
        <v/>
      </c>
    </row>
    <row r="827" spans="1:1" x14ac:dyDescent="0.2">
      <c r="A827" t="str">
        <f>IF(ISBLANK(B827), "","ConceptScheme-826")</f>
        <v/>
      </c>
    </row>
    <row r="828" spans="1:1" x14ac:dyDescent="0.2">
      <c r="A828" t="str">
        <f>IF(ISBLANK(B828), "","ConceptScheme-827")</f>
        <v/>
      </c>
    </row>
    <row r="829" spans="1:1" x14ac:dyDescent="0.2">
      <c r="A829" t="str">
        <f>IF(ISBLANK(B829), "","ConceptScheme-828")</f>
        <v/>
      </c>
    </row>
    <row r="830" spans="1:1" x14ac:dyDescent="0.2">
      <c r="A830" t="str">
        <f>IF(ISBLANK(B830), "","ConceptScheme-829")</f>
        <v/>
      </c>
    </row>
    <row r="831" spans="1:1" x14ac:dyDescent="0.2">
      <c r="A831" t="str">
        <f>IF(ISBLANK(B831), "","ConceptScheme-830")</f>
        <v/>
      </c>
    </row>
    <row r="832" spans="1:1" x14ac:dyDescent="0.2">
      <c r="A832" t="str">
        <f>IF(ISBLANK(B832), "","ConceptScheme-831")</f>
        <v/>
      </c>
    </row>
    <row r="833" spans="1:1" x14ac:dyDescent="0.2">
      <c r="A833" t="str">
        <f>IF(ISBLANK(B833), "","ConceptScheme-832")</f>
        <v/>
      </c>
    </row>
    <row r="834" spans="1:1" x14ac:dyDescent="0.2">
      <c r="A834" t="str">
        <f>IF(ISBLANK(B834), "","ConceptScheme-833")</f>
        <v/>
      </c>
    </row>
    <row r="835" spans="1:1" x14ac:dyDescent="0.2">
      <c r="A835" t="str">
        <f>IF(ISBLANK(B835), "","ConceptScheme-834")</f>
        <v/>
      </c>
    </row>
    <row r="836" spans="1:1" x14ac:dyDescent="0.2">
      <c r="A836" t="str">
        <f>IF(ISBLANK(B836), "","ConceptScheme-835")</f>
        <v/>
      </c>
    </row>
    <row r="837" spans="1:1" x14ac:dyDescent="0.2">
      <c r="A837" t="str">
        <f>IF(ISBLANK(B837), "","ConceptScheme-836")</f>
        <v/>
      </c>
    </row>
    <row r="838" spans="1:1" x14ac:dyDescent="0.2">
      <c r="A838" t="str">
        <f>IF(ISBLANK(B838), "","ConceptScheme-837")</f>
        <v/>
      </c>
    </row>
    <row r="839" spans="1:1" x14ac:dyDescent="0.2">
      <c r="A839" t="str">
        <f>IF(ISBLANK(B839), "","ConceptScheme-838")</f>
        <v/>
      </c>
    </row>
    <row r="840" spans="1:1" x14ac:dyDescent="0.2">
      <c r="A840" t="str">
        <f>IF(ISBLANK(B840), "","ConceptScheme-839")</f>
        <v/>
      </c>
    </row>
    <row r="841" spans="1:1" x14ac:dyDescent="0.2">
      <c r="A841" t="str">
        <f>IF(ISBLANK(B841), "","ConceptScheme-840")</f>
        <v/>
      </c>
    </row>
    <row r="842" spans="1:1" x14ac:dyDescent="0.2">
      <c r="A842" t="str">
        <f>IF(ISBLANK(B842), "","ConceptScheme-841")</f>
        <v/>
      </c>
    </row>
    <row r="843" spans="1:1" x14ac:dyDescent="0.2">
      <c r="A843" t="str">
        <f>IF(ISBLANK(B843), "","ConceptScheme-842")</f>
        <v/>
      </c>
    </row>
    <row r="844" spans="1:1" x14ac:dyDescent="0.2">
      <c r="A844" t="str">
        <f>IF(ISBLANK(B844), "","ConceptScheme-843")</f>
        <v/>
      </c>
    </row>
    <row r="845" spans="1:1" x14ac:dyDescent="0.2">
      <c r="A845" t="str">
        <f>IF(ISBLANK(B845), "","ConceptScheme-844")</f>
        <v/>
      </c>
    </row>
    <row r="846" spans="1:1" x14ac:dyDescent="0.2">
      <c r="A846" t="str">
        <f>IF(ISBLANK(B846), "","ConceptScheme-845")</f>
        <v/>
      </c>
    </row>
    <row r="847" spans="1:1" x14ac:dyDescent="0.2">
      <c r="A847" t="str">
        <f>IF(ISBLANK(B847), "","ConceptScheme-846")</f>
        <v/>
      </c>
    </row>
    <row r="848" spans="1:1" x14ac:dyDescent="0.2">
      <c r="A848" t="str">
        <f>IF(ISBLANK(B848), "","ConceptScheme-847")</f>
        <v/>
      </c>
    </row>
    <row r="849" spans="1:1" x14ac:dyDescent="0.2">
      <c r="A849" t="str">
        <f>IF(ISBLANK(B849), "","ConceptScheme-848")</f>
        <v/>
      </c>
    </row>
    <row r="850" spans="1:1" x14ac:dyDescent="0.2">
      <c r="A850" t="str">
        <f>IF(ISBLANK(B850), "","ConceptScheme-849")</f>
        <v/>
      </c>
    </row>
    <row r="851" spans="1:1" x14ac:dyDescent="0.2">
      <c r="A851" t="str">
        <f>IF(ISBLANK(B851), "","ConceptScheme-850")</f>
        <v/>
      </c>
    </row>
    <row r="852" spans="1:1" x14ac:dyDescent="0.2">
      <c r="A852" t="str">
        <f>IF(ISBLANK(B852), "","ConceptScheme-851")</f>
        <v/>
      </c>
    </row>
    <row r="853" spans="1:1" x14ac:dyDescent="0.2">
      <c r="A853" t="str">
        <f>IF(ISBLANK(B853), "","ConceptScheme-852")</f>
        <v/>
      </c>
    </row>
    <row r="854" spans="1:1" x14ac:dyDescent="0.2">
      <c r="A854" t="str">
        <f>IF(ISBLANK(B854), "","ConceptScheme-853")</f>
        <v/>
      </c>
    </row>
    <row r="855" spans="1:1" x14ac:dyDescent="0.2">
      <c r="A855" t="str">
        <f>IF(ISBLANK(B855), "","ConceptScheme-854")</f>
        <v/>
      </c>
    </row>
    <row r="856" spans="1:1" x14ac:dyDescent="0.2">
      <c r="A856" t="str">
        <f>IF(ISBLANK(B856), "","ConceptScheme-855")</f>
        <v/>
      </c>
    </row>
    <row r="857" spans="1:1" x14ac:dyDescent="0.2">
      <c r="A857" t="str">
        <f>IF(ISBLANK(B857), "","ConceptScheme-856")</f>
        <v/>
      </c>
    </row>
    <row r="858" spans="1:1" x14ac:dyDescent="0.2">
      <c r="A858" t="str">
        <f>IF(ISBLANK(B858), "","ConceptScheme-857")</f>
        <v/>
      </c>
    </row>
    <row r="859" spans="1:1" x14ac:dyDescent="0.2">
      <c r="A859" t="str">
        <f>IF(ISBLANK(B859), "","ConceptScheme-858")</f>
        <v/>
      </c>
    </row>
    <row r="860" spans="1:1" x14ac:dyDescent="0.2">
      <c r="A860" t="str">
        <f>IF(ISBLANK(B860), "","ConceptScheme-859")</f>
        <v/>
      </c>
    </row>
    <row r="861" spans="1:1" x14ac:dyDescent="0.2">
      <c r="A861" t="str">
        <f>IF(ISBLANK(B861), "","ConceptScheme-860")</f>
        <v/>
      </c>
    </row>
    <row r="862" spans="1:1" x14ac:dyDescent="0.2">
      <c r="A862" t="str">
        <f>IF(ISBLANK(B862), "","ConceptScheme-861")</f>
        <v/>
      </c>
    </row>
    <row r="863" spans="1:1" x14ac:dyDescent="0.2">
      <c r="A863" t="str">
        <f>IF(ISBLANK(B863), "","ConceptScheme-862")</f>
        <v/>
      </c>
    </row>
    <row r="864" spans="1:1" x14ac:dyDescent="0.2">
      <c r="A864" t="str">
        <f>IF(ISBLANK(B864), "","ConceptScheme-863")</f>
        <v/>
      </c>
    </row>
    <row r="865" spans="1:1" x14ac:dyDescent="0.2">
      <c r="A865" t="str">
        <f>IF(ISBLANK(B865), "","ConceptScheme-864")</f>
        <v/>
      </c>
    </row>
    <row r="866" spans="1:1" x14ac:dyDescent="0.2">
      <c r="A866" t="str">
        <f>IF(ISBLANK(B866), "","ConceptScheme-865")</f>
        <v/>
      </c>
    </row>
    <row r="867" spans="1:1" x14ac:dyDescent="0.2">
      <c r="A867" t="str">
        <f>IF(ISBLANK(B867), "","ConceptScheme-866")</f>
        <v/>
      </c>
    </row>
    <row r="868" spans="1:1" x14ac:dyDescent="0.2">
      <c r="A868" t="str">
        <f>IF(ISBLANK(B868), "","ConceptScheme-867")</f>
        <v/>
      </c>
    </row>
    <row r="869" spans="1:1" x14ac:dyDescent="0.2">
      <c r="A869" t="str">
        <f>IF(ISBLANK(B869), "","ConceptScheme-868")</f>
        <v/>
      </c>
    </row>
    <row r="870" spans="1:1" x14ac:dyDescent="0.2">
      <c r="A870" t="str">
        <f>IF(ISBLANK(B870), "","ConceptScheme-869")</f>
        <v/>
      </c>
    </row>
    <row r="871" spans="1:1" x14ac:dyDescent="0.2">
      <c r="A871" t="str">
        <f>IF(ISBLANK(B871), "","ConceptScheme-870")</f>
        <v/>
      </c>
    </row>
    <row r="872" spans="1:1" x14ac:dyDescent="0.2">
      <c r="A872" t="str">
        <f>IF(ISBLANK(B872), "","ConceptScheme-871")</f>
        <v/>
      </c>
    </row>
    <row r="873" spans="1:1" x14ac:dyDescent="0.2">
      <c r="A873" t="str">
        <f>IF(ISBLANK(B873), "","ConceptScheme-872")</f>
        <v/>
      </c>
    </row>
    <row r="874" spans="1:1" x14ac:dyDescent="0.2">
      <c r="A874" t="str">
        <f>IF(ISBLANK(B874), "","ConceptScheme-873")</f>
        <v/>
      </c>
    </row>
    <row r="875" spans="1:1" x14ac:dyDescent="0.2">
      <c r="A875" t="str">
        <f>IF(ISBLANK(B875), "","ConceptScheme-874")</f>
        <v/>
      </c>
    </row>
    <row r="876" spans="1:1" x14ac:dyDescent="0.2">
      <c r="A876" t="str">
        <f>IF(ISBLANK(B876), "","ConceptScheme-875")</f>
        <v/>
      </c>
    </row>
    <row r="877" spans="1:1" x14ac:dyDescent="0.2">
      <c r="A877" t="str">
        <f>IF(ISBLANK(B877), "","ConceptScheme-876")</f>
        <v/>
      </c>
    </row>
    <row r="878" spans="1:1" x14ac:dyDescent="0.2">
      <c r="A878" t="str">
        <f>IF(ISBLANK(B878), "","ConceptScheme-877")</f>
        <v/>
      </c>
    </row>
    <row r="879" spans="1:1" x14ac:dyDescent="0.2">
      <c r="A879" t="str">
        <f>IF(ISBLANK(B879), "","ConceptScheme-878")</f>
        <v/>
      </c>
    </row>
    <row r="880" spans="1:1" x14ac:dyDescent="0.2">
      <c r="A880" t="str">
        <f>IF(ISBLANK(B880), "","ConceptScheme-879")</f>
        <v/>
      </c>
    </row>
    <row r="881" spans="1:1" x14ac:dyDescent="0.2">
      <c r="A881" t="str">
        <f>IF(ISBLANK(B881), "","ConceptScheme-880")</f>
        <v/>
      </c>
    </row>
    <row r="882" spans="1:1" x14ac:dyDescent="0.2">
      <c r="A882" t="str">
        <f>IF(ISBLANK(B882), "","ConceptScheme-881")</f>
        <v/>
      </c>
    </row>
    <row r="883" spans="1:1" x14ac:dyDescent="0.2">
      <c r="A883" t="str">
        <f>IF(ISBLANK(B883), "","ConceptScheme-882")</f>
        <v/>
      </c>
    </row>
    <row r="884" spans="1:1" x14ac:dyDescent="0.2">
      <c r="A884" t="str">
        <f>IF(ISBLANK(B884), "","ConceptScheme-883")</f>
        <v/>
      </c>
    </row>
    <row r="885" spans="1:1" x14ac:dyDescent="0.2">
      <c r="A885" t="str">
        <f>IF(ISBLANK(B885), "","ConceptScheme-884")</f>
        <v/>
      </c>
    </row>
    <row r="886" spans="1:1" x14ac:dyDescent="0.2">
      <c r="A886" t="str">
        <f>IF(ISBLANK(B886), "","ConceptScheme-885")</f>
        <v/>
      </c>
    </row>
    <row r="887" spans="1:1" x14ac:dyDescent="0.2">
      <c r="A887" t="str">
        <f>IF(ISBLANK(B887), "","ConceptScheme-886")</f>
        <v/>
      </c>
    </row>
    <row r="888" spans="1:1" x14ac:dyDescent="0.2">
      <c r="A888" t="str">
        <f>IF(ISBLANK(B888), "","ConceptScheme-887")</f>
        <v/>
      </c>
    </row>
    <row r="889" spans="1:1" x14ac:dyDescent="0.2">
      <c r="A889" t="str">
        <f>IF(ISBLANK(B889), "","ConceptScheme-888")</f>
        <v/>
      </c>
    </row>
    <row r="890" spans="1:1" x14ac:dyDescent="0.2">
      <c r="A890" t="str">
        <f>IF(ISBLANK(B890), "","ConceptScheme-889")</f>
        <v/>
      </c>
    </row>
    <row r="891" spans="1:1" x14ac:dyDescent="0.2">
      <c r="A891" t="str">
        <f>IF(ISBLANK(B891), "","ConceptScheme-890")</f>
        <v/>
      </c>
    </row>
    <row r="892" spans="1:1" x14ac:dyDescent="0.2">
      <c r="A892" t="str">
        <f>IF(ISBLANK(B892), "","ConceptScheme-891")</f>
        <v/>
      </c>
    </row>
    <row r="893" spans="1:1" x14ac:dyDescent="0.2">
      <c r="A893" t="str">
        <f>IF(ISBLANK(B893), "","ConceptScheme-892")</f>
        <v/>
      </c>
    </row>
    <row r="894" spans="1:1" x14ac:dyDescent="0.2">
      <c r="A894" t="str">
        <f>IF(ISBLANK(B894), "","ConceptScheme-893")</f>
        <v/>
      </c>
    </row>
    <row r="895" spans="1:1" x14ac:dyDescent="0.2">
      <c r="A895" t="str">
        <f>IF(ISBLANK(B895), "","ConceptScheme-894")</f>
        <v/>
      </c>
    </row>
    <row r="896" spans="1:1" x14ac:dyDescent="0.2">
      <c r="A896" t="str">
        <f>IF(ISBLANK(B896), "","ConceptScheme-895")</f>
        <v/>
      </c>
    </row>
    <row r="897" spans="1:1" x14ac:dyDescent="0.2">
      <c r="A897" t="str">
        <f>IF(ISBLANK(B897), "","ConceptScheme-896")</f>
        <v/>
      </c>
    </row>
    <row r="898" spans="1:1" x14ac:dyDescent="0.2">
      <c r="A898" t="str">
        <f>IF(ISBLANK(B898), "","ConceptScheme-897")</f>
        <v/>
      </c>
    </row>
    <row r="899" spans="1:1" x14ac:dyDescent="0.2">
      <c r="A899" t="str">
        <f>IF(ISBLANK(B899), "","ConceptScheme-898")</f>
        <v/>
      </c>
    </row>
    <row r="900" spans="1:1" x14ac:dyDescent="0.2">
      <c r="A900" t="str">
        <f>IF(ISBLANK(B900), "","ConceptScheme-899")</f>
        <v/>
      </c>
    </row>
    <row r="901" spans="1:1" x14ac:dyDescent="0.2">
      <c r="A901" t="str">
        <f>IF(ISBLANK(B901), "","ConceptScheme-900")</f>
        <v/>
      </c>
    </row>
    <row r="902" spans="1:1" x14ac:dyDescent="0.2">
      <c r="A902" t="str">
        <f>IF(ISBLANK(B902), "","ConceptScheme-901")</f>
        <v/>
      </c>
    </row>
    <row r="903" spans="1:1" x14ac:dyDescent="0.2">
      <c r="A903" t="str">
        <f>IF(ISBLANK(B903), "","ConceptScheme-902")</f>
        <v/>
      </c>
    </row>
    <row r="904" spans="1:1" x14ac:dyDescent="0.2">
      <c r="A904" t="str">
        <f>IF(ISBLANK(B904), "","ConceptScheme-903")</f>
        <v/>
      </c>
    </row>
    <row r="905" spans="1:1" x14ac:dyDescent="0.2">
      <c r="A905" t="str">
        <f>IF(ISBLANK(B905), "","ConceptScheme-904")</f>
        <v/>
      </c>
    </row>
    <row r="906" spans="1:1" x14ac:dyDescent="0.2">
      <c r="A906" t="str">
        <f>IF(ISBLANK(B906), "","ConceptScheme-905")</f>
        <v/>
      </c>
    </row>
    <row r="907" spans="1:1" x14ac:dyDescent="0.2">
      <c r="A907" t="str">
        <f>IF(ISBLANK(B907), "","ConceptScheme-906")</f>
        <v/>
      </c>
    </row>
    <row r="908" spans="1:1" x14ac:dyDescent="0.2">
      <c r="A908" t="str">
        <f>IF(ISBLANK(B908), "","ConceptScheme-907")</f>
        <v/>
      </c>
    </row>
    <row r="909" spans="1:1" x14ac:dyDescent="0.2">
      <c r="A909" t="str">
        <f>IF(ISBLANK(B909), "","ConceptScheme-908")</f>
        <v/>
      </c>
    </row>
    <row r="910" spans="1:1" x14ac:dyDescent="0.2">
      <c r="A910" t="str">
        <f>IF(ISBLANK(B910), "","ConceptScheme-909")</f>
        <v/>
      </c>
    </row>
    <row r="911" spans="1:1" x14ac:dyDescent="0.2">
      <c r="A911" t="str">
        <f>IF(ISBLANK(B911), "","ConceptScheme-910")</f>
        <v/>
      </c>
    </row>
    <row r="912" spans="1:1" x14ac:dyDescent="0.2">
      <c r="A912" t="str">
        <f>IF(ISBLANK(B912), "","ConceptScheme-911")</f>
        <v/>
      </c>
    </row>
    <row r="913" spans="1:1" x14ac:dyDescent="0.2">
      <c r="A913" t="str">
        <f>IF(ISBLANK(B913), "","ConceptScheme-912")</f>
        <v/>
      </c>
    </row>
    <row r="914" spans="1:1" x14ac:dyDescent="0.2">
      <c r="A914" t="str">
        <f>IF(ISBLANK(B914), "","ConceptScheme-913")</f>
        <v/>
      </c>
    </row>
    <row r="915" spans="1:1" x14ac:dyDescent="0.2">
      <c r="A915" t="str">
        <f>IF(ISBLANK(B915), "","ConceptScheme-914")</f>
        <v/>
      </c>
    </row>
    <row r="916" spans="1:1" x14ac:dyDescent="0.2">
      <c r="A916" t="str">
        <f>IF(ISBLANK(B916), "","ConceptScheme-915")</f>
        <v/>
      </c>
    </row>
    <row r="917" spans="1:1" x14ac:dyDescent="0.2">
      <c r="A917" t="str">
        <f>IF(ISBLANK(B917), "","ConceptScheme-916")</f>
        <v/>
      </c>
    </row>
    <row r="918" spans="1:1" x14ac:dyDescent="0.2">
      <c r="A918" t="str">
        <f>IF(ISBLANK(B918), "","ConceptScheme-917")</f>
        <v/>
      </c>
    </row>
    <row r="919" spans="1:1" x14ac:dyDescent="0.2">
      <c r="A919" t="str">
        <f>IF(ISBLANK(B919), "","ConceptScheme-918")</f>
        <v/>
      </c>
    </row>
    <row r="920" spans="1:1" x14ac:dyDescent="0.2">
      <c r="A920" t="str">
        <f>IF(ISBLANK(B920), "","ConceptScheme-919")</f>
        <v/>
      </c>
    </row>
    <row r="921" spans="1:1" x14ac:dyDescent="0.2">
      <c r="A921" t="str">
        <f>IF(ISBLANK(B921), "","ConceptScheme-920")</f>
        <v/>
      </c>
    </row>
    <row r="922" spans="1:1" x14ac:dyDescent="0.2">
      <c r="A922" t="str">
        <f>IF(ISBLANK(B922), "","ConceptScheme-921")</f>
        <v/>
      </c>
    </row>
    <row r="923" spans="1:1" x14ac:dyDescent="0.2">
      <c r="A923" t="str">
        <f>IF(ISBLANK(B923), "","ConceptScheme-922")</f>
        <v/>
      </c>
    </row>
    <row r="924" spans="1:1" x14ac:dyDescent="0.2">
      <c r="A924" t="str">
        <f>IF(ISBLANK(B924), "","ConceptScheme-923")</f>
        <v/>
      </c>
    </row>
    <row r="925" spans="1:1" x14ac:dyDescent="0.2">
      <c r="A925" t="str">
        <f>IF(ISBLANK(B925), "","ConceptScheme-924")</f>
        <v/>
      </c>
    </row>
    <row r="926" spans="1:1" x14ac:dyDescent="0.2">
      <c r="A926" t="str">
        <f>IF(ISBLANK(B926), "","ConceptScheme-925")</f>
        <v/>
      </c>
    </row>
    <row r="927" spans="1:1" x14ac:dyDescent="0.2">
      <c r="A927" t="str">
        <f>IF(ISBLANK(B927), "","ConceptScheme-926")</f>
        <v/>
      </c>
    </row>
    <row r="928" spans="1:1" x14ac:dyDescent="0.2">
      <c r="A928" t="str">
        <f>IF(ISBLANK(B928), "","ConceptScheme-927")</f>
        <v/>
      </c>
    </row>
    <row r="929" spans="1:1" x14ac:dyDescent="0.2">
      <c r="A929" t="str">
        <f>IF(ISBLANK(B929), "","ConceptScheme-928")</f>
        <v/>
      </c>
    </row>
    <row r="930" spans="1:1" x14ac:dyDescent="0.2">
      <c r="A930" t="str">
        <f>IF(ISBLANK(B930), "","ConceptScheme-929")</f>
        <v/>
      </c>
    </row>
    <row r="931" spans="1:1" x14ac:dyDescent="0.2">
      <c r="A931" t="str">
        <f>IF(ISBLANK(B931), "","ConceptScheme-930")</f>
        <v/>
      </c>
    </row>
    <row r="932" spans="1:1" x14ac:dyDescent="0.2">
      <c r="A932" t="str">
        <f>IF(ISBLANK(B932), "","ConceptScheme-931")</f>
        <v/>
      </c>
    </row>
    <row r="933" spans="1:1" x14ac:dyDescent="0.2">
      <c r="A933" t="str">
        <f>IF(ISBLANK(B933), "","ConceptScheme-932")</f>
        <v/>
      </c>
    </row>
    <row r="934" spans="1:1" x14ac:dyDescent="0.2">
      <c r="A934" t="str">
        <f>IF(ISBLANK(B934), "","ConceptScheme-933")</f>
        <v/>
      </c>
    </row>
    <row r="935" spans="1:1" x14ac:dyDescent="0.2">
      <c r="A935" t="str">
        <f>IF(ISBLANK(B935), "","ConceptScheme-934")</f>
        <v/>
      </c>
    </row>
    <row r="936" spans="1:1" x14ac:dyDescent="0.2">
      <c r="A936" t="str">
        <f>IF(ISBLANK(B936), "","ConceptScheme-935")</f>
        <v/>
      </c>
    </row>
    <row r="937" spans="1:1" x14ac:dyDescent="0.2">
      <c r="A937" t="str">
        <f>IF(ISBLANK(B937), "","ConceptScheme-936")</f>
        <v/>
      </c>
    </row>
    <row r="938" spans="1:1" x14ac:dyDescent="0.2">
      <c r="A938" t="str">
        <f>IF(ISBLANK(B938), "","ConceptScheme-937")</f>
        <v/>
      </c>
    </row>
    <row r="939" spans="1:1" x14ac:dyDescent="0.2">
      <c r="A939" t="str">
        <f>IF(ISBLANK(B939), "","ConceptScheme-938")</f>
        <v/>
      </c>
    </row>
    <row r="940" spans="1:1" x14ac:dyDescent="0.2">
      <c r="A940" t="str">
        <f>IF(ISBLANK(B940), "","ConceptScheme-939")</f>
        <v/>
      </c>
    </row>
    <row r="941" spans="1:1" x14ac:dyDescent="0.2">
      <c r="A941" t="str">
        <f>IF(ISBLANK(B941), "","ConceptScheme-940")</f>
        <v/>
      </c>
    </row>
    <row r="942" spans="1:1" x14ac:dyDescent="0.2">
      <c r="A942" t="str">
        <f>IF(ISBLANK(B942), "","ConceptScheme-941")</f>
        <v/>
      </c>
    </row>
    <row r="943" spans="1:1" x14ac:dyDescent="0.2">
      <c r="A943" t="str">
        <f>IF(ISBLANK(B943), "","ConceptScheme-942")</f>
        <v/>
      </c>
    </row>
    <row r="944" spans="1:1" x14ac:dyDescent="0.2">
      <c r="A944" t="str">
        <f>IF(ISBLANK(B944), "","ConceptScheme-943")</f>
        <v/>
      </c>
    </row>
    <row r="945" spans="1:1" x14ac:dyDescent="0.2">
      <c r="A945" t="str">
        <f>IF(ISBLANK(B945), "","ConceptScheme-944")</f>
        <v/>
      </c>
    </row>
    <row r="946" spans="1:1" x14ac:dyDescent="0.2">
      <c r="A946" t="str">
        <f>IF(ISBLANK(B946), "","ConceptScheme-945")</f>
        <v/>
      </c>
    </row>
    <row r="947" spans="1:1" x14ac:dyDescent="0.2">
      <c r="A947" t="str">
        <f>IF(ISBLANK(B947), "","ConceptScheme-946")</f>
        <v/>
      </c>
    </row>
    <row r="948" spans="1:1" x14ac:dyDescent="0.2">
      <c r="A948" t="str">
        <f>IF(ISBLANK(B948), "","ConceptScheme-947")</f>
        <v/>
      </c>
    </row>
    <row r="949" spans="1:1" x14ac:dyDescent="0.2">
      <c r="A949" t="str">
        <f>IF(ISBLANK(B949), "","ConceptScheme-948")</f>
        <v/>
      </c>
    </row>
    <row r="950" spans="1:1" x14ac:dyDescent="0.2">
      <c r="A950" t="str">
        <f>IF(ISBLANK(B950), "","ConceptScheme-949")</f>
        <v/>
      </c>
    </row>
    <row r="951" spans="1:1" x14ac:dyDescent="0.2">
      <c r="A951" t="str">
        <f>IF(ISBLANK(B951), "","ConceptScheme-950")</f>
        <v/>
      </c>
    </row>
    <row r="952" spans="1:1" x14ac:dyDescent="0.2">
      <c r="A952" t="str">
        <f>IF(ISBLANK(B952), "","ConceptScheme-951")</f>
        <v/>
      </c>
    </row>
    <row r="953" spans="1:1" x14ac:dyDescent="0.2">
      <c r="A953" t="str">
        <f>IF(ISBLANK(B953), "","ConceptScheme-952")</f>
        <v/>
      </c>
    </row>
    <row r="954" spans="1:1" x14ac:dyDescent="0.2">
      <c r="A954" t="str">
        <f>IF(ISBLANK(B954), "","ConceptScheme-953")</f>
        <v/>
      </c>
    </row>
    <row r="955" spans="1:1" x14ac:dyDescent="0.2">
      <c r="A955" t="str">
        <f>IF(ISBLANK(B955), "","ConceptScheme-954")</f>
        <v/>
      </c>
    </row>
    <row r="956" spans="1:1" x14ac:dyDescent="0.2">
      <c r="A956" t="str">
        <f>IF(ISBLANK(B956), "","ConceptScheme-955")</f>
        <v/>
      </c>
    </row>
    <row r="957" spans="1:1" x14ac:dyDescent="0.2">
      <c r="A957" t="str">
        <f>IF(ISBLANK(B957), "","ConceptScheme-956")</f>
        <v/>
      </c>
    </row>
    <row r="958" spans="1:1" x14ac:dyDescent="0.2">
      <c r="A958" t="str">
        <f>IF(ISBLANK(B958), "","ConceptScheme-957")</f>
        <v/>
      </c>
    </row>
    <row r="959" spans="1:1" x14ac:dyDescent="0.2">
      <c r="A959" t="str">
        <f>IF(ISBLANK(B959), "","ConceptScheme-958")</f>
        <v/>
      </c>
    </row>
    <row r="960" spans="1:1" x14ac:dyDescent="0.2">
      <c r="A960" t="str">
        <f>IF(ISBLANK(B960), "","ConceptScheme-959")</f>
        <v/>
      </c>
    </row>
    <row r="961" spans="1:1" x14ac:dyDescent="0.2">
      <c r="A961" t="str">
        <f>IF(ISBLANK(B961), "","ConceptScheme-960")</f>
        <v/>
      </c>
    </row>
    <row r="962" spans="1:1" x14ac:dyDescent="0.2">
      <c r="A962" t="str">
        <f>IF(ISBLANK(B962), "","ConceptScheme-961")</f>
        <v/>
      </c>
    </row>
    <row r="963" spans="1:1" x14ac:dyDescent="0.2">
      <c r="A963" t="str">
        <f>IF(ISBLANK(B963), "","ConceptScheme-962")</f>
        <v/>
      </c>
    </row>
    <row r="964" spans="1:1" x14ac:dyDescent="0.2">
      <c r="A964" t="str">
        <f>IF(ISBLANK(B964), "","ConceptScheme-963")</f>
        <v/>
      </c>
    </row>
    <row r="965" spans="1:1" x14ac:dyDescent="0.2">
      <c r="A965" t="str">
        <f>IF(ISBLANK(B965), "","ConceptScheme-964")</f>
        <v/>
      </c>
    </row>
    <row r="966" spans="1:1" x14ac:dyDescent="0.2">
      <c r="A966" t="str">
        <f>IF(ISBLANK(B966), "","ConceptScheme-965")</f>
        <v/>
      </c>
    </row>
    <row r="967" spans="1:1" x14ac:dyDescent="0.2">
      <c r="A967" t="str">
        <f>IF(ISBLANK(B967), "","ConceptScheme-966")</f>
        <v/>
      </c>
    </row>
    <row r="968" spans="1:1" x14ac:dyDescent="0.2">
      <c r="A968" t="str">
        <f>IF(ISBLANK(B968), "","ConceptScheme-967")</f>
        <v/>
      </c>
    </row>
    <row r="969" spans="1:1" x14ac:dyDescent="0.2">
      <c r="A969" t="str">
        <f>IF(ISBLANK(B969), "","ConceptScheme-968")</f>
        <v/>
      </c>
    </row>
    <row r="970" spans="1:1" x14ac:dyDescent="0.2">
      <c r="A970" t="str">
        <f>IF(ISBLANK(B970), "","ConceptScheme-969")</f>
        <v/>
      </c>
    </row>
    <row r="971" spans="1:1" x14ac:dyDescent="0.2">
      <c r="A971" t="str">
        <f>IF(ISBLANK(B971), "","ConceptScheme-970")</f>
        <v/>
      </c>
    </row>
    <row r="972" spans="1:1" x14ac:dyDescent="0.2">
      <c r="A972" t="str">
        <f>IF(ISBLANK(B972), "","ConceptScheme-971")</f>
        <v/>
      </c>
    </row>
    <row r="973" spans="1:1" x14ac:dyDescent="0.2">
      <c r="A973" t="str">
        <f>IF(ISBLANK(B973), "","ConceptScheme-972")</f>
        <v/>
      </c>
    </row>
    <row r="974" spans="1:1" x14ac:dyDescent="0.2">
      <c r="A974" t="str">
        <f>IF(ISBLANK(B974), "","ConceptScheme-973")</f>
        <v/>
      </c>
    </row>
    <row r="975" spans="1:1" x14ac:dyDescent="0.2">
      <c r="A975" t="str">
        <f>IF(ISBLANK(B975), "","ConceptScheme-974")</f>
        <v/>
      </c>
    </row>
    <row r="976" spans="1:1" x14ac:dyDescent="0.2">
      <c r="A976" t="str">
        <f>IF(ISBLANK(B976), "","ConceptScheme-975")</f>
        <v/>
      </c>
    </row>
    <row r="977" spans="1:1" x14ac:dyDescent="0.2">
      <c r="A977" t="str">
        <f>IF(ISBLANK(B977), "","ConceptScheme-976")</f>
        <v/>
      </c>
    </row>
    <row r="978" spans="1:1" x14ac:dyDescent="0.2">
      <c r="A978" t="str">
        <f>IF(ISBLANK(B978), "","ConceptScheme-977")</f>
        <v/>
      </c>
    </row>
    <row r="979" spans="1:1" x14ac:dyDescent="0.2">
      <c r="A979" t="str">
        <f>IF(ISBLANK(B979), "","ConceptScheme-978")</f>
        <v/>
      </c>
    </row>
    <row r="980" spans="1:1" x14ac:dyDescent="0.2">
      <c r="A980" t="str">
        <f>IF(ISBLANK(B980), "","ConceptScheme-979")</f>
        <v/>
      </c>
    </row>
    <row r="981" spans="1:1" x14ac:dyDescent="0.2">
      <c r="A981" t="str">
        <f>IF(ISBLANK(B981), "","ConceptScheme-980")</f>
        <v/>
      </c>
    </row>
    <row r="982" spans="1:1" x14ac:dyDescent="0.2">
      <c r="A982" t="str">
        <f>IF(ISBLANK(B982), "","ConceptScheme-981")</f>
        <v/>
      </c>
    </row>
    <row r="983" spans="1:1" x14ac:dyDescent="0.2">
      <c r="A983" t="str">
        <f>IF(ISBLANK(B983), "","ConceptScheme-982")</f>
        <v/>
      </c>
    </row>
    <row r="984" spans="1:1" x14ac:dyDescent="0.2">
      <c r="A984" t="str">
        <f>IF(ISBLANK(B984), "","ConceptScheme-983")</f>
        <v/>
      </c>
    </row>
    <row r="985" spans="1:1" x14ac:dyDescent="0.2">
      <c r="A985" t="str">
        <f>IF(ISBLANK(B985), "","ConceptScheme-984")</f>
        <v/>
      </c>
    </row>
    <row r="986" spans="1:1" x14ac:dyDescent="0.2">
      <c r="A986" t="str">
        <f>IF(ISBLANK(B986), "","ConceptScheme-985")</f>
        <v/>
      </c>
    </row>
    <row r="987" spans="1:1" x14ac:dyDescent="0.2">
      <c r="A987" t="str">
        <f>IF(ISBLANK(B987), "","ConceptScheme-986")</f>
        <v/>
      </c>
    </row>
    <row r="988" spans="1:1" x14ac:dyDescent="0.2">
      <c r="A988" t="str">
        <f>IF(ISBLANK(B988), "","ConceptScheme-987")</f>
        <v/>
      </c>
    </row>
    <row r="989" spans="1:1" x14ac:dyDescent="0.2">
      <c r="A989" t="str">
        <f>IF(ISBLANK(B989), "","ConceptScheme-988")</f>
        <v/>
      </c>
    </row>
    <row r="990" spans="1:1" x14ac:dyDescent="0.2">
      <c r="A990" t="str">
        <f>IF(ISBLANK(B990), "","ConceptScheme-989")</f>
        <v/>
      </c>
    </row>
    <row r="991" spans="1:1" x14ac:dyDescent="0.2">
      <c r="A991" t="str">
        <f>IF(ISBLANK(B991), "","ConceptScheme-990")</f>
        <v/>
      </c>
    </row>
    <row r="992" spans="1:1" x14ac:dyDescent="0.2">
      <c r="A992" t="str">
        <f>IF(ISBLANK(B992), "","ConceptScheme-991")</f>
        <v/>
      </c>
    </row>
    <row r="993" spans="1:1" x14ac:dyDescent="0.2">
      <c r="A993" t="str">
        <f>IF(ISBLANK(B993), "","ConceptScheme-992")</f>
        <v/>
      </c>
    </row>
    <row r="994" spans="1:1" x14ac:dyDescent="0.2">
      <c r="A994" t="str">
        <f>IF(ISBLANK(B994), "","ConceptScheme-993")</f>
        <v/>
      </c>
    </row>
    <row r="995" spans="1:1" x14ac:dyDescent="0.2">
      <c r="A995" t="str">
        <f>IF(ISBLANK(B995), "","ConceptScheme-994")</f>
        <v/>
      </c>
    </row>
    <row r="996" spans="1:1" x14ac:dyDescent="0.2">
      <c r="A996" t="str">
        <f>IF(ISBLANK(B996), "","ConceptScheme-995")</f>
        <v/>
      </c>
    </row>
    <row r="997" spans="1:1" x14ac:dyDescent="0.2">
      <c r="A997" t="str">
        <f>IF(ISBLANK(B997), "","ConceptScheme-996")</f>
        <v/>
      </c>
    </row>
    <row r="998" spans="1:1" x14ac:dyDescent="0.2">
      <c r="A998" t="str">
        <f>IF(ISBLANK(B998), "","ConceptScheme-997")</f>
        <v/>
      </c>
    </row>
    <row r="999" spans="1:1" x14ac:dyDescent="0.2">
      <c r="A999" t="str">
        <f>IF(ISBLANK(B999), "","ConceptScheme-998")</f>
        <v/>
      </c>
    </row>
    <row r="1000" spans="1:1" x14ac:dyDescent="0.2">
      <c r="A1000" t="str">
        <f>IF(ISBLANK(B1000), "","ConceptScheme-999")</f>
        <v/>
      </c>
    </row>
    <row r="1001" spans="1:1" x14ac:dyDescent="0.2">
      <c r="A1001" t="str">
        <f>IF(ISBLANK(B1001), "","ConceptScheme-1000")</f>
        <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100-000000000000}">
          <x14:formula1>
            <xm:f>Concept!A$2:A$1000</xm:f>
          </x14:formula1>
          <xm:sqref>B2:B1001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J20" sqref="J20"/>
    </sheetView>
  </sheetViews>
  <sheetFormatPr baseColWidth="10" defaultColWidth="8.83203125" defaultRowHeight="15" x14ac:dyDescent="0.2"/>
  <cols>
    <col min="1" max="1" width="28.1640625" customWidth="1"/>
    <col min="2" max="2" width="30.83203125" bestFit="1" customWidth="1"/>
    <col min="3" max="3" width="85" customWidth="1"/>
    <col min="4" max="4" width="15.6640625" customWidth="1"/>
    <col min="5" max="5" width="25.1640625" customWidth="1"/>
    <col min="6" max="6" width="25" bestFit="1" customWidth="1"/>
    <col min="7" max="7" width="18.83203125" bestFit="1" customWidth="1"/>
    <col min="8" max="8" width="15.6640625" customWidth="1"/>
    <col min="9" max="9" width="14.33203125" customWidth="1"/>
    <col min="10" max="11" width="18" customWidth="1"/>
    <col min="12" max="12" width="20.33203125" customWidth="1"/>
  </cols>
  <sheetData>
    <row r="1" spans="1:12" ht="21" x14ac:dyDescent="0.2">
      <c r="A1" s="1" t="s">
        <v>0</v>
      </c>
      <c r="B1" s="2" t="s">
        <v>1</v>
      </c>
      <c r="C1" s="2" t="s">
        <v>2</v>
      </c>
      <c r="D1" s="2" t="s">
        <v>3</v>
      </c>
      <c r="E1" s="2" t="s">
        <v>4</v>
      </c>
      <c r="F1" s="2" t="s">
        <v>5</v>
      </c>
      <c r="G1" s="2" t="s">
        <v>6</v>
      </c>
      <c r="H1" s="2" t="s">
        <v>7</v>
      </c>
      <c r="I1" s="2" t="s">
        <v>8</v>
      </c>
      <c r="J1" s="2" t="s">
        <v>9</v>
      </c>
      <c r="K1" s="2" t="s">
        <v>10</v>
      </c>
      <c r="L1" s="2" t="s">
        <v>11</v>
      </c>
    </row>
    <row r="2" spans="1:12" s="6" customFormat="1" ht="16" x14ac:dyDescent="0.2">
      <c r="A2" s="8" t="str">
        <f>SUBSTITUTE(SUBSTITUTE(SUBSTITUTE(B2," ",""),"-",""),"&amp;","")</f>
        <v>Economics</v>
      </c>
      <c r="B2" s="8" t="s">
        <v>22</v>
      </c>
      <c r="F2" s="6" t="s">
        <v>147</v>
      </c>
    </row>
    <row r="3" spans="1:12" ht="34" x14ac:dyDescent="0.2">
      <c r="A3" s="9" t="str">
        <f>SUBSTITUTE(SUBSTITUTE(SUBSTITUTE(B3," ",""),"-",""),"&amp;","")</f>
        <v>BusinessModels</v>
      </c>
      <c r="B3" s="9" t="s">
        <v>23</v>
      </c>
      <c r="C3" s="4" t="s">
        <v>91</v>
      </c>
      <c r="G3" t="s">
        <v>22</v>
      </c>
    </row>
    <row r="4" spans="1:12" ht="51" x14ac:dyDescent="0.2">
      <c r="A4" s="9" t="str">
        <f t="shared" ref="A4:A67" si="0">SUBSTITUTE(SUBSTITUTE(SUBSTITUTE(B4," ",""),"-",""),"&amp;","")</f>
        <v>LevelizedCostofEnergyModels</v>
      </c>
      <c r="B4" s="9" t="s">
        <v>24</v>
      </c>
      <c r="C4" s="4" t="s">
        <v>92</v>
      </c>
      <c r="G4" t="s">
        <v>22</v>
      </c>
    </row>
    <row r="5" spans="1:12" ht="16" x14ac:dyDescent="0.2">
      <c r="A5" s="9" t="str">
        <f t="shared" si="0"/>
        <v>ProjectFinance</v>
      </c>
      <c r="B5" s="9" t="s">
        <v>25</v>
      </c>
      <c r="C5" s="5"/>
      <c r="G5" t="s">
        <v>22</v>
      </c>
    </row>
    <row r="6" spans="1:12" ht="16" x14ac:dyDescent="0.2">
      <c r="A6" s="9" t="str">
        <f t="shared" si="0"/>
        <v>MarketModels</v>
      </c>
      <c r="B6" s="9" t="s">
        <v>26</v>
      </c>
      <c r="C6" s="5"/>
      <c r="G6" t="s">
        <v>22</v>
      </c>
    </row>
    <row r="7" spans="1:12" ht="16" x14ac:dyDescent="0.2">
      <c r="A7" s="9" t="str">
        <f t="shared" si="0"/>
        <v>SupportSchemes</v>
      </c>
      <c r="B7" s="9" t="s">
        <v>27</v>
      </c>
      <c r="C7" s="5"/>
      <c r="G7" t="s">
        <v>22</v>
      </c>
    </row>
    <row r="8" spans="1:12" s="6" customFormat="1" ht="34" x14ac:dyDescent="0.2">
      <c r="A8" s="8" t="str">
        <f t="shared" si="0"/>
        <v>OperationMaintenance</v>
      </c>
      <c r="B8" s="8" t="s">
        <v>28</v>
      </c>
      <c r="C8" s="7" t="s">
        <v>93</v>
      </c>
      <c r="F8" s="6" t="s">
        <v>147</v>
      </c>
    </row>
    <row r="9" spans="1:12" ht="34" x14ac:dyDescent="0.2">
      <c r="A9" s="9" t="str">
        <f t="shared" si="0"/>
        <v>Commissioning</v>
      </c>
      <c r="B9" s="9" t="s">
        <v>29</v>
      </c>
      <c r="C9" s="4" t="s">
        <v>94</v>
      </c>
      <c r="G9" t="s">
        <v>148</v>
      </c>
    </row>
    <row r="10" spans="1:12" ht="34" x14ac:dyDescent="0.2">
      <c r="A10" s="9" t="str">
        <f t="shared" si="0"/>
        <v>Decommissioning</v>
      </c>
      <c r="B10" s="9" t="s">
        <v>30</v>
      </c>
      <c r="C10" s="4" t="s">
        <v>95</v>
      </c>
      <c r="G10" t="s">
        <v>148</v>
      </c>
    </row>
    <row r="11" spans="1:12" ht="17" x14ac:dyDescent="0.2">
      <c r="A11" s="9" t="str">
        <f t="shared" si="0"/>
        <v>EndofLifeExtension</v>
      </c>
      <c r="B11" s="9" t="s">
        <v>31</v>
      </c>
      <c r="C11" s="4" t="s">
        <v>96</v>
      </c>
      <c r="G11" t="s">
        <v>30</v>
      </c>
    </row>
    <row r="12" spans="1:12" ht="16" x14ac:dyDescent="0.2">
      <c r="A12" s="9" t="str">
        <f t="shared" si="0"/>
        <v>ReCertification</v>
      </c>
      <c r="B12" s="9" t="s">
        <v>32</v>
      </c>
      <c r="C12" s="5"/>
      <c r="G12" t="s">
        <v>150</v>
      </c>
    </row>
    <row r="13" spans="1:12" ht="16" x14ac:dyDescent="0.2">
      <c r="A13" s="9" t="str">
        <f t="shared" si="0"/>
        <v>Recycling</v>
      </c>
      <c r="B13" s="9" t="s">
        <v>33</v>
      </c>
      <c r="C13" s="5"/>
      <c r="G13" t="s">
        <v>150</v>
      </c>
    </row>
    <row r="14" spans="1:12" ht="34" x14ac:dyDescent="0.2">
      <c r="A14" s="9" t="str">
        <f t="shared" si="0"/>
        <v>Repowering</v>
      </c>
      <c r="B14" s="9" t="s">
        <v>34</v>
      </c>
      <c r="C14" s="4" t="s">
        <v>97</v>
      </c>
      <c r="G14" t="s">
        <v>150</v>
      </c>
    </row>
    <row r="15" spans="1:12" ht="85" x14ac:dyDescent="0.2">
      <c r="A15" s="9" t="str">
        <f t="shared" si="0"/>
        <v>Revamping</v>
      </c>
      <c r="B15" s="9" t="s">
        <v>35</v>
      </c>
      <c r="C15" s="4" t="s">
        <v>98</v>
      </c>
      <c r="G15" t="s">
        <v>150</v>
      </c>
    </row>
    <row r="16" spans="1:12" ht="17" x14ac:dyDescent="0.2">
      <c r="A16" s="9" t="str">
        <f t="shared" si="0"/>
        <v>Forecasting</v>
      </c>
      <c r="B16" s="9" t="s">
        <v>36</v>
      </c>
      <c r="C16" s="4" t="s">
        <v>99</v>
      </c>
      <c r="G16" t="s">
        <v>148</v>
      </c>
    </row>
    <row r="17" spans="1:7" ht="16" x14ac:dyDescent="0.2">
      <c r="A17" s="9" t="str">
        <f t="shared" si="0"/>
        <v>HealthSafety</v>
      </c>
      <c r="B17" s="9" t="s">
        <v>37</v>
      </c>
      <c r="C17" s="5"/>
      <c r="G17" t="s">
        <v>148</v>
      </c>
    </row>
    <row r="18" spans="1:7" ht="34" x14ac:dyDescent="0.2">
      <c r="A18" s="9" t="str">
        <f t="shared" si="0"/>
        <v>Installation</v>
      </c>
      <c r="B18" s="9" t="s">
        <v>38</v>
      </c>
      <c r="C18" s="4" t="s">
        <v>100</v>
      </c>
      <c r="G18" t="s">
        <v>148</v>
      </c>
    </row>
    <row r="19" spans="1:7" ht="34" x14ac:dyDescent="0.2">
      <c r="A19" s="9" t="str">
        <f t="shared" si="0"/>
        <v>MaintenanceScheduling</v>
      </c>
      <c r="B19" s="9" t="s">
        <v>39</v>
      </c>
      <c r="C19" s="4" t="s">
        <v>101</v>
      </c>
      <c r="G19" t="s">
        <v>148</v>
      </c>
    </row>
    <row r="20" spans="1:7" s="6" customFormat="1" ht="51" x14ac:dyDescent="0.2">
      <c r="A20" s="8" t="str">
        <f t="shared" si="0"/>
        <v>Siting</v>
      </c>
      <c r="B20" s="8" t="s">
        <v>40</v>
      </c>
      <c r="C20" s="7" t="s">
        <v>102</v>
      </c>
      <c r="F20" s="6" t="s">
        <v>147</v>
      </c>
    </row>
    <row r="21" spans="1:7" ht="17" x14ac:dyDescent="0.2">
      <c r="A21" s="9" t="str">
        <f t="shared" si="0"/>
        <v>DesignConditions</v>
      </c>
      <c r="B21" s="9" t="s">
        <v>41</v>
      </c>
      <c r="C21" s="4" t="s">
        <v>103</v>
      </c>
      <c r="G21" t="s">
        <v>40</v>
      </c>
    </row>
    <row r="22" spans="1:7" ht="34" x14ac:dyDescent="0.2">
      <c r="A22" s="9" t="str">
        <f t="shared" si="0"/>
        <v>Turbulence</v>
      </c>
      <c r="B22" s="9" t="s">
        <v>42</v>
      </c>
      <c r="C22" s="4" t="s">
        <v>104</v>
      </c>
      <c r="G22" t="s">
        <v>151</v>
      </c>
    </row>
    <row r="23" spans="1:7" ht="16" x14ac:dyDescent="0.2">
      <c r="A23" s="9" t="str">
        <f t="shared" si="0"/>
        <v>Infrastructures</v>
      </c>
      <c r="B23" s="9" t="s">
        <v>43</v>
      </c>
      <c r="C23" s="5"/>
      <c r="G23" t="s">
        <v>40</v>
      </c>
    </row>
    <row r="24" spans="1:7" ht="51" x14ac:dyDescent="0.2">
      <c r="A24" s="9" t="str">
        <f t="shared" si="0"/>
        <v>LongTermExtrapolation</v>
      </c>
      <c r="B24" s="9" t="s">
        <v>44</v>
      </c>
      <c r="C24" s="4" t="s">
        <v>105</v>
      </c>
      <c r="G24" t="s">
        <v>40</v>
      </c>
    </row>
    <row r="25" spans="1:7" ht="51" x14ac:dyDescent="0.2">
      <c r="A25" s="9" t="str">
        <f t="shared" si="0"/>
        <v>ResourceAssessment</v>
      </c>
      <c r="B25" s="9" t="s">
        <v>45</v>
      </c>
      <c r="C25" s="4" t="s">
        <v>106</v>
      </c>
      <c r="G25" t="s">
        <v>40</v>
      </c>
    </row>
    <row r="26" spans="1:7" ht="16" x14ac:dyDescent="0.2">
      <c r="A26" s="9" t="str">
        <f t="shared" si="0"/>
        <v>SpatialPlanning</v>
      </c>
      <c r="B26" s="9" t="s">
        <v>46</v>
      </c>
      <c r="C26" s="5"/>
      <c r="G26" t="s">
        <v>40</v>
      </c>
    </row>
    <row r="27" spans="1:7" ht="34" x14ac:dyDescent="0.2">
      <c r="A27" s="9" t="str">
        <f t="shared" si="0"/>
        <v>EnviromentalImpact</v>
      </c>
      <c r="B27" s="9" t="s">
        <v>47</v>
      </c>
      <c r="C27" s="4" t="s">
        <v>107</v>
      </c>
      <c r="G27" t="s">
        <v>152</v>
      </c>
    </row>
    <row r="28" spans="1:7" ht="16" x14ac:dyDescent="0.2">
      <c r="A28" s="9" t="str">
        <f t="shared" si="0"/>
        <v>NatureImpacts</v>
      </c>
      <c r="B28" s="9" t="s">
        <v>48</v>
      </c>
      <c r="C28" s="5"/>
      <c r="G28" t="s">
        <v>153</v>
      </c>
    </row>
    <row r="29" spans="1:7" ht="34" x14ac:dyDescent="0.2">
      <c r="A29" s="9" t="str">
        <f t="shared" si="0"/>
        <v>NoisePerception</v>
      </c>
      <c r="B29" s="9" t="s">
        <v>49</v>
      </c>
      <c r="C29" s="4" t="s">
        <v>108</v>
      </c>
      <c r="G29" t="s">
        <v>153</v>
      </c>
    </row>
    <row r="30" spans="1:7" ht="16" x14ac:dyDescent="0.2">
      <c r="A30" s="9" t="str">
        <f t="shared" si="0"/>
        <v>SocialAcceptance</v>
      </c>
      <c r="B30" s="9" t="s">
        <v>50</v>
      </c>
      <c r="C30" s="5"/>
      <c r="G30" t="s">
        <v>153</v>
      </c>
    </row>
    <row r="31" spans="1:7" ht="16" x14ac:dyDescent="0.2">
      <c r="A31" s="9" t="str">
        <f t="shared" si="0"/>
        <v>LegalAspects</v>
      </c>
      <c r="B31" s="9" t="s">
        <v>51</v>
      </c>
      <c r="C31" s="5"/>
      <c r="G31" t="s">
        <v>152</v>
      </c>
    </row>
    <row r="32" spans="1:7" ht="34" x14ac:dyDescent="0.2">
      <c r="A32" s="9" t="str">
        <f t="shared" si="0"/>
        <v>WindAtlas</v>
      </c>
      <c r="B32" s="9" t="s">
        <v>52</v>
      </c>
      <c r="C32" s="4" t="s">
        <v>109</v>
      </c>
      <c r="G32" t="s">
        <v>40</v>
      </c>
    </row>
    <row r="33" spans="1:7" ht="34" x14ac:dyDescent="0.2">
      <c r="A33" s="9" t="str">
        <f t="shared" si="0"/>
        <v>WindMapping</v>
      </c>
      <c r="B33" s="9" t="s">
        <v>53</v>
      </c>
      <c r="C33" s="4" t="s">
        <v>110</v>
      </c>
      <c r="G33" t="s">
        <v>40</v>
      </c>
    </row>
    <row r="34" spans="1:7" s="6" customFormat="1" ht="17" x14ac:dyDescent="0.2">
      <c r="A34" s="8" t="str">
        <f t="shared" si="0"/>
        <v>WindPowerPlant</v>
      </c>
      <c r="B34" s="8" t="s">
        <v>54</v>
      </c>
      <c r="C34" s="7" t="s">
        <v>111</v>
      </c>
      <c r="F34" s="6" t="s">
        <v>147</v>
      </c>
    </row>
    <row r="35" spans="1:7" ht="34" x14ac:dyDescent="0.2">
      <c r="A35" s="9" t="str">
        <f t="shared" si="0"/>
        <v>AncillaryServices</v>
      </c>
      <c r="B35" s="9" t="s">
        <v>55</v>
      </c>
      <c r="C35" s="4" t="s">
        <v>112</v>
      </c>
      <c r="G35" t="s">
        <v>149</v>
      </c>
    </row>
    <row r="36" spans="1:7" ht="17" x14ac:dyDescent="0.2">
      <c r="A36" s="9" t="str">
        <f t="shared" si="0"/>
        <v>GridConnection</v>
      </c>
      <c r="B36" s="9" t="s">
        <v>56</v>
      </c>
      <c r="C36" s="4" t="s">
        <v>113</v>
      </c>
      <c r="G36" t="s">
        <v>149</v>
      </c>
    </row>
    <row r="37" spans="1:7" ht="16" x14ac:dyDescent="0.2">
      <c r="A37" s="9" t="str">
        <f t="shared" si="0"/>
        <v>ArrayCables</v>
      </c>
      <c r="B37" s="9" t="s">
        <v>57</v>
      </c>
      <c r="C37" s="5"/>
      <c r="G37" t="s">
        <v>154</v>
      </c>
    </row>
    <row r="38" spans="1:7" ht="68" x14ac:dyDescent="0.2">
      <c r="A38" s="9" t="str">
        <f t="shared" si="0"/>
        <v>Substation</v>
      </c>
      <c r="B38" s="9" t="s">
        <v>58</v>
      </c>
      <c r="C38" s="4" t="s">
        <v>114</v>
      </c>
      <c r="G38" t="s">
        <v>154</v>
      </c>
    </row>
    <row r="39" spans="1:7" ht="51" x14ac:dyDescent="0.2">
      <c r="A39" s="9" t="str">
        <f t="shared" si="0"/>
        <v>TransmissionSystem</v>
      </c>
      <c r="B39" s="9" t="s">
        <v>59</v>
      </c>
      <c r="C39" s="4" t="s">
        <v>115</v>
      </c>
      <c r="G39" t="s">
        <v>154</v>
      </c>
    </row>
    <row r="40" spans="1:7" ht="34" x14ac:dyDescent="0.2">
      <c r="A40" s="9" t="str">
        <f t="shared" si="0"/>
        <v>Loads</v>
      </c>
      <c r="B40" s="9" t="s">
        <v>60</v>
      </c>
      <c r="C40" s="4" t="s">
        <v>116</v>
      </c>
      <c r="G40" t="s">
        <v>149</v>
      </c>
    </row>
    <row r="41" spans="1:7" ht="16" x14ac:dyDescent="0.2">
      <c r="A41" s="9" t="str">
        <f t="shared" si="0"/>
        <v>Performance</v>
      </c>
      <c r="B41" s="9" t="s">
        <v>61</v>
      </c>
      <c r="C41" s="5"/>
      <c r="G41" t="s">
        <v>149</v>
      </c>
    </row>
    <row r="42" spans="1:7" ht="17" x14ac:dyDescent="0.2">
      <c r="A42" s="9" t="str">
        <f t="shared" si="0"/>
        <v>WindFarm</v>
      </c>
      <c r="B42" s="9" t="s">
        <v>62</v>
      </c>
      <c r="C42" s="4" t="s">
        <v>117</v>
      </c>
      <c r="G42" t="s">
        <v>149</v>
      </c>
    </row>
    <row r="43" spans="1:7" ht="34" x14ac:dyDescent="0.2">
      <c r="A43" s="9" t="str">
        <f t="shared" si="0"/>
        <v>Wakes</v>
      </c>
      <c r="B43" s="9" t="s">
        <v>63</v>
      </c>
      <c r="C43" s="4" t="s">
        <v>118</v>
      </c>
      <c r="G43" t="s">
        <v>155</v>
      </c>
    </row>
    <row r="44" spans="1:7" ht="34" x14ac:dyDescent="0.2">
      <c r="A44" s="9" t="str">
        <f t="shared" si="0"/>
        <v>WindFarmControl</v>
      </c>
      <c r="B44" s="9" t="s">
        <v>64</v>
      </c>
      <c r="C44" s="4" t="s">
        <v>119</v>
      </c>
      <c r="G44" t="s">
        <v>155</v>
      </c>
    </row>
    <row r="45" spans="1:7" s="6" customFormat="1" ht="34" x14ac:dyDescent="0.2">
      <c r="A45" s="8" t="str">
        <f t="shared" si="0"/>
        <v>WindTurbine</v>
      </c>
      <c r="B45" s="8" t="s">
        <v>65</v>
      </c>
      <c r="C45" s="7" t="s">
        <v>120</v>
      </c>
      <c r="F45" s="6" t="s">
        <v>147</v>
      </c>
    </row>
    <row r="46" spans="1:7" ht="34" x14ac:dyDescent="0.2">
      <c r="A46" s="9" t="str">
        <f t="shared" si="0"/>
        <v>ConceptDesign</v>
      </c>
      <c r="B46" s="9" t="s">
        <v>66</v>
      </c>
      <c r="C46" s="4" t="s">
        <v>121</v>
      </c>
      <c r="G46" t="s">
        <v>156</v>
      </c>
    </row>
    <row r="47" spans="1:7" ht="51" x14ac:dyDescent="0.2">
      <c r="A47" s="9" t="str">
        <f t="shared" si="0"/>
        <v>Aerial</v>
      </c>
      <c r="B47" s="9" t="s">
        <v>67</v>
      </c>
      <c r="C47" s="4" t="s">
        <v>122</v>
      </c>
      <c r="G47" t="s">
        <v>157</v>
      </c>
    </row>
    <row r="48" spans="1:7" ht="17" x14ac:dyDescent="0.2">
      <c r="A48" s="9" t="str">
        <f t="shared" si="0"/>
        <v>HorizontalAxis</v>
      </c>
      <c r="B48" s="9" t="s">
        <v>68</v>
      </c>
      <c r="C48" s="4" t="s">
        <v>123</v>
      </c>
      <c r="G48" t="s">
        <v>157</v>
      </c>
    </row>
    <row r="49" spans="1:7" ht="17" x14ac:dyDescent="0.2">
      <c r="A49" s="9" t="str">
        <f t="shared" si="0"/>
        <v>MonoMultiRotor</v>
      </c>
      <c r="B49" s="9" t="s">
        <v>69</v>
      </c>
      <c r="C49" s="4" t="s">
        <v>124</v>
      </c>
      <c r="G49" t="s">
        <v>157</v>
      </c>
    </row>
    <row r="50" spans="1:7" ht="17" x14ac:dyDescent="0.2">
      <c r="A50" s="9" t="str">
        <f t="shared" si="0"/>
        <v>VerticalAxis</v>
      </c>
      <c r="B50" s="9" t="s">
        <v>70</v>
      </c>
      <c r="C50" s="4" t="s">
        <v>125</v>
      </c>
      <c r="G50" t="s">
        <v>157</v>
      </c>
    </row>
    <row r="51" spans="1:7" ht="17" x14ac:dyDescent="0.2">
      <c r="A51" s="9" t="str">
        <f t="shared" si="0"/>
        <v>Controls</v>
      </c>
      <c r="B51" s="9" t="s">
        <v>71</v>
      </c>
      <c r="C51" s="4" t="s">
        <v>126</v>
      </c>
      <c r="G51" t="s">
        <v>156</v>
      </c>
    </row>
    <row r="52" spans="1:7" ht="16" x14ac:dyDescent="0.2">
      <c r="A52" s="9" t="str">
        <f t="shared" si="0"/>
        <v>BlackBox</v>
      </c>
      <c r="B52" s="9" t="s">
        <v>72</v>
      </c>
      <c r="C52" s="5"/>
      <c r="G52" t="s">
        <v>71</v>
      </c>
    </row>
    <row r="53" spans="1:7" ht="34" x14ac:dyDescent="0.2">
      <c r="A53" s="9" t="str">
        <f t="shared" si="0"/>
        <v>Nacelle</v>
      </c>
      <c r="B53" s="9" t="s">
        <v>73</v>
      </c>
      <c r="C53" s="4" t="s">
        <v>127</v>
      </c>
      <c r="G53" t="s">
        <v>156</v>
      </c>
    </row>
    <row r="54" spans="1:7" ht="51" x14ac:dyDescent="0.2">
      <c r="A54" s="9" t="str">
        <f t="shared" si="0"/>
        <v>Cooling</v>
      </c>
      <c r="B54" s="9" t="s">
        <v>74</v>
      </c>
      <c r="C54" s="4" t="s">
        <v>128</v>
      </c>
      <c r="G54" t="s">
        <v>73</v>
      </c>
    </row>
    <row r="55" spans="1:7" ht="17" x14ac:dyDescent="0.2">
      <c r="A55" s="9" t="str">
        <f t="shared" si="0"/>
        <v>Gearbox</v>
      </c>
      <c r="B55" s="9" t="s">
        <v>75</v>
      </c>
      <c r="C55" s="4" t="s">
        <v>129</v>
      </c>
      <c r="G55" t="s">
        <v>73</v>
      </c>
    </row>
    <row r="56" spans="1:7" ht="17" x14ac:dyDescent="0.2">
      <c r="A56" s="9" t="str">
        <f t="shared" si="0"/>
        <v>Generator</v>
      </c>
      <c r="B56" s="9" t="s">
        <v>76</v>
      </c>
      <c r="C56" s="4" t="s">
        <v>130</v>
      </c>
      <c r="G56" t="s">
        <v>73</v>
      </c>
    </row>
    <row r="57" spans="1:7" ht="16" x14ac:dyDescent="0.2">
      <c r="A57" s="9" t="str">
        <f t="shared" si="0"/>
        <v>MainShaft</v>
      </c>
      <c r="B57" s="9" t="s">
        <v>77</v>
      </c>
      <c r="C57" s="5"/>
      <c r="G57" t="s">
        <v>73</v>
      </c>
    </row>
    <row r="58" spans="1:7" ht="34" x14ac:dyDescent="0.2">
      <c r="A58" s="9" t="str">
        <f t="shared" si="0"/>
        <v>PowerElectronics</v>
      </c>
      <c r="B58" s="9" t="s">
        <v>78</v>
      </c>
      <c r="C58" s="4" t="s">
        <v>131</v>
      </c>
      <c r="G58" t="s">
        <v>73</v>
      </c>
    </row>
    <row r="59" spans="1:7" ht="51" x14ac:dyDescent="0.2">
      <c r="A59" s="9" t="str">
        <f t="shared" si="0"/>
        <v>TurbineControl</v>
      </c>
      <c r="B59" s="9" t="s">
        <v>79</v>
      </c>
      <c r="C59" s="4" t="s">
        <v>132</v>
      </c>
      <c r="G59" t="s">
        <v>73</v>
      </c>
    </row>
    <row r="60" spans="1:7" ht="17" x14ac:dyDescent="0.2">
      <c r="A60" s="9" t="str">
        <f t="shared" si="0"/>
        <v>Rotor</v>
      </c>
      <c r="B60" s="9" t="s">
        <v>80</v>
      </c>
      <c r="C60" s="4" t="s">
        <v>133</v>
      </c>
      <c r="G60" t="s">
        <v>156</v>
      </c>
    </row>
    <row r="61" spans="1:7" ht="34" x14ac:dyDescent="0.2">
      <c r="A61" s="9" t="str">
        <f t="shared" si="0"/>
        <v>Blades</v>
      </c>
      <c r="B61" s="9" t="s">
        <v>81</v>
      </c>
      <c r="C61" s="4" t="s">
        <v>134</v>
      </c>
      <c r="G61" t="s">
        <v>80</v>
      </c>
    </row>
    <row r="62" spans="1:7" ht="17" x14ac:dyDescent="0.2">
      <c r="A62" s="9" t="str">
        <f t="shared" si="0"/>
        <v>Hub</v>
      </c>
      <c r="B62" s="9" t="s">
        <v>82</v>
      </c>
      <c r="C62" s="4" t="s">
        <v>135</v>
      </c>
      <c r="G62" t="s">
        <v>80</v>
      </c>
    </row>
    <row r="63" spans="1:7" ht="17" x14ac:dyDescent="0.2">
      <c r="A63" s="9" t="str">
        <f t="shared" si="0"/>
        <v>SupportStructure</v>
      </c>
      <c r="B63" s="9" t="s">
        <v>83</v>
      </c>
      <c r="C63" s="4" t="s">
        <v>136</v>
      </c>
      <c r="G63" t="s">
        <v>156</v>
      </c>
    </row>
    <row r="64" spans="1:7" ht="16" x14ac:dyDescent="0.2">
      <c r="A64" s="9" t="str">
        <f t="shared" si="0"/>
        <v>Floating</v>
      </c>
      <c r="B64" s="9" t="s">
        <v>84</v>
      </c>
      <c r="C64" s="5"/>
      <c r="G64" t="s">
        <v>158</v>
      </c>
    </row>
    <row r="65" spans="1:7" ht="34" x14ac:dyDescent="0.2">
      <c r="A65" s="9" t="str">
        <f t="shared" si="0"/>
        <v>Foundation</v>
      </c>
      <c r="B65" s="9" t="s">
        <v>85</v>
      </c>
      <c r="C65" s="4" t="s">
        <v>137</v>
      </c>
      <c r="G65" t="s">
        <v>158</v>
      </c>
    </row>
    <row r="66" spans="1:7" ht="16" x14ac:dyDescent="0.2">
      <c r="A66" s="9" t="str">
        <f t="shared" si="0"/>
        <v>MooringLines</v>
      </c>
      <c r="B66" s="9" t="s">
        <v>86</v>
      </c>
      <c r="C66" s="5"/>
      <c r="G66" t="s">
        <v>158</v>
      </c>
    </row>
    <row r="67" spans="1:7" ht="16" x14ac:dyDescent="0.2">
      <c r="A67" s="9" t="str">
        <f t="shared" si="0"/>
        <v>Substructure</v>
      </c>
      <c r="B67" s="9" t="s">
        <v>87</v>
      </c>
      <c r="C67" s="5"/>
      <c r="G67" t="s">
        <v>158</v>
      </c>
    </row>
    <row r="68" spans="1:7" ht="34" x14ac:dyDescent="0.2">
      <c r="A68" s="9" t="str">
        <f t="shared" ref="A68:A70" si="1">SUBSTITUTE(SUBSTITUTE(SUBSTITUTE(B68," ",""),"-",""),"&amp;","")</f>
        <v>Tower</v>
      </c>
      <c r="B68" s="9" t="s">
        <v>88</v>
      </c>
      <c r="C68" s="4" t="s">
        <v>138</v>
      </c>
      <c r="G68" t="s">
        <v>156</v>
      </c>
    </row>
    <row r="69" spans="1:7" ht="51" x14ac:dyDescent="0.2">
      <c r="A69" s="9" t="str">
        <f t="shared" si="1"/>
        <v>Tubular</v>
      </c>
      <c r="B69" s="9" t="s">
        <v>89</v>
      </c>
      <c r="C69" s="4" t="s">
        <v>139</v>
      </c>
      <c r="G69" t="s">
        <v>88</v>
      </c>
    </row>
    <row r="70" spans="1:7" ht="34" x14ac:dyDescent="0.2">
      <c r="A70" s="9" t="str">
        <f t="shared" si="1"/>
        <v>Lattice</v>
      </c>
      <c r="B70" s="9" t="s">
        <v>90</v>
      </c>
      <c r="C70" s="4" t="s">
        <v>140</v>
      </c>
      <c r="G70" t="s">
        <v>88</v>
      </c>
    </row>
    <row r="71" spans="1:7" x14ac:dyDescent="0.2">
      <c r="A71" t="str">
        <f>IF(ISBLANK(B71), "","Concept-70")</f>
        <v/>
      </c>
    </row>
    <row r="72" spans="1:7" x14ac:dyDescent="0.2">
      <c r="A72" t="str">
        <f>IF(ISBLANK(B72), "","Concept-71")</f>
        <v/>
      </c>
    </row>
    <row r="73" spans="1:7" x14ac:dyDescent="0.2">
      <c r="A73" t="str">
        <f>IF(ISBLANK(B73), "","Concept-72")</f>
        <v/>
      </c>
    </row>
    <row r="74" spans="1:7" x14ac:dyDescent="0.2">
      <c r="A74" t="str">
        <f>IF(ISBLANK(B74), "","Concept-73")</f>
        <v/>
      </c>
    </row>
    <row r="75" spans="1:7" x14ac:dyDescent="0.2">
      <c r="A75" t="str">
        <f>IF(ISBLANK(B75), "","Concept-74")</f>
        <v/>
      </c>
    </row>
    <row r="76" spans="1:7" x14ac:dyDescent="0.2">
      <c r="A76" t="str">
        <f>IF(ISBLANK(B76), "","Concept-75")</f>
        <v/>
      </c>
    </row>
    <row r="77" spans="1:7" x14ac:dyDescent="0.2">
      <c r="A77" t="str">
        <f>IF(ISBLANK(B77), "","Concept-76")</f>
        <v/>
      </c>
    </row>
    <row r="78" spans="1:7" x14ac:dyDescent="0.2">
      <c r="A78" t="str">
        <f>IF(ISBLANK(B78), "","Concept-77")</f>
        <v/>
      </c>
    </row>
    <row r="79" spans="1:7" x14ac:dyDescent="0.2">
      <c r="A79" t="str">
        <f>IF(ISBLANK(B79), "","Concept-78")</f>
        <v/>
      </c>
    </row>
    <row r="80" spans="1:7" x14ac:dyDescent="0.2">
      <c r="A80" t="str">
        <f>IF(ISBLANK(B80), "","Concept-79")</f>
        <v/>
      </c>
    </row>
    <row r="81" spans="1:1" x14ac:dyDescent="0.2">
      <c r="A81" t="str">
        <f>IF(ISBLANK(B81), "","Concept-80")</f>
        <v/>
      </c>
    </row>
    <row r="82" spans="1:1" x14ac:dyDescent="0.2">
      <c r="A82" t="str">
        <f>IF(ISBLANK(B82), "","Concept-81")</f>
        <v/>
      </c>
    </row>
    <row r="83" spans="1:1" x14ac:dyDescent="0.2">
      <c r="A83" t="str">
        <f>IF(ISBLANK(B83), "","Concept-82")</f>
        <v/>
      </c>
    </row>
    <row r="84" spans="1:1" x14ac:dyDescent="0.2">
      <c r="A84" t="str">
        <f>IF(ISBLANK(B84), "","Concept-83")</f>
        <v/>
      </c>
    </row>
    <row r="85" spans="1:1" x14ac:dyDescent="0.2">
      <c r="A85" t="str">
        <f>IF(ISBLANK(B85), "","Concept-84")</f>
        <v/>
      </c>
    </row>
    <row r="86" spans="1:1" x14ac:dyDescent="0.2">
      <c r="A86" t="str">
        <f>IF(ISBLANK(B86), "","Concept-85")</f>
        <v/>
      </c>
    </row>
    <row r="87" spans="1:1" x14ac:dyDescent="0.2">
      <c r="A87" t="str">
        <f>IF(ISBLANK(B87), "","Concept-86")</f>
        <v/>
      </c>
    </row>
    <row r="88" spans="1:1" x14ac:dyDescent="0.2">
      <c r="A88" t="str">
        <f>IF(ISBLANK(B88), "","Concept-87")</f>
        <v/>
      </c>
    </row>
    <row r="89" spans="1:1" x14ac:dyDescent="0.2">
      <c r="A89" t="str">
        <f>IF(ISBLANK(B89), "","Concept-88")</f>
        <v/>
      </c>
    </row>
    <row r="90" spans="1:1" x14ac:dyDescent="0.2">
      <c r="A90" t="str">
        <f>IF(ISBLANK(B90), "","Concept-89")</f>
        <v/>
      </c>
    </row>
    <row r="91" spans="1:1" x14ac:dyDescent="0.2">
      <c r="A91" t="str">
        <f>IF(ISBLANK(B91), "","Concept-90")</f>
        <v/>
      </c>
    </row>
    <row r="92" spans="1:1" x14ac:dyDescent="0.2">
      <c r="A92" t="str">
        <f>IF(ISBLANK(B92), "","Concept-91")</f>
        <v/>
      </c>
    </row>
    <row r="93" spans="1:1" x14ac:dyDescent="0.2">
      <c r="A93" t="str">
        <f>IF(ISBLANK(B93), "","Concept-92")</f>
        <v/>
      </c>
    </row>
    <row r="94" spans="1:1" x14ac:dyDescent="0.2">
      <c r="A94" t="str">
        <f>IF(ISBLANK(B94), "","Concept-93")</f>
        <v/>
      </c>
    </row>
    <row r="95" spans="1:1" x14ac:dyDescent="0.2">
      <c r="A95" t="str">
        <f>IF(ISBLANK(B95), "","Concept-94")</f>
        <v/>
      </c>
    </row>
    <row r="96" spans="1:1" x14ac:dyDescent="0.2">
      <c r="A96" t="str">
        <f>IF(ISBLANK(B96), "","Concept-95")</f>
        <v/>
      </c>
    </row>
    <row r="97" spans="1:1" x14ac:dyDescent="0.2">
      <c r="A97" t="str">
        <f>IF(ISBLANK(B97), "","Concept-96")</f>
        <v/>
      </c>
    </row>
    <row r="98" spans="1:1" x14ac:dyDescent="0.2">
      <c r="A98" t="str">
        <f>IF(ISBLANK(B98), "","Concept-97")</f>
        <v/>
      </c>
    </row>
    <row r="99" spans="1:1" x14ac:dyDescent="0.2">
      <c r="A99" t="str">
        <f>IF(ISBLANK(B99), "","Concept-98")</f>
        <v/>
      </c>
    </row>
    <row r="100" spans="1:1" x14ac:dyDescent="0.2">
      <c r="A100" t="str">
        <f>IF(ISBLANK(B100), "","Concept-99")</f>
        <v/>
      </c>
    </row>
    <row r="101" spans="1:1" x14ac:dyDescent="0.2">
      <c r="A101" t="str">
        <f>IF(ISBLANK(B101), "","Concept-100")</f>
        <v/>
      </c>
    </row>
    <row r="102" spans="1:1" x14ac:dyDescent="0.2">
      <c r="A102" t="str">
        <f>IF(ISBLANK(B102), "","Concept-101")</f>
        <v/>
      </c>
    </row>
    <row r="103" spans="1:1" x14ac:dyDescent="0.2">
      <c r="A103" t="str">
        <f>IF(ISBLANK(B103), "","Concept-102")</f>
        <v/>
      </c>
    </row>
    <row r="104" spans="1:1" x14ac:dyDescent="0.2">
      <c r="A104" t="str">
        <f>IF(ISBLANK(B104), "","Concept-103")</f>
        <v/>
      </c>
    </row>
    <row r="105" spans="1:1" x14ac:dyDescent="0.2">
      <c r="A105" t="str">
        <f>IF(ISBLANK(B105), "","Concept-104")</f>
        <v/>
      </c>
    </row>
    <row r="106" spans="1:1" x14ac:dyDescent="0.2">
      <c r="A106" t="str">
        <f>IF(ISBLANK(B106), "","Concept-105")</f>
        <v/>
      </c>
    </row>
    <row r="107" spans="1:1" x14ac:dyDescent="0.2">
      <c r="A107" t="str">
        <f>IF(ISBLANK(B107), "","Concept-106")</f>
        <v/>
      </c>
    </row>
    <row r="108" spans="1:1" x14ac:dyDescent="0.2">
      <c r="A108" t="str">
        <f>IF(ISBLANK(B108), "","Concept-107")</f>
        <v/>
      </c>
    </row>
    <row r="109" spans="1:1" x14ac:dyDescent="0.2">
      <c r="A109" t="str">
        <f>IF(ISBLANK(B109), "","Concept-108")</f>
        <v/>
      </c>
    </row>
    <row r="110" spans="1:1" x14ac:dyDescent="0.2">
      <c r="A110" t="str">
        <f>IF(ISBLANK(B110), "","Concept-109")</f>
        <v/>
      </c>
    </row>
    <row r="111" spans="1:1" x14ac:dyDescent="0.2">
      <c r="A111" t="str">
        <f>IF(ISBLANK(B111), "","Concept-110")</f>
        <v/>
      </c>
    </row>
    <row r="112" spans="1:1" x14ac:dyDescent="0.2">
      <c r="A112" t="str">
        <f>IF(ISBLANK(B112), "","Concept-111")</f>
        <v/>
      </c>
    </row>
    <row r="113" spans="1:1" x14ac:dyDescent="0.2">
      <c r="A113" t="str">
        <f>IF(ISBLANK(B113), "","Concept-112")</f>
        <v/>
      </c>
    </row>
    <row r="114" spans="1:1" x14ac:dyDescent="0.2">
      <c r="A114" t="str">
        <f>IF(ISBLANK(B114), "","Concept-113")</f>
        <v/>
      </c>
    </row>
    <row r="115" spans="1:1" x14ac:dyDescent="0.2">
      <c r="A115" t="str">
        <f>IF(ISBLANK(B115), "","Concept-114")</f>
        <v/>
      </c>
    </row>
    <row r="116" spans="1:1" x14ac:dyDescent="0.2">
      <c r="A116" t="str">
        <f>IF(ISBLANK(B116), "","Concept-115")</f>
        <v/>
      </c>
    </row>
    <row r="117" spans="1:1" x14ac:dyDescent="0.2">
      <c r="A117" t="str">
        <f>IF(ISBLANK(B117), "","Concept-116")</f>
        <v/>
      </c>
    </row>
    <row r="118" spans="1:1" x14ac:dyDescent="0.2">
      <c r="A118" t="str">
        <f>IF(ISBLANK(B118), "","Concept-117")</f>
        <v/>
      </c>
    </row>
    <row r="119" spans="1:1" x14ac:dyDescent="0.2">
      <c r="A119" t="str">
        <f>IF(ISBLANK(B119), "","Concept-118")</f>
        <v/>
      </c>
    </row>
    <row r="120" spans="1:1" x14ac:dyDescent="0.2">
      <c r="A120" t="str">
        <f>IF(ISBLANK(B120), "","Concept-119")</f>
        <v/>
      </c>
    </row>
    <row r="121" spans="1:1" x14ac:dyDescent="0.2">
      <c r="A121" t="str">
        <f>IF(ISBLANK(B121), "","Concept-120")</f>
        <v/>
      </c>
    </row>
    <row r="122" spans="1:1" x14ac:dyDescent="0.2">
      <c r="A122" t="str">
        <f>IF(ISBLANK(B122), "","Concept-121")</f>
        <v/>
      </c>
    </row>
    <row r="123" spans="1:1" x14ac:dyDescent="0.2">
      <c r="A123" t="str">
        <f>IF(ISBLANK(B123), "","Concept-122")</f>
        <v/>
      </c>
    </row>
    <row r="124" spans="1:1" x14ac:dyDescent="0.2">
      <c r="A124" t="str">
        <f>IF(ISBLANK(B124), "","Concept-123")</f>
        <v/>
      </c>
    </row>
    <row r="125" spans="1:1" x14ac:dyDescent="0.2">
      <c r="A125" t="str">
        <f>IF(ISBLANK(B125), "","Concept-124")</f>
        <v/>
      </c>
    </row>
    <row r="126" spans="1:1" x14ac:dyDescent="0.2">
      <c r="A126" t="str">
        <f>IF(ISBLANK(B126), "","Concept-125")</f>
        <v/>
      </c>
    </row>
    <row r="127" spans="1:1" x14ac:dyDescent="0.2">
      <c r="A127" t="str">
        <f>IF(ISBLANK(B127), "","Concept-126")</f>
        <v/>
      </c>
    </row>
    <row r="128" spans="1:1" x14ac:dyDescent="0.2">
      <c r="A128" t="str">
        <f>IF(ISBLANK(B128), "","Concept-127")</f>
        <v/>
      </c>
    </row>
    <row r="129" spans="1:1" x14ac:dyDescent="0.2">
      <c r="A129" t="str">
        <f>IF(ISBLANK(B129), "","Concept-128")</f>
        <v/>
      </c>
    </row>
    <row r="130" spans="1:1" x14ac:dyDescent="0.2">
      <c r="A130" t="str">
        <f>IF(ISBLANK(B130), "","Concept-129")</f>
        <v/>
      </c>
    </row>
    <row r="131" spans="1:1" x14ac:dyDescent="0.2">
      <c r="A131" t="str">
        <f>IF(ISBLANK(B131), "","Concept-130")</f>
        <v/>
      </c>
    </row>
    <row r="132" spans="1:1" x14ac:dyDescent="0.2">
      <c r="A132" t="str">
        <f>IF(ISBLANK(B132), "","Concept-131")</f>
        <v/>
      </c>
    </row>
    <row r="133" spans="1:1" x14ac:dyDescent="0.2">
      <c r="A133" t="str">
        <f>IF(ISBLANK(B133), "","Concept-132")</f>
        <v/>
      </c>
    </row>
    <row r="134" spans="1:1" x14ac:dyDescent="0.2">
      <c r="A134" t="str">
        <f>IF(ISBLANK(B134), "","Concept-133")</f>
        <v/>
      </c>
    </row>
    <row r="135" spans="1:1" x14ac:dyDescent="0.2">
      <c r="A135" t="str">
        <f>IF(ISBLANK(B135), "","Concept-134")</f>
        <v/>
      </c>
    </row>
    <row r="136" spans="1:1" x14ac:dyDescent="0.2">
      <c r="A136" t="str">
        <f>IF(ISBLANK(B136), "","Concept-135")</f>
        <v/>
      </c>
    </row>
    <row r="137" spans="1:1" x14ac:dyDescent="0.2">
      <c r="A137" t="str">
        <f>IF(ISBLANK(B137), "","Concept-136")</f>
        <v/>
      </c>
    </row>
    <row r="138" spans="1:1" x14ac:dyDescent="0.2">
      <c r="A138" t="str">
        <f>IF(ISBLANK(B138), "","Concept-137")</f>
        <v/>
      </c>
    </row>
    <row r="139" spans="1:1" x14ac:dyDescent="0.2">
      <c r="A139" t="str">
        <f>IF(ISBLANK(B139), "","Concept-138")</f>
        <v/>
      </c>
    </row>
    <row r="140" spans="1:1" x14ac:dyDescent="0.2">
      <c r="A140" t="str">
        <f>IF(ISBLANK(B140), "","Concept-139")</f>
        <v/>
      </c>
    </row>
    <row r="141" spans="1:1" x14ac:dyDescent="0.2">
      <c r="A141" t="str">
        <f>IF(ISBLANK(B141), "","Concept-140")</f>
        <v/>
      </c>
    </row>
    <row r="142" spans="1:1" x14ac:dyDescent="0.2">
      <c r="A142" t="str">
        <f>IF(ISBLANK(B142), "","Concept-141")</f>
        <v/>
      </c>
    </row>
    <row r="143" spans="1:1" x14ac:dyDescent="0.2">
      <c r="A143" t="str">
        <f>IF(ISBLANK(B143), "","Concept-142")</f>
        <v/>
      </c>
    </row>
    <row r="144" spans="1:1" x14ac:dyDescent="0.2">
      <c r="A144" t="str">
        <f>IF(ISBLANK(B144), "","Concept-143")</f>
        <v/>
      </c>
    </row>
    <row r="145" spans="1:1" x14ac:dyDescent="0.2">
      <c r="A145" t="str">
        <f>IF(ISBLANK(B145), "","Concept-144")</f>
        <v/>
      </c>
    </row>
    <row r="146" spans="1:1" x14ac:dyDescent="0.2">
      <c r="A146" t="str">
        <f>IF(ISBLANK(B146), "","Concept-145")</f>
        <v/>
      </c>
    </row>
    <row r="147" spans="1:1" x14ac:dyDescent="0.2">
      <c r="A147" t="str">
        <f>IF(ISBLANK(B147), "","Concept-146")</f>
        <v/>
      </c>
    </row>
    <row r="148" spans="1:1" x14ac:dyDescent="0.2">
      <c r="A148" t="str">
        <f>IF(ISBLANK(B148), "","Concept-147")</f>
        <v/>
      </c>
    </row>
    <row r="149" spans="1:1" x14ac:dyDescent="0.2">
      <c r="A149" t="str">
        <f>IF(ISBLANK(B149), "","Concept-148")</f>
        <v/>
      </c>
    </row>
    <row r="150" spans="1:1" x14ac:dyDescent="0.2">
      <c r="A150" t="str">
        <f>IF(ISBLANK(B150), "","Concept-149")</f>
        <v/>
      </c>
    </row>
    <row r="151" spans="1:1" x14ac:dyDescent="0.2">
      <c r="A151" t="str">
        <f>IF(ISBLANK(B151), "","Concept-150")</f>
        <v/>
      </c>
    </row>
    <row r="152" spans="1:1" x14ac:dyDescent="0.2">
      <c r="A152" t="str">
        <f>IF(ISBLANK(B152), "","Concept-151")</f>
        <v/>
      </c>
    </row>
    <row r="153" spans="1:1" x14ac:dyDescent="0.2">
      <c r="A153" t="str">
        <f>IF(ISBLANK(B153), "","Concept-152")</f>
        <v/>
      </c>
    </row>
    <row r="154" spans="1:1" x14ac:dyDescent="0.2">
      <c r="A154" t="str">
        <f>IF(ISBLANK(B154), "","Concept-153")</f>
        <v/>
      </c>
    </row>
    <row r="155" spans="1:1" x14ac:dyDescent="0.2">
      <c r="A155" t="str">
        <f>IF(ISBLANK(B155), "","Concept-154")</f>
        <v/>
      </c>
    </row>
    <row r="156" spans="1:1" x14ac:dyDescent="0.2">
      <c r="A156" t="str">
        <f>IF(ISBLANK(B156), "","Concept-155")</f>
        <v/>
      </c>
    </row>
    <row r="157" spans="1:1" x14ac:dyDescent="0.2">
      <c r="A157" t="str">
        <f>IF(ISBLANK(B157), "","Concept-156")</f>
        <v/>
      </c>
    </row>
    <row r="158" spans="1:1" x14ac:dyDescent="0.2">
      <c r="A158" t="str">
        <f>IF(ISBLANK(B158), "","Concept-157")</f>
        <v/>
      </c>
    </row>
    <row r="159" spans="1:1" x14ac:dyDescent="0.2">
      <c r="A159" t="str">
        <f>IF(ISBLANK(B159), "","Concept-158")</f>
        <v/>
      </c>
    </row>
    <row r="160" spans="1:1" x14ac:dyDescent="0.2">
      <c r="A160" t="str">
        <f>IF(ISBLANK(B160), "","Concept-159")</f>
        <v/>
      </c>
    </row>
    <row r="161" spans="1:1" x14ac:dyDescent="0.2">
      <c r="A161" t="str">
        <f>IF(ISBLANK(B161), "","Concept-160")</f>
        <v/>
      </c>
    </row>
    <row r="162" spans="1:1" x14ac:dyDescent="0.2">
      <c r="A162" t="str">
        <f>IF(ISBLANK(B162), "","Concept-161")</f>
        <v/>
      </c>
    </row>
    <row r="163" spans="1:1" x14ac:dyDescent="0.2">
      <c r="A163" t="str">
        <f>IF(ISBLANK(B163), "","Concept-162")</f>
        <v/>
      </c>
    </row>
    <row r="164" spans="1:1" x14ac:dyDescent="0.2">
      <c r="A164" t="str">
        <f>IF(ISBLANK(B164), "","Concept-163")</f>
        <v/>
      </c>
    </row>
    <row r="165" spans="1:1" x14ac:dyDescent="0.2">
      <c r="A165" t="str">
        <f>IF(ISBLANK(B165), "","Concept-164")</f>
        <v/>
      </c>
    </row>
    <row r="166" spans="1:1" x14ac:dyDescent="0.2">
      <c r="A166" t="str">
        <f>IF(ISBLANK(B166), "","Concept-165")</f>
        <v/>
      </c>
    </row>
    <row r="167" spans="1:1" x14ac:dyDescent="0.2">
      <c r="A167" t="str">
        <f>IF(ISBLANK(B167), "","Concept-166")</f>
        <v/>
      </c>
    </row>
    <row r="168" spans="1:1" x14ac:dyDescent="0.2">
      <c r="A168" t="str">
        <f>IF(ISBLANK(B168), "","Concept-167")</f>
        <v/>
      </c>
    </row>
    <row r="169" spans="1:1" x14ac:dyDescent="0.2">
      <c r="A169" t="str">
        <f>IF(ISBLANK(B169), "","Concept-168")</f>
        <v/>
      </c>
    </row>
    <row r="170" spans="1:1" x14ac:dyDescent="0.2">
      <c r="A170" t="str">
        <f>IF(ISBLANK(B170), "","Concept-169")</f>
        <v/>
      </c>
    </row>
    <row r="171" spans="1:1" x14ac:dyDescent="0.2">
      <c r="A171" t="str">
        <f>IF(ISBLANK(B171), "","Concept-170")</f>
        <v/>
      </c>
    </row>
    <row r="172" spans="1:1" x14ac:dyDescent="0.2">
      <c r="A172" t="str">
        <f>IF(ISBLANK(B172), "","Concept-171")</f>
        <v/>
      </c>
    </row>
    <row r="173" spans="1:1" x14ac:dyDescent="0.2">
      <c r="A173" t="str">
        <f>IF(ISBLANK(B173), "","Concept-172")</f>
        <v/>
      </c>
    </row>
    <row r="174" spans="1:1" x14ac:dyDescent="0.2">
      <c r="A174" t="str">
        <f>IF(ISBLANK(B174), "","Concept-173")</f>
        <v/>
      </c>
    </row>
    <row r="175" spans="1:1" x14ac:dyDescent="0.2">
      <c r="A175" t="str">
        <f>IF(ISBLANK(B175), "","Concept-174")</f>
        <v/>
      </c>
    </row>
    <row r="176" spans="1:1" x14ac:dyDescent="0.2">
      <c r="A176" t="str">
        <f>IF(ISBLANK(B176), "","Concept-175")</f>
        <v/>
      </c>
    </row>
    <row r="177" spans="1:1" x14ac:dyDescent="0.2">
      <c r="A177" t="str">
        <f>IF(ISBLANK(B177), "","Concept-176")</f>
        <v/>
      </c>
    </row>
    <row r="178" spans="1:1" x14ac:dyDescent="0.2">
      <c r="A178" t="str">
        <f>IF(ISBLANK(B178), "","Concept-177")</f>
        <v/>
      </c>
    </row>
    <row r="179" spans="1:1" x14ac:dyDescent="0.2">
      <c r="A179" t="str">
        <f>IF(ISBLANK(B179), "","Concept-178")</f>
        <v/>
      </c>
    </row>
    <row r="180" spans="1:1" x14ac:dyDescent="0.2">
      <c r="A180" t="str">
        <f>IF(ISBLANK(B180), "","Concept-179")</f>
        <v/>
      </c>
    </row>
    <row r="181" spans="1:1" x14ac:dyDescent="0.2">
      <c r="A181" t="str">
        <f>IF(ISBLANK(B181), "","Concept-180")</f>
        <v/>
      </c>
    </row>
    <row r="182" spans="1:1" x14ac:dyDescent="0.2">
      <c r="A182" t="str">
        <f>IF(ISBLANK(B182), "","Concept-181")</f>
        <v/>
      </c>
    </row>
    <row r="183" spans="1:1" x14ac:dyDescent="0.2">
      <c r="A183" t="str">
        <f>IF(ISBLANK(B183), "","Concept-182")</f>
        <v/>
      </c>
    </row>
    <row r="184" spans="1:1" x14ac:dyDescent="0.2">
      <c r="A184" t="str">
        <f>IF(ISBLANK(B184), "","Concept-183")</f>
        <v/>
      </c>
    </row>
    <row r="185" spans="1:1" x14ac:dyDescent="0.2">
      <c r="A185" t="str">
        <f>IF(ISBLANK(B185), "","Concept-184")</f>
        <v/>
      </c>
    </row>
    <row r="186" spans="1:1" x14ac:dyDescent="0.2">
      <c r="A186" t="str">
        <f>IF(ISBLANK(B186), "","Concept-185")</f>
        <v/>
      </c>
    </row>
    <row r="187" spans="1:1" x14ac:dyDescent="0.2">
      <c r="A187" t="str">
        <f>IF(ISBLANK(B187), "","Concept-186")</f>
        <v/>
      </c>
    </row>
    <row r="188" spans="1:1" x14ac:dyDescent="0.2">
      <c r="A188" t="str">
        <f>IF(ISBLANK(B188), "","Concept-187")</f>
        <v/>
      </c>
    </row>
    <row r="189" spans="1:1" x14ac:dyDescent="0.2">
      <c r="A189" t="str">
        <f>IF(ISBLANK(B189), "","Concept-188")</f>
        <v/>
      </c>
    </row>
    <row r="190" spans="1:1" x14ac:dyDescent="0.2">
      <c r="A190" t="str">
        <f>IF(ISBLANK(B190), "","Concept-189")</f>
        <v/>
      </c>
    </row>
    <row r="191" spans="1:1" x14ac:dyDescent="0.2">
      <c r="A191" t="str">
        <f>IF(ISBLANK(B191), "","Concept-190")</f>
        <v/>
      </c>
    </row>
    <row r="192" spans="1:1" x14ac:dyDescent="0.2">
      <c r="A192" t="str">
        <f>IF(ISBLANK(B192), "","Concept-191")</f>
        <v/>
      </c>
    </row>
    <row r="193" spans="1:1" x14ac:dyDescent="0.2">
      <c r="A193" t="str">
        <f>IF(ISBLANK(B193), "","Concept-192")</f>
        <v/>
      </c>
    </row>
    <row r="194" spans="1:1" x14ac:dyDescent="0.2">
      <c r="A194" t="str">
        <f>IF(ISBLANK(B194), "","Concept-193")</f>
        <v/>
      </c>
    </row>
    <row r="195" spans="1:1" x14ac:dyDescent="0.2">
      <c r="A195" t="str">
        <f>IF(ISBLANK(B195), "","Concept-194")</f>
        <v/>
      </c>
    </row>
    <row r="196" spans="1:1" x14ac:dyDescent="0.2">
      <c r="A196" t="str">
        <f>IF(ISBLANK(B196), "","Concept-195")</f>
        <v/>
      </c>
    </row>
    <row r="197" spans="1:1" x14ac:dyDescent="0.2">
      <c r="A197" t="str">
        <f>IF(ISBLANK(B197), "","Concept-196")</f>
        <v/>
      </c>
    </row>
    <row r="198" spans="1:1" x14ac:dyDescent="0.2">
      <c r="A198" t="str">
        <f>IF(ISBLANK(B198), "","Concept-197")</f>
        <v/>
      </c>
    </row>
    <row r="199" spans="1:1" x14ac:dyDescent="0.2">
      <c r="A199" t="str">
        <f>IF(ISBLANK(B199), "","Concept-198")</f>
        <v/>
      </c>
    </row>
    <row r="200" spans="1:1" x14ac:dyDescent="0.2">
      <c r="A200" t="str">
        <f>IF(ISBLANK(B200), "","Concept-199")</f>
        <v/>
      </c>
    </row>
    <row r="201" spans="1:1" x14ac:dyDescent="0.2">
      <c r="A201" t="str">
        <f>IF(ISBLANK(B201), "","Concept-200")</f>
        <v/>
      </c>
    </row>
    <row r="202" spans="1:1" x14ac:dyDescent="0.2">
      <c r="A202" t="str">
        <f>IF(ISBLANK(B202), "","Concept-201")</f>
        <v/>
      </c>
    </row>
    <row r="203" spans="1:1" x14ac:dyDescent="0.2">
      <c r="A203" t="str">
        <f>IF(ISBLANK(B203), "","Concept-202")</f>
        <v/>
      </c>
    </row>
    <row r="204" spans="1:1" x14ac:dyDescent="0.2">
      <c r="A204" t="str">
        <f>IF(ISBLANK(B204), "","Concept-203")</f>
        <v/>
      </c>
    </row>
    <row r="205" spans="1:1" x14ac:dyDescent="0.2">
      <c r="A205" t="str">
        <f>IF(ISBLANK(B205), "","Concept-204")</f>
        <v/>
      </c>
    </row>
    <row r="206" spans="1:1" x14ac:dyDescent="0.2">
      <c r="A206" t="str">
        <f>IF(ISBLANK(B206), "","Concept-205")</f>
        <v/>
      </c>
    </row>
    <row r="207" spans="1:1" x14ac:dyDescent="0.2">
      <c r="A207" t="str">
        <f>IF(ISBLANK(B207), "","Concept-206")</f>
        <v/>
      </c>
    </row>
    <row r="208" spans="1:1" x14ac:dyDescent="0.2">
      <c r="A208" t="str">
        <f>IF(ISBLANK(B208), "","Concept-207")</f>
        <v/>
      </c>
    </row>
    <row r="209" spans="1:1" x14ac:dyDescent="0.2">
      <c r="A209" t="str">
        <f>IF(ISBLANK(B209), "","Concept-208")</f>
        <v/>
      </c>
    </row>
    <row r="210" spans="1:1" x14ac:dyDescent="0.2">
      <c r="A210" t="str">
        <f>IF(ISBLANK(B210), "","Concept-209")</f>
        <v/>
      </c>
    </row>
    <row r="211" spans="1:1" x14ac:dyDescent="0.2">
      <c r="A211" t="str">
        <f>IF(ISBLANK(B211), "","Concept-210")</f>
        <v/>
      </c>
    </row>
    <row r="212" spans="1:1" x14ac:dyDescent="0.2">
      <c r="A212" t="str">
        <f>IF(ISBLANK(B212), "","Concept-211")</f>
        <v/>
      </c>
    </row>
    <row r="213" spans="1:1" x14ac:dyDescent="0.2">
      <c r="A213" t="str">
        <f>IF(ISBLANK(B213), "","Concept-212")</f>
        <v/>
      </c>
    </row>
    <row r="214" spans="1:1" x14ac:dyDescent="0.2">
      <c r="A214" t="str">
        <f>IF(ISBLANK(B214), "","Concept-213")</f>
        <v/>
      </c>
    </row>
    <row r="215" spans="1:1" x14ac:dyDescent="0.2">
      <c r="A215" t="str">
        <f>IF(ISBLANK(B215), "","Concept-214")</f>
        <v/>
      </c>
    </row>
    <row r="216" spans="1:1" x14ac:dyDescent="0.2">
      <c r="A216" t="str">
        <f>IF(ISBLANK(B216), "","Concept-215")</f>
        <v/>
      </c>
    </row>
    <row r="217" spans="1:1" x14ac:dyDescent="0.2">
      <c r="A217" t="str">
        <f>IF(ISBLANK(B217), "","Concept-216")</f>
        <v/>
      </c>
    </row>
    <row r="218" spans="1:1" x14ac:dyDescent="0.2">
      <c r="A218" t="str">
        <f>IF(ISBLANK(B218), "","Concept-217")</f>
        <v/>
      </c>
    </row>
    <row r="219" spans="1:1" x14ac:dyDescent="0.2">
      <c r="A219" t="str">
        <f>IF(ISBLANK(B219), "","Concept-218")</f>
        <v/>
      </c>
    </row>
    <row r="220" spans="1:1" x14ac:dyDescent="0.2">
      <c r="A220" t="str">
        <f>IF(ISBLANK(B220), "","Concept-219")</f>
        <v/>
      </c>
    </row>
    <row r="221" spans="1:1" x14ac:dyDescent="0.2">
      <c r="A221" t="str">
        <f>IF(ISBLANK(B221), "","Concept-220")</f>
        <v/>
      </c>
    </row>
    <row r="222" spans="1:1" x14ac:dyDescent="0.2">
      <c r="A222" t="str">
        <f>IF(ISBLANK(B222), "","Concept-221")</f>
        <v/>
      </c>
    </row>
    <row r="223" spans="1:1" x14ac:dyDescent="0.2">
      <c r="A223" t="str">
        <f>IF(ISBLANK(B223), "","Concept-222")</f>
        <v/>
      </c>
    </row>
    <row r="224" spans="1:1" x14ac:dyDescent="0.2">
      <c r="A224" t="str">
        <f>IF(ISBLANK(B224), "","Concept-223")</f>
        <v/>
      </c>
    </row>
    <row r="225" spans="1:1" x14ac:dyDescent="0.2">
      <c r="A225" t="str">
        <f>IF(ISBLANK(B225), "","Concept-224")</f>
        <v/>
      </c>
    </row>
    <row r="226" spans="1:1" x14ac:dyDescent="0.2">
      <c r="A226" t="str">
        <f>IF(ISBLANK(B226), "","Concept-225")</f>
        <v/>
      </c>
    </row>
    <row r="227" spans="1:1" x14ac:dyDescent="0.2">
      <c r="A227" t="str">
        <f>IF(ISBLANK(B227), "","Concept-226")</f>
        <v/>
      </c>
    </row>
    <row r="228" spans="1:1" x14ac:dyDescent="0.2">
      <c r="A228" t="str">
        <f>IF(ISBLANK(B228), "","Concept-227")</f>
        <v/>
      </c>
    </row>
    <row r="229" spans="1:1" x14ac:dyDescent="0.2">
      <c r="A229" t="str">
        <f>IF(ISBLANK(B229), "","Concept-228")</f>
        <v/>
      </c>
    </row>
    <row r="230" spans="1:1" x14ac:dyDescent="0.2">
      <c r="A230" t="str">
        <f>IF(ISBLANK(B230), "","Concept-229")</f>
        <v/>
      </c>
    </row>
    <row r="231" spans="1:1" x14ac:dyDescent="0.2">
      <c r="A231" t="str">
        <f>IF(ISBLANK(B231), "","Concept-230")</f>
        <v/>
      </c>
    </row>
    <row r="232" spans="1:1" x14ac:dyDescent="0.2">
      <c r="A232" t="str">
        <f>IF(ISBLANK(B232), "","Concept-231")</f>
        <v/>
      </c>
    </row>
    <row r="233" spans="1:1" x14ac:dyDescent="0.2">
      <c r="A233" t="str">
        <f>IF(ISBLANK(B233), "","Concept-232")</f>
        <v/>
      </c>
    </row>
    <row r="234" spans="1:1" x14ac:dyDescent="0.2">
      <c r="A234" t="str">
        <f>IF(ISBLANK(B234), "","Concept-233")</f>
        <v/>
      </c>
    </row>
    <row r="235" spans="1:1" x14ac:dyDescent="0.2">
      <c r="A235" t="str">
        <f>IF(ISBLANK(B235), "","Concept-234")</f>
        <v/>
      </c>
    </row>
    <row r="236" spans="1:1" x14ac:dyDescent="0.2">
      <c r="A236" t="str">
        <f>IF(ISBLANK(B236), "","Concept-235")</f>
        <v/>
      </c>
    </row>
    <row r="237" spans="1:1" x14ac:dyDescent="0.2">
      <c r="A237" t="str">
        <f>IF(ISBLANK(B237), "","Concept-236")</f>
        <v/>
      </c>
    </row>
    <row r="238" spans="1:1" x14ac:dyDescent="0.2">
      <c r="A238" t="str">
        <f>IF(ISBLANK(B238), "","Concept-237")</f>
        <v/>
      </c>
    </row>
    <row r="239" spans="1:1" x14ac:dyDescent="0.2">
      <c r="A239" t="str">
        <f>IF(ISBLANK(B239), "","Concept-238")</f>
        <v/>
      </c>
    </row>
    <row r="240" spans="1:1" x14ac:dyDescent="0.2">
      <c r="A240" t="str">
        <f>IF(ISBLANK(B240), "","Concept-239")</f>
        <v/>
      </c>
    </row>
    <row r="241" spans="1:1" x14ac:dyDescent="0.2">
      <c r="A241" t="str">
        <f>IF(ISBLANK(B241), "","Concept-240")</f>
        <v/>
      </c>
    </row>
    <row r="242" spans="1:1" x14ac:dyDescent="0.2">
      <c r="A242" t="str">
        <f>IF(ISBLANK(B242), "","Concept-241")</f>
        <v/>
      </c>
    </row>
    <row r="243" spans="1:1" x14ac:dyDescent="0.2">
      <c r="A243" t="str">
        <f>IF(ISBLANK(B243), "","Concept-242")</f>
        <v/>
      </c>
    </row>
    <row r="244" spans="1:1" x14ac:dyDescent="0.2">
      <c r="A244" t="str">
        <f>IF(ISBLANK(B244), "","Concept-243")</f>
        <v/>
      </c>
    </row>
    <row r="245" spans="1:1" x14ac:dyDescent="0.2">
      <c r="A245" t="str">
        <f>IF(ISBLANK(B245), "","Concept-244")</f>
        <v/>
      </c>
    </row>
    <row r="246" spans="1:1" x14ac:dyDescent="0.2">
      <c r="A246" t="str">
        <f>IF(ISBLANK(B246), "","Concept-245")</f>
        <v/>
      </c>
    </row>
    <row r="247" spans="1:1" x14ac:dyDescent="0.2">
      <c r="A247" t="str">
        <f>IF(ISBLANK(B247), "","Concept-246")</f>
        <v/>
      </c>
    </row>
    <row r="248" spans="1:1" x14ac:dyDescent="0.2">
      <c r="A248" t="str">
        <f>IF(ISBLANK(B248), "","Concept-247")</f>
        <v/>
      </c>
    </row>
    <row r="249" spans="1:1" x14ac:dyDescent="0.2">
      <c r="A249" t="str">
        <f>IF(ISBLANK(B249), "","Concept-248")</f>
        <v/>
      </c>
    </row>
    <row r="250" spans="1:1" x14ac:dyDescent="0.2">
      <c r="A250" t="str">
        <f>IF(ISBLANK(B250), "","Concept-249")</f>
        <v/>
      </c>
    </row>
    <row r="251" spans="1:1" x14ac:dyDescent="0.2">
      <c r="A251" t="str">
        <f>IF(ISBLANK(B251), "","Concept-250")</f>
        <v/>
      </c>
    </row>
    <row r="252" spans="1:1" x14ac:dyDescent="0.2">
      <c r="A252" t="str">
        <f>IF(ISBLANK(B252), "","Concept-251")</f>
        <v/>
      </c>
    </row>
    <row r="253" spans="1:1" x14ac:dyDescent="0.2">
      <c r="A253" t="str">
        <f>IF(ISBLANK(B253), "","Concept-252")</f>
        <v/>
      </c>
    </row>
    <row r="254" spans="1:1" x14ac:dyDescent="0.2">
      <c r="A254" t="str">
        <f>IF(ISBLANK(B254), "","Concept-253")</f>
        <v/>
      </c>
    </row>
    <row r="255" spans="1:1" x14ac:dyDescent="0.2">
      <c r="A255" t="str">
        <f>IF(ISBLANK(B255), "","Concept-254")</f>
        <v/>
      </c>
    </row>
    <row r="256" spans="1:1" x14ac:dyDescent="0.2">
      <c r="A256" t="str">
        <f>IF(ISBLANK(B256), "","Concept-255")</f>
        <v/>
      </c>
    </row>
    <row r="257" spans="1:1" x14ac:dyDescent="0.2">
      <c r="A257" t="str">
        <f>IF(ISBLANK(B257), "","Concept-256")</f>
        <v/>
      </c>
    </row>
    <row r="258" spans="1:1" x14ac:dyDescent="0.2">
      <c r="A258" t="str">
        <f>IF(ISBLANK(B258), "","Concept-257")</f>
        <v/>
      </c>
    </row>
    <row r="259" spans="1:1" x14ac:dyDescent="0.2">
      <c r="A259" t="str">
        <f>IF(ISBLANK(B259), "","Concept-258")</f>
        <v/>
      </c>
    </row>
    <row r="260" spans="1:1" x14ac:dyDescent="0.2">
      <c r="A260" t="str">
        <f>IF(ISBLANK(B260), "","Concept-259")</f>
        <v/>
      </c>
    </row>
    <row r="261" spans="1:1" x14ac:dyDescent="0.2">
      <c r="A261" t="str">
        <f>IF(ISBLANK(B261), "","Concept-260")</f>
        <v/>
      </c>
    </row>
    <row r="262" spans="1:1" x14ac:dyDescent="0.2">
      <c r="A262" t="str">
        <f>IF(ISBLANK(B262), "","Concept-261")</f>
        <v/>
      </c>
    </row>
    <row r="263" spans="1:1" x14ac:dyDescent="0.2">
      <c r="A263" t="str">
        <f>IF(ISBLANK(B263), "","Concept-262")</f>
        <v/>
      </c>
    </row>
    <row r="264" spans="1:1" x14ac:dyDescent="0.2">
      <c r="A264" t="str">
        <f>IF(ISBLANK(B264), "","Concept-263")</f>
        <v/>
      </c>
    </row>
    <row r="265" spans="1:1" x14ac:dyDescent="0.2">
      <c r="A265" t="str">
        <f>IF(ISBLANK(B265), "","Concept-264")</f>
        <v/>
      </c>
    </row>
    <row r="266" spans="1:1" x14ac:dyDescent="0.2">
      <c r="A266" t="str">
        <f>IF(ISBLANK(B266), "","Concept-265")</f>
        <v/>
      </c>
    </row>
    <row r="267" spans="1:1" x14ac:dyDescent="0.2">
      <c r="A267" t="str">
        <f>IF(ISBLANK(B267), "","Concept-266")</f>
        <v/>
      </c>
    </row>
    <row r="268" spans="1:1" x14ac:dyDescent="0.2">
      <c r="A268" t="str">
        <f>IF(ISBLANK(B268), "","Concept-267")</f>
        <v/>
      </c>
    </row>
    <row r="269" spans="1:1" x14ac:dyDescent="0.2">
      <c r="A269" t="str">
        <f>IF(ISBLANK(B269), "","Concept-268")</f>
        <v/>
      </c>
    </row>
    <row r="270" spans="1:1" x14ac:dyDescent="0.2">
      <c r="A270" t="str">
        <f>IF(ISBLANK(B270), "","Concept-269")</f>
        <v/>
      </c>
    </row>
    <row r="271" spans="1:1" x14ac:dyDescent="0.2">
      <c r="A271" t="str">
        <f>IF(ISBLANK(B271), "","Concept-270")</f>
        <v/>
      </c>
    </row>
    <row r="272" spans="1:1" x14ac:dyDescent="0.2">
      <c r="A272" t="str">
        <f>IF(ISBLANK(B272), "","Concept-271")</f>
        <v/>
      </c>
    </row>
    <row r="273" spans="1:1" x14ac:dyDescent="0.2">
      <c r="A273" t="str">
        <f>IF(ISBLANK(B273), "","Concept-272")</f>
        <v/>
      </c>
    </row>
    <row r="274" spans="1:1" x14ac:dyDescent="0.2">
      <c r="A274" t="str">
        <f>IF(ISBLANK(B274), "","Concept-273")</f>
        <v/>
      </c>
    </row>
    <row r="275" spans="1:1" x14ac:dyDescent="0.2">
      <c r="A275" t="str">
        <f>IF(ISBLANK(B275), "","Concept-274")</f>
        <v/>
      </c>
    </row>
    <row r="276" spans="1:1" x14ac:dyDescent="0.2">
      <c r="A276" t="str">
        <f>IF(ISBLANK(B276), "","Concept-275")</f>
        <v/>
      </c>
    </row>
    <row r="277" spans="1:1" x14ac:dyDescent="0.2">
      <c r="A277" t="str">
        <f>IF(ISBLANK(B277), "","Concept-276")</f>
        <v/>
      </c>
    </row>
    <row r="278" spans="1:1" x14ac:dyDescent="0.2">
      <c r="A278" t="str">
        <f>IF(ISBLANK(B278), "","Concept-277")</f>
        <v/>
      </c>
    </row>
    <row r="279" spans="1:1" x14ac:dyDescent="0.2">
      <c r="A279" t="str">
        <f>IF(ISBLANK(B279), "","Concept-278")</f>
        <v/>
      </c>
    </row>
    <row r="280" spans="1:1" x14ac:dyDescent="0.2">
      <c r="A280" t="str">
        <f>IF(ISBLANK(B280), "","Concept-279")</f>
        <v/>
      </c>
    </row>
    <row r="281" spans="1:1" x14ac:dyDescent="0.2">
      <c r="A281" t="str">
        <f>IF(ISBLANK(B281), "","Concept-280")</f>
        <v/>
      </c>
    </row>
    <row r="282" spans="1:1" x14ac:dyDescent="0.2">
      <c r="A282" t="str">
        <f>IF(ISBLANK(B282), "","Concept-281")</f>
        <v/>
      </c>
    </row>
    <row r="283" spans="1:1" x14ac:dyDescent="0.2">
      <c r="A283" t="str">
        <f>IF(ISBLANK(B283), "","Concept-282")</f>
        <v/>
      </c>
    </row>
    <row r="284" spans="1:1" x14ac:dyDescent="0.2">
      <c r="A284" t="str">
        <f>IF(ISBLANK(B284), "","Concept-283")</f>
        <v/>
      </c>
    </row>
    <row r="285" spans="1:1" x14ac:dyDescent="0.2">
      <c r="A285" t="str">
        <f>IF(ISBLANK(B285), "","Concept-284")</f>
        <v/>
      </c>
    </row>
    <row r="286" spans="1:1" x14ac:dyDescent="0.2">
      <c r="A286" t="str">
        <f>IF(ISBLANK(B286), "","Concept-285")</f>
        <v/>
      </c>
    </row>
    <row r="287" spans="1:1" x14ac:dyDescent="0.2">
      <c r="A287" t="str">
        <f>IF(ISBLANK(B287), "","Concept-286")</f>
        <v/>
      </c>
    </row>
    <row r="288" spans="1:1" x14ac:dyDescent="0.2">
      <c r="A288" t="str">
        <f>IF(ISBLANK(B288), "","Concept-287")</f>
        <v/>
      </c>
    </row>
    <row r="289" spans="1:1" x14ac:dyDescent="0.2">
      <c r="A289" t="str">
        <f>IF(ISBLANK(B289), "","Concept-288")</f>
        <v/>
      </c>
    </row>
    <row r="290" spans="1:1" x14ac:dyDescent="0.2">
      <c r="A290" t="str">
        <f>IF(ISBLANK(B290), "","Concept-289")</f>
        <v/>
      </c>
    </row>
    <row r="291" spans="1:1" x14ac:dyDescent="0.2">
      <c r="A291" t="str">
        <f>IF(ISBLANK(B291), "","Concept-290")</f>
        <v/>
      </c>
    </row>
    <row r="292" spans="1:1" x14ac:dyDescent="0.2">
      <c r="A292" t="str">
        <f>IF(ISBLANK(B292), "","Concept-291")</f>
        <v/>
      </c>
    </row>
    <row r="293" spans="1:1" x14ac:dyDescent="0.2">
      <c r="A293" t="str">
        <f>IF(ISBLANK(B293), "","Concept-292")</f>
        <v/>
      </c>
    </row>
    <row r="294" spans="1:1" x14ac:dyDescent="0.2">
      <c r="A294" t="str">
        <f>IF(ISBLANK(B294), "","Concept-293")</f>
        <v/>
      </c>
    </row>
    <row r="295" spans="1:1" x14ac:dyDescent="0.2">
      <c r="A295" t="str">
        <f>IF(ISBLANK(B295), "","Concept-294")</f>
        <v/>
      </c>
    </row>
    <row r="296" spans="1:1" x14ac:dyDescent="0.2">
      <c r="A296" t="str">
        <f>IF(ISBLANK(B296), "","Concept-295")</f>
        <v/>
      </c>
    </row>
    <row r="297" spans="1:1" x14ac:dyDescent="0.2">
      <c r="A297" t="str">
        <f>IF(ISBLANK(B297), "","Concept-296")</f>
        <v/>
      </c>
    </row>
    <row r="298" spans="1:1" x14ac:dyDescent="0.2">
      <c r="A298" t="str">
        <f>IF(ISBLANK(B298), "","Concept-297")</f>
        <v/>
      </c>
    </row>
    <row r="299" spans="1:1" x14ac:dyDescent="0.2">
      <c r="A299" t="str">
        <f>IF(ISBLANK(B299), "","Concept-298")</f>
        <v/>
      </c>
    </row>
    <row r="300" spans="1:1" x14ac:dyDescent="0.2">
      <c r="A300" t="str">
        <f>IF(ISBLANK(B300), "","Concept-299")</f>
        <v/>
      </c>
    </row>
    <row r="301" spans="1:1" x14ac:dyDescent="0.2">
      <c r="A301" t="str">
        <f>IF(ISBLANK(B301), "","Concept-300")</f>
        <v/>
      </c>
    </row>
    <row r="302" spans="1:1" x14ac:dyDescent="0.2">
      <c r="A302" t="str">
        <f>IF(ISBLANK(B302), "","Concept-301")</f>
        <v/>
      </c>
    </row>
    <row r="303" spans="1:1" x14ac:dyDescent="0.2">
      <c r="A303" t="str">
        <f>IF(ISBLANK(B303), "","Concept-302")</f>
        <v/>
      </c>
    </row>
    <row r="304" spans="1:1" x14ac:dyDescent="0.2">
      <c r="A304" t="str">
        <f>IF(ISBLANK(B304), "","Concept-303")</f>
        <v/>
      </c>
    </row>
    <row r="305" spans="1:1" x14ac:dyDescent="0.2">
      <c r="A305" t="str">
        <f>IF(ISBLANK(B305), "","Concept-304")</f>
        <v/>
      </c>
    </row>
    <row r="306" spans="1:1" x14ac:dyDescent="0.2">
      <c r="A306" t="str">
        <f>IF(ISBLANK(B306), "","Concept-305")</f>
        <v/>
      </c>
    </row>
    <row r="307" spans="1:1" x14ac:dyDescent="0.2">
      <c r="A307" t="str">
        <f>IF(ISBLANK(B307), "","Concept-306")</f>
        <v/>
      </c>
    </row>
    <row r="308" spans="1:1" x14ac:dyDescent="0.2">
      <c r="A308" t="str">
        <f>IF(ISBLANK(B308), "","Concept-307")</f>
        <v/>
      </c>
    </row>
    <row r="309" spans="1:1" x14ac:dyDescent="0.2">
      <c r="A309" t="str">
        <f>IF(ISBLANK(B309), "","Concept-308")</f>
        <v/>
      </c>
    </row>
    <row r="310" spans="1:1" x14ac:dyDescent="0.2">
      <c r="A310" t="str">
        <f>IF(ISBLANK(B310), "","Concept-309")</f>
        <v/>
      </c>
    </row>
    <row r="311" spans="1:1" x14ac:dyDescent="0.2">
      <c r="A311" t="str">
        <f>IF(ISBLANK(B311), "","Concept-310")</f>
        <v/>
      </c>
    </row>
    <row r="312" spans="1:1" x14ac:dyDescent="0.2">
      <c r="A312" t="str">
        <f>IF(ISBLANK(B312), "","Concept-311")</f>
        <v/>
      </c>
    </row>
    <row r="313" spans="1:1" x14ac:dyDescent="0.2">
      <c r="A313" t="str">
        <f>IF(ISBLANK(B313), "","Concept-312")</f>
        <v/>
      </c>
    </row>
    <row r="314" spans="1:1" x14ac:dyDescent="0.2">
      <c r="A314" t="str">
        <f>IF(ISBLANK(B314), "","Concept-313")</f>
        <v/>
      </c>
    </row>
    <row r="315" spans="1:1" x14ac:dyDescent="0.2">
      <c r="A315" t="str">
        <f>IF(ISBLANK(B315), "","Concept-314")</f>
        <v/>
      </c>
    </row>
    <row r="316" spans="1:1" x14ac:dyDescent="0.2">
      <c r="A316" t="str">
        <f>IF(ISBLANK(B316), "","Concept-315")</f>
        <v/>
      </c>
    </row>
    <row r="317" spans="1:1" x14ac:dyDescent="0.2">
      <c r="A317" t="str">
        <f>IF(ISBLANK(B317), "","Concept-316")</f>
        <v/>
      </c>
    </row>
    <row r="318" spans="1:1" x14ac:dyDescent="0.2">
      <c r="A318" t="str">
        <f>IF(ISBLANK(B318), "","Concept-317")</f>
        <v/>
      </c>
    </row>
    <row r="319" spans="1:1" x14ac:dyDescent="0.2">
      <c r="A319" t="str">
        <f>IF(ISBLANK(B319), "","Concept-318")</f>
        <v/>
      </c>
    </row>
    <row r="320" spans="1:1" x14ac:dyDescent="0.2">
      <c r="A320" t="str">
        <f>IF(ISBLANK(B320), "","Concept-319")</f>
        <v/>
      </c>
    </row>
    <row r="321" spans="1:1" x14ac:dyDescent="0.2">
      <c r="A321" t="str">
        <f>IF(ISBLANK(B321), "","Concept-320")</f>
        <v/>
      </c>
    </row>
    <row r="322" spans="1:1" x14ac:dyDescent="0.2">
      <c r="A322" t="str">
        <f>IF(ISBLANK(B322), "","Concept-321")</f>
        <v/>
      </c>
    </row>
    <row r="323" spans="1:1" x14ac:dyDescent="0.2">
      <c r="A323" t="str">
        <f>IF(ISBLANK(B323), "","Concept-322")</f>
        <v/>
      </c>
    </row>
    <row r="324" spans="1:1" x14ac:dyDescent="0.2">
      <c r="A324" t="str">
        <f>IF(ISBLANK(B324), "","Concept-323")</f>
        <v/>
      </c>
    </row>
    <row r="325" spans="1:1" x14ac:dyDescent="0.2">
      <c r="A325" t="str">
        <f>IF(ISBLANK(B325), "","Concept-324")</f>
        <v/>
      </c>
    </row>
    <row r="326" spans="1:1" x14ac:dyDescent="0.2">
      <c r="A326" t="str">
        <f>IF(ISBLANK(B326), "","Concept-325")</f>
        <v/>
      </c>
    </row>
    <row r="327" spans="1:1" x14ac:dyDescent="0.2">
      <c r="A327" t="str">
        <f>IF(ISBLANK(B327), "","Concept-326")</f>
        <v/>
      </c>
    </row>
    <row r="328" spans="1:1" x14ac:dyDescent="0.2">
      <c r="A328" t="str">
        <f>IF(ISBLANK(B328), "","Concept-327")</f>
        <v/>
      </c>
    </row>
    <row r="329" spans="1:1" x14ac:dyDescent="0.2">
      <c r="A329" t="str">
        <f>IF(ISBLANK(B329), "","Concept-328")</f>
        <v/>
      </c>
    </row>
    <row r="330" spans="1:1" x14ac:dyDescent="0.2">
      <c r="A330" t="str">
        <f>IF(ISBLANK(B330), "","Concept-329")</f>
        <v/>
      </c>
    </row>
    <row r="331" spans="1:1" x14ac:dyDescent="0.2">
      <c r="A331" t="str">
        <f>IF(ISBLANK(B331), "","Concept-330")</f>
        <v/>
      </c>
    </row>
    <row r="332" spans="1:1" x14ac:dyDescent="0.2">
      <c r="A332" t="str">
        <f>IF(ISBLANK(B332), "","Concept-331")</f>
        <v/>
      </c>
    </row>
    <row r="333" spans="1:1" x14ac:dyDescent="0.2">
      <c r="A333" t="str">
        <f>IF(ISBLANK(B333), "","Concept-332")</f>
        <v/>
      </c>
    </row>
    <row r="334" spans="1:1" x14ac:dyDescent="0.2">
      <c r="A334" t="str">
        <f>IF(ISBLANK(B334), "","Concept-333")</f>
        <v/>
      </c>
    </row>
    <row r="335" spans="1:1" x14ac:dyDescent="0.2">
      <c r="A335" t="str">
        <f>IF(ISBLANK(B335), "","Concept-334")</f>
        <v/>
      </c>
    </row>
    <row r="336" spans="1:1" x14ac:dyDescent="0.2">
      <c r="A336" t="str">
        <f>IF(ISBLANK(B336), "","Concept-335")</f>
        <v/>
      </c>
    </row>
    <row r="337" spans="1:1" x14ac:dyDescent="0.2">
      <c r="A337" t="str">
        <f>IF(ISBLANK(B337), "","Concept-336")</f>
        <v/>
      </c>
    </row>
    <row r="338" spans="1:1" x14ac:dyDescent="0.2">
      <c r="A338" t="str">
        <f>IF(ISBLANK(B338), "","Concept-337")</f>
        <v/>
      </c>
    </row>
    <row r="339" spans="1:1" x14ac:dyDescent="0.2">
      <c r="A339" t="str">
        <f>IF(ISBLANK(B339), "","Concept-338")</f>
        <v/>
      </c>
    </row>
    <row r="340" spans="1:1" x14ac:dyDescent="0.2">
      <c r="A340" t="str">
        <f>IF(ISBLANK(B340), "","Concept-339")</f>
        <v/>
      </c>
    </row>
    <row r="341" spans="1:1" x14ac:dyDescent="0.2">
      <c r="A341" t="str">
        <f>IF(ISBLANK(B341), "","Concept-340")</f>
        <v/>
      </c>
    </row>
    <row r="342" spans="1:1" x14ac:dyDescent="0.2">
      <c r="A342" t="str">
        <f>IF(ISBLANK(B342), "","Concept-341")</f>
        <v/>
      </c>
    </row>
    <row r="343" spans="1:1" x14ac:dyDescent="0.2">
      <c r="A343" t="str">
        <f>IF(ISBLANK(B343), "","Concept-342")</f>
        <v/>
      </c>
    </row>
    <row r="344" spans="1:1" x14ac:dyDescent="0.2">
      <c r="A344" t="str">
        <f>IF(ISBLANK(B344), "","Concept-343")</f>
        <v/>
      </c>
    </row>
    <row r="345" spans="1:1" x14ac:dyDescent="0.2">
      <c r="A345" t="str">
        <f>IF(ISBLANK(B345), "","Concept-344")</f>
        <v/>
      </c>
    </row>
    <row r="346" spans="1:1" x14ac:dyDescent="0.2">
      <c r="A346" t="str">
        <f>IF(ISBLANK(B346), "","Concept-345")</f>
        <v/>
      </c>
    </row>
    <row r="347" spans="1:1" x14ac:dyDescent="0.2">
      <c r="A347" t="str">
        <f>IF(ISBLANK(B347), "","Concept-346")</f>
        <v/>
      </c>
    </row>
    <row r="348" spans="1:1" x14ac:dyDescent="0.2">
      <c r="A348" t="str">
        <f>IF(ISBLANK(B348), "","Concept-347")</f>
        <v/>
      </c>
    </row>
    <row r="349" spans="1:1" x14ac:dyDescent="0.2">
      <c r="A349" t="str">
        <f>IF(ISBLANK(B349), "","Concept-348")</f>
        <v/>
      </c>
    </row>
    <row r="350" spans="1:1" x14ac:dyDescent="0.2">
      <c r="A350" t="str">
        <f>IF(ISBLANK(B350), "","Concept-349")</f>
        <v/>
      </c>
    </row>
    <row r="351" spans="1:1" x14ac:dyDescent="0.2">
      <c r="A351" t="str">
        <f>IF(ISBLANK(B351), "","Concept-350")</f>
        <v/>
      </c>
    </row>
    <row r="352" spans="1:1" x14ac:dyDescent="0.2">
      <c r="A352" t="str">
        <f>IF(ISBLANK(B352), "","Concept-351")</f>
        <v/>
      </c>
    </row>
    <row r="353" spans="1:1" x14ac:dyDescent="0.2">
      <c r="A353" t="str">
        <f>IF(ISBLANK(B353), "","Concept-352")</f>
        <v/>
      </c>
    </row>
    <row r="354" spans="1:1" x14ac:dyDescent="0.2">
      <c r="A354" t="str">
        <f>IF(ISBLANK(B354), "","Concept-353")</f>
        <v/>
      </c>
    </row>
    <row r="355" spans="1:1" x14ac:dyDescent="0.2">
      <c r="A355" t="str">
        <f>IF(ISBLANK(B355), "","Concept-354")</f>
        <v/>
      </c>
    </row>
    <row r="356" spans="1:1" x14ac:dyDescent="0.2">
      <c r="A356" t="str">
        <f>IF(ISBLANK(B356), "","Concept-355")</f>
        <v/>
      </c>
    </row>
    <row r="357" spans="1:1" x14ac:dyDescent="0.2">
      <c r="A357" t="str">
        <f>IF(ISBLANK(B357), "","Concept-356")</f>
        <v/>
      </c>
    </row>
    <row r="358" spans="1:1" x14ac:dyDescent="0.2">
      <c r="A358" t="str">
        <f>IF(ISBLANK(B358), "","Concept-357")</f>
        <v/>
      </c>
    </row>
    <row r="359" spans="1:1" x14ac:dyDescent="0.2">
      <c r="A359" t="str">
        <f>IF(ISBLANK(B359), "","Concept-358")</f>
        <v/>
      </c>
    </row>
    <row r="360" spans="1:1" x14ac:dyDescent="0.2">
      <c r="A360" t="str">
        <f>IF(ISBLANK(B360), "","Concept-359")</f>
        <v/>
      </c>
    </row>
    <row r="361" spans="1:1" x14ac:dyDescent="0.2">
      <c r="A361" t="str">
        <f>IF(ISBLANK(B361), "","Concept-360")</f>
        <v/>
      </c>
    </row>
    <row r="362" spans="1:1" x14ac:dyDescent="0.2">
      <c r="A362" t="str">
        <f>IF(ISBLANK(B362), "","Concept-361")</f>
        <v/>
      </c>
    </row>
    <row r="363" spans="1:1" x14ac:dyDescent="0.2">
      <c r="A363" t="str">
        <f>IF(ISBLANK(B363), "","Concept-362")</f>
        <v/>
      </c>
    </row>
    <row r="364" spans="1:1" x14ac:dyDescent="0.2">
      <c r="A364" t="str">
        <f>IF(ISBLANK(B364), "","Concept-363")</f>
        <v/>
      </c>
    </row>
    <row r="365" spans="1:1" x14ac:dyDescent="0.2">
      <c r="A365" t="str">
        <f>IF(ISBLANK(B365), "","Concept-364")</f>
        <v/>
      </c>
    </row>
    <row r="366" spans="1:1" x14ac:dyDescent="0.2">
      <c r="A366" t="str">
        <f>IF(ISBLANK(B366), "","Concept-365")</f>
        <v/>
      </c>
    </row>
    <row r="367" spans="1:1" x14ac:dyDescent="0.2">
      <c r="A367" t="str">
        <f>IF(ISBLANK(B367), "","Concept-366")</f>
        <v/>
      </c>
    </row>
    <row r="368" spans="1:1" x14ac:dyDescent="0.2">
      <c r="A368" t="str">
        <f>IF(ISBLANK(B368), "","Concept-367")</f>
        <v/>
      </c>
    </row>
    <row r="369" spans="1:1" x14ac:dyDescent="0.2">
      <c r="A369" t="str">
        <f>IF(ISBLANK(B369), "","Concept-368")</f>
        <v/>
      </c>
    </row>
    <row r="370" spans="1:1" x14ac:dyDescent="0.2">
      <c r="A370" t="str">
        <f>IF(ISBLANK(B370), "","Concept-369")</f>
        <v/>
      </c>
    </row>
    <row r="371" spans="1:1" x14ac:dyDescent="0.2">
      <c r="A371" t="str">
        <f>IF(ISBLANK(B371), "","Concept-370")</f>
        <v/>
      </c>
    </row>
    <row r="372" spans="1:1" x14ac:dyDescent="0.2">
      <c r="A372" t="str">
        <f>IF(ISBLANK(B372), "","Concept-371")</f>
        <v/>
      </c>
    </row>
    <row r="373" spans="1:1" x14ac:dyDescent="0.2">
      <c r="A373" t="str">
        <f>IF(ISBLANK(B373), "","Concept-372")</f>
        <v/>
      </c>
    </row>
    <row r="374" spans="1:1" x14ac:dyDescent="0.2">
      <c r="A374" t="str">
        <f>IF(ISBLANK(B374), "","Concept-373")</f>
        <v/>
      </c>
    </row>
    <row r="375" spans="1:1" x14ac:dyDescent="0.2">
      <c r="A375" t="str">
        <f>IF(ISBLANK(B375), "","Concept-374")</f>
        <v/>
      </c>
    </row>
    <row r="376" spans="1:1" x14ac:dyDescent="0.2">
      <c r="A376" t="str">
        <f>IF(ISBLANK(B376), "","Concept-375")</f>
        <v/>
      </c>
    </row>
    <row r="377" spans="1:1" x14ac:dyDescent="0.2">
      <c r="A377" t="str">
        <f>IF(ISBLANK(B377), "","Concept-376")</f>
        <v/>
      </c>
    </row>
    <row r="378" spans="1:1" x14ac:dyDescent="0.2">
      <c r="A378" t="str">
        <f>IF(ISBLANK(B378), "","Concept-377")</f>
        <v/>
      </c>
    </row>
    <row r="379" spans="1:1" x14ac:dyDescent="0.2">
      <c r="A379" t="str">
        <f>IF(ISBLANK(B379), "","Concept-378")</f>
        <v/>
      </c>
    </row>
    <row r="380" spans="1:1" x14ac:dyDescent="0.2">
      <c r="A380" t="str">
        <f>IF(ISBLANK(B380), "","Concept-379")</f>
        <v/>
      </c>
    </row>
    <row r="381" spans="1:1" x14ac:dyDescent="0.2">
      <c r="A381" t="str">
        <f>IF(ISBLANK(B381), "","Concept-380")</f>
        <v/>
      </c>
    </row>
    <row r="382" spans="1:1" x14ac:dyDescent="0.2">
      <c r="A382" t="str">
        <f>IF(ISBLANK(B382), "","Concept-381")</f>
        <v/>
      </c>
    </row>
    <row r="383" spans="1:1" x14ac:dyDescent="0.2">
      <c r="A383" t="str">
        <f>IF(ISBLANK(B383), "","Concept-382")</f>
        <v/>
      </c>
    </row>
    <row r="384" spans="1:1" x14ac:dyDescent="0.2">
      <c r="A384" t="str">
        <f>IF(ISBLANK(B384), "","Concept-383")</f>
        <v/>
      </c>
    </row>
    <row r="385" spans="1:1" x14ac:dyDescent="0.2">
      <c r="A385" t="str">
        <f>IF(ISBLANK(B385), "","Concept-384")</f>
        <v/>
      </c>
    </row>
    <row r="386" spans="1:1" x14ac:dyDescent="0.2">
      <c r="A386" t="str">
        <f>IF(ISBLANK(B386), "","Concept-385")</f>
        <v/>
      </c>
    </row>
    <row r="387" spans="1:1" x14ac:dyDescent="0.2">
      <c r="A387" t="str">
        <f>IF(ISBLANK(B387), "","Concept-386")</f>
        <v/>
      </c>
    </row>
    <row r="388" spans="1:1" x14ac:dyDescent="0.2">
      <c r="A388" t="str">
        <f>IF(ISBLANK(B388), "","Concept-387")</f>
        <v/>
      </c>
    </row>
    <row r="389" spans="1:1" x14ac:dyDescent="0.2">
      <c r="A389" t="str">
        <f>IF(ISBLANK(B389), "","Concept-388")</f>
        <v/>
      </c>
    </row>
    <row r="390" spans="1:1" x14ac:dyDescent="0.2">
      <c r="A390" t="str">
        <f>IF(ISBLANK(B390), "","Concept-389")</f>
        <v/>
      </c>
    </row>
    <row r="391" spans="1:1" x14ac:dyDescent="0.2">
      <c r="A391" t="str">
        <f>IF(ISBLANK(B391), "","Concept-390")</f>
        <v/>
      </c>
    </row>
    <row r="392" spans="1:1" x14ac:dyDescent="0.2">
      <c r="A392" t="str">
        <f>IF(ISBLANK(B392), "","Concept-391")</f>
        <v/>
      </c>
    </row>
    <row r="393" spans="1:1" x14ac:dyDescent="0.2">
      <c r="A393" t="str">
        <f>IF(ISBLANK(B393), "","Concept-392")</f>
        <v/>
      </c>
    </row>
    <row r="394" spans="1:1" x14ac:dyDescent="0.2">
      <c r="A394" t="str">
        <f>IF(ISBLANK(B394), "","Concept-393")</f>
        <v/>
      </c>
    </row>
    <row r="395" spans="1:1" x14ac:dyDescent="0.2">
      <c r="A395" t="str">
        <f>IF(ISBLANK(B395), "","Concept-394")</f>
        <v/>
      </c>
    </row>
    <row r="396" spans="1:1" x14ac:dyDescent="0.2">
      <c r="A396" t="str">
        <f>IF(ISBLANK(B396), "","Concept-395")</f>
        <v/>
      </c>
    </row>
    <row r="397" spans="1:1" x14ac:dyDescent="0.2">
      <c r="A397" t="str">
        <f>IF(ISBLANK(B397), "","Concept-396")</f>
        <v/>
      </c>
    </row>
    <row r="398" spans="1:1" x14ac:dyDescent="0.2">
      <c r="A398" t="str">
        <f>IF(ISBLANK(B398), "","Concept-397")</f>
        <v/>
      </c>
    </row>
    <row r="399" spans="1:1" x14ac:dyDescent="0.2">
      <c r="A399" t="str">
        <f>IF(ISBLANK(B399), "","Concept-398")</f>
        <v/>
      </c>
    </row>
    <row r="400" spans="1:1" x14ac:dyDescent="0.2">
      <c r="A400" t="str">
        <f>IF(ISBLANK(B400), "","Concept-399")</f>
        <v/>
      </c>
    </row>
    <row r="401" spans="1:1" x14ac:dyDescent="0.2">
      <c r="A401" t="str">
        <f>IF(ISBLANK(B401), "","Concept-400")</f>
        <v/>
      </c>
    </row>
    <row r="402" spans="1:1" x14ac:dyDescent="0.2">
      <c r="A402" t="str">
        <f>IF(ISBLANK(B402), "","Concept-401")</f>
        <v/>
      </c>
    </row>
    <row r="403" spans="1:1" x14ac:dyDescent="0.2">
      <c r="A403" t="str">
        <f>IF(ISBLANK(B403), "","Concept-402")</f>
        <v/>
      </c>
    </row>
    <row r="404" spans="1:1" x14ac:dyDescent="0.2">
      <c r="A404" t="str">
        <f>IF(ISBLANK(B404), "","Concept-403")</f>
        <v/>
      </c>
    </row>
    <row r="405" spans="1:1" x14ac:dyDescent="0.2">
      <c r="A405" t="str">
        <f>IF(ISBLANK(B405), "","Concept-404")</f>
        <v/>
      </c>
    </row>
    <row r="406" spans="1:1" x14ac:dyDescent="0.2">
      <c r="A406" t="str">
        <f>IF(ISBLANK(B406), "","Concept-405")</f>
        <v/>
      </c>
    </row>
    <row r="407" spans="1:1" x14ac:dyDescent="0.2">
      <c r="A407" t="str">
        <f>IF(ISBLANK(B407), "","Concept-406")</f>
        <v/>
      </c>
    </row>
    <row r="408" spans="1:1" x14ac:dyDescent="0.2">
      <c r="A408" t="str">
        <f>IF(ISBLANK(B408), "","Concept-407")</f>
        <v/>
      </c>
    </row>
    <row r="409" spans="1:1" x14ac:dyDescent="0.2">
      <c r="A409" t="str">
        <f>IF(ISBLANK(B409), "","Concept-408")</f>
        <v/>
      </c>
    </row>
    <row r="410" spans="1:1" x14ac:dyDescent="0.2">
      <c r="A410" t="str">
        <f>IF(ISBLANK(B410), "","Concept-409")</f>
        <v/>
      </c>
    </row>
    <row r="411" spans="1:1" x14ac:dyDescent="0.2">
      <c r="A411" t="str">
        <f>IF(ISBLANK(B411), "","Concept-410")</f>
        <v/>
      </c>
    </row>
    <row r="412" spans="1:1" x14ac:dyDescent="0.2">
      <c r="A412" t="str">
        <f>IF(ISBLANK(B412), "","Concept-411")</f>
        <v/>
      </c>
    </row>
    <row r="413" spans="1:1" x14ac:dyDescent="0.2">
      <c r="A413" t="str">
        <f>IF(ISBLANK(B413), "","Concept-412")</f>
        <v/>
      </c>
    </row>
    <row r="414" spans="1:1" x14ac:dyDescent="0.2">
      <c r="A414" t="str">
        <f>IF(ISBLANK(B414), "","Concept-413")</f>
        <v/>
      </c>
    </row>
    <row r="415" spans="1:1" x14ac:dyDescent="0.2">
      <c r="A415" t="str">
        <f>IF(ISBLANK(B415), "","Concept-414")</f>
        <v/>
      </c>
    </row>
    <row r="416" spans="1:1" x14ac:dyDescent="0.2">
      <c r="A416" t="str">
        <f>IF(ISBLANK(B416), "","Concept-415")</f>
        <v/>
      </c>
    </row>
    <row r="417" spans="1:1" x14ac:dyDescent="0.2">
      <c r="A417" t="str">
        <f>IF(ISBLANK(B417), "","Concept-416")</f>
        <v/>
      </c>
    </row>
    <row r="418" spans="1:1" x14ac:dyDescent="0.2">
      <c r="A418" t="str">
        <f>IF(ISBLANK(B418), "","Concept-417")</f>
        <v/>
      </c>
    </row>
    <row r="419" spans="1:1" x14ac:dyDescent="0.2">
      <c r="A419" t="str">
        <f>IF(ISBLANK(B419), "","Concept-418")</f>
        <v/>
      </c>
    </row>
    <row r="420" spans="1:1" x14ac:dyDescent="0.2">
      <c r="A420" t="str">
        <f>IF(ISBLANK(B420), "","Concept-419")</f>
        <v/>
      </c>
    </row>
    <row r="421" spans="1:1" x14ac:dyDescent="0.2">
      <c r="A421" t="str">
        <f>IF(ISBLANK(B421), "","Concept-420")</f>
        <v/>
      </c>
    </row>
    <row r="422" spans="1:1" x14ac:dyDescent="0.2">
      <c r="A422" t="str">
        <f>IF(ISBLANK(B422), "","Concept-421")</f>
        <v/>
      </c>
    </row>
    <row r="423" spans="1:1" x14ac:dyDescent="0.2">
      <c r="A423" t="str">
        <f>IF(ISBLANK(B423), "","Concept-422")</f>
        <v/>
      </c>
    </row>
    <row r="424" spans="1:1" x14ac:dyDescent="0.2">
      <c r="A424" t="str">
        <f>IF(ISBLANK(B424), "","Concept-423")</f>
        <v/>
      </c>
    </row>
    <row r="425" spans="1:1" x14ac:dyDescent="0.2">
      <c r="A425" t="str">
        <f>IF(ISBLANK(B425), "","Concept-424")</f>
        <v/>
      </c>
    </row>
    <row r="426" spans="1:1" x14ac:dyDescent="0.2">
      <c r="A426" t="str">
        <f>IF(ISBLANK(B426), "","Concept-425")</f>
        <v/>
      </c>
    </row>
    <row r="427" spans="1:1" x14ac:dyDescent="0.2">
      <c r="A427" t="str">
        <f>IF(ISBLANK(B427), "","Concept-426")</f>
        <v/>
      </c>
    </row>
    <row r="428" spans="1:1" x14ac:dyDescent="0.2">
      <c r="A428" t="str">
        <f>IF(ISBLANK(B428), "","Concept-427")</f>
        <v/>
      </c>
    </row>
    <row r="429" spans="1:1" x14ac:dyDescent="0.2">
      <c r="A429" t="str">
        <f>IF(ISBLANK(B429), "","Concept-428")</f>
        <v/>
      </c>
    </row>
    <row r="430" spans="1:1" x14ac:dyDescent="0.2">
      <c r="A430" t="str">
        <f>IF(ISBLANK(B430), "","Concept-429")</f>
        <v/>
      </c>
    </row>
    <row r="431" spans="1:1" x14ac:dyDescent="0.2">
      <c r="A431" t="str">
        <f>IF(ISBLANK(B431), "","Concept-430")</f>
        <v/>
      </c>
    </row>
    <row r="432" spans="1:1" x14ac:dyDescent="0.2">
      <c r="A432" t="str">
        <f>IF(ISBLANK(B432), "","Concept-431")</f>
        <v/>
      </c>
    </row>
    <row r="433" spans="1:1" x14ac:dyDescent="0.2">
      <c r="A433" t="str">
        <f>IF(ISBLANK(B433), "","Concept-432")</f>
        <v/>
      </c>
    </row>
    <row r="434" spans="1:1" x14ac:dyDescent="0.2">
      <c r="A434" t="str">
        <f>IF(ISBLANK(B434), "","Concept-433")</f>
        <v/>
      </c>
    </row>
    <row r="435" spans="1:1" x14ac:dyDescent="0.2">
      <c r="A435" t="str">
        <f>IF(ISBLANK(B435), "","Concept-434")</f>
        <v/>
      </c>
    </row>
    <row r="436" spans="1:1" x14ac:dyDescent="0.2">
      <c r="A436" t="str">
        <f>IF(ISBLANK(B436), "","Concept-435")</f>
        <v/>
      </c>
    </row>
    <row r="437" spans="1:1" x14ac:dyDescent="0.2">
      <c r="A437" t="str">
        <f>IF(ISBLANK(B437), "","Concept-436")</f>
        <v/>
      </c>
    </row>
    <row r="438" spans="1:1" x14ac:dyDescent="0.2">
      <c r="A438" t="str">
        <f>IF(ISBLANK(B438), "","Concept-437")</f>
        <v/>
      </c>
    </row>
    <row r="439" spans="1:1" x14ac:dyDescent="0.2">
      <c r="A439" t="str">
        <f>IF(ISBLANK(B439), "","Concept-438")</f>
        <v/>
      </c>
    </row>
    <row r="440" spans="1:1" x14ac:dyDescent="0.2">
      <c r="A440" t="str">
        <f>IF(ISBLANK(B440), "","Concept-439")</f>
        <v/>
      </c>
    </row>
    <row r="441" spans="1:1" x14ac:dyDescent="0.2">
      <c r="A441" t="str">
        <f>IF(ISBLANK(B441), "","Concept-440")</f>
        <v/>
      </c>
    </row>
    <row r="442" spans="1:1" x14ac:dyDescent="0.2">
      <c r="A442" t="str">
        <f>IF(ISBLANK(B442), "","Concept-441")</f>
        <v/>
      </c>
    </row>
    <row r="443" spans="1:1" x14ac:dyDescent="0.2">
      <c r="A443" t="str">
        <f>IF(ISBLANK(B443), "","Concept-442")</f>
        <v/>
      </c>
    </row>
    <row r="444" spans="1:1" x14ac:dyDescent="0.2">
      <c r="A444" t="str">
        <f>IF(ISBLANK(B444), "","Concept-443")</f>
        <v/>
      </c>
    </row>
    <row r="445" spans="1:1" x14ac:dyDescent="0.2">
      <c r="A445" t="str">
        <f>IF(ISBLANK(B445), "","Concept-444")</f>
        <v/>
      </c>
    </row>
    <row r="446" spans="1:1" x14ac:dyDescent="0.2">
      <c r="A446" t="str">
        <f>IF(ISBLANK(B446), "","Concept-445")</f>
        <v/>
      </c>
    </row>
    <row r="447" spans="1:1" x14ac:dyDescent="0.2">
      <c r="A447" t="str">
        <f>IF(ISBLANK(B447), "","Concept-446")</f>
        <v/>
      </c>
    </row>
    <row r="448" spans="1:1" x14ac:dyDescent="0.2">
      <c r="A448" t="str">
        <f>IF(ISBLANK(B448), "","Concept-447")</f>
        <v/>
      </c>
    </row>
    <row r="449" spans="1:1" x14ac:dyDescent="0.2">
      <c r="A449" t="str">
        <f>IF(ISBLANK(B449), "","Concept-448")</f>
        <v/>
      </c>
    </row>
    <row r="450" spans="1:1" x14ac:dyDescent="0.2">
      <c r="A450" t="str">
        <f>IF(ISBLANK(B450), "","Concept-449")</f>
        <v/>
      </c>
    </row>
    <row r="451" spans="1:1" x14ac:dyDescent="0.2">
      <c r="A451" t="str">
        <f>IF(ISBLANK(B451), "","Concept-450")</f>
        <v/>
      </c>
    </row>
    <row r="452" spans="1:1" x14ac:dyDescent="0.2">
      <c r="A452" t="str">
        <f>IF(ISBLANK(B452), "","Concept-451")</f>
        <v/>
      </c>
    </row>
    <row r="453" spans="1:1" x14ac:dyDescent="0.2">
      <c r="A453" t="str">
        <f>IF(ISBLANK(B453), "","Concept-452")</f>
        <v/>
      </c>
    </row>
    <row r="454" spans="1:1" x14ac:dyDescent="0.2">
      <c r="A454" t="str">
        <f>IF(ISBLANK(B454), "","Concept-453")</f>
        <v/>
      </c>
    </row>
    <row r="455" spans="1:1" x14ac:dyDescent="0.2">
      <c r="A455" t="str">
        <f>IF(ISBLANK(B455), "","Concept-454")</f>
        <v/>
      </c>
    </row>
    <row r="456" spans="1:1" x14ac:dyDescent="0.2">
      <c r="A456" t="str">
        <f>IF(ISBLANK(B456), "","Concept-455")</f>
        <v/>
      </c>
    </row>
    <row r="457" spans="1:1" x14ac:dyDescent="0.2">
      <c r="A457" t="str">
        <f>IF(ISBLANK(B457), "","Concept-456")</f>
        <v/>
      </c>
    </row>
    <row r="458" spans="1:1" x14ac:dyDescent="0.2">
      <c r="A458" t="str">
        <f>IF(ISBLANK(B458), "","Concept-457")</f>
        <v/>
      </c>
    </row>
    <row r="459" spans="1:1" x14ac:dyDescent="0.2">
      <c r="A459" t="str">
        <f>IF(ISBLANK(B459), "","Concept-458")</f>
        <v/>
      </c>
    </row>
    <row r="460" spans="1:1" x14ac:dyDescent="0.2">
      <c r="A460" t="str">
        <f>IF(ISBLANK(B460), "","Concept-459")</f>
        <v/>
      </c>
    </row>
    <row r="461" spans="1:1" x14ac:dyDescent="0.2">
      <c r="A461" t="str">
        <f>IF(ISBLANK(B461), "","Concept-460")</f>
        <v/>
      </c>
    </row>
    <row r="462" spans="1:1" x14ac:dyDescent="0.2">
      <c r="A462" t="str">
        <f>IF(ISBLANK(B462), "","Concept-461")</f>
        <v/>
      </c>
    </row>
    <row r="463" spans="1:1" x14ac:dyDescent="0.2">
      <c r="A463" t="str">
        <f>IF(ISBLANK(B463), "","Concept-462")</f>
        <v/>
      </c>
    </row>
    <row r="464" spans="1:1" x14ac:dyDescent="0.2">
      <c r="A464" t="str">
        <f>IF(ISBLANK(B464), "","Concept-463")</f>
        <v/>
      </c>
    </row>
    <row r="465" spans="1:1" x14ac:dyDescent="0.2">
      <c r="A465" t="str">
        <f>IF(ISBLANK(B465), "","Concept-464")</f>
        <v/>
      </c>
    </row>
    <row r="466" spans="1:1" x14ac:dyDescent="0.2">
      <c r="A466" t="str">
        <f>IF(ISBLANK(B466), "","Concept-465")</f>
        <v/>
      </c>
    </row>
    <row r="467" spans="1:1" x14ac:dyDescent="0.2">
      <c r="A467" t="str">
        <f>IF(ISBLANK(B467), "","Concept-466")</f>
        <v/>
      </c>
    </row>
    <row r="468" spans="1:1" x14ac:dyDescent="0.2">
      <c r="A468" t="str">
        <f>IF(ISBLANK(B468), "","Concept-467")</f>
        <v/>
      </c>
    </row>
    <row r="469" spans="1:1" x14ac:dyDescent="0.2">
      <c r="A469" t="str">
        <f>IF(ISBLANK(B469), "","Concept-468")</f>
        <v/>
      </c>
    </row>
    <row r="470" spans="1:1" x14ac:dyDescent="0.2">
      <c r="A470" t="str">
        <f>IF(ISBLANK(B470), "","Concept-469")</f>
        <v/>
      </c>
    </row>
    <row r="471" spans="1:1" x14ac:dyDescent="0.2">
      <c r="A471" t="str">
        <f>IF(ISBLANK(B471), "","Concept-470")</f>
        <v/>
      </c>
    </row>
    <row r="472" spans="1:1" x14ac:dyDescent="0.2">
      <c r="A472" t="str">
        <f>IF(ISBLANK(B472), "","Concept-471")</f>
        <v/>
      </c>
    </row>
    <row r="473" spans="1:1" x14ac:dyDescent="0.2">
      <c r="A473" t="str">
        <f>IF(ISBLANK(B473), "","Concept-472")</f>
        <v/>
      </c>
    </row>
    <row r="474" spans="1:1" x14ac:dyDescent="0.2">
      <c r="A474" t="str">
        <f>IF(ISBLANK(B474), "","Concept-473")</f>
        <v/>
      </c>
    </row>
    <row r="475" spans="1:1" x14ac:dyDescent="0.2">
      <c r="A475" t="str">
        <f>IF(ISBLANK(B475), "","Concept-474")</f>
        <v/>
      </c>
    </row>
    <row r="476" spans="1:1" x14ac:dyDescent="0.2">
      <c r="A476" t="str">
        <f>IF(ISBLANK(B476), "","Concept-475")</f>
        <v/>
      </c>
    </row>
    <row r="477" spans="1:1" x14ac:dyDescent="0.2">
      <c r="A477" t="str">
        <f>IF(ISBLANK(B477), "","Concept-476")</f>
        <v/>
      </c>
    </row>
    <row r="478" spans="1:1" x14ac:dyDescent="0.2">
      <c r="A478" t="str">
        <f>IF(ISBLANK(B478), "","Concept-477")</f>
        <v/>
      </c>
    </row>
    <row r="479" spans="1:1" x14ac:dyDescent="0.2">
      <c r="A479" t="str">
        <f>IF(ISBLANK(B479), "","Concept-478")</f>
        <v/>
      </c>
    </row>
    <row r="480" spans="1:1" x14ac:dyDescent="0.2">
      <c r="A480" t="str">
        <f>IF(ISBLANK(B480), "","Concept-479")</f>
        <v/>
      </c>
    </row>
    <row r="481" spans="1:1" x14ac:dyDescent="0.2">
      <c r="A481" t="str">
        <f>IF(ISBLANK(B481), "","Concept-480")</f>
        <v/>
      </c>
    </row>
    <row r="482" spans="1:1" x14ac:dyDescent="0.2">
      <c r="A482" t="str">
        <f>IF(ISBLANK(B482), "","Concept-481")</f>
        <v/>
      </c>
    </row>
    <row r="483" spans="1:1" x14ac:dyDescent="0.2">
      <c r="A483" t="str">
        <f>IF(ISBLANK(B483), "","Concept-482")</f>
        <v/>
      </c>
    </row>
    <row r="484" spans="1:1" x14ac:dyDescent="0.2">
      <c r="A484" t="str">
        <f>IF(ISBLANK(B484), "","Concept-483")</f>
        <v/>
      </c>
    </row>
    <row r="485" spans="1:1" x14ac:dyDescent="0.2">
      <c r="A485" t="str">
        <f>IF(ISBLANK(B485), "","Concept-484")</f>
        <v/>
      </c>
    </row>
    <row r="486" spans="1:1" x14ac:dyDescent="0.2">
      <c r="A486" t="str">
        <f>IF(ISBLANK(B486), "","Concept-485")</f>
        <v/>
      </c>
    </row>
    <row r="487" spans="1:1" x14ac:dyDescent="0.2">
      <c r="A487" t="str">
        <f>IF(ISBLANK(B487), "","Concept-486")</f>
        <v/>
      </c>
    </row>
    <row r="488" spans="1:1" x14ac:dyDescent="0.2">
      <c r="A488" t="str">
        <f>IF(ISBLANK(B488), "","Concept-487")</f>
        <v/>
      </c>
    </row>
    <row r="489" spans="1:1" x14ac:dyDescent="0.2">
      <c r="A489" t="str">
        <f>IF(ISBLANK(B489), "","Concept-488")</f>
        <v/>
      </c>
    </row>
    <row r="490" spans="1:1" x14ac:dyDescent="0.2">
      <c r="A490" t="str">
        <f>IF(ISBLANK(B490), "","Concept-489")</f>
        <v/>
      </c>
    </row>
    <row r="491" spans="1:1" x14ac:dyDescent="0.2">
      <c r="A491" t="str">
        <f>IF(ISBLANK(B491), "","Concept-490")</f>
        <v/>
      </c>
    </row>
    <row r="492" spans="1:1" x14ac:dyDescent="0.2">
      <c r="A492" t="str">
        <f>IF(ISBLANK(B492), "","Concept-491")</f>
        <v/>
      </c>
    </row>
    <row r="493" spans="1:1" x14ac:dyDescent="0.2">
      <c r="A493" t="str">
        <f>IF(ISBLANK(B493), "","Concept-492")</f>
        <v/>
      </c>
    </row>
    <row r="494" spans="1:1" x14ac:dyDescent="0.2">
      <c r="A494" t="str">
        <f>IF(ISBLANK(B494), "","Concept-493")</f>
        <v/>
      </c>
    </row>
    <row r="495" spans="1:1" x14ac:dyDescent="0.2">
      <c r="A495" t="str">
        <f>IF(ISBLANK(B495), "","Concept-494")</f>
        <v/>
      </c>
    </row>
    <row r="496" spans="1:1" x14ac:dyDescent="0.2">
      <c r="A496" t="str">
        <f>IF(ISBLANK(B496), "","Concept-495")</f>
        <v/>
      </c>
    </row>
    <row r="497" spans="1:1" x14ac:dyDescent="0.2">
      <c r="A497" t="str">
        <f>IF(ISBLANK(B497), "","Concept-496")</f>
        <v/>
      </c>
    </row>
    <row r="498" spans="1:1" x14ac:dyDescent="0.2">
      <c r="A498" t="str">
        <f>IF(ISBLANK(B498), "","Concept-497")</f>
        <v/>
      </c>
    </row>
    <row r="499" spans="1:1" x14ac:dyDescent="0.2">
      <c r="A499" t="str">
        <f>IF(ISBLANK(B499), "","Concept-498")</f>
        <v/>
      </c>
    </row>
    <row r="500" spans="1:1" x14ac:dyDescent="0.2">
      <c r="A500" t="str">
        <f>IF(ISBLANK(B500), "","Concept-499")</f>
        <v/>
      </c>
    </row>
    <row r="501" spans="1:1" x14ac:dyDescent="0.2">
      <c r="A501" t="str">
        <f>IF(ISBLANK(B501), "","Concept-500")</f>
        <v/>
      </c>
    </row>
    <row r="502" spans="1:1" x14ac:dyDescent="0.2">
      <c r="A502" t="str">
        <f>IF(ISBLANK(B502), "","Concept-501")</f>
        <v/>
      </c>
    </row>
    <row r="503" spans="1:1" x14ac:dyDescent="0.2">
      <c r="A503" t="str">
        <f>IF(ISBLANK(B503), "","Concept-502")</f>
        <v/>
      </c>
    </row>
    <row r="504" spans="1:1" x14ac:dyDescent="0.2">
      <c r="A504" t="str">
        <f>IF(ISBLANK(B504), "","Concept-503")</f>
        <v/>
      </c>
    </row>
    <row r="505" spans="1:1" x14ac:dyDescent="0.2">
      <c r="A505" t="str">
        <f>IF(ISBLANK(B505), "","Concept-504")</f>
        <v/>
      </c>
    </row>
    <row r="506" spans="1:1" x14ac:dyDescent="0.2">
      <c r="A506" t="str">
        <f>IF(ISBLANK(B506), "","Concept-505")</f>
        <v/>
      </c>
    </row>
    <row r="507" spans="1:1" x14ac:dyDescent="0.2">
      <c r="A507" t="str">
        <f>IF(ISBLANK(B507), "","Concept-506")</f>
        <v/>
      </c>
    </row>
    <row r="508" spans="1:1" x14ac:dyDescent="0.2">
      <c r="A508" t="str">
        <f>IF(ISBLANK(B508), "","Concept-507")</f>
        <v/>
      </c>
    </row>
    <row r="509" spans="1:1" x14ac:dyDescent="0.2">
      <c r="A509" t="str">
        <f>IF(ISBLANK(B509), "","Concept-508")</f>
        <v/>
      </c>
    </row>
    <row r="510" spans="1:1" x14ac:dyDescent="0.2">
      <c r="A510" t="str">
        <f>IF(ISBLANK(B510), "","Concept-509")</f>
        <v/>
      </c>
    </row>
    <row r="511" spans="1:1" x14ac:dyDescent="0.2">
      <c r="A511" t="str">
        <f>IF(ISBLANK(B511), "","Concept-510")</f>
        <v/>
      </c>
    </row>
    <row r="512" spans="1:1" x14ac:dyDescent="0.2">
      <c r="A512" t="str">
        <f>IF(ISBLANK(B512), "","Concept-511")</f>
        <v/>
      </c>
    </row>
    <row r="513" spans="1:1" x14ac:dyDescent="0.2">
      <c r="A513" t="str">
        <f>IF(ISBLANK(B513), "","Concept-512")</f>
        <v/>
      </c>
    </row>
    <row r="514" spans="1:1" x14ac:dyDescent="0.2">
      <c r="A514" t="str">
        <f>IF(ISBLANK(B514), "","Concept-513")</f>
        <v/>
      </c>
    </row>
    <row r="515" spans="1:1" x14ac:dyDescent="0.2">
      <c r="A515" t="str">
        <f>IF(ISBLANK(B515), "","Concept-514")</f>
        <v/>
      </c>
    </row>
    <row r="516" spans="1:1" x14ac:dyDescent="0.2">
      <c r="A516" t="str">
        <f>IF(ISBLANK(B516), "","Concept-515")</f>
        <v/>
      </c>
    </row>
    <row r="517" spans="1:1" x14ac:dyDescent="0.2">
      <c r="A517" t="str">
        <f>IF(ISBLANK(B517), "","Concept-516")</f>
        <v/>
      </c>
    </row>
    <row r="518" spans="1:1" x14ac:dyDescent="0.2">
      <c r="A518" t="str">
        <f>IF(ISBLANK(B518), "","Concept-517")</f>
        <v/>
      </c>
    </row>
    <row r="519" spans="1:1" x14ac:dyDescent="0.2">
      <c r="A519" t="str">
        <f>IF(ISBLANK(B519), "","Concept-518")</f>
        <v/>
      </c>
    </row>
    <row r="520" spans="1:1" x14ac:dyDescent="0.2">
      <c r="A520" t="str">
        <f>IF(ISBLANK(B520), "","Concept-519")</f>
        <v/>
      </c>
    </row>
    <row r="521" spans="1:1" x14ac:dyDescent="0.2">
      <c r="A521" t="str">
        <f>IF(ISBLANK(B521), "","Concept-520")</f>
        <v/>
      </c>
    </row>
    <row r="522" spans="1:1" x14ac:dyDescent="0.2">
      <c r="A522" t="str">
        <f>IF(ISBLANK(B522), "","Concept-521")</f>
        <v/>
      </c>
    </row>
    <row r="523" spans="1:1" x14ac:dyDescent="0.2">
      <c r="A523" t="str">
        <f>IF(ISBLANK(B523), "","Concept-522")</f>
        <v/>
      </c>
    </row>
    <row r="524" spans="1:1" x14ac:dyDescent="0.2">
      <c r="A524" t="str">
        <f>IF(ISBLANK(B524), "","Concept-523")</f>
        <v/>
      </c>
    </row>
    <row r="525" spans="1:1" x14ac:dyDescent="0.2">
      <c r="A525" t="str">
        <f>IF(ISBLANK(B525), "","Concept-524")</f>
        <v/>
      </c>
    </row>
    <row r="526" spans="1:1" x14ac:dyDescent="0.2">
      <c r="A526" t="str">
        <f>IF(ISBLANK(B526), "","Concept-525")</f>
        <v/>
      </c>
    </row>
    <row r="527" spans="1:1" x14ac:dyDescent="0.2">
      <c r="A527" t="str">
        <f>IF(ISBLANK(B527), "","Concept-526")</f>
        <v/>
      </c>
    </row>
    <row r="528" spans="1:1" x14ac:dyDescent="0.2">
      <c r="A528" t="str">
        <f>IF(ISBLANK(B528), "","Concept-527")</f>
        <v/>
      </c>
    </row>
    <row r="529" spans="1:1" x14ac:dyDescent="0.2">
      <c r="A529" t="str">
        <f>IF(ISBLANK(B529), "","Concept-528")</f>
        <v/>
      </c>
    </row>
    <row r="530" spans="1:1" x14ac:dyDescent="0.2">
      <c r="A530" t="str">
        <f>IF(ISBLANK(B530), "","Concept-529")</f>
        <v/>
      </c>
    </row>
    <row r="531" spans="1:1" x14ac:dyDescent="0.2">
      <c r="A531" t="str">
        <f>IF(ISBLANK(B531), "","Concept-530")</f>
        <v/>
      </c>
    </row>
    <row r="532" spans="1:1" x14ac:dyDescent="0.2">
      <c r="A532" t="str">
        <f>IF(ISBLANK(B532), "","Concept-531")</f>
        <v/>
      </c>
    </row>
    <row r="533" spans="1:1" x14ac:dyDescent="0.2">
      <c r="A533" t="str">
        <f>IF(ISBLANK(B533), "","Concept-532")</f>
        <v/>
      </c>
    </row>
    <row r="534" spans="1:1" x14ac:dyDescent="0.2">
      <c r="A534" t="str">
        <f>IF(ISBLANK(B534), "","Concept-533")</f>
        <v/>
      </c>
    </row>
    <row r="535" spans="1:1" x14ac:dyDescent="0.2">
      <c r="A535" t="str">
        <f>IF(ISBLANK(B535), "","Concept-534")</f>
        <v/>
      </c>
    </row>
    <row r="536" spans="1:1" x14ac:dyDescent="0.2">
      <c r="A536" t="str">
        <f>IF(ISBLANK(B536), "","Concept-535")</f>
        <v/>
      </c>
    </row>
    <row r="537" spans="1:1" x14ac:dyDescent="0.2">
      <c r="A537" t="str">
        <f>IF(ISBLANK(B537), "","Concept-536")</f>
        <v/>
      </c>
    </row>
    <row r="538" spans="1:1" x14ac:dyDescent="0.2">
      <c r="A538" t="str">
        <f>IF(ISBLANK(B538), "","Concept-537")</f>
        <v/>
      </c>
    </row>
    <row r="539" spans="1:1" x14ac:dyDescent="0.2">
      <c r="A539" t="str">
        <f>IF(ISBLANK(B539), "","Concept-538")</f>
        <v/>
      </c>
    </row>
    <row r="540" spans="1:1" x14ac:dyDescent="0.2">
      <c r="A540" t="str">
        <f>IF(ISBLANK(B540), "","Concept-539")</f>
        <v/>
      </c>
    </row>
    <row r="541" spans="1:1" x14ac:dyDescent="0.2">
      <c r="A541" t="str">
        <f>IF(ISBLANK(B541), "","Concept-540")</f>
        <v/>
      </c>
    </row>
    <row r="542" spans="1:1" x14ac:dyDescent="0.2">
      <c r="A542" t="str">
        <f>IF(ISBLANK(B542), "","Concept-541")</f>
        <v/>
      </c>
    </row>
    <row r="543" spans="1:1" x14ac:dyDescent="0.2">
      <c r="A543" t="str">
        <f>IF(ISBLANK(B543), "","Concept-542")</f>
        <v/>
      </c>
    </row>
    <row r="544" spans="1:1" x14ac:dyDescent="0.2">
      <c r="A544" t="str">
        <f>IF(ISBLANK(B544), "","Concept-543")</f>
        <v/>
      </c>
    </row>
    <row r="545" spans="1:1" x14ac:dyDescent="0.2">
      <c r="A545" t="str">
        <f>IF(ISBLANK(B545), "","Concept-544")</f>
        <v/>
      </c>
    </row>
    <row r="546" spans="1:1" x14ac:dyDescent="0.2">
      <c r="A546" t="str">
        <f>IF(ISBLANK(B546), "","Concept-545")</f>
        <v/>
      </c>
    </row>
    <row r="547" spans="1:1" x14ac:dyDescent="0.2">
      <c r="A547" t="str">
        <f>IF(ISBLANK(B547), "","Concept-546")</f>
        <v/>
      </c>
    </row>
    <row r="548" spans="1:1" x14ac:dyDescent="0.2">
      <c r="A548" t="str">
        <f>IF(ISBLANK(B548), "","Concept-547")</f>
        <v/>
      </c>
    </row>
    <row r="549" spans="1:1" x14ac:dyDescent="0.2">
      <c r="A549" t="str">
        <f>IF(ISBLANK(B549), "","Concept-548")</f>
        <v/>
      </c>
    </row>
    <row r="550" spans="1:1" x14ac:dyDescent="0.2">
      <c r="A550" t="str">
        <f>IF(ISBLANK(B550), "","Concept-549")</f>
        <v/>
      </c>
    </row>
    <row r="551" spans="1:1" x14ac:dyDescent="0.2">
      <c r="A551" t="str">
        <f>IF(ISBLANK(B551), "","Concept-550")</f>
        <v/>
      </c>
    </row>
    <row r="552" spans="1:1" x14ac:dyDescent="0.2">
      <c r="A552" t="str">
        <f>IF(ISBLANK(B552), "","Concept-551")</f>
        <v/>
      </c>
    </row>
    <row r="553" spans="1:1" x14ac:dyDescent="0.2">
      <c r="A553" t="str">
        <f>IF(ISBLANK(B553), "","Concept-552")</f>
        <v/>
      </c>
    </row>
    <row r="554" spans="1:1" x14ac:dyDescent="0.2">
      <c r="A554" t="str">
        <f>IF(ISBLANK(B554), "","Concept-553")</f>
        <v/>
      </c>
    </row>
    <row r="555" spans="1:1" x14ac:dyDescent="0.2">
      <c r="A555" t="str">
        <f>IF(ISBLANK(B555), "","Concept-554")</f>
        <v/>
      </c>
    </row>
    <row r="556" spans="1:1" x14ac:dyDescent="0.2">
      <c r="A556" t="str">
        <f>IF(ISBLANK(B556), "","Concept-555")</f>
        <v/>
      </c>
    </row>
    <row r="557" spans="1:1" x14ac:dyDescent="0.2">
      <c r="A557" t="str">
        <f>IF(ISBLANK(B557), "","Concept-556")</f>
        <v/>
      </c>
    </row>
    <row r="558" spans="1:1" x14ac:dyDescent="0.2">
      <c r="A558" t="str">
        <f>IF(ISBLANK(B558), "","Concept-557")</f>
        <v/>
      </c>
    </row>
    <row r="559" spans="1:1" x14ac:dyDescent="0.2">
      <c r="A559" t="str">
        <f>IF(ISBLANK(B559), "","Concept-558")</f>
        <v/>
      </c>
    </row>
    <row r="560" spans="1:1" x14ac:dyDescent="0.2">
      <c r="A560" t="str">
        <f>IF(ISBLANK(B560), "","Concept-559")</f>
        <v/>
      </c>
    </row>
    <row r="561" spans="1:1" x14ac:dyDescent="0.2">
      <c r="A561" t="str">
        <f>IF(ISBLANK(B561), "","Concept-560")</f>
        <v/>
      </c>
    </row>
    <row r="562" spans="1:1" x14ac:dyDescent="0.2">
      <c r="A562" t="str">
        <f>IF(ISBLANK(B562), "","Concept-561")</f>
        <v/>
      </c>
    </row>
    <row r="563" spans="1:1" x14ac:dyDescent="0.2">
      <c r="A563" t="str">
        <f>IF(ISBLANK(B563), "","Concept-562")</f>
        <v/>
      </c>
    </row>
    <row r="564" spans="1:1" x14ac:dyDescent="0.2">
      <c r="A564" t="str">
        <f>IF(ISBLANK(B564), "","Concept-563")</f>
        <v/>
      </c>
    </row>
    <row r="565" spans="1:1" x14ac:dyDescent="0.2">
      <c r="A565" t="str">
        <f>IF(ISBLANK(B565), "","Concept-564")</f>
        <v/>
      </c>
    </row>
    <row r="566" spans="1:1" x14ac:dyDescent="0.2">
      <c r="A566" t="str">
        <f>IF(ISBLANK(B566), "","Concept-565")</f>
        <v/>
      </c>
    </row>
    <row r="567" spans="1:1" x14ac:dyDescent="0.2">
      <c r="A567" t="str">
        <f>IF(ISBLANK(B567), "","Concept-566")</f>
        <v/>
      </c>
    </row>
    <row r="568" spans="1:1" x14ac:dyDescent="0.2">
      <c r="A568" t="str">
        <f>IF(ISBLANK(B568), "","Concept-567")</f>
        <v/>
      </c>
    </row>
    <row r="569" spans="1:1" x14ac:dyDescent="0.2">
      <c r="A569" t="str">
        <f>IF(ISBLANK(B569), "","Concept-568")</f>
        <v/>
      </c>
    </row>
    <row r="570" spans="1:1" x14ac:dyDescent="0.2">
      <c r="A570" t="str">
        <f>IF(ISBLANK(B570), "","Concept-569")</f>
        <v/>
      </c>
    </row>
    <row r="571" spans="1:1" x14ac:dyDescent="0.2">
      <c r="A571" t="str">
        <f>IF(ISBLANK(B571), "","Concept-570")</f>
        <v/>
      </c>
    </row>
    <row r="572" spans="1:1" x14ac:dyDescent="0.2">
      <c r="A572" t="str">
        <f>IF(ISBLANK(B572), "","Concept-571")</f>
        <v/>
      </c>
    </row>
    <row r="573" spans="1:1" x14ac:dyDescent="0.2">
      <c r="A573" t="str">
        <f>IF(ISBLANK(B573), "","Concept-572")</f>
        <v/>
      </c>
    </row>
    <row r="574" spans="1:1" x14ac:dyDescent="0.2">
      <c r="A574" t="str">
        <f>IF(ISBLANK(B574), "","Concept-573")</f>
        <v/>
      </c>
    </row>
    <row r="575" spans="1:1" x14ac:dyDescent="0.2">
      <c r="A575" t="str">
        <f>IF(ISBLANK(B575), "","Concept-574")</f>
        <v/>
      </c>
    </row>
    <row r="576" spans="1:1" x14ac:dyDescent="0.2">
      <c r="A576" t="str">
        <f>IF(ISBLANK(B576), "","Concept-575")</f>
        <v/>
      </c>
    </row>
    <row r="577" spans="1:1" x14ac:dyDescent="0.2">
      <c r="A577" t="str">
        <f>IF(ISBLANK(B577), "","Concept-576")</f>
        <v/>
      </c>
    </row>
    <row r="578" spans="1:1" x14ac:dyDescent="0.2">
      <c r="A578" t="str">
        <f>IF(ISBLANK(B578), "","Concept-577")</f>
        <v/>
      </c>
    </row>
    <row r="579" spans="1:1" x14ac:dyDescent="0.2">
      <c r="A579" t="str">
        <f>IF(ISBLANK(B579), "","Concept-578")</f>
        <v/>
      </c>
    </row>
    <row r="580" spans="1:1" x14ac:dyDescent="0.2">
      <c r="A580" t="str">
        <f>IF(ISBLANK(B580), "","Concept-579")</f>
        <v/>
      </c>
    </row>
    <row r="581" spans="1:1" x14ac:dyDescent="0.2">
      <c r="A581" t="str">
        <f>IF(ISBLANK(B581), "","Concept-580")</f>
        <v/>
      </c>
    </row>
    <row r="582" spans="1:1" x14ac:dyDescent="0.2">
      <c r="A582" t="str">
        <f>IF(ISBLANK(B582), "","Concept-581")</f>
        <v/>
      </c>
    </row>
    <row r="583" spans="1:1" x14ac:dyDescent="0.2">
      <c r="A583" t="str">
        <f>IF(ISBLANK(B583), "","Concept-582")</f>
        <v/>
      </c>
    </row>
    <row r="584" spans="1:1" x14ac:dyDescent="0.2">
      <c r="A584" t="str">
        <f>IF(ISBLANK(B584), "","Concept-583")</f>
        <v/>
      </c>
    </row>
    <row r="585" spans="1:1" x14ac:dyDescent="0.2">
      <c r="A585" t="str">
        <f>IF(ISBLANK(B585), "","Concept-584")</f>
        <v/>
      </c>
    </row>
    <row r="586" spans="1:1" x14ac:dyDescent="0.2">
      <c r="A586" t="str">
        <f>IF(ISBLANK(B586), "","Concept-585")</f>
        <v/>
      </c>
    </row>
    <row r="587" spans="1:1" x14ac:dyDescent="0.2">
      <c r="A587" t="str">
        <f>IF(ISBLANK(B587), "","Concept-586")</f>
        <v/>
      </c>
    </row>
    <row r="588" spans="1:1" x14ac:dyDescent="0.2">
      <c r="A588" t="str">
        <f>IF(ISBLANK(B588), "","Concept-587")</f>
        <v/>
      </c>
    </row>
    <row r="589" spans="1:1" x14ac:dyDescent="0.2">
      <c r="A589" t="str">
        <f>IF(ISBLANK(B589), "","Concept-588")</f>
        <v/>
      </c>
    </row>
    <row r="590" spans="1:1" x14ac:dyDescent="0.2">
      <c r="A590" t="str">
        <f>IF(ISBLANK(B590), "","Concept-589")</f>
        <v/>
      </c>
    </row>
    <row r="591" spans="1:1" x14ac:dyDescent="0.2">
      <c r="A591" t="str">
        <f>IF(ISBLANK(B591), "","Concept-590")</f>
        <v/>
      </c>
    </row>
    <row r="592" spans="1:1" x14ac:dyDescent="0.2">
      <c r="A592" t="str">
        <f>IF(ISBLANK(B592), "","Concept-591")</f>
        <v/>
      </c>
    </row>
    <row r="593" spans="1:1" x14ac:dyDescent="0.2">
      <c r="A593" t="str">
        <f>IF(ISBLANK(B593), "","Concept-592")</f>
        <v/>
      </c>
    </row>
    <row r="594" spans="1:1" x14ac:dyDescent="0.2">
      <c r="A594" t="str">
        <f>IF(ISBLANK(B594), "","Concept-593")</f>
        <v/>
      </c>
    </row>
    <row r="595" spans="1:1" x14ac:dyDescent="0.2">
      <c r="A595" t="str">
        <f>IF(ISBLANK(B595), "","Concept-594")</f>
        <v/>
      </c>
    </row>
    <row r="596" spans="1:1" x14ac:dyDescent="0.2">
      <c r="A596" t="str">
        <f>IF(ISBLANK(B596), "","Concept-595")</f>
        <v/>
      </c>
    </row>
    <row r="597" spans="1:1" x14ac:dyDescent="0.2">
      <c r="A597" t="str">
        <f>IF(ISBLANK(B597), "","Concept-596")</f>
        <v/>
      </c>
    </row>
    <row r="598" spans="1:1" x14ac:dyDescent="0.2">
      <c r="A598" t="str">
        <f>IF(ISBLANK(B598), "","Concept-597")</f>
        <v/>
      </c>
    </row>
    <row r="599" spans="1:1" x14ac:dyDescent="0.2">
      <c r="A599" t="str">
        <f>IF(ISBLANK(B599), "","Concept-598")</f>
        <v/>
      </c>
    </row>
    <row r="600" spans="1:1" x14ac:dyDescent="0.2">
      <c r="A600" t="str">
        <f>IF(ISBLANK(B600), "","Concept-599")</f>
        <v/>
      </c>
    </row>
    <row r="601" spans="1:1" x14ac:dyDescent="0.2">
      <c r="A601" t="str">
        <f>IF(ISBLANK(B601), "","Concept-600")</f>
        <v/>
      </c>
    </row>
    <row r="602" spans="1:1" x14ac:dyDescent="0.2">
      <c r="A602" t="str">
        <f>IF(ISBLANK(B602), "","Concept-601")</f>
        <v/>
      </c>
    </row>
    <row r="603" spans="1:1" x14ac:dyDescent="0.2">
      <c r="A603" t="str">
        <f>IF(ISBLANK(B603), "","Concept-602")</f>
        <v/>
      </c>
    </row>
    <row r="604" spans="1:1" x14ac:dyDescent="0.2">
      <c r="A604" t="str">
        <f>IF(ISBLANK(B604), "","Concept-603")</f>
        <v/>
      </c>
    </row>
    <row r="605" spans="1:1" x14ac:dyDescent="0.2">
      <c r="A605" t="str">
        <f>IF(ISBLANK(B605), "","Concept-604")</f>
        <v/>
      </c>
    </row>
    <row r="606" spans="1:1" x14ac:dyDescent="0.2">
      <c r="A606" t="str">
        <f>IF(ISBLANK(B606), "","Concept-605")</f>
        <v/>
      </c>
    </row>
    <row r="607" spans="1:1" x14ac:dyDescent="0.2">
      <c r="A607" t="str">
        <f>IF(ISBLANK(B607), "","Concept-606")</f>
        <v/>
      </c>
    </row>
    <row r="608" spans="1:1" x14ac:dyDescent="0.2">
      <c r="A608" t="str">
        <f>IF(ISBLANK(B608), "","Concept-607")</f>
        <v/>
      </c>
    </row>
    <row r="609" spans="1:1" x14ac:dyDescent="0.2">
      <c r="A609" t="str">
        <f>IF(ISBLANK(B609), "","Concept-608")</f>
        <v/>
      </c>
    </row>
    <row r="610" spans="1:1" x14ac:dyDescent="0.2">
      <c r="A610" t="str">
        <f>IF(ISBLANK(B610), "","Concept-609")</f>
        <v/>
      </c>
    </row>
    <row r="611" spans="1:1" x14ac:dyDescent="0.2">
      <c r="A611" t="str">
        <f>IF(ISBLANK(B611), "","Concept-610")</f>
        <v/>
      </c>
    </row>
    <row r="612" spans="1:1" x14ac:dyDescent="0.2">
      <c r="A612" t="str">
        <f>IF(ISBLANK(B612), "","Concept-611")</f>
        <v/>
      </c>
    </row>
    <row r="613" spans="1:1" x14ac:dyDescent="0.2">
      <c r="A613" t="str">
        <f>IF(ISBLANK(B613), "","Concept-612")</f>
        <v/>
      </c>
    </row>
    <row r="614" spans="1:1" x14ac:dyDescent="0.2">
      <c r="A614" t="str">
        <f>IF(ISBLANK(B614), "","Concept-613")</f>
        <v/>
      </c>
    </row>
    <row r="615" spans="1:1" x14ac:dyDescent="0.2">
      <c r="A615" t="str">
        <f>IF(ISBLANK(B615), "","Concept-614")</f>
        <v/>
      </c>
    </row>
    <row r="616" spans="1:1" x14ac:dyDescent="0.2">
      <c r="A616" t="str">
        <f>IF(ISBLANK(B616), "","Concept-615")</f>
        <v/>
      </c>
    </row>
    <row r="617" spans="1:1" x14ac:dyDescent="0.2">
      <c r="A617" t="str">
        <f>IF(ISBLANK(B617), "","Concept-616")</f>
        <v/>
      </c>
    </row>
    <row r="618" spans="1:1" x14ac:dyDescent="0.2">
      <c r="A618" t="str">
        <f>IF(ISBLANK(B618), "","Concept-617")</f>
        <v/>
      </c>
    </row>
    <row r="619" spans="1:1" x14ac:dyDescent="0.2">
      <c r="A619" t="str">
        <f>IF(ISBLANK(B619), "","Concept-618")</f>
        <v/>
      </c>
    </row>
    <row r="620" spans="1:1" x14ac:dyDescent="0.2">
      <c r="A620" t="str">
        <f>IF(ISBLANK(B620), "","Concept-619")</f>
        <v/>
      </c>
    </row>
    <row r="621" spans="1:1" x14ac:dyDescent="0.2">
      <c r="A621" t="str">
        <f>IF(ISBLANK(B621), "","Concept-620")</f>
        <v/>
      </c>
    </row>
    <row r="622" spans="1:1" x14ac:dyDescent="0.2">
      <c r="A622" t="str">
        <f>IF(ISBLANK(B622), "","Concept-621")</f>
        <v/>
      </c>
    </row>
    <row r="623" spans="1:1" x14ac:dyDescent="0.2">
      <c r="A623" t="str">
        <f>IF(ISBLANK(B623), "","Concept-622")</f>
        <v/>
      </c>
    </row>
    <row r="624" spans="1:1" x14ac:dyDescent="0.2">
      <c r="A624" t="str">
        <f>IF(ISBLANK(B624), "","Concept-623")</f>
        <v/>
      </c>
    </row>
    <row r="625" spans="1:1" x14ac:dyDescent="0.2">
      <c r="A625" t="str">
        <f>IF(ISBLANK(B625), "","Concept-624")</f>
        <v/>
      </c>
    </row>
    <row r="626" spans="1:1" x14ac:dyDescent="0.2">
      <c r="A626" t="str">
        <f>IF(ISBLANK(B626), "","Concept-625")</f>
        <v/>
      </c>
    </row>
    <row r="627" spans="1:1" x14ac:dyDescent="0.2">
      <c r="A627" t="str">
        <f>IF(ISBLANK(B627), "","Concept-626")</f>
        <v/>
      </c>
    </row>
    <row r="628" spans="1:1" x14ac:dyDescent="0.2">
      <c r="A628" t="str">
        <f>IF(ISBLANK(B628), "","Concept-627")</f>
        <v/>
      </c>
    </row>
    <row r="629" spans="1:1" x14ac:dyDescent="0.2">
      <c r="A629" t="str">
        <f>IF(ISBLANK(B629), "","Concept-628")</f>
        <v/>
      </c>
    </row>
    <row r="630" spans="1:1" x14ac:dyDescent="0.2">
      <c r="A630" t="str">
        <f>IF(ISBLANK(B630), "","Concept-629")</f>
        <v/>
      </c>
    </row>
    <row r="631" spans="1:1" x14ac:dyDescent="0.2">
      <c r="A631" t="str">
        <f>IF(ISBLANK(B631), "","Concept-630")</f>
        <v/>
      </c>
    </row>
    <row r="632" spans="1:1" x14ac:dyDescent="0.2">
      <c r="A632" t="str">
        <f>IF(ISBLANK(B632), "","Concept-631")</f>
        <v/>
      </c>
    </row>
    <row r="633" spans="1:1" x14ac:dyDescent="0.2">
      <c r="A633" t="str">
        <f>IF(ISBLANK(B633), "","Concept-632")</f>
        <v/>
      </c>
    </row>
    <row r="634" spans="1:1" x14ac:dyDescent="0.2">
      <c r="A634" t="str">
        <f>IF(ISBLANK(B634), "","Concept-633")</f>
        <v/>
      </c>
    </row>
    <row r="635" spans="1:1" x14ac:dyDescent="0.2">
      <c r="A635" t="str">
        <f>IF(ISBLANK(B635), "","Concept-634")</f>
        <v/>
      </c>
    </row>
    <row r="636" spans="1:1" x14ac:dyDescent="0.2">
      <c r="A636" t="str">
        <f>IF(ISBLANK(B636), "","Concept-635")</f>
        <v/>
      </c>
    </row>
    <row r="637" spans="1:1" x14ac:dyDescent="0.2">
      <c r="A637" t="str">
        <f>IF(ISBLANK(B637), "","Concept-636")</f>
        <v/>
      </c>
    </row>
    <row r="638" spans="1:1" x14ac:dyDescent="0.2">
      <c r="A638" t="str">
        <f>IF(ISBLANK(B638), "","Concept-637")</f>
        <v/>
      </c>
    </row>
    <row r="639" spans="1:1" x14ac:dyDescent="0.2">
      <c r="A639" t="str">
        <f>IF(ISBLANK(B639), "","Concept-638")</f>
        <v/>
      </c>
    </row>
    <row r="640" spans="1:1" x14ac:dyDescent="0.2">
      <c r="A640" t="str">
        <f>IF(ISBLANK(B640), "","Concept-639")</f>
        <v/>
      </c>
    </row>
    <row r="641" spans="1:1" x14ac:dyDescent="0.2">
      <c r="A641" t="str">
        <f>IF(ISBLANK(B641), "","Concept-640")</f>
        <v/>
      </c>
    </row>
    <row r="642" spans="1:1" x14ac:dyDescent="0.2">
      <c r="A642" t="str">
        <f>IF(ISBLANK(B642), "","Concept-641")</f>
        <v/>
      </c>
    </row>
    <row r="643" spans="1:1" x14ac:dyDescent="0.2">
      <c r="A643" t="str">
        <f>IF(ISBLANK(B643), "","Concept-642")</f>
        <v/>
      </c>
    </row>
    <row r="644" spans="1:1" x14ac:dyDescent="0.2">
      <c r="A644" t="str">
        <f>IF(ISBLANK(B644), "","Concept-643")</f>
        <v/>
      </c>
    </row>
    <row r="645" spans="1:1" x14ac:dyDescent="0.2">
      <c r="A645" t="str">
        <f>IF(ISBLANK(B645), "","Concept-644")</f>
        <v/>
      </c>
    </row>
    <row r="646" spans="1:1" x14ac:dyDescent="0.2">
      <c r="A646" t="str">
        <f>IF(ISBLANK(B646), "","Concept-645")</f>
        <v/>
      </c>
    </row>
    <row r="647" spans="1:1" x14ac:dyDescent="0.2">
      <c r="A647" t="str">
        <f>IF(ISBLANK(B647), "","Concept-646")</f>
        <v/>
      </c>
    </row>
    <row r="648" spans="1:1" x14ac:dyDescent="0.2">
      <c r="A648" t="str">
        <f>IF(ISBLANK(B648), "","Concept-647")</f>
        <v/>
      </c>
    </row>
    <row r="649" spans="1:1" x14ac:dyDescent="0.2">
      <c r="A649" t="str">
        <f>IF(ISBLANK(B649), "","Concept-648")</f>
        <v/>
      </c>
    </row>
    <row r="650" spans="1:1" x14ac:dyDescent="0.2">
      <c r="A650" t="str">
        <f>IF(ISBLANK(B650), "","Concept-649")</f>
        <v/>
      </c>
    </row>
    <row r="651" spans="1:1" x14ac:dyDescent="0.2">
      <c r="A651" t="str">
        <f>IF(ISBLANK(B651), "","Concept-650")</f>
        <v/>
      </c>
    </row>
    <row r="652" spans="1:1" x14ac:dyDescent="0.2">
      <c r="A652" t="str">
        <f>IF(ISBLANK(B652), "","Concept-651")</f>
        <v/>
      </c>
    </row>
    <row r="653" spans="1:1" x14ac:dyDescent="0.2">
      <c r="A653" t="str">
        <f>IF(ISBLANK(B653), "","Concept-652")</f>
        <v/>
      </c>
    </row>
    <row r="654" spans="1:1" x14ac:dyDescent="0.2">
      <c r="A654" t="str">
        <f>IF(ISBLANK(B654), "","Concept-653")</f>
        <v/>
      </c>
    </row>
    <row r="655" spans="1:1" x14ac:dyDescent="0.2">
      <c r="A655" t="str">
        <f>IF(ISBLANK(B655), "","Concept-654")</f>
        <v/>
      </c>
    </row>
    <row r="656" spans="1:1" x14ac:dyDescent="0.2">
      <c r="A656" t="str">
        <f>IF(ISBLANK(B656), "","Concept-655")</f>
        <v/>
      </c>
    </row>
    <row r="657" spans="1:1" x14ac:dyDescent="0.2">
      <c r="A657" t="str">
        <f>IF(ISBLANK(B657), "","Concept-656")</f>
        <v/>
      </c>
    </row>
    <row r="658" spans="1:1" x14ac:dyDescent="0.2">
      <c r="A658" t="str">
        <f>IF(ISBLANK(B658), "","Concept-657")</f>
        <v/>
      </c>
    </row>
    <row r="659" spans="1:1" x14ac:dyDescent="0.2">
      <c r="A659" t="str">
        <f>IF(ISBLANK(B659), "","Concept-658")</f>
        <v/>
      </c>
    </row>
    <row r="660" spans="1:1" x14ac:dyDescent="0.2">
      <c r="A660" t="str">
        <f>IF(ISBLANK(B660), "","Concept-659")</f>
        <v/>
      </c>
    </row>
    <row r="661" spans="1:1" x14ac:dyDescent="0.2">
      <c r="A661" t="str">
        <f>IF(ISBLANK(B661), "","Concept-660")</f>
        <v/>
      </c>
    </row>
    <row r="662" spans="1:1" x14ac:dyDescent="0.2">
      <c r="A662" t="str">
        <f>IF(ISBLANK(B662), "","Concept-661")</f>
        <v/>
      </c>
    </row>
    <row r="663" spans="1:1" x14ac:dyDescent="0.2">
      <c r="A663" t="str">
        <f>IF(ISBLANK(B663), "","Concept-662")</f>
        <v/>
      </c>
    </row>
    <row r="664" spans="1:1" x14ac:dyDescent="0.2">
      <c r="A664" t="str">
        <f>IF(ISBLANK(B664), "","Concept-663")</f>
        <v/>
      </c>
    </row>
    <row r="665" spans="1:1" x14ac:dyDescent="0.2">
      <c r="A665" t="str">
        <f>IF(ISBLANK(B665), "","Concept-664")</f>
        <v/>
      </c>
    </row>
    <row r="666" spans="1:1" x14ac:dyDescent="0.2">
      <c r="A666" t="str">
        <f>IF(ISBLANK(B666), "","Concept-665")</f>
        <v/>
      </c>
    </row>
    <row r="667" spans="1:1" x14ac:dyDescent="0.2">
      <c r="A667" t="str">
        <f>IF(ISBLANK(B667), "","Concept-666")</f>
        <v/>
      </c>
    </row>
    <row r="668" spans="1:1" x14ac:dyDescent="0.2">
      <c r="A668" t="str">
        <f>IF(ISBLANK(B668), "","Concept-667")</f>
        <v/>
      </c>
    </row>
    <row r="669" spans="1:1" x14ac:dyDescent="0.2">
      <c r="A669" t="str">
        <f>IF(ISBLANK(B669), "","Concept-668")</f>
        <v/>
      </c>
    </row>
    <row r="670" spans="1:1" x14ac:dyDescent="0.2">
      <c r="A670" t="str">
        <f>IF(ISBLANK(B670), "","Concept-669")</f>
        <v/>
      </c>
    </row>
    <row r="671" spans="1:1" x14ac:dyDescent="0.2">
      <c r="A671" t="str">
        <f>IF(ISBLANK(B671), "","Concept-670")</f>
        <v/>
      </c>
    </row>
    <row r="672" spans="1:1" x14ac:dyDescent="0.2">
      <c r="A672" t="str">
        <f>IF(ISBLANK(B672), "","Concept-671")</f>
        <v/>
      </c>
    </row>
    <row r="673" spans="1:1" x14ac:dyDescent="0.2">
      <c r="A673" t="str">
        <f>IF(ISBLANK(B673), "","Concept-672")</f>
        <v/>
      </c>
    </row>
    <row r="674" spans="1:1" x14ac:dyDescent="0.2">
      <c r="A674" t="str">
        <f>IF(ISBLANK(B674), "","Concept-673")</f>
        <v/>
      </c>
    </row>
    <row r="675" spans="1:1" x14ac:dyDescent="0.2">
      <c r="A675" t="str">
        <f>IF(ISBLANK(B675), "","Concept-674")</f>
        <v/>
      </c>
    </row>
    <row r="676" spans="1:1" x14ac:dyDescent="0.2">
      <c r="A676" t="str">
        <f>IF(ISBLANK(B676), "","Concept-675")</f>
        <v/>
      </c>
    </row>
    <row r="677" spans="1:1" x14ac:dyDescent="0.2">
      <c r="A677" t="str">
        <f>IF(ISBLANK(B677), "","Concept-676")</f>
        <v/>
      </c>
    </row>
    <row r="678" spans="1:1" x14ac:dyDescent="0.2">
      <c r="A678" t="str">
        <f>IF(ISBLANK(B678), "","Concept-677")</f>
        <v/>
      </c>
    </row>
    <row r="679" spans="1:1" x14ac:dyDescent="0.2">
      <c r="A679" t="str">
        <f>IF(ISBLANK(B679), "","Concept-678")</f>
        <v/>
      </c>
    </row>
    <row r="680" spans="1:1" x14ac:dyDescent="0.2">
      <c r="A680" t="str">
        <f>IF(ISBLANK(B680), "","Concept-679")</f>
        <v/>
      </c>
    </row>
    <row r="681" spans="1:1" x14ac:dyDescent="0.2">
      <c r="A681" t="str">
        <f>IF(ISBLANK(B681), "","Concept-680")</f>
        <v/>
      </c>
    </row>
    <row r="682" spans="1:1" x14ac:dyDescent="0.2">
      <c r="A682" t="str">
        <f>IF(ISBLANK(B682), "","Concept-681")</f>
        <v/>
      </c>
    </row>
    <row r="683" spans="1:1" x14ac:dyDescent="0.2">
      <c r="A683" t="str">
        <f>IF(ISBLANK(B683), "","Concept-682")</f>
        <v/>
      </c>
    </row>
    <row r="684" spans="1:1" x14ac:dyDescent="0.2">
      <c r="A684" t="str">
        <f>IF(ISBLANK(B684), "","Concept-683")</f>
        <v/>
      </c>
    </row>
    <row r="685" spans="1:1" x14ac:dyDescent="0.2">
      <c r="A685" t="str">
        <f>IF(ISBLANK(B685), "","Concept-684")</f>
        <v/>
      </c>
    </row>
    <row r="686" spans="1:1" x14ac:dyDescent="0.2">
      <c r="A686" t="str">
        <f>IF(ISBLANK(B686), "","Concept-685")</f>
        <v/>
      </c>
    </row>
    <row r="687" spans="1:1" x14ac:dyDescent="0.2">
      <c r="A687" t="str">
        <f>IF(ISBLANK(B687), "","Concept-686")</f>
        <v/>
      </c>
    </row>
    <row r="688" spans="1:1" x14ac:dyDescent="0.2">
      <c r="A688" t="str">
        <f>IF(ISBLANK(B688), "","Concept-687")</f>
        <v/>
      </c>
    </row>
    <row r="689" spans="1:1" x14ac:dyDescent="0.2">
      <c r="A689" t="str">
        <f>IF(ISBLANK(B689), "","Concept-688")</f>
        <v/>
      </c>
    </row>
    <row r="690" spans="1:1" x14ac:dyDescent="0.2">
      <c r="A690" t="str">
        <f>IF(ISBLANK(B690), "","Concept-689")</f>
        <v/>
      </c>
    </row>
    <row r="691" spans="1:1" x14ac:dyDescent="0.2">
      <c r="A691" t="str">
        <f>IF(ISBLANK(B691), "","Concept-690")</f>
        <v/>
      </c>
    </row>
    <row r="692" spans="1:1" x14ac:dyDescent="0.2">
      <c r="A692" t="str">
        <f>IF(ISBLANK(B692), "","Concept-691")</f>
        <v/>
      </c>
    </row>
    <row r="693" spans="1:1" x14ac:dyDescent="0.2">
      <c r="A693" t="str">
        <f>IF(ISBLANK(B693), "","Concept-692")</f>
        <v/>
      </c>
    </row>
    <row r="694" spans="1:1" x14ac:dyDescent="0.2">
      <c r="A694" t="str">
        <f>IF(ISBLANK(B694), "","Concept-693")</f>
        <v/>
      </c>
    </row>
    <row r="695" spans="1:1" x14ac:dyDescent="0.2">
      <c r="A695" t="str">
        <f>IF(ISBLANK(B695), "","Concept-694")</f>
        <v/>
      </c>
    </row>
    <row r="696" spans="1:1" x14ac:dyDescent="0.2">
      <c r="A696" t="str">
        <f>IF(ISBLANK(B696), "","Concept-695")</f>
        <v/>
      </c>
    </row>
    <row r="697" spans="1:1" x14ac:dyDescent="0.2">
      <c r="A697" t="str">
        <f>IF(ISBLANK(B697), "","Concept-696")</f>
        <v/>
      </c>
    </row>
    <row r="698" spans="1:1" x14ac:dyDescent="0.2">
      <c r="A698" t="str">
        <f>IF(ISBLANK(B698), "","Concept-697")</f>
        <v/>
      </c>
    </row>
    <row r="699" spans="1:1" x14ac:dyDescent="0.2">
      <c r="A699" t="str">
        <f>IF(ISBLANK(B699), "","Concept-698")</f>
        <v/>
      </c>
    </row>
    <row r="700" spans="1:1" x14ac:dyDescent="0.2">
      <c r="A700" t="str">
        <f>IF(ISBLANK(B700), "","Concept-699")</f>
        <v/>
      </c>
    </row>
    <row r="701" spans="1:1" x14ac:dyDescent="0.2">
      <c r="A701" t="str">
        <f>IF(ISBLANK(B701), "","Concept-700")</f>
        <v/>
      </c>
    </row>
    <row r="702" spans="1:1" x14ac:dyDescent="0.2">
      <c r="A702" t="str">
        <f>IF(ISBLANK(B702), "","Concept-701")</f>
        <v/>
      </c>
    </row>
    <row r="703" spans="1:1" x14ac:dyDescent="0.2">
      <c r="A703" t="str">
        <f>IF(ISBLANK(B703), "","Concept-702")</f>
        <v/>
      </c>
    </row>
    <row r="704" spans="1:1" x14ac:dyDescent="0.2">
      <c r="A704" t="str">
        <f>IF(ISBLANK(B704), "","Concept-703")</f>
        <v/>
      </c>
    </row>
    <row r="705" spans="1:1" x14ac:dyDescent="0.2">
      <c r="A705" t="str">
        <f>IF(ISBLANK(B705), "","Concept-704")</f>
        <v/>
      </c>
    </row>
    <row r="706" spans="1:1" x14ac:dyDescent="0.2">
      <c r="A706" t="str">
        <f>IF(ISBLANK(B706), "","Concept-705")</f>
        <v/>
      </c>
    </row>
    <row r="707" spans="1:1" x14ac:dyDescent="0.2">
      <c r="A707" t="str">
        <f>IF(ISBLANK(B707), "","Concept-706")</f>
        <v/>
      </c>
    </row>
    <row r="708" spans="1:1" x14ac:dyDescent="0.2">
      <c r="A708" t="str">
        <f>IF(ISBLANK(B708), "","Concept-707")</f>
        <v/>
      </c>
    </row>
    <row r="709" spans="1:1" x14ac:dyDescent="0.2">
      <c r="A709" t="str">
        <f>IF(ISBLANK(B709), "","Concept-708")</f>
        <v/>
      </c>
    </row>
    <row r="710" spans="1:1" x14ac:dyDescent="0.2">
      <c r="A710" t="str">
        <f>IF(ISBLANK(B710), "","Concept-709")</f>
        <v/>
      </c>
    </row>
    <row r="711" spans="1:1" x14ac:dyDescent="0.2">
      <c r="A711" t="str">
        <f>IF(ISBLANK(B711), "","Concept-710")</f>
        <v/>
      </c>
    </row>
    <row r="712" spans="1:1" x14ac:dyDescent="0.2">
      <c r="A712" t="str">
        <f>IF(ISBLANK(B712), "","Concept-711")</f>
        <v/>
      </c>
    </row>
    <row r="713" spans="1:1" x14ac:dyDescent="0.2">
      <c r="A713" t="str">
        <f>IF(ISBLANK(B713), "","Concept-712")</f>
        <v/>
      </c>
    </row>
    <row r="714" spans="1:1" x14ac:dyDescent="0.2">
      <c r="A714" t="str">
        <f>IF(ISBLANK(B714), "","Concept-713")</f>
        <v/>
      </c>
    </row>
    <row r="715" spans="1:1" x14ac:dyDescent="0.2">
      <c r="A715" t="str">
        <f>IF(ISBLANK(B715), "","Concept-714")</f>
        <v/>
      </c>
    </row>
    <row r="716" spans="1:1" x14ac:dyDescent="0.2">
      <c r="A716" t="str">
        <f>IF(ISBLANK(B716), "","Concept-715")</f>
        <v/>
      </c>
    </row>
    <row r="717" spans="1:1" x14ac:dyDescent="0.2">
      <c r="A717" t="str">
        <f>IF(ISBLANK(B717), "","Concept-716")</f>
        <v/>
      </c>
    </row>
    <row r="718" spans="1:1" x14ac:dyDescent="0.2">
      <c r="A718" t="str">
        <f>IF(ISBLANK(B718), "","Concept-717")</f>
        <v/>
      </c>
    </row>
    <row r="719" spans="1:1" x14ac:dyDescent="0.2">
      <c r="A719" t="str">
        <f>IF(ISBLANK(B719), "","Concept-718")</f>
        <v/>
      </c>
    </row>
    <row r="720" spans="1:1" x14ac:dyDescent="0.2">
      <c r="A720" t="str">
        <f>IF(ISBLANK(B720), "","Concept-719")</f>
        <v/>
      </c>
    </row>
    <row r="721" spans="1:1" x14ac:dyDescent="0.2">
      <c r="A721" t="str">
        <f>IF(ISBLANK(B721), "","Concept-720")</f>
        <v/>
      </c>
    </row>
    <row r="722" spans="1:1" x14ac:dyDescent="0.2">
      <c r="A722" t="str">
        <f>IF(ISBLANK(B722), "","Concept-721")</f>
        <v/>
      </c>
    </row>
    <row r="723" spans="1:1" x14ac:dyDescent="0.2">
      <c r="A723" t="str">
        <f>IF(ISBLANK(B723), "","Concept-722")</f>
        <v/>
      </c>
    </row>
    <row r="724" spans="1:1" x14ac:dyDescent="0.2">
      <c r="A724" t="str">
        <f>IF(ISBLANK(B724), "","Concept-723")</f>
        <v/>
      </c>
    </row>
    <row r="725" spans="1:1" x14ac:dyDescent="0.2">
      <c r="A725" t="str">
        <f>IF(ISBLANK(B725), "","Concept-724")</f>
        <v/>
      </c>
    </row>
    <row r="726" spans="1:1" x14ac:dyDescent="0.2">
      <c r="A726" t="str">
        <f>IF(ISBLANK(B726), "","Concept-725")</f>
        <v/>
      </c>
    </row>
    <row r="727" spans="1:1" x14ac:dyDescent="0.2">
      <c r="A727" t="str">
        <f>IF(ISBLANK(B727), "","Concept-726")</f>
        <v/>
      </c>
    </row>
    <row r="728" spans="1:1" x14ac:dyDescent="0.2">
      <c r="A728" t="str">
        <f>IF(ISBLANK(B728), "","Concept-727")</f>
        <v/>
      </c>
    </row>
    <row r="729" spans="1:1" x14ac:dyDescent="0.2">
      <c r="A729" t="str">
        <f>IF(ISBLANK(B729), "","Concept-728")</f>
        <v/>
      </c>
    </row>
    <row r="730" spans="1:1" x14ac:dyDescent="0.2">
      <c r="A730" t="str">
        <f>IF(ISBLANK(B730), "","Concept-729")</f>
        <v/>
      </c>
    </row>
    <row r="731" spans="1:1" x14ac:dyDescent="0.2">
      <c r="A731" t="str">
        <f>IF(ISBLANK(B731), "","Concept-730")</f>
        <v/>
      </c>
    </row>
    <row r="732" spans="1:1" x14ac:dyDescent="0.2">
      <c r="A732" t="str">
        <f>IF(ISBLANK(B732), "","Concept-731")</f>
        <v/>
      </c>
    </row>
    <row r="733" spans="1:1" x14ac:dyDescent="0.2">
      <c r="A733" t="str">
        <f>IF(ISBLANK(B733), "","Concept-732")</f>
        <v/>
      </c>
    </row>
    <row r="734" spans="1:1" x14ac:dyDescent="0.2">
      <c r="A734" t="str">
        <f>IF(ISBLANK(B734), "","Concept-733")</f>
        <v/>
      </c>
    </row>
    <row r="735" spans="1:1" x14ac:dyDescent="0.2">
      <c r="A735" t="str">
        <f>IF(ISBLANK(B735), "","Concept-734")</f>
        <v/>
      </c>
    </row>
    <row r="736" spans="1:1" x14ac:dyDescent="0.2">
      <c r="A736" t="str">
        <f>IF(ISBLANK(B736), "","Concept-735")</f>
        <v/>
      </c>
    </row>
    <row r="737" spans="1:1" x14ac:dyDescent="0.2">
      <c r="A737" t="str">
        <f>IF(ISBLANK(B737), "","Concept-736")</f>
        <v/>
      </c>
    </row>
    <row r="738" spans="1:1" x14ac:dyDescent="0.2">
      <c r="A738" t="str">
        <f>IF(ISBLANK(B738), "","Concept-737")</f>
        <v/>
      </c>
    </row>
    <row r="739" spans="1:1" x14ac:dyDescent="0.2">
      <c r="A739" t="str">
        <f>IF(ISBLANK(B739), "","Concept-738")</f>
        <v/>
      </c>
    </row>
    <row r="740" spans="1:1" x14ac:dyDescent="0.2">
      <c r="A740" t="str">
        <f>IF(ISBLANK(B740), "","Concept-739")</f>
        <v/>
      </c>
    </row>
    <row r="741" spans="1:1" x14ac:dyDescent="0.2">
      <c r="A741" t="str">
        <f>IF(ISBLANK(B741), "","Concept-740")</f>
        <v/>
      </c>
    </row>
    <row r="742" spans="1:1" x14ac:dyDescent="0.2">
      <c r="A742" t="str">
        <f>IF(ISBLANK(B742), "","Concept-741")</f>
        <v/>
      </c>
    </row>
    <row r="743" spans="1:1" x14ac:dyDescent="0.2">
      <c r="A743" t="str">
        <f>IF(ISBLANK(B743), "","Concept-742")</f>
        <v/>
      </c>
    </row>
    <row r="744" spans="1:1" x14ac:dyDescent="0.2">
      <c r="A744" t="str">
        <f>IF(ISBLANK(B744), "","Concept-743")</f>
        <v/>
      </c>
    </row>
    <row r="745" spans="1:1" x14ac:dyDescent="0.2">
      <c r="A745" t="str">
        <f>IF(ISBLANK(B745), "","Concept-744")</f>
        <v/>
      </c>
    </row>
    <row r="746" spans="1:1" x14ac:dyDescent="0.2">
      <c r="A746" t="str">
        <f>IF(ISBLANK(B746), "","Concept-745")</f>
        <v/>
      </c>
    </row>
    <row r="747" spans="1:1" x14ac:dyDescent="0.2">
      <c r="A747" t="str">
        <f>IF(ISBLANK(B747), "","Concept-746")</f>
        <v/>
      </c>
    </row>
    <row r="748" spans="1:1" x14ac:dyDescent="0.2">
      <c r="A748" t="str">
        <f>IF(ISBLANK(B748), "","Concept-747")</f>
        <v/>
      </c>
    </row>
    <row r="749" spans="1:1" x14ac:dyDescent="0.2">
      <c r="A749" t="str">
        <f>IF(ISBLANK(B749), "","Concept-748")</f>
        <v/>
      </c>
    </row>
    <row r="750" spans="1:1" x14ac:dyDescent="0.2">
      <c r="A750" t="str">
        <f>IF(ISBLANK(B750), "","Concept-749")</f>
        <v/>
      </c>
    </row>
    <row r="751" spans="1:1" x14ac:dyDescent="0.2">
      <c r="A751" t="str">
        <f>IF(ISBLANK(B751), "","Concept-750")</f>
        <v/>
      </c>
    </row>
    <row r="752" spans="1:1" x14ac:dyDescent="0.2">
      <c r="A752" t="str">
        <f>IF(ISBLANK(B752), "","Concept-751")</f>
        <v/>
      </c>
    </row>
    <row r="753" spans="1:1" x14ac:dyDescent="0.2">
      <c r="A753" t="str">
        <f>IF(ISBLANK(B753), "","Concept-752")</f>
        <v/>
      </c>
    </row>
    <row r="754" spans="1:1" x14ac:dyDescent="0.2">
      <c r="A754" t="str">
        <f>IF(ISBLANK(B754), "","Concept-753")</f>
        <v/>
      </c>
    </row>
    <row r="755" spans="1:1" x14ac:dyDescent="0.2">
      <c r="A755" t="str">
        <f>IF(ISBLANK(B755), "","Concept-754")</f>
        <v/>
      </c>
    </row>
    <row r="756" spans="1:1" x14ac:dyDescent="0.2">
      <c r="A756" t="str">
        <f>IF(ISBLANK(B756), "","Concept-755")</f>
        <v/>
      </c>
    </row>
    <row r="757" spans="1:1" x14ac:dyDescent="0.2">
      <c r="A757" t="str">
        <f>IF(ISBLANK(B757), "","Concept-756")</f>
        <v/>
      </c>
    </row>
    <row r="758" spans="1:1" x14ac:dyDescent="0.2">
      <c r="A758" t="str">
        <f>IF(ISBLANK(B758), "","Concept-757")</f>
        <v/>
      </c>
    </row>
    <row r="759" spans="1:1" x14ac:dyDescent="0.2">
      <c r="A759" t="str">
        <f>IF(ISBLANK(B759), "","Concept-758")</f>
        <v/>
      </c>
    </row>
    <row r="760" spans="1:1" x14ac:dyDescent="0.2">
      <c r="A760" t="str">
        <f>IF(ISBLANK(B760), "","Concept-759")</f>
        <v/>
      </c>
    </row>
    <row r="761" spans="1:1" x14ac:dyDescent="0.2">
      <c r="A761" t="str">
        <f>IF(ISBLANK(B761), "","Concept-760")</f>
        <v/>
      </c>
    </row>
    <row r="762" spans="1:1" x14ac:dyDescent="0.2">
      <c r="A762" t="str">
        <f>IF(ISBLANK(B762), "","Concept-761")</f>
        <v/>
      </c>
    </row>
    <row r="763" spans="1:1" x14ac:dyDescent="0.2">
      <c r="A763" t="str">
        <f>IF(ISBLANK(B763), "","Concept-762")</f>
        <v/>
      </c>
    </row>
    <row r="764" spans="1:1" x14ac:dyDescent="0.2">
      <c r="A764" t="str">
        <f>IF(ISBLANK(B764), "","Concept-763")</f>
        <v/>
      </c>
    </row>
    <row r="765" spans="1:1" x14ac:dyDescent="0.2">
      <c r="A765" t="str">
        <f>IF(ISBLANK(B765), "","Concept-764")</f>
        <v/>
      </c>
    </row>
    <row r="766" spans="1:1" x14ac:dyDescent="0.2">
      <c r="A766" t="str">
        <f>IF(ISBLANK(B766), "","Concept-765")</f>
        <v/>
      </c>
    </row>
    <row r="767" spans="1:1" x14ac:dyDescent="0.2">
      <c r="A767" t="str">
        <f>IF(ISBLANK(B767), "","Concept-766")</f>
        <v/>
      </c>
    </row>
    <row r="768" spans="1:1" x14ac:dyDescent="0.2">
      <c r="A768" t="str">
        <f>IF(ISBLANK(B768), "","Concept-767")</f>
        <v/>
      </c>
    </row>
    <row r="769" spans="1:1" x14ac:dyDescent="0.2">
      <c r="A769" t="str">
        <f>IF(ISBLANK(B769), "","Concept-768")</f>
        <v/>
      </c>
    </row>
    <row r="770" spans="1:1" x14ac:dyDescent="0.2">
      <c r="A770" t="str">
        <f>IF(ISBLANK(B770), "","Concept-769")</f>
        <v/>
      </c>
    </row>
    <row r="771" spans="1:1" x14ac:dyDescent="0.2">
      <c r="A771" t="str">
        <f>IF(ISBLANK(B771), "","Concept-770")</f>
        <v/>
      </c>
    </row>
    <row r="772" spans="1:1" x14ac:dyDescent="0.2">
      <c r="A772" t="str">
        <f>IF(ISBLANK(B772), "","Concept-771")</f>
        <v/>
      </c>
    </row>
    <row r="773" spans="1:1" x14ac:dyDescent="0.2">
      <c r="A773" t="str">
        <f>IF(ISBLANK(B773), "","Concept-772")</f>
        <v/>
      </c>
    </row>
    <row r="774" spans="1:1" x14ac:dyDescent="0.2">
      <c r="A774" t="str">
        <f>IF(ISBLANK(B774), "","Concept-773")</f>
        <v/>
      </c>
    </row>
    <row r="775" spans="1:1" x14ac:dyDescent="0.2">
      <c r="A775" t="str">
        <f>IF(ISBLANK(B775), "","Concept-774")</f>
        <v/>
      </c>
    </row>
    <row r="776" spans="1:1" x14ac:dyDescent="0.2">
      <c r="A776" t="str">
        <f>IF(ISBLANK(B776), "","Concept-775")</f>
        <v/>
      </c>
    </row>
    <row r="777" spans="1:1" x14ac:dyDescent="0.2">
      <c r="A777" t="str">
        <f>IF(ISBLANK(B777), "","Concept-776")</f>
        <v/>
      </c>
    </row>
    <row r="778" spans="1:1" x14ac:dyDescent="0.2">
      <c r="A778" t="str">
        <f>IF(ISBLANK(B778), "","Concept-777")</f>
        <v/>
      </c>
    </row>
    <row r="779" spans="1:1" x14ac:dyDescent="0.2">
      <c r="A779" t="str">
        <f>IF(ISBLANK(B779), "","Concept-778")</f>
        <v/>
      </c>
    </row>
    <row r="780" spans="1:1" x14ac:dyDescent="0.2">
      <c r="A780" t="str">
        <f>IF(ISBLANK(B780), "","Concept-779")</f>
        <v/>
      </c>
    </row>
    <row r="781" spans="1:1" x14ac:dyDescent="0.2">
      <c r="A781" t="str">
        <f>IF(ISBLANK(B781), "","Concept-780")</f>
        <v/>
      </c>
    </row>
    <row r="782" spans="1:1" x14ac:dyDescent="0.2">
      <c r="A782" t="str">
        <f>IF(ISBLANK(B782), "","Concept-781")</f>
        <v/>
      </c>
    </row>
    <row r="783" spans="1:1" x14ac:dyDescent="0.2">
      <c r="A783" t="str">
        <f>IF(ISBLANK(B783), "","Concept-782")</f>
        <v/>
      </c>
    </row>
    <row r="784" spans="1:1" x14ac:dyDescent="0.2">
      <c r="A784" t="str">
        <f>IF(ISBLANK(B784), "","Concept-783")</f>
        <v/>
      </c>
    </row>
    <row r="785" spans="1:1" x14ac:dyDescent="0.2">
      <c r="A785" t="str">
        <f>IF(ISBLANK(B785), "","Concept-784")</f>
        <v/>
      </c>
    </row>
    <row r="786" spans="1:1" x14ac:dyDescent="0.2">
      <c r="A786" t="str">
        <f>IF(ISBLANK(B786), "","Concept-785")</f>
        <v/>
      </c>
    </row>
    <row r="787" spans="1:1" x14ac:dyDescent="0.2">
      <c r="A787" t="str">
        <f>IF(ISBLANK(B787), "","Concept-786")</f>
        <v/>
      </c>
    </row>
    <row r="788" spans="1:1" x14ac:dyDescent="0.2">
      <c r="A788" t="str">
        <f>IF(ISBLANK(B788), "","Concept-787")</f>
        <v/>
      </c>
    </row>
    <row r="789" spans="1:1" x14ac:dyDescent="0.2">
      <c r="A789" t="str">
        <f>IF(ISBLANK(B789), "","Concept-788")</f>
        <v/>
      </c>
    </row>
    <row r="790" spans="1:1" x14ac:dyDescent="0.2">
      <c r="A790" t="str">
        <f>IF(ISBLANK(B790), "","Concept-789")</f>
        <v/>
      </c>
    </row>
    <row r="791" spans="1:1" x14ac:dyDescent="0.2">
      <c r="A791" t="str">
        <f>IF(ISBLANK(B791), "","Concept-790")</f>
        <v/>
      </c>
    </row>
    <row r="792" spans="1:1" x14ac:dyDescent="0.2">
      <c r="A792" t="str">
        <f>IF(ISBLANK(B792), "","Concept-791")</f>
        <v/>
      </c>
    </row>
    <row r="793" spans="1:1" x14ac:dyDescent="0.2">
      <c r="A793" t="str">
        <f>IF(ISBLANK(B793), "","Concept-792")</f>
        <v/>
      </c>
    </row>
    <row r="794" spans="1:1" x14ac:dyDescent="0.2">
      <c r="A794" t="str">
        <f>IF(ISBLANK(B794), "","Concept-793")</f>
        <v/>
      </c>
    </row>
    <row r="795" spans="1:1" x14ac:dyDescent="0.2">
      <c r="A795" t="str">
        <f>IF(ISBLANK(B795), "","Concept-794")</f>
        <v/>
      </c>
    </row>
    <row r="796" spans="1:1" x14ac:dyDescent="0.2">
      <c r="A796" t="str">
        <f>IF(ISBLANK(B796), "","Concept-795")</f>
        <v/>
      </c>
    </row>
    <row r="797" spans="1:1" x14ac:dyDescent="0.2">
      <c r="A797" t="str">
        <f>IF(ISBLANK(B797), "","Concept-796")</f>
        <v/>
      </c>
    </row>
    <row r="798" spans="1:1" x14ac:dyDescent="0.2">
      <c r="A798" t="str">
        <f>IF(ISBLANK(B798), "","Concept-797")</f>
        <v/>
      </c>
    </row>
    <row r="799" spans="1:1" x14ac:dyDescent="0.2">
      <c r="A799" t="str">
        <f>IF(ISBLANK(B799), "","Concept-798")</f>
        <v/>
      </c>
    </row>
    <row r="800" spans="1:1" x14ac:dyDescent="0.2">
      <c r="A800" t="str">
        <f>IF(ISBLANK(B800), "","Concept-799")</f>
        <v/>
      </c>
    </row>
    <row r="801" spans="1:1" x14ac:dyDescent="0.2">
      <c r="A801" t="str">
        <f>IF(ISBLANK(B801), "","Concept-800")</f>
        <v/>
      </c>
    </row>
    <row r="802" spans="1:1" x14ac:dyDescent="0.2">
      <c r="A802" t="str">
        <f>IF(ISBLANK(B802), "","Concept-801")</f>
        <v/>
      </c>
    </row>
    <row r="803" spans="1:1" x14ac:dyDescent="0.2">
      <c r="A803" t="str">
        <f>IF(ISBLANK(B803), "","Concept-802")</f>
        <v/>
      </c>
    </row>
    <row r="804" spans="1:1" x14ac:dyDescent="0.2">
      <c r="A804" t="str">
        <f>IF(ISBLANK(B804), "","Concept-803")</f>
        <v/>
      </c>
    </row>
    <row r="805" spans="1:1" x14ac:dyDescent="0.2">
      <c r="A805" t="str">
        <f>IF(ISBLANK(B805), "","Concept-804")</f>
        <v/>
      </c>
    </row>
    <row r="806" spans="1:1" x14ac:dyDescent="0.2">
      <c r="A806" t="str">
        <f>IF(ISBLANK(B806), "","Concept-805")</f>
        <v/>
      </c>
    </row>
    <row r="807" spans="1:1" x14ac:dyDescent="0.2">
      <c r="A807" t="str">
        <f>IF(ISBLANK(B807), "","Concept-806")</f>
        <v/>
      </c>
    </row>
    <row r="808" spans="1:1" x14ac:dyDescent="0.2">
      <c r="A808" t="str">
        <f>IF(ISBLANK(B808), "","Concept-807")</f>
        <v/>
      </c>
    </row>
    <row r="809" spans="1:1" x14ac:dyDescent="0.2">
      <c r="A809" t="str">
        <f>IF(ISBLANK(B809), "","Concept-808")</f>
        <v/>
      </c>
    </row>
    <row r="810" spans="1:1" x14ac:dyDescent="0.2">
      <c r="A810" t="str">
        <f>IF(ISBLANK(B810), "","Concept-809")</f>
        <v/>
      </c>
    </row>
    <row r="811" spans="1:1" x14ac:dyDescent="0.2">
      <c r="A811" t="str">
        <f>IF(ISBLANK(B811), "","Concept-810")</f>
        <v/>
      </c>
    </row>
    <row r="812" spans="1:1" x14ac:dyDescent="0.2">
      <c r="A812" t="str">
        <f>IF(ISBLANK(B812), "","Concept-811")</f>
        <v/>
      </c>
    </row>
    <row r="813" spans="1:1" x14ac:dyDescent="0.2">
      <c r="A813" t="str">
        <f>IF(ISBLANK(B813), "","Concept-812")</f>
        <v/>
      </c>
    </row>
    <row r="814" spans="1:1" x14ac:dyDescent="0.2">
      <c r="A814" t="str">
        <f>IF(ISBLANK(B814), "","Concept-813")</f>
        <v/>
      </c>
    </row>
    <row r="815" spans="1:1" x14ac:dyDescent="0.2">
      <c r="A815" t="str">
        <f>IF(ISBLANK(B815), "","Concept-814")</f>
        <v/>
      </c>
    </row>
    <row r="816" spans="1:1" x14ac:dyDescent="0.2">
      <c r="A816" t="str">
        <f>IF(ISBLANK(B816), "","Concept-815")</f>
        <v/>
      </c>
    </row>
    <row r="817" spans="1:1" x14ac:dyDescent="0.2">
      <c r="A817" t="str">
        <f>IF(ISBLANK(B817), "","Concept-816")</f>
        <v/>
      </c>
    </row>
    <row r="818" spans="1:1" x14ac:dyDescent="0.2">
      <c r="A818" t="str">
        <f>IF(ISBLANK(B818), "","Concept-817")</f>
        <v/>
      </c>
    </row>
    <row r="819" spans="1:1" x14ac:dyDescent="0.2">
      <c r="A819" t="str">
        <f>IF(ISBLANK(B819), "","Concept-818")</f>
        <v/>
      </c>
    </row>
    <row r="820" spans="1:1" x14ac:dyDescent="0.2">
      <c r="A820" t="str">
        <f>IF(ISBLANK(B820), "","Concept-819")</f>
        <v/>
      </c>
    </row>
    <row r="821" spans="1:1" x14ac:dyDescent="0.2">
      <c r="A821" t="str">
        <f>IF(ISBLANK(B821), "","Concept-820")</f>
        <v/>
      </c>
    </row>
    <row r="822" spans="1:1" x14ac:dyDescent="0.2">
      <c r="A822" t="str">
        <f>IF(ISBLANK(B822), "","Concept-821")</f>
        <v/>
      </c>
    </row>
    <row r="823" spans="1:1" x14ac:dyDescent="0.2">
      <c r="A823" t="str">
        <f>IF(ISBLANK(B823), "","Concept-822")</f>
        <v/>
      </c>
    </row>
    <row r="824" spans="1:1" x14ac:dyDescent="0.2">
      <c r="A824" t="str">
        <f>IF(ISBLANK(B824), "","Concept-823")</f>
        <v/>
      </c>
    </row>
    <row r="825" spans="1:1" x14ac:dyDescent="0.2">
      <c r="A825" t="str">
        <f>IF(ISBLANK(B825), "","Concept-824")</f>
        <v/>
      </c>
    </row>
    <row r="826" spans="1:1" x14ac:dyDescent="0.2">
      <c r="A826" t="str">
        <f>IF(ISBLANK(B826), "","Concept-825")</f>
        <v/>
      </c>
    </row>
    <row r="827" spans="1:1" x14ac:dyDescent="0.2">
      <c r="A827" t="str">
        <f>IF(ISBLANK(B827), "","Concept-826")</f>
        <v/>
      </c>
    </row>
    <row r="828" spans="1:1" x14ac:dyDescent="0.2">
      <c r="A828" t="str">
        <f>IF(ISBLANK(B828), "","Concept-827")</f>
        <v/>
      </c>
    </row>
    <row r="829" spans="1:1" x14ac:dyDescent="0.2">
      <c r="A829" t="str">
        <f>IF(ISBLANK(B829), "","Concept-828")</f>
        <v/>
      </c>
    </row>
    <row r="830" spans="1:1" x14ac:dyDescent="0.2">
      <c r="A830" t="str">
        <f>IF(ISBLANK(B830), "","Concept-829")</f>
        <v/>
      </c>
    </row>
    <row r="831" spans="1:1" x14ac:dyDescent="0.2">
      <c r="A831" t="str">
        <f>IF(ISBLANK(B831), "","Concept-830")</f>
        <v/>
      </c>
    </row>
    <row r="832" spans="1:1" x14ac:dyDescent="0.2">
      <c r="A832" t="str">
        <f>IF(ISBLANK(B832), "","Concept-831")</f>
        <v/>
      </c>
    </row>
    <row r="833" spans="1:1" x14ac:dyDescent="0.2">
      <c r="A833" t="str">
        <f>IF(ISBLANK(B833), "","Concept-832")</f>
        <v/>
      </c>
    </row>
    <row r="834" spans="1:1" x14ac:dyDescent="0.2">
      <c r="A834" t="str">
        <f>IF(ISBLANK(B834), "","Concept-833")</f>
        <v/>
      </c>
    </row>
    <row r="835" spans="1:1" x14ac:dyDescent="0.2">
      <c r="A835" t="str">
        <f>IF(ISBLANK(B835), "","Concept-834")</f>
        <v/>
      </c>
    </row>
    <row r="836" spans="1:1" x14ac:dyDescent="0.2">
      <c r="A836" t="str">
        <f>IF(ISBLANK(B836), "","Concept-835")</f>
        <v/>
      </c>
    </row>
    <row r="837" spans="1:1" x14ac:dyDescent="0.2">
      <c r="A837" t="str">
        <f>IF(ISBLANK(B837), "","Concept-836")</f>
        <v/>
      </c>
    </row>
    <row r="838" spans="1:1" x14ac:dyDescent="0.2">
      <c r="A838" t="str">
        <f>IF(ISBLANK(B838), "","Concept-837")</f>
        <v/>
      </c>
    </row>
    <row r="839" spans="1:1" x14ac:dyDescent="0.2">
      <c r="A839" t="str">
        <f>IF(ISBLANK(B839), "","Concept-838")</f>
        <v/>
      </c>
    </row>
    <row r="840" spans="1:1" x14ac:dyDescent="0.2">
      <c r="A840" t="str">
        <f>IF(ISBLANK(B840), "","Concept-839")</f>
        <v/>
      </c>
    </row>
    <row r="841" spans="1:1" x14ac:dyDescent="0.2">
      <c r="A841" t="str">
        <f>IF(ISBLANK(B841), "","Concept-840")</f>
        <v/>
      </c>
    </row>
    <row r="842" spans="1:1" x14ac:dyDescent="0.2">
      <c r="A842" t="str">
        <f>IF(ISBLANK(B842), "","Concept-841")</f>
        <v/>
      </c>
    </row>
    <row r="843" spans="1:1" x14ac:dyDescent="0.2">
      <c r="A843" t="str">
        <f>IF(ISBLANK(B843), "","Concept-842")</f>
        <v/>
      </c>
    </row>
    <row r="844" spans="1:1" x14ac:dyDescent="0.2">
      <c r="A844" t="str">
        <f>IF(ISBLANK(B844), "","Concept-843")</f>
        <v/>
      </c>
    </row>
    <row r="845" spans="1:1" x14ac:dyDescent="0.2">
      <c r="A845" t="str">
        <f>IF(ISBLANK(B845), "","Concept-844")</f>
        <v/>
      </c>
    </row>
    <row r="846" spans="1:1" x14ac:dyDescent="0.2">
      <c r="A846" t="str">
        <f>IF(ISBLANK(B846), "","Concept-845")</f>
        <v/>
      </c>
    </row>
    <row r="847" spans="1:1" x14ac:dyDescent="0.2">
      <c r="A847" t="str">
        <f>IF(ISBLANK(B847), "","Concept-846")</f>
        <v/>
      </c>
    </row>
    <row r="848" spans="1:1" x14ac:dyDescent="0.2">
      <c r="A848" t="str">
        <f>IF(ISBLANK(B848), "","Concept-847")</f>
        <v/>
      </c>
    </row>
    <row r="849" spans="1:1" x14ac:dyDescent="0.2">
      <c r="A849" t="str">
        <f>IF(ISBLANK(B849), "","Concept-848")</f>
        <v/>
      </c>
    </row>
    <row r="850" spans="1:1" x14ac:dyDescent="0.2">
      <c r="A850" t="str">
        <f>IF(ISBLANK(B850), "","Concept-849")</f>
        <v/>
      </c>
    </row>
    <row r="851" spans="1:1" x14ac:dyDescent="0.2">
      <c r="A851" t="str">
        <f>IF(ISBLANK(B851), "","Concept-850")</f>
        <v/>
      </c>
    </row>
    <row r="852" spans="1:1" x14ac:dyDescent="0.2">
      <c r="A852" t="str">
        <f>IF(ISBLANK(B852), "","Concept-851")</f>
        <v/>
      </c>
    </row>
    <row r="853" spans="1:1" x14ac:dyDescent="0.2">
      <c r="A853" t="str">
        <f>IF(ISBLANK(B853), "","Concept-852")</f>
        <v/>
      </c>
    </row>
    <row r="854" spans="1:1" x14ac:dyDescent="0.2">
      <c r="A854" t="str">
        <f>IF(ISBLANK(B854), "","Concept-853")</f>
        <v/>
      </c>
    </row>
    <row r="855" spans="1:1" x14ac:dyDescent="0.2">
      <c r="A855" t="str">
        <f>IF(ISBLANK(B855), "","Concept-854")</f>
        <v/>
      </c>
    </row>
    <row r="856" spans="1:1" x14ac:dyDescent="0.2">
      <c r="A856" t="str">
        <f>IF(ISBLANK(B856), "","Concept-855")</f>
        <v/>
      </c>
    </row>
    <row r="857" spans="1:1" x14ac:dyDescent="0.2">
      <c r="A857" t="str">
        <f>IF(ISBLANK(B857), "","Concept-856")</f>
        <v/>
      </c>
    </row>
    <row r="858" spans="1:1" x14ac:dyDescent="0.2">
      <c r="A858" t="str">
        <f>IF(ISBLANK(B858), "","Concept-857")</f>
        <v/>
      </c>
    </row>
    <row r="859" spans="1:1" x14ac:dyDescent="0.2">
      <c r="A859" t="str">
        <f>IF(ISBLANK(B859), "","Concept-858")</f>
        <v/>
      </c>
    </row>
    <row r="860" spans="1:1" x14ac:dyDescent="0.2">
      <c r="A860" t="str">
        <f>IF(ISBLANK(B860), "","Concept-859")</f>
        <v/>
      </c>
    </row>
    <row r="861" spans="1:1" x14ac:dyDescent="0.2">
      <c r="A861" t="str">
        <f>IF(ISBLANK(B861), "","Concept-860")</f>
        <v/>
      </c>
    </row>
    <row r="862" spans="1:1" x14ac:dyDescent="0.2">
      <c r="A862" t="str">
        <f>IF(ISBLANK(B862), "","Concept-861")</f>
        <v/>
      </c>
    </row>
    <row r="863" spans="1:1" x14ac:dyDescent="0.2">
      <c r="A863" t="str">
        <f>IF(ISBLANK(B863), "","Concept-862")</f>
        <v/>
      </c>
    </row>
    <row r="864" spans="1:1" x14ac:dyDescent="0.2">
      <c r="A864" t="str">
        <f>IF(ISBLANK(B864), "","Concept-863")</f>
        <v/>
      </c>
    </row>
    <row r="865" spans="1:1" x14ac:dyDescent="0.2">
      <c r="A865" t="str">
        <f>IF(ISBLANK(B865), "","Concept-864")</f>
        <v/>
      </c>
    </row>
    <row r="866" spans="1:1" x14ac:dyDescent="0.2">
      <c r="A866" t="str">
        <f>IF(ISBLANK(B866), "","Concept-865")</f>
        <v/>
      </c>
    </row>
    <row r="867" spans="1:1" x14ac:dyDescent="0.2">
      <c r="A867" t="str">
        <f>IF(ISBLANK(B867), "","Concept-866")</f>
        <v/>
      </c>
    </row>
    <row r="868" spans="1:1" x14ac:dyDescent="0.2">
      <c r="A868" t="str">
        <f>IF(ISBLANK(B868), "","Concept-867")</f>
        <v/>
      </c>
    </row>
    <row r="869" spans="1:1" x14ac:dyDescent="0.2">
      <c r="A869" t="str">
        <f>IF(ISBLANK(B869), "","Concept-868")</f>
        <v/>
      </c>
    </row>
    <row r="870" spans="1:1" x14ac:dyDescent="0.2">
      <c r="A870" t="str">
        <f>IF(ISBLANK(B870), "","Concept-869")</f>
        <v/>
      </c>
    </row>
    <row r="871" spans="1:1" x14ac:dyDescent="0.2">
      <c r="A871" t="str">
        <f>IF(ISBLANK(B871), "","Concept-870")</f>
        <v/>
      </c>
    </row>
    <row r="872" spans="1:1" x14ac:dyDescent="0.2">
      <c r="A872" t="str">
        <f>IF(ISBLANK(B872), "","Concept-871")</f>
        <v/>
      </c>
    </row>
    <row r="873" spans="1:1" x14ac:dyDescent="0.2">
      <c r="A873" t="str">
        <f>IF(ISBLANK(B873), "","Concept-872")</f>
        <v/>
      </c>
    </row>
    <row r="874" spans="1:1" x14ac:dyDescent="0.2">
      <c r="A874" t="str">
        <f>IF(ISBLANK(B874), "","Concept-873")</f>
        <v/>
      </c>
    </row>
    <row r="875" spans="1:1" x14ac:dyDescent="0.2">
      <c r="A875" t="str">
        <f>IF(ISBLANK(B875), "","Concept-874")</f>
        <v/>
      </c>
    </row>
    <row r="876" spans="1:1" x14ac:dyDescent="0.2">
      <c r="A876" t="str">
        <f>IF(ISBLANK(B876), "","Concept-875")</f>
        <v/>
      </c>
    </row>
    <row r="877" spans="1:1" x14ac:dyDescent="0.2">
      <c r="A877" t="str">
        <f>IF(ISBLANK(B877), "","Concept-876")</f>
        <v/>
      </c>
    </row>
    <row r="878" spans="1:1" x14ac:dyDescent="0.2">
      <c r="A878" t="str">
        <f>IF(ISBLANK(B878), "","Concept-877")</f>
        <v/>
      </c>
    </row>
    <row r="879" spans="1:1" x14ac:dyDescent="0.2">
      <c r="A879" t="str">
        <f>IF(ISBLANK(B879), "","Concept-878")</f>
        <v/>
      </c>
    </row>
    <row r="880" spans="1:1" x14ac:dyDescent="0.2">
      <c r="A880" t="str">
        <f>IF(ISBLANK(B880), "","Concept-879")</f>
        <v/>
      </c>
    </row>
    <row r="881" spans="1:1" x14ac:dyDescent="0.2">
      <c r="A881" t="str">
        <f>IF(ISBLANK(B881), "","Concept-880")</f>
        <v/>
      </c>
    </row>
    <row r="882" spans="1:1" x14ac:dyDescent="0.2">
      <c r="A882" t="str">
        <f>IF(ISBLANK(B882), "","Concept-881")</f>
        <v/>
      </c>
    </row>
    <row r="883" spans="1:1" x14ac:dyDescent="0.2">
      <c r="A883" t="str">
        <f>IF(ISBLANK(B883), "","Concept-882")</f>
        <v/>
      </c>
    </row>
    <row r="884" spans="1:1" x14ac:dyDescent="0.2">
      <c r="A884" t="str">
        <f>IF(ISBLANK(B884), "","Concept-883")</f>
        <v/>
      </c>
    </row>
    <row r="885" spans="1:1" x14ac:dyDescent="0.2">
      <c r="A885" t="str">
        <f>IF(ISBLANK(B885), "","Concept-884")</f>
        <v/>
      </c>
    </row>
    <row r="886" spans="1:1" x14ac:dyDescent="0.2">
      <c r="A886" t="str">
        <f>IF(ISBLANK(B886), "","Concept-885")</f>
        <v/>
      </c>
    </row>
    <row r="887" spans="1:1" x14ac:dyDescent="0.2">
      <c r="A887" t="str">
        <f>IF(ISBLANK(B887), "","Concept-886")</f>
        <v/>
      </c>
    </row>
    <row r="888" spans="1:1" x14ac:dyDescent="0.2">
      <c r="A888" t="str">
        <f>IF(ISBLANK(B888), "","Concept-887")</f>
        <v/>
      </c>
    </row>
    <row r="889" spans="1:1" x14ac:dyDescent="0.2">
      <c r="A889" t="str">
        <f>IF(ISBLANK(B889), "","Concept-888")</f>
        <v/>
      </c>
    </row>
    <row r="890" spans="1:1" x14ac:dyDescent="0.2">
      <c r="A890" t="str">
        <f>IF(ISBLANK(B890), "","Concept-889")</f>
        <v/>
      </c>
    </row>
    <row r="891" spans="1:1" x14ac:dyDescent="0.2">
      <c r="A891" t="str">
        <f>IF(ISBLANK(B891), "","Concept-890")</f>
        <v/>
      </c>
    </row>
    <row r="892" spans="1:1" x14ac:dyDescent="0.2">
      <c r="A892" t="str">
        <f>IF(ISBLANK(B892), "","Concept-891")</f>
        <v/>
      </c>
    </row>
    <row r="893" spans="1:1" x14ac:dyDescent="0.2">
      <c r="A893" t="str">
        <f>IF(ISBLANK(B893), "","Concept-892")</f>
        <v/>
      </c>
    </row>
    <row r="894" spans="1:1" x14ac:dyDescent="0.2">
      <c r="A894" t="str">
        <f>IF(ISBLANK(B894), "","Concept-893")</f>
        <v/>
      </c>
    </row>
    <row r="895" spans="1:1" x14ac:dyDescent="0.2">
      <c r="A895" t="str">
        <f>IF(ISBLANK(B895), "","Concept-894")</f>
        <v/>
      </c>
    </row>
    <row r="896" spans="1:1" x14ac:dyDescent="0.2">
      <c r="A896" t="str">
        <f>IF(ISBLANK(B896), "","Concept-895")</f>
        <v/>
      </c>
    </row>
    <row r="897" spans="1:1" x14ac:dyDescent="0.2">
      <c r="A897" t="str">
        <f>IF(ISBLANK(B897), "","Concept-896")</f>
        <v/>
      </c>
    </row>
    <row r="898" spans="1:1" x14ac:dyDescent="0.2">
      <c r="A898" t="str">
        <f>IF(ISBLANK(B898), "","Concept-897")</f>
        <v/>
      </c>
    </row>
    <row r="899" spans="1:1" x14ac:dyDescent="0.2">
      <c r="A899" t="str">
        <f>IF(ISBLANK(B899), "","Concept-898")</f>
        <v/>
      </c>
    </row>
    <row r="900" spans="1:1" x14ac:dyDescent="0.2">
      <c r="A900" t="str">
        <f>IF(ISBLANK(B900), "","Concept-899")</f>
        <v/>
      </c>
    </row>
    <row r="901" spans="1:1" x14ac:dyDescent="0.2">
      <c r="A901" t="str">
        <f>IF(ISBLANK(B901), "","Concept-900")</f>
        <v/>
      </c>
    </row>
    <row r="902" spans="1:1" x14ac:dyDescent="0.2">
      <c r="A902" t="str">
        <f>IF(ISBLANK(B902), "","Concept-901")</f>
        <v/>
      </c>
    </row>
    <row r="903" spans="1:1" x14ac:dyDescent="0.2">
      <c r="A903" t="str">
        <f>IF(ISBLANK(B903), "","Concept-902")</f>
        <v/>
      </c>
    </row>
    <row r="904" spans="1:1" x14ac:dyDescent="0.2">
      <c r="A904" t="str">
        <f>IF(ISBLANK(B904), "","Concept-903")</f>
        <v/>
      </c>
    </row>
    <row r="905" spans="1:1" x14ac:dyDescent="0.2">
      <c r="A905" t="str">
        <f>IF(ISBLANK(B905), "","Concept-904")</f>
        <v/>
      </c>
    </row>
    <row r="906" spans="1:1" x14ac:dyDescent="0.2">
      <c r="A906" t="str">
        <f>IF(ISBLANK(B906), "","Concept-905")</f>
        <v/>
      </c>
    </row>
    <row r="907" spans="1:1" x14ac:dyDescent="0.2">
      <c r="A907" t="str">
        <f>IF(ISBLANK(B907), "","Concept-906")</f>
        <v/>
      </c>
    </row>
    <row r="908" spans="1:1" x14ac:dyDescent="0.2">
      <c r="A908" t="str">
        <f>IF(ISBLANK(B908), "","Concept-907")</f>
        <v/>
      </c>
    </row>
    <row r="909" spans="1:1" x14ac:dyDescent="0.2">
      <c r="A909" t="str">
        <f>IF(ISBLANK(B909), "","Concept-908")</f>
        <v/>
      </c>
    </row>
    <row r="910" spans="1:1" x14ac:dyDescent="0.2">
      <c r="A910" t="str">
        <f>IF(ISBLANK(B910), "","Concept-909")</f>
        <v/>
      </c>
    </row>
    <row r="911" spans="1:1" x14ac:dyDescent="0.2">
      <c r="A911" t="str">
        <f>IF(ISBLANK(B911), "","Concept-910")</f>
        <v/>
      </c>
    </row>
    <row r="912" spans="1:1" x14ac:dyDescent="0.2">
      <c r="A912" t="str">
        <f>IF(ISBLANK(B912), "","Concept-911")</f>
        <v/>
      </c>
    </row>
    <row r="913" spans="1:1" x14ac:dyDescent="0.2">
      <c r="A913" t="str">
        <f>IF(ISBLANK(B913), "","Concept-912")</f>
        <v/>
      </c>
    </row>
    <row r="914" spans="1:1" x14ac:dyDescent="0.2">
      <c r="A914" t="str">
        <f>IF(ISBLANK(B914), "","Concept-913")</f>
        <v/>
      </c>
    </row>
    <row r="915" spans="1:1" x14ac:dyDescent="0.2">
      <c r="A915" t="str">
        <f>IF(ISBLANK(B915), "","Concept-914")</f>
        <v/>
      </c>
    </row>
    <row r="916" spans="1:1" x14ac:dyDescent="0.2">
      <c r="A916" t="str">
        <f>IF(ISBLANK(B916), "","Concept-915")</f>
        <v/>
      </c>
    </row>
    <row r="917" spans="1:1" x14ac:dyDescent="0.2">
      <c r="A917" t="str">
        <f>IF(ISBLANK(B917), "","Concept-916")</f>
        <v/>
      </c>
    </row>
    <row r="918" spans="1:1" x14ac:dyDescent="0.2">
      <c r="A918" t="str">
        <f>IF(ISBLANK(B918), "","Concept-917")</f>
        <v/>
      </c>
    </row>
    <row r="919" spans="1:1" x14ac:dyDescent="0.2">
      <c r="A919" t="str">
        <f>IF(ISBLANK(B919), "","Concept-918")</f>
        <v/>
      </c>
    </row>
    <row r="920" spans="1:1" x14ac:dyDescent="0.2">
      <c r="A920" t="str">
        <f>IF(ISBLANK(B920), "","Concept-919")</f>
        <v/>
      </c>
    </row>
    <row r="921" spans="1:1" x14ac:dyDescent="0.2">
      <c r="A921" t="str">
        <f>IF(ISBLANK(B921), "","Concept-920")</f>
        <v/>
      </c>
    </row>
    <row r="922" spans="1:1" x14ac:dyDescent="0.2">
      <c r="A922" t="str">
        <f>IF(ISBLANK(B922), "","Concept-921")</f>
        <v/>
      </c>
    </row>
    <row r="923" spans="1:1" x14ac:dyDescent="0.2">
      <c r="A923" t="str">
        <f>IF(ISBLANK(B923), "","Concept-922")</f>
        <v/>
      </c>
    </row>
    <row r="924" spans="1:1" x14ac:dyDescent="0.2">
      <c r="A924" t="str">
        <f>IF(ISBLANK(B924), "","Concept-923")</f>
        <v/>
      </c>
    </row>
    <row r="925" spans="1:1" x14ac:dyDescent="0.2">
      <c r="A925" t="str">
        <f>IF(ISBLANK(B925), "","Concept-924")</f>
        <v/>
      </c>
    </row>
    <row r="926" spans="1:1" x14ac:dyDescent="0.2">
      <c r="A926" t="str">
        <f>IF(ISBLANK(B926), "","Concept-925")</f>
        <v/>
      </c>
    </row>
    <row r="927" spans="1:1" x14ac:dyDescent="0.2">
      <c r="A927" t="str">
        <f>IF(ISBLANK(B927), "","Concept-926")</f>
        <v/>
      </c>
    </row>
    <row r="928" spans="1:1" x14ac:dyDescent="0.2">
      <c r="A928" t="str">
        <f>IF(ISBLANK(B928), "","Concept-927")</f>
        <v/>
      </c>
    </row>
    <row r="929" spans="1:1" x14ac:dyDescent="0.2">
      <c r="A929" t="str">
        <f>IF(ISBLANK(B929), "","Concept-928")</f>
        <v/>
      </c>
    </row>
    <row r="930" spans="1:1" x14ac:dyDescent="0.2">
      <c r="A930" t="str">
        <f>IF(ISBLANK(B930), "","Concept-929")</f>
        <v/>
      </c>
    </row>
    <row r="931" spans="1:1" x14ac:dyDescent="0.2">
      <c r="A931" t="str">
        <f>IF(ISBLANK(B931), "","Concept-930")</f>
        <v/>
      </c>
    </row>
    <row r="932" spans="1:1" x14ac:dyDescent="0.2">
      <c r="A932" t="str">
        <f>IF(ISBLANK(B932), "","Concept-931")</f>
        <v/>
      </c>
    </row>
    <row r="933" spans="1:1" x14ac:dyDescent="0.2">
      <c r="A933" t="str">
        <f>IF(ISBLANK(B933), "","Concept-932")</f>
        <v/>
      </c>
    </row>
    <row r="934" spans="1:1" x14ac:dyDescent="0.2">
      <c r="A934" t="str">
        <f>IF(ISBLANK(B934), "","Concept-933")</f>
        <v/>
      </c>
    </row>
    <row r="935" spans="1:1" x14ac:dyDescent="0.2">
      <c r="A935" t="str">
        <f>IF(ISBLANK(B935), "","Concept-934")</f>
        <v/>
      </c>
    </row>
    <row r="936" spans="1:1" x14ac:dyDescent="0.2">
      <c r="A936" t="str">
        <f>IF(ISBLANK(B936), "","Concept-935")</f>
        <v/>
      </c>
    </row>
    <row r="937" spans="1:1" x14ac:dyDescent="0.2">
      <c r="A937" t="str">
        <f>IF(ISBLANK(B937), "","Concept-936")</f>
        <v/>
      </c>
    </row>
    <row r="938" spans="1:1" x14ac:dyDescent="0.2">
      <c r="A938" t="str">
        <f>IF(ISBLANK(B938), "","Concept-937")</f>
        <v/>
      </c>
    </row>
    <row r="939" spans="1:1" x14ac:dyDescent="0.2">
      <c r="A939" t="str">
        <f>IF(ISBLANK(B939), "","Concept-938")</f>
        <v/>
      </c>
    </row>
    <row r="940" spans="1:1" x14ac:dyDescent="0.2">
      <c r="A940" t="str">
        <f>IF(ISBLANK(B940), "","Concept-939")</f>
        <v/>
      </c>
    </row>
    <row r="941" spans="1:1" x14ac:dyDescent="0.2">
      <c r="A941" t="str">
        <f>IF(ISBLANK(B941), "","Concept-940")</f>
        <v/>
      </c>
    </row>
    <row r="942" spans="1:1" x14ac:dyDescent="0.2">
      <c r="A942" t="str">
        <f>IF(ISBLANK(B942), "","Concept-941")</f>
        <v/>
      </c>
    </row>
    <row r="943" spans="1:1" x14ac:dyDescent="0.2">
      <c r="A943" t="str">
        <f>IF(ISBLANK(B943), "","Concept-942")</f>
        <v/>
      </c>
    </row>
    <row r="944" spans="1:1" x14ac:dyDescent="0.2">
      <c r="A944" t="str">
        <f>IF(ISBLANK(B944), "","Concept-943")</f>
        <v/>
      </c>
    </row>
    <row r="945" spans="1:1" x14ac:dyDescent="0.2">
      <c r="A945" t="str">
        <f>IF(ISBLANK(B945), "","Concept-944")</f>
        <v/>
      </c>
    </row>
    <row r="946" spans="1:1" x14ac:dyDescent="0.2">
      <c r="A946" t="str">
        <f>IF(ISBLANK(B946), "","Concept-945")</f>
        <v/>
      </c>
    </row>
    <row r="947" spans="1:1" x14ac:dyDescent="0.2">
      <c r="A947" t="str">
        <f>IF(ISBLANK(B947), "","Concept-946")</f>
        <v/>
      </c>
    </row>
    <row r="948" spans="1:1" x14ac:dyDescent="0.2">
      <c r="A948" t="str">
        <f>IF(ISBLANK(B948), "","Concept-947")</f>
        <v/>
      </c>
    </row>
    <row r="949" spans="1:1" x14ac:dyDescent="0.2">
      <c r="A949" t="str">
        <f>IF(ISBLANK(B949), "","Concept-948")</f>
        <v/>
      </c>
    </row>
    <row r="950" spans="1:1" x14ac:dyDescent="0.2">
      <c r="A950" t="str">
        <f>IF(ISBLANK(B950), "","Concept-949")</f>
        <v/>
      </c>
    </row>
    <row r="951" spans="1:1" x14ac:dyDescent="0.2">
      <c r="A951" t="str">
        <f>IF(ISBLANK(B951), "","Concept-950")</f>
        <v/>
      </c>
    </row>
    <row r="952" spans="1:1" x14ac:dyDescent="0.2">
      <c r="A952" t="str">
        <f>IF(ISBLANK(B952), "","Concept-951")</f>
        <v/>
      </c>
    </row>
    <row r="953" spans="1:1" x14ac:dyDescent="0.2">
      <c r="A953" t="str">
        <f>IF(ISBLANK(B953), "","Concept-952")</f>
        <v/>
      </c>
    </row>
    <row r="954" spans="1:1" x14ac:dyDescent="0.2">
      <c r="A954" t="str">
        <f>IF(ISBLANK(B954), "","Concept-953")</f>
        <v/>
      </c>
    </row>
    <row r="955" spans="1:1" x14ac:dyDescent="0.2">
      <c r="A955" t="str">
        <f>IF(ISBLANK(B955), "","Concept-954")</f>
        <v/>
      </c>
    </row>
    <row r="956" spans="1:1" x14ac:dyDescent="0.2">
      <c r="A956" t="str">
        <f>IF(ISBLANK(B956), "","Concept-955")</f>
        <v/>
      </c>
    </row>
    <row r="957" spans="1:1" x14ac:dyDescent="0.2">
      <c r="A957" t="str">
        <f>IF(ISBLANK(B957), "","Concept-956")</f>
        <v/>
      </c>
    </row>
    <row r="958" spans="1:1" x14ac:dyDescent="0.2">
      <c r="A958" t="str">
        <f>IF(ISBLANK(B958), "","Concept-957")</f>
        <v/>
      </c>
    </row>
    <row r="959" spans="1:1" x14ac:dyDescent="0.2">
      <c r="A959" t="str">
        <f>IF(ISBLANK(B959), "","Concept-958")</f>
        <v/>
      </c>
    </row>
    <row r="960" spans="1:1" x14ac:dyDescent="0.2">
      <c r="A960" t="str">
        <f>IF(ISBLANK(B960), "","Concept-959")</f>
        <v/>
      </c>
    </row>
    <row r="961" spans="1:1" x14ac:dyDescent="0.2">
      <c r="A961" t="str">
        <f>IF(ISBLANK(B961), "","Concept-960")</f>
        <v/>
      </c>
    </row>
    <row r="962" spans="1:1" x14ac:dyDescent="0.2">
      <c r="A962" t="str">
        <f>IF(ISBLANK(B962), "","Concept-961")</f>
        <v/>
      </c>
    </row>
    <row r="963" spans="1:1" x14ac:dyDescent="0.2">
      <c r="A963" t="str">
        <f>IF(ISBLANK(B963), "","Concept-962")</f>
        <v/>
      </c>
    </row>
    <row r="964" spans="1:1" x14ac:dyDescent="0.2">
      <c r="A964" t="str">
        <f>IF(ISBLANK(B964), "","Concept-963")</f>
        <v/>
      </c>
    </row>
    <row r="965" spans="1:1" x14ac:dyDescent="0.2">
      <c r="A965" t="str">
        <f>IF(ISBLANK(B965), "","Concept-964")</f>
        <v/>
      </c>
    </row>
    <row r="966" spans="1:1" x14ac:dyDescent="0.2">
      <c r="A966" t="str">
        <f>IF(ISBLANK(B966), "","Concept-965")</f>
        <v/>
      </c>
    </row>
    <row r="967" spans="1:1" x14ac:dyDescent="0.2">
      <c r="A967" t="str">
        <f>IF(ISBLANK(B967), "","Concept-966")</f>
        <v/>
      </c>
    </row>
    <row r="968" spans="1:1" x14ac:dyDescent="0.2">
      <c r="A968" t="str">
        <f>IF(ISBLANK(B968), "","Concept-967")</f>
        <v/>
      </c>
    </row>
    <row r="969" spans="1:1" x14ac:dyDescent="0.2">
      <c r="A969" t="str">
        <f>IF(ISBLANK(B969), "","Concept-968")</f>
        <v/>
      </c>
    </row>
    <row r="970" spans="1:1" x14ac:dyDescent="0.2">
      <c r="A970" t="str">
        <f>IF(ISBLANK(B970), "","Concept-969")</f>
        <v/>
      </c>
    </row>
    <row r="971" spans="1:1" x14ac:dyDescent="0.2">
      <c r="A971" t="str">
        <f>IF(ISBLANK(B971), "","Concept-970")</f>
        <v/>
      </c>
    </row>
    <row r="972" spans="1:1" x14ac:dyDescent="0.2">
      <c r="A972" t="str">
        <f>IF(ISBLANK(B972), "","Concept-971")</f>
        <v/>
      </c>
    </row>
    <row r="973" spans="1:1" x14ac:dyDescent="0.2">
      <c r="A973" t="str">
        <f>IF(ISBLANK(B973), "","Concept-972")</f>
        <v/>
      </c>
    </row>
    <row r="974" spans="1:1" x14ac:dyDescent="0.2">
      <c r="A974" t="str">
        <f>IF(ISBLANK(B974), "","Concept-973")</f>
        <v/>
      </c>
    </row>
    <row r="975" spans="1:1" x14ac:dyDescent="0.2">
      <c r="A975" t="str">
        <f>IF(ISBLANK(B975), "","Concept-974")</f>
        <v/>
      </c>
    </row>
    <row r="976" spans="1:1" x14ac:dyDescent="0.2">
      <c r="A976" t="str">
        <f>IF(ISBLANK(B976), "","Concept-975")</f>
        <v/>
      </c>
    </row>
    <row r="977" spans="1:1" x14ac:dyDescent="0.2">
      <c r="A977" t="str">
        <f>IF(ISBLANK(B977), "","Concept-976")</f>
        <v/>
      </c>
    </row>
    <row r="978" spans="1:1" x14ac:dyDescent="0.2">
      <c r="A978" t="str">
        <f>IF(ISBLANK(B978), "","Concept-977")</f>
        <v/>
      </c>
    </row>
    <row r="979" spans="1:1" x14ac:dyDescent="0.2">
      <c r="A979" t="str">
        <f>IF(ISBLANK(B979), "","Concept-978")</f>
        <v/>
      </c>
    </row>
    <row r="980" spans="1:1" x14ac:dyDescent="0.2">
      <c r="A980" t="str">
        <f>IF(ISBLANK(B980), "","Concept-979")</f>
        <v/>
      </c>
    </row>
    <row r="981" spans="1:1" x14ac:dyDescent="0.2">
      <c r="A981" t="str">
        <f>IF(ISBLANK(B981), "","Concept-980")</f>
        <v/>
      </c>
    </row>
    <row r="982" spans="1:1" x14ac:dyDescent="0.2">
      <c r="A982" t="str">
        <f>IF(ISBLANK(B982), "","Concept-981")</f>
        <v/>
      </c>
    </row>
    <row r="983" spans="1:1" x14ac:dyDescent="0.2">
      <c r="A983" t="str">
        <f>IF(ISBLANK(B983), "","Concept-982")</f>
        <v/>
      </c>
    </row>
    <row r="984" spans="1:1" x14ac:dyDescent="0.2">
      <c r="A984" t="str">
        <f>IF(ISBLANK(B984), "","Concept-983")</f>
        <v/>
      </c>
    </row>
    <row r="985" spans="1:1" x14ac:dyDescent="0.2">
      <c r="A985" t="str">
        <f>IF(ISBLANK(B985), "","Concept-984")</f>
        <v/>
      </c>
    </row>
    <row r="986" spans="1:1" x14ac:dyDescent="0.2">
      <c r="A986" t="str">
        <f>IF(ISBLANK(B986), "","Concept-985")</f>
        <v/>
      </c>
    </row>
    <row r="987" spans="1:1" x14ac:dyDescent="0.2">
      <c r="A987" t="str">
        <f>IF(ISBLANK(B987), "","Concept-986")</f>
        <v/>
      </c>
    </row>
    <row r="988" spans="1:1" x14ac:dyDescent="0.2">
      <c r="A988" t="str">
        <f>IF(ISBLANK(B988), "","Concept-987")</f>
        <v/>
      </c>
    </row>
    <row r="989" spans="1:1" x14ac:dyDescent="0.2">
      <c r="A989" t="str">
        <f>IF(ISBLANK(B989), "","Concept-988")</f>
        <v/>
      </c>
    </row>
    <row r="990" spans="1:1" x14ac:dyDescent="0.2">
      <c r="A990" t="str">
        <f>IF(ISBLANK(B990), "","Concept-989")</f>
        <v/>
      </c>
    </row>
    <row r="991" spans="1:1" x14ac:dyDescent="0.2">
      <c r="A991" t="str">
        <f>IF(ISBLANK(B991), "","Concept-990")</f>
        <v/>
      </c>
    </row>
    <row r="992" spans="1:1" x14ac:dyDescent="0.2">
      <c r="A992" t="str">
        <f>IF(ISBLANK(B992), "","Concept-991")</f>
        <v/>
      </c>
    </row>
    <row r="993" spans="1:1" x14ac:dyDescent="0.2">
      <c r="A993" t="str">
        <f>IF(ISBLANK(B993), "","Concept-992")</f>
        <v/>
      </c>
    </row>
    <row r="994" spans="1:1" x14ac:dyDescent="0.2">
      <c r="A994" t="str">
        <f>IF(ISBLANK(B994), "","Concept-993")</f>
        <v/>
      </c>
    </row>
    <row r="995" spans="1:1" x14ac:dyDescent="0.2">
      <c r="A995" t="str">
        <f>IF(ISBLANK(B995), "","Concept-994")</f>
        <v/>
      </c>
    </row>
    <row r="996" spans="1:1" x14ac:dyDescent="0.2">
      <c r="A996" t="str">
        <f>IF(ISBLANK(B996), "","Concept-995")</f>
        <v/>
      </c>
    </row>
    <row r="997" spans="1:1" x14ac:dyDescent="0.2">
      <c r="A997" t="str">
        <f>IF(ISBLANK(B997), "","Concept-996")</f>
        <v/>
      </c>
    </row>
    <row r="998" spans="1:1" x14ac:dyDescent="0.2">
      <c r="A998" t="str">
        <f>IF(ISBLANK(B998), "","Concept-997")</f>
        <v/>
      </c>
    </row>
    <row r="999" spans="1:1" x14ac:dyDescent="0.2">
      <c r="A999" t="str">
        <f>IF(ISBLANK(B999), "","Concept-998")</f>
        <v/>
      </c>
    </row>
    <row r="1000" spans="1:1" x14ac:dyDescent="0.2">
      <c r="A1000" t="str">
        <f>IF(ISBLANK(B1000), "","Concept-999")</f>
        <v/>
      </c>
    </row>
    <row r="1001" spans="1:1" x14ac:dyDescent="0.2">
      <c r="A1001" t="str">
        <f>IF(ISBLANK(B1001), "","Concept-1000")</f>
        <v/>
      </c>
    </row>
  </sheetData>
  <dataValidations count="2">
    <dataValidation type="list" sqref="G2:G1001" xr:uid="{00000000-0002-0000-0000-000002000000}">
      <formula1>A$2:A$1000</formula1>
    </dataValidation>
    <dataValidation type="list" sqref="H2:H1001" xr:uid="{00000000-0002-0000-0000-000003000000}">
      <formula1>A$2:A$1000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xr:uid="{00000000-0002-0000-0000-000000000000}">
          <x14:formula1>
            <xm:f>ConceptScheme!A$2:A$1000</xm:f>
          </x14:formula1>
          <xm:sqref>F34 F45 E2:E1001 F20 F8 F2</xm:sqref>
        </x14:dataValidation>
        <x14:dataValidation type="list" xr:uid="{00000000-0002-0000-0000-000001000000}">
          <x14:formula1>
            <xm:f>ConceptScheme!A$2:A$1000</xm:f>
          </x14:formula1>
          <xm:sqref>F3:F7 F46:F1001 F35:F44 F21:F33 F9:F19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ConceptScheme</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  Vasiljevic</cp:lastModifiedBy>
  <dcterms:created xsi:type="dcterms:W3CDTF">2024-01-11T09:04:18Z</dcterms:created>
  <dcterms:modified xsi:type="dcterms:W3CDTF">2024-01-11T10:35:00Z</dcterms:modified>
</cp:coreProperties>
</file>