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Secondary/repos/neat/cognite/neat/examples/graph-sheets/"/>
    </mc:Choice>
  </mc:AlternateContent>
  <xr:revisionPtr revIDLastSave="0" documentId="13_ncr:1_{184D35D4-36EE-F94C-A297-E201AC3136F7}" xr6:coauthVersionLast="47" xr6:coauthVersionMax="47" xr10:uidLastSave="{00000000-0000-0000-0000-000000000000}"/>
  <bookViews>
    <workbookView xWindow="0" yWindow="500" windowWidth="34400" windowHeight="28300" activeTab="3" xr2:uid="{00000000-000D-0000-FFFF-FFFF00000000}"/>
  </bookViews>
  <sheets>
    <sheet name="GeographicalRegion" sheetId="1" r:id="rId1"/>
    <sheet name="SubGeographicalRegion" sheetId="2" r:id="rId2"/>
    <sheet name="Substation" sheetId="3" r:id="rId3"/>
    <sheet name="Term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4" l="1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<sst xmlns="http://schemas.openxmlformats.org/spreadsheetml/2006/main" count="28" uniqueCount="22">
  <si>
    <t>identifier</t>
  </si>
  <si>
    <t>name</t>
  </si>
  <si>
    <t>region</t>
  </si>
  <si>
    <t>subGeographicalRegion</t>
  </si>
  <si>
    <t>aliasName</t>
  </si>
  <si>
    <t>substation</t>
  </si>
  <si>
    <t>Norway</t>
  </si>
  <si>
    <t>Denmark</t>
  </si>
  <si>
    <t>Oslo municipality</t>
  </si>
  <si>
    <t>Copenhagen municipality</t>
  </si>
  <si>
    <t>GeographicalRegion-1</t>
  </si>
  <si>
    <t>GeographicalRegion-2</t>
  </si>
  <si>
    <t>Majorstuen</t>
  </si>
  <si>
    <t>Frederiksberg</t>
  </si>
  <si>
    <t>SubGeographicalRegion-1</t>
  </si>
  <si>
    <t>SubGeographicalRegion-2</t>
  </si>
  <si>
    <t>Major T1</t>
  </si>
  <si>
    <t>Fred T1</t>
  </si>
  <si>
    <t>M T1</t>
  </si>
  <si>
    <t>Substation-1</t>
  </si>
  <si>
    <t>F T1</t>
  </si>
  <si>
    <t>Substation-2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</si>
</sst>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FB5F2"/>
      </patternFill>
    </fill>
    <fill>
      <patternFill patternType="solid">
        <fgColor rgb="FFFFB20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">
    <xf numFmtId="0" fontId="0" fillId="0" borderId="0" xfId="0"/>
    <xf numFmtId="0" fontId="1" fillId="2" borderId="1" xfId="1" applyFill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header 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opLeftCell="A2" zoomScale="150" zoomScaleNormal="150" workbookViewId="0">
      <selection activeCell="B2" sqref="B2"/>
    </sheetView>
  </sheetViews>
  <sheetFormatPr baseColWidth="10" defaultColWidth="8.83203125" defaultRowHeight="15" x14ac:dyDescent="0.2"/>
  <cols>
    <col min="1" max="1" width="18" customWidth="1"/>
    <col min="2" max="2" width="10.83203125" customWidth="1"/>
  </cols>
  <sheetData>
    <row r="1" spans="1:2" ht="21" x14ac:dyDescent="0.2">
      <c r="A1" s="1" t="s">
        <v>0</v>
      </c>
      <c r="B1" s="2" t="s">
        <v>1</v>
      </c>
    </row>
    <row r="2" spans="1:2" x14ac:dyDescent="0.2">
      <c r="A2" t="str">
        <f>IF(ISBLANK(B2), "","GeographicalRegion-1")</f>
        <v>GeographicalRegion-1</v>
      </c>
      <c r="B2" t="s">
        <v>6</v>
      </c>
    </row>
    <row r="3" spans="1:2" x14ac:dyDescent="0.2">
      <c r="A3" t="str">
        <f>IF(ISBLANK(B3), "","GeographicalRegion-2")</f>
        <v>GeographicalRegion-2</v>
      </c>
      <c r="B3" t="s">
        <v>7</v>
      </c>
    </row>
    <row r="4" spans="1:2" x14ac:dyDescent="0.2">
      <c r="A4" t="str">
        <f>IF(ISBLANK(B4), "","GeographicalRegion-3")</f>
        <v/>
      </c>
    </row>
    <row r="5" spans="1:2" x14ac:dyDescent="0.2">
      <c r="A5" t="str">
        <f>IF(ISBLANK(B5), "","GeographicalRegion-4")</f>
        <v/>
      </c>
    </row>
    <row r="6" spans="1:2" x14ac:dyDescent="0.2">
      <c r="A6" t="str">
        <f>IF(ISBLANK(B6), "","GeographicalRegion-5")</f>
        <v/>
      </c>
    </row>
    <row r="7" spans="1:2" x14ac:dyDescent="0.2">
      <c r="A7" t="str">
        <f>IF(ISBLANK(B7), "","GeographicalRegion-6")</f>
        <v/>
      </c>
    </row>
    <row r="8" spans="1:2" x14ac:dyDescent="0.2">
      <c r="A8" t="str">
        <f>IF(ISBLANK(B8), "","GeographicalRegion-7")</f>
        <v/>
      </c>
    </row>
    <row r="9" spans="1:2" x14ac:dyDescent="0.2">
      <c r="A9" t="str">
        <f>IF(ISBLANK(B9), "","GeographicalRegion-8")</f>
        <v/>
      </c>
    </row>
    <row r="10" spans="1:2" x14ac:dyDescent="0.2">
      <c r="A10" t="str">
        <f>IF(ISBLANK(B10), "","GeographicalRegion-9")</f>
        <v/>
      </c>
    </row>
    <row r="11" spans="1:2" x14ac:dyDescent="0.2">
      <c r="A11" t="str">
        <f>IF(ISBLANK(B11), "","GeographicalRegion-10")</f>
        <v/>
      </c>
    </row>
    <row r="12" spans="1:2" x14ac:dyDescent="0.2">
      <c r="A12" t="str">
        <f>IF(ISBLANK(B12), "","GeographicalRegion-11")</f>
        <v/>
      </c>
    </row>
    <row r="13" spans="1:2" x14ac:dyDescent="0.2">
      <c r="A13" t="str">
        <f>IF(ISBLANK(B13), "","GeographicalRegion-12")</f>
        <v/>
      </c>
    </row>
    <row r="14" spans="1:2" x14ac:dyDescent="0.2">
      <c r="A14" t="str">
        <f>IF(ISBLANK(B14), "","GeographicalRegion-13")</f>
        <v/>
      </c>
    </row>
    <row r="15" spans="1:2" x14ac:dyDescent="0.2">
      <c r="A15" t="str">
        <f>IF(ISBLANK(B15), "","GeographicalRegion-14")</f>
        <v/>
      </c>
    </row>
    <row r="16" spans="1:2" x14ac:dyDescent="0.2">
      <c r="A16" t="str">
        <f>IF(ISBLANK(B16), "","GeographicalRegion-15")</f>
        <v/>
      </c>
    </row>
    <row r="17" spans="1:1" x14ac:dyDescent="0.2">
      <c r="A17" t="str">
        <f>IF(ISBLANK(B17), "","GeographicalRegion-16")</f>
        <v/>
      </c>
    </row>
    <row r="18" spans="1:1" x14ac:dyDescent="0.2">
      <c r="A18" t="str">
        <f>IF(ISBLANK(B18), "","GeographicalRegion-17")</f>
        <v/>
      </c>
    </row>
    <row r="19" spans="1:1" x14ac:dyDescent="0.2">
      <c r="A19" t="str">
        <f>IF(ISBLANK(B19), "","GeographicalRegion-18")</f>
        <v/>
      </c>
    </row>
    <row r="20" spans="1:1" x14ac:dyDescent="0.2">
      <c r="A20" t="str">
        <f>IF(ISBLANK(B20), "","GeographicalRegion-19")</f>
        <v/>
      </c>
    </row>
    <row r="21" spans="1:1" x14ac:dyDescent="0.2">
      <c r="A21" t="str">
        <f>IF(ISBLANK(B21), "","GeographicalRegion-20")</f>
        <v/>
      </c>
    </row>
    <row r="22" spans="1:1" x14ac:dyDescent="0.2">
      <c r="A22" t="str">
        <f>IF(ISBLANK(B22), "","GeographicalRegion-21")</f>
        <v/>
      </c>
    </row>
    <row r="23" spans="1:1" x14ac:dyDescent="0.2">
      <c r="A23" t="str">
        <f>IF(ISBLANK(B23), "","GeographicalRegion-22")</f>
        <v/>
      </c>
    </row>
    <row r="24" spans="1:1" x14ac:dyDescent="0.2">
      <c r="A24" t="str">
        <f>IF(ISBLANK(B24), "","GeographicalRegion-23")</f>
        <v/>
      </c>
    </row>
    <row r="25" spans="1:1" x14ac:dyDescent="0.2">
      <c r="A25" t="str">
        <f>IF(ISBLANK(B25), "","GeographicalRegion-24")</f>
        <v/>
      </c>
    </row>
    <row r="26" spans="1:1" x14ac:dyDescent="0.2">
      <c r="A26" t="str">
        <f>IF(ISBLANK(B26), "","GeographicalRegion-25")</f>
        <v/>
      </c>
    </row>
    <row r="27" spans="1:1" x14ac:dyDescent="0.2">
      <c r="A27" t="str">
        <f>IF(ISBLANK(B27), "","GeographicalRegion-26")</f>
        <v/>
      </c>
    </row>
    <row r="28" spans="1:1" x14ac:dyDescent="0.2">
      <c r="A28" t="str">
        <f>IF(ISBLANK(B28), "","GeographicalRegion-27")</f>
        <v/>
      </c>
    </row>
    <row r="29" spans="1:1" x14ac:dyDescent="0.2">
      <c r="A29" t="str">
        <f>IF(ISBLANK(B29), "","GeographicalRegion-28")</f>
        <v/>
      </c>
    </row>
    <row r="30" spans="1:1" x14ac:dyDescent="0.2">
      <c r="A30" t="str">
        <f>IF(ISBLANK(B30), "","GeographicalRegion-29")</f>
        <v/>
      </c>
    </row>
    <row r="31" spans="1:1" x14ac:dyDescent="0.2">
      <c r="A31" t="str">
        <f>IF(ISBLANK(B31), "","GeographicalRegion-30")</f>
        <v/>
      </c>
    </row>
    <row r="32" spans="1:1" x14ac:dyDescent="0.2">
      <c r="A32" t="str">
        <f>IF(ISBLANK(B32), "","GeographicalRegion-31")</f>
        <v/>
      </c>
    </row>
    <row r="33" spans="1:1" x14ac:dyDescent="0.2">
      <c r="A33" t="str">
        <f>IF(ISBLANK(B33), "","GeographicalRegion-32")</f>
        <v/>
      </c>
    </row>
    <row r="34" spans="1:1" x14ac:dyDescent="0.2">
      <c r="A34" t="str">
        <f>IF(ISBLANK(B34), "","GeographicalRegion-33")</f>
        <v/>
      </c>
    </row>
    <row r="35" spans="1:1" x14ac:dyDescent="0.2">
      <c r="A35" t="str">
        <f>IF(ISBLANK(B35), "","GeographicalRegion-34")</f>
        <v/>
      </c>
    </row>
    <row r="36" spans="1:1" x14ac:dyDescent="0.2">
      <c r="A36" t="str">
        <f>IF(ISBLANK(B36), "","GeographicalRegion-35")</f>
        <v/>
      </c>
    </row>
    <row r="37" spans="1:1" x14ac:dyDescent="0.2">
      <c r="A37" t="str">
        <f>IF(ISBLANK(B37), "","GeographicalRegion-36")</f>
        <v/>
      </c>
    </row>
    <row r="38" spans="1:1" x14ac:dyDescent="0.2">
      <c r="A38" t="str">
        <f>IF(ISBLANK(B38), "","GeographicalRegion-37")</f>
        <v/>
      </c>
    </row>
    <row r="39" spans="1:1" x14ac:dyDescent="0.2">
      <c r="A39" t="str">
        <f>IF(ISBLANK(B39), "","GeographicalRegion-38")</f>
        <v/>
      </c>
    </row>
    <row r="40" spans="1:1" x14ac:dyDescent="0.2">
      <c r="A40" t="str">
        <f>IF(ISBLANK(B40), "","GeographicalRegion-39")</f>
        <v/>
      </c>
    </row>
    <row r="41" spans="1:1" x14ac:dyDescent="0.2">
      <c r="A41" t="str">
        <f>IF(ISBLANK(B41), "","GeographicalRegion-40")</f>
        <v/>
      </c>
    </row>
    <row r="42" spans="1:1" x14ac:dyDescent="0.2">
      <c r="A42" t="str">
        <f>IF(ISBLANK(B42), "","GeographicalRegion-41")</f>
        <v/>
      </c>
    </row>
    <row r="43" spans="1:1" x14ac:dyDescent="0.2">
      <c r="A43" t="str">
        <f>IF(ISBLANK(B43), "","GeographicalRegion-42")</f>
        <v/>
      </c>
    </row>
    <row r="44" spans="1:1" x14ac:dyDescent="0.2">
      <c r="A44" t="str">
        <f>IF(ISBLANK(B44), "","GeographicalRegion-43")</f>
        <v/>
      </c>
    </row>
    <row r="45" spans="1:1" x14ac:dyDescent="0.2">
      <c r="A45" t="str">
        <f>IF(ISBLANK(B45), "","GeographicalRegion-44")</f>
        <v/>
      </c>
    </row>
    <row r="46" spans="1:1" x14ac:dyDescent="0.2">
      <c r="A46" t="str">
        <f>IF(ISBLANK(B46), "","GeographicalRegion-45")</f>
        <v/>
      </c>
    </row>
    <row r="47" spans="1:1" x14ac:dyDescent="0.2">
      <c r="A47" t="str">
        <f>IF(ISBLANK(B47), "","GeographicalRegion-46")</f>
        <v/>
      </c>
    </row>
    <row r="48" spans="1:1" x14ac:dyDescent="0.2">
      <c r="A48" t="str">
        <f>IF(ISBLANK(B48), "","GeographicalRegion-47")</f>
        <v/>
      </c>
    </row>
    <row r="49" spans="1:1" x14ac:dyDescent="0.2">
      <c r="A49" t="str">
        <f>IF(ISBLANK(B49), "","GeographicalRegion-48")</f>
        <v/>
      </c>
    </row>
    <row r="50" spans="1:1" x14ac:dyDescent="0.2">
      <c r="A50" t="str">
        <f>IF(ISBLANK(B50), "","GeographicalRegion-49")</f>
        <v/>
      </c>
    </row>
    <row r="51" spans="1:1" x14ac:dyDescent="0.2">
      <c r="A51" t="str">
        <f>IF(ISBLANK(B51), "","GeographicalRegion-50")</f>
        <v/>
      </c>
    </row>
    <row r="52" spans="1:1" x14ac:dyDescent="0.2">
      <c r="A52" t="str">
        <f>IF(ISBLANK(B52), "","GeographicalRegion-51")</f>
        <v/>
      </c>
    </row>
    <row r="53" spans="1:1" x14ac:dyDescent="0.2">
      <c r="A53" t="str">
        <f>IF(ISBLANK(B53), "","GeographicalRegion-52")</f>
        <v/>
      </c>
    </row>
    <row r="54" spans="1:1" x14ac:dyDescent="0.2">
      <c r="A54" t="str">
        <f>IF(ISBLANK(B54), "","GeographicalRegion-53")</f>
        <v/>
      </c>
    </row>
    <row r="55" spans="1:1" x14ac:dyDescent="0.2">
      <c r="A55" t="str">
        <f>IF(ISBLANK(B55), "","GeographicalRegion-54")</f>
        <v/>
      </c>
    </row>
    <row r="56" spans="1:1" x14ac:dyDescent="0.2">
      <c r="A56" t="str">
        <f>IF(ISBLANK(B56), "","GeographicalRegion-55")</f>
        <v/>
      </c>
    </row>
    <row r="57" spans="1:1" x14ac:dyDescent="0.2">
      <c r="A57" t="str">
        <f>IF(ISBLANK(B57), "","GeographicalRegion-56")</f>
        <v/>
      </c>
    </row>
    <row r="58" spans="1:1" x14ac:dyDescent="0.2">
      <c r="A58" t="str">
        <f>IF(ISBLANK(B58), "","GeographicalRegion-57")</f>
        <v/>
      </c>
    </row>
    <row r="59" spans="1:1" x14ac:dyDescent="0.2">
      <c r="A59" t="str">
        <f>IF(ISBLANK(B59), "","GeographicalRegion-58")</f>
        <v/>
      </c>
    </row>
    <row r="60" spans="1:1" x14ac:dyDescent="0.2">
      <c r="A60" t="str">
        <f>IF(ISBLANK(B60), "","GeographicalRegion-59")</f>
        <v/>
      </c>
    </row>
    <row r="61" spans="1:1" x14ac:dyDescent="0.2">
      <c r="A61" t="str">
        <f>IF(ISBLANK(B61), "","GeographicalRegion-60")</f>
        <v/>
      </c>
    </row>
    <row r="62" spans="1:1" x14ac:dyDescent="0.2">
      <c r="A62" t="str">
        <f>IF(ISBLANK(B62), "","GeographicalRegion-61")</f>
        <v/>
      </c>
    </row>
    <row r="63" spans="1:1" x14ac:dyDescent="0.2">
      <c r="A63" t="str">
        <f>IF(ISBLANK(B63), "","GeographicalRegion-62")</f>
        <v/>
      </c>
    </row>
    <row r="64" spans="1:1" x14ac:dyDescent="0.2">
      <c r="A64" t="str">
        <f>IF(ISBLANK(B64), "","GeographicalRegion-63")</f>
        <v/>
      </c>
    </row>
    <row r="65" spans="1:1" x14ac:dyDescent="0.2">
      <c r="A65" t="str">
        <f>IF(ISBLANK(B65), "","GeographicalRegion-64")</f>
        <v/>
      </c>
    </row>
    <row r="66" spans="1:1" x14ac:dyDescent="0.2">
      <c r="A66" t="str">
        <f>IF(ISBLANK(B66), "","GeographicalRegion-65")</f>
        <v/>
      </c>
    </row>
    <row r="67" spans="1:1" x14ac:dyDescent="0.2">
      <c r="A67" t="str">
        <f>IF(ISBLANK(B67), "","GeographicalRegion-66")</f>
        <v/>
      </c>
    </row>
    <row r="68" spans="1:1" x14ac:dyDescent="0.2">
      <c r="A68" t="str">
        <f>IF(ISBLANK(B68), "","GeographicalRegion-67")</f>
        <v/>
      </c>
    </row>
    <row r="69" spans="1:1" x14ac:dyDescent="0.2">
      <c r="A69" t="str">
        <f>IF(ISBLANK(B69), "","GeographicalRegion-68")</f>
        <v/>
      </c>
    </row>
    <row r="70" spans="1:1" x14ac:dyDescent="0.2">
      <c r="A70" t="str">
        <f>IF(ISBLANK(B70), "","GeographicalRegion-69")</f>
        <v/>
      </c>
    </row>
    <row r="71" spans="1:1" x14ac:dyDescent="0.2">
      <c r="A71" t="str">
        <f>IF(ISBLANK(B71), "","GeographicalRegion-70")</f>
        <v/>
      </c>
    </row>
    <row r="72" spans="1:1" x14ac:dyDescent="0.2">
      <c r="A72" t="str">
        <f>IF(ISBLANK(B72), "","GeographicalRegion-71")</f>
        <v/>
      </c>
    </row>
    <row r="73" spans="1:1" x14ac:dyDescent="0.2">
      <c r="A73" t="str">
        <f>IF(ISBLANK(B73), "","GeographicalRegion-72")</f>
        <v/>
      </c>
    </row>
    <row r="74" spans="1:1" x14ac:dyDescent="0.2">
      <c r="A74" t="str">
        <f>IF(ISBLANK(B74), "","GeographicalRegion-73")</f>
        <v/>
      </c>
    </row>
    <row r="75" spans="1:1" x14ac:dyDescent="0.2">
      <c r="A75" t="str">
        <f>IF(ISBLANK(B75), "","GeographicalRegion-74")</f>
        <v/>
      </c>
    </row>
    <row r="76" spans="1:1" x14ac:dyDescent="0.2">
      <c r="A76" t="str">
        <f>IF(ISBLANK(B76), "","GeographicalRegion-75")</f>
        <v/>
      </c>
    </row>
    <row r="77" spans="1:1" x14ac:dyDescent="0.2">
      <c r="A77" t="str">
        <f>IF(ISBLANK(B77), "","GeographicalRegion-76")</f>
        <v/>
      </c>
    </row>
    <row r="78" spans="1:1" x14ac:dyDescent="0.2">
      <c r="A78" t="str">
        <f>IF(ISBLANK(B78), "","GeographicalRegion-77")</f>
        <v/>
      </c>
    </row>
    <row r="79" spans="1:1" x14ac:dyDescent="0.2">
      <c r="A79" t="str">
        <f>IF(ISBLANK(B79), "","GeographicalRegion-78")</f>
        <v/>
      </c>
    </row>
    <row r="80" spans="1:1" x14ac:dyDescent="0.2">
      <c r="A80" t="str">
        <f>IF(ISBLANK(B80), "","GeographicalRegion-79")</f>
        <v/>
      </c>
    </row>
    <row r="81" spans="1:1" x14ac:dyDescent="0.2">
      <c r="A81" t="str">
        <f>IF(ISBLANK(B81), "","GeographicalRegion-80")</f>
        <v/>
      </c>
    </row>
    <row r="82" spans="1:1" x14ac:dyDescent="0.2">
      <c r="A82" t="str">
        <f>IF(ISBLANK(B82), "","GeographicalRegion-81")</f>
        <v/>
      </c>
    </row>
    <row r="83" spans="1:1" x14ac:dyDescent="0.2">
      <c r="A83" t="str">
        <f>IF(ISBLANK(B83), "","GeographicalRegion-82")</f>
        <v/>
      </c>
    </row>
    <row r="84" spans="1:1" x14ac:dyDescent="0.2">
      <c r="A84" t="str">
        <f>IF(ISBLANK(B84), "","GeographicalRegion-83")</f>
        <v/>
      </c>
    </row>
    <row r="85" spans="1:1" x14ac:dyDescent="0.2">
      <c r="A85" t="str">
        <f>IF(ISBLANK(B85), "","GeographicalRegion-84")</f>
        <v/>
      </c>
    </row>
    <row r="86" spans="1:1" x14ac:dyDescent="0.2">
      <c r="A86" t="str">
        <f>IF(ISBLANK(B86), "","GeographicalRegion-85")</f>
        <v/>
      </c>
    </row>
    <row r="87" spans="1:1" x14ac:dyDescent="0.2">
      <c r="A87" t="str">
        <f>IF(ISBLANK(B87), "","GeographicalRegion-86")</f>
        <v/>
      </c>
    </row>
    <row r="88" spans="1:1" x14ac:dyDescent="0.2">
      <c r="A88" t="str">
        <f>IF(ISBLANK(B88), "","GeographicalRegion-87")</f>
        <v/>
      </c>
    </row>
    <row r="89" spans="1:1" x14ac:dyDescent="0.2">
      <c r="A89" t="str">
        <f>IF(ISBLANK(B89), "","GeographicalRegion-88")</f>
        <v/>
      </c>
    </row>
    <row r="90" spans="1:1" x14ac:dyDescent="0.2">
      <c r="A90" t="str">
        <f>IF(ISBLANK(B90), "","GeographicalRegion-89")</f>
        <v/>
      </c>
    </row>
    <row r="91" spans="1:1" x14ac:dyDescent="0.2">
      <c r="A91" t="str">
        <f>IF(ISBLANK(B91), "","GeographicalRegion-90")</f>
        <v/>
      </c>
    </row>
    <row r="92" spans="1:1" x14ac:dyDescent="0.2">
      <c r="A92" t="str">
        <f>IF(ISBLANK(B92), "","GeographicalRegion-91")</f>
        <v/>
      </c>
    </row>
    <row r="93" spans="1:1" x14ac:dyDescent="0.2">
      <c r="A93" t="str">
        <f>IF(ISBLANK(B93), "","GeographicalRegion-92")</f>
        <v/>
      </c>
    </row>
    <row r="94" spans="1:1" x14ac:dyDescent="0.2">
      <c r="A94" t="str">
        <f>IF(ISBLANK(B94), "","GeographicalRegion-93")</f>
        <v/>
      </c>
    </row>
    <row r="95" spans="1:1" x14ac:dyDescent="0.2">
      <c r="A95" t="str">
        <f>IF(ISBLANK(B95), "","GeographicalRegion-94")</f>
        <v/>
      </c>
    </row>
    <row r="96" spans="1:1" x14ac:dyDescent="0.2">
      <c r="A96" t="str">
        <f>IF(ISBLANK(B96), "","GeographicalRegion-95")</f>
        <v/>
      </c>
    </row>
    <row r="97" spans="1:1" x14ac:dyDescent="0.2">
      <c r="A97" t="str">
        <f>IF(ISBLANK(B97), "","GeographicalRegion-96")</f>
        <v/>
      </c>
    </row>
    <row r="98" spans="1:1" x14ac:dyDescent="0.2">
      <c r="A98" t="str">
        <f>IF(ISBLANK(B98), "","GeographicalRegion-97")</f>
        <v/>
      </c>
    </row>
    <row r="99" spans="1:1" x14ac:dyDescent="0.2">
      <c r="A99" t="str">
        <f>IF(ISBLANK(B99), "","GeographicalRegion-98")</f>
        <v/>
      </c>
    </row>
    <row r="100" spans="1:1" x14ac:dyDescent="0.2">
      <c r="A100" t="str">
        <f>IF(ISBLANK(B100), "","GeographicalRegion-99")</f>
        <v/>
      </c>
    </row>
    <row r="101" spans="1:1" x14ac:dyDescent="0.2">
      <c r="A101" t="str">
        <f>IF(ISBLANK(B101), "","GeographicalRegion-100")</f>
        <v/>
      </c>
    </row>
    <row r="102" spans="1:1" x14ac:dyDescent="0.2">
      <c r="A102" t="str">
        <f>IF(ISBLANK(B102), "","GeographicalRegion-101")</f>
        <v/>
      </c>
    </row>
    <row r="103" spans="1:1" x14ac:dyDescent="0.2">
      <c r="A103" t="str">
        <f>IF(ISBLANK(B103), "","GeographicalRegion-102")</f>
        <v/>
      </c>
    </row>
    <row r="104" spans="1:1" x14ac:dyDescent="0.2">
      <c r="A104" t="str">
        <f>IF(ISBLANK(B104), "","GeographicalRegion-103")</f>
        <v/>
      </c>
    </row>
    <row r="105" spans="1:1" x14ac:dyDescent="0.2">
      <c r="A105" t="str">
        <f>IF(ISBLANK(B105), "","GeographicalRegion-104")</f>
        <v/>
      </c>
    </row>
    <row r="106" spans="1:1" x14ac:dyDescent="0.2">
      <c r="A106" t="str">
        <f>IF(ISBLANK(B106), "","GeographicalRegion-105")</f>
        <v/>
      </c>
    </row>
    <row r="107" spans="1:1" x14ac:dyDescent="0.2">
      <c r="A107" t="str">
        <f>IF(ISBLANK(B107), "","GeographicalRegion-106")</f>
        <v/>
      </c>
    </row>
    <row r="108" spans="1:1" x14ac:dyDescent="0.2">
      <c r="A108" t="str">
        <f>IF(ISBLANK(B108), "","GeographicalRegion-107")</f>
        <v/>
      </c>
    </row>
    <row r="109" spans="1:1" x14ac:dyDescent="0.2">
      <c r="A109" t="str">
        <f>IF(ISBLANK(B109), "","GeographicalRegion-108")</f>
        <v/>
      </c>
    </row>
    <row r="110" spans="1:1" x14ac:dyDescent="0.2">
      <c r="A110" t="str">
        <f>IF(ISBLANK(B110), "","GeographicalRegion-109")</f>
        <v/>
      </c>
    </row>
    <row r="111" spans="1:1" x14ac:dyDescent="0.2">
      <c r="A111" t="str">
        <f>IF(ISBLANK(B111), "","GeographicalRegion-110")</f>
        <v/>
      </c>
    </row>
    <row r="112" spans="1:1" x14ac:dyDescent="0.2">
      <c r="A112" t="str">
        <f>IF(ISBLANK(B112), "","GeographicalRegion-111")</f>
        <v/>
      </c>
    </row>
    <row r="113" spans="1:1" x14ac:dyDescent="0.2">
      <c r="A113" t="str">
        <f>IF(ISBLANK(B113), "","GeographicalRegion-112")</f>
        <v/>
      </c>
    </row>
    <row r="114" spans="1:1" x14ac:dyDescent="0.2">
      <c r="A114" t="str">
        <f>IF(ISBLANK(B114), "","GeographicalRegion-113")</f>
        <v/>
      </c>
    </row>
    <row r="115" spans="1:1" x14ac:dyDescent="0.2">
      <c r="A115" t="str">
        <f>IF(ISBLANK(B115), "","GeographicalRegion-114")</f>
        <v/>
      </c>
    </row>
    <row r="116" spans="1:1" x14ac:dyDescent="0.2">
      <c r="A116" t="str">
        <f>IF(ISBLANK(B116), "","GeographicalRegion-115")</f>
        <v/>
      </c>
    </row>
    <row r="117" spans="1:1" x14ac:dyDescent="0.2">
      <c r="A117" t="str">
        <f>IF(ISBLANK(B117), "","GeographicalRegion-116")</f>
        <v/>
      </c>
    </row>
    <row r="118" spans="1:1" x14ac:dyDescent="0.2">
      <c r="A118" t="str">
        <f>IF(ISBLANK(B118), "","GeographicalRegion-117")</f>
        <v/>
      </c>
    </row>
    <row r="119" spans="1:1" x14ac:dyDescent="0.2">
      <c r="A119" t="str">
        <f>IF(ISBLANK(B119), "","GeographicalRegion-118")</f>
        <v/>
      </c>
    </row>
    <row r="120" spans="1:1" x14ac:dyDescent="0.2">
      <c r="A120" t="str">
        <f>IF(ISBLANK(B120), "","GeographicalRegion-119")</f>
        <v/>
      </c>
    </row>
    <row r="121" spans="1:1" x14ac:dyDescent="0.2">
      <c r="A121" t="str">
        <f>IF(ISBLANK(B121), "","GeographicalRegion-120")</f>
        <v/>
      </c>
    </row>
    <row r="122" spans="1:1" x14ac:dyDescent="0.2">
      <c r="A122" t="str">
        <f>IF(ISBLANK(B122), "","GeographicalRegion-121")</f>
        <v/>
      </c>
    </row>
    <row r="123" spans="1:1" x14ac:dyDescent="0.2">
      <c r="A123" t="str">
        <f>IF(ISBLANK(B123), "","GeographicalRegion-122")</f>
        <v/>
      </c>
    </row>
    <row r="124" spans="1:1" x14ac:dyDescent="0.2">
      <c r="A124" t="str">
        <f>IF(ISBLANK(B124), "","GeographicalRegion-123")</f>
        <v/>
      </c>
    </row>
    <row r="125" spans="1:1" x14ac:dyDescent="0.2">
      <c r="A125" t="str">
        <f>IF(ISBLANK(B125), "","GeographicalRegion-124")</f>
        <v/>
      </c>
    </row>
    <row r="126" spans="1:1" x14ac:dyDescent="0.2">
      <c r="A126" t="str">
        <f>IF(ISBLANK(B126), "","GeographicalRegion-125")</f>
        <v/>
      </c>
    </row>
    <row r="127" spans="1:1" x14ac:dyDescent="0.2">
      <c r="A127" t="str">
        <f>IF(ISBLANK(B127), "","GeographicalRegion-126")</f>
        <v/>
      </c>
    </row>
    <row r="128" spans="1:1" x14ac:dyDescent="0.2">
      <c r="A128" t="str">
        <f>IF(ISBLANK(B128), "","GeographicalRegion-127")</f>
        <v/>
      </c>
    </row>
    <row r="129" spans="1:1" x14ac:dyDescent="0.2">
      <c r="A129" t="str">
        <f>IF(ISBLANK(B129), "","GeographicalRegion-128")</f>
        <v/>
      </c>
    </row>
    <row r="130" spans="1:1" x14ac:dyDescent="0.2">
      <c r="A130" t="str">
        <f>IF(ISBLANK(B130), "","GeographicalRegion-129")</f>
        <v/>
      </c>
    </row>
    <row r="131" spans="1:1" x14ac:dyDescent="0.2">
      <c r="A131" t="str">
        <f>IF(ISBLANK(B131), "","GeographicalRegion-130")</f>
        <v/>
      </c>
    </row>
    <row r="132" spans="1:1" x14ac:dyDescent="0.2">
      <c r="A132" t="str">
        <f>IF(ISBLANK(B132), "","GeographicalRegion-131")</f>
        <v/>
      </c>
    </row>
    <row r="133" spans="1:1" x14ac:dyDescent="0.2">
      <c r="A133" t="str">
        <f>IF(ISBLANK(B133), "","GeographicalRegion-132")</f>
        <v/>
      </c>
    </row>
    <row r="134" spans="1:1" x14ac:dyDescent="0.2">
      <c r="A134" t="str">
        <f>IF(ISBLANK(B134), "","GeographicalRegion-133")</f>
        <v/>
      </c>
    </row>
    <row r="135" spans="1:1" x14ac:dyDescent="0.2">
      <c r="A135" t="str">
        <f>IF(ISBLANK(B135), "","GeographicalRegion-134")</f>
        <v/>
      </c>
    </row>
    <row r="136" spans="1:1" x14ac:dyDescent="0.2">
      <c r="A136" t="str">
        <f>IF(ISBLANK(B136), "","GeographicalRegion-135")</f>
        <v/>
      </c>
    </row>
    <row r="137" spans="1:1" x14ac:dyDescent="0.2">
      <c r="A137" t="str">
        <f>IF(ISBLANK(B137), "","GeographicalRegion-136")</f>
        <v/>
      </c>
    </row>
    <row r="138" spans="1:1" x14ac:dyDescent="0.2">
      <c r="A138" t="str">
        <f>IF(ISBLANK(B138), "","GeographicalRegion-137")</f>
        <v/>
      </c>
    </row>
    <row r="139" spans="1:1" x14ac:dyDescent="0.2">
      <c r="A139" t="str">
        <f>IF(ISBLANK(B139), "","GeographicalRegion-138")</f>
        <v/>
      </c>
    </row>
    <row r="140" spans="1:1" x14ac:dyDescent="0.2">
      <c r="A140" t="str">
        <f>IF(ISBLANK(B140), "","GeographicalRegion-139")</f>
        <v/>
      </c>
    </row>
    <row r="141" spans="1:1" x14ac:dyDescent="0.2">
      <c r="A141" t="str">
        <f>IF(ISBLANK(B141), "","GeographicalRegion-140")</f>
        <v/>
      </c>
    </row>
    <row r="142" spans="1:1" x14ac:dyDescent="0.2">
      <c r="A142" t="str">
        <f>IF(ISBLANK(B142), "","GeographicalRegion-141")</f>
        <v/>
      </c>
    </row>
    <row r="143" spans="1:1" x14ac:dyDescent="0.2">
      <c r="A143" t="str">
        <f>IF(ISBLANK(B143), "","GeographicalRegion-142")</f>
        <v/>
      </c>
    </row>
    <row r="144" spans="1:1" x14ac:dyDescent="0.2">
      <c r="A144" t="str">
        <f>IF(ISBLANK(B144), "","GeographicalRegion-143")</f>
        <v/>
      </c>
    </row>
    <row r="145" spans="1:1" x14ac:dyDescent="0.2">
      <c r="A145" t="str">
        <f>IF(ISBLANK(B145), "","GeographicalRegion-144")</f>
        <v/>
      </c>
    </row>
    <row r="146" spans="1:1" x14ac:dyDescent="0.2">
      <c r="A146" t="str">
        <f>IF(ISBLANK(B146), "","GeographicalRegion-145")</f>
        <v/>
      </c>
    </row>
    <row r="147" spans="1:1" x14ac:dyDescent="0.2">
      <c r="A147" t="str">
        <f>IF(ISBLANK(B147), "","GeographicalRegion-146")</f>
        <v/>
      </c>
    </row>
    <row r="148" spans="1:1" x14ac:dyDescent="0.2">
      <c r="A148" t="str">
        <f>IF(ISBLANK(B148), "","GeographicalRegion-147")</f>
        <v/>
      </c>
    </row>
    <row r="149" spans="1:1" x14ac:dyDescent="0.2">
      <c r="A149" t="str">
        <f>IF(ISBLANK(B149), "","GeographicalRegion-148")</f>
        <v/>
      </c>
    </row>
    <row r="150" spans="1:1" x14ac:dyDescent="0.2">
      <c r="A150" t="str">
        <f>IF(ISBLANK(B150), "","GeographicalRegion-149")</f>
        <v/>
      </c>
    </row>
    <row r="151" spans="1:1" x14ac:dyDescent="0.2">
      <c r="A151" t="str">
        <f>IF(ISBLANK(B151), "","GeographicalRegion-150")</f>
        <v/>
      </c>
    </row>
    <row r="152" spans="1:1" x14ac:dyDescent="0.2">
      <c r="A152" t="str">
        <f>IF(ISBLANK(B152), "","GeographicalRegion-151")</f>
        <v/>
      </c>
    </row>
    <row r="153" spans="1:1" x14ac:dyDescent="0.2">
      <c r="A153" t="str">
        <f>IF(ISBLANK(B153), "","GeographicalRegion-152")</f>
        <v/>
      </c>
    </row>
    <row r="154" spans="1:1" x14ac:dyDescent="0.2">
      <c r="A154" t="str">
        <f>IF(ISBLANK(B154), "","GeographicalRegion-153")</f>
        <v/>
      </c>
    </row>
    <row r="155" spans="1:1" x14ac:dyDescent="0.2">
      <c r="A155" t="str">
        <f>IF(ISBLANK(B155), "","GeographicalRegion-154")</f>
        <v/>
      </c>
    </row>
    <row r="156" spans="1:1" x14ac:dyDescent="0.2">
      <c r="A156" t="str">
        <f>IF(ISBLANK(B156), "","GeographicalRegion-155")</f>
        <v/>
      </c>
    </row>
    <row r="157" spans="1:1" x14ac:dyDescent="0.2">
      <c r="A157" t="str">
        <f>IF(ISBLANK(B157), "","GeographicalRegion-156")</f>
        <v/>
      </c>
    </row>
    <row r="158" spans="1:1" x14ac:dyDescent="0.2">
      <c r="A158" t="str">
        <f>IF(ISBLANK(B158), "","GeographicalRegion-157")</f>
        <v/>
      </c>
    </row>
    <row r="159" spans="1:1" x14ac:dyDescent="0.2">
      <c r="A159" t="str">
        <f>IF(ISBLANK(B159), "","GeographicalRegion-158")</f>
        <v/>
      </c>
    </row>
    <row r="160" spans="1:1" x14ac:dyDescent="0.2">
      <c r="A160" t="str">
        <f>IF(ISBLANK(B160), "","GeographicalRegion-159")</f>
        <v/>
      </c>
    </row>
    <row r="161" spans="1:1" x14ac:dyDescent="0.2">
      <c r="A161" t="str">
        <f>IF(ISBLANK(B161), "","GeographicalRegion-160")</f>
        <v/>
      </c>
    </row>
    <row r="162" spans="1:1" x14ac:dyDescent="0.2">
      <c r="A162" t="str">
        <f>IF(ISBLANK(B162), "","GeographicalRegion-161")</f>
        <v/>
      </c>
    </row>
    <row r="163" spans="1:1" x14ac:dyDescent="0.2">
      <c r="A163" t="str">
        <f>IF(ISBLANK(B163), "","GeographicalRegion-162")</f>
        <v/>
      </c>
    </row>
    <row r="164" spans="1:1" x14ac:dyDescent="0.2">
      <c r="A164" t="str">
        <f>IF(ISBLANK(B164), "","GeographicalRegion-163")</f>
        <v/>
      </c>
    </row>
    <row r="165" spans="1:1" x14ac:dyDescent="0.2">
      <c r="A165" t="str">
        <f>IF(ISBLANK(B165), "","GeographicalRegion-164")</f>
        <v/>
      </c>
    </row>
    <row r="166" spans="1:1" x14ac:dyDescent="0.2">
      <c r="A166" t="str">
        <f>IF(ISBLANK(B166), "","GeographicalRegion-165")</f>
        <v/>
      </c>
    </row>
    <row r="167" spans="1:1" x14ac:dyDescent="0.2">
      <c r="A167" t="str">
        <f>IF(ISBLANK(B167), "","GeographicalRegion-166")</f>
        <v/>
      </c>
    </row>
    <row r="168" spans="1:1" x14ac:dyDescent="0.2">
      <c r="A168" t="str">
        <f>IF(ISBLANK(B168), "","GeographicalRegion-167")</f>
        <v/>
      </c>
    </row>
    <row r="169" spans="1:1" x14ac:dyDescent="0.2">
      <c r="A169" t="str">
        <f>IF(ISBLANK(B169), "","GeographicalRegion-168")</f>
        <v/>
      </c>
    </row>
    <row r="170" spans="1:1" x14ac:dyDescent="0.2">
      <c r="A170" t="str">
        <f>IF(ISBLANK(B170), "","GeographicalRegion-169")</f>
        <v/>
      </c>
    </row>
    <row r="171" spans="1:1" x14ac:dyDescent="0.2">
      <c r="A171" t="str">
        <f>IF(ISBLANK(B171), "","GeographicalRegion-170")</f>
        <v/>
      </c>
    </row>
    <row r="172" spans="1:1" x14ac:dyDescent="0.2">
      <c r="A172" t="str">
        <f>IF(ISBLANK(B172), "","GeographicalRegion-171")</f>
        <v/>
      </c>
    </row>
    <row r="173" spans="1:1" x14ac:dyDescent="0.2">
      <c r="A173" t="str">
        <f>IF(ISBLANK(B173), "","GeographicalRegion-172")</f>
        <v/>
      </c>
    </row>
    <row r="174" spans="1:1" x14ac:dyDescent="0.2">
      <c r="A174" t="str">
        <f>IF(ISBLANK(B174), "","GeographicalRegion-173")</f>
        <v/>
      </c>
    </row>
    <row r="175" spans="1:1" x14ac:dyDescent="0.2">
      <c r="A175" t="str">
        <f>IF(ISBLANK(B175), "","GeographicalRegion-174")</f>
        <v/>
      </c>
    </row>
    <row r="176" spans="1:1" x14ac:dyDescent="0.2">
      <c r="A176" t="str">
        <f>IF(ISBLANK(B176), "","GeographicalRegion-175")</f>
        <v/>
      </c>
    </row>
    <row r="177" spans="1:1" x14ac:dyDescent="0.2">
      <c r="A177" t="str">
        <f>IF(ISBLANK(B177), "","GeographicalRegion-176")</f>
        <v/>
      </c>
    </row>
    <row r="178" spans="1:1" x14ac:dyDescent="0.2">
      <c r="A178" t="str">
        <f>IF(ISBLANK(B178), "","GeographicalRegion-177")</f>
        <v/>
      </c>
    </row>
    <row r="179" spans="1:1" x14ac:dyDescent="0.2">
      <c r="A179" t="str">
        <f>IF(ISBLANK(B179), "","GeographicalRegion-178")</f>
        <v/>
      </c>
    </row>
    <row r="180" spans="1:1" x14ac:dyDescent="0.2">
      <c r="A180" t="str">
        <f>IF(ISBLANK(B180), "","GeographicalRegion-179")</f>
        <v/>
      </c>
    </row>
    <row r="181" spans="1:1" x14ac:dyDescent="0.2">
      <c r="A181" t="str">
        <f>IF(ISBLANK(B181), "","GeographicalRegion-180")</f>
        <v/>
      </c>
    </row>
    <row r="182" spans="1:1" x14ac:dyDescent="0.2">
      <c r="A182" t="str">
        <f>IF(ISBLANK(B182), "","GeographicalRegion-181")</f>
        <v/>
      </c>
    </row>
    <row r="183" spans="1:1" x14ac:dyDescent="0.2">
      <c r="A183" t="str">
        <f>IF(ISBLANK(B183), "","GeographicalRegion-182")</f>
        <v/>
      </c>
    </row>
    <row r="184" spans="1:1" x14ac:dyDescent="0.2">
      <c r="A184" t="str">
        <f>IF(ISBLANK(B184), "","GeographicalRegion-183")</f>
        <v/>
      </c>
    </row>
    <row r="185" spans="1:1" x14ac:dyDescent="0.2">
      <c r="A185" t="str">
        <f>IF(ISBLANK(B185), "","GeographicalRegion-184")</f>
        <v/>
      </c>
    </row>
    <row r="186" spans="1:1" x14ac:dyDescent="0.2">
      <c r="A186" t="str">
        <f>IF(ISBLANK(B186), "","GeographicalRegion-185")</f>
        <v/>
      </c>
    </row>
    <row r="187" spans="1:1" x14ac:dyDescent="0.2">
      <c r="A187" t="str">
        <f>IF(ISBLANK(B187), "","GeographicalRegion-186")</f>
        <v/>
      </c>
    </row>
    <row r="188" spans="1:1" x14ac:dyDescent="0.2">
      <c r="A188" t="str">
        <f>IF(ISBLANK(B188), "","GeographicalRegion-187")</f>
        <v/>
      </c>
    </row>
    <row r="189" spans="1:1" x14ac:dyDescent="0.2">
      <c r="A189" t="str">
        <f>IF(ISBLANK(B189), "","GeographicalRegion-188")</f>
        <v/>
      </c>
    </row>
    <row r="190" spans="1:1" x14ac:dyDescent="0.2">
      <c r="A190" t="str">
        <f>IF(ISBLANK(B190), "","GeographicalRegion-189")</f>
        <v/>
      </c>
    </row>
    <row r="191" spans="1:1" x14ac:dyDescent="0.2">
      <c r="A191" t="str">
        <f>IF(ISBLANK(B191), "","GeographicalRegion-190")</f>
        <v/>
      </c>
    </row>
    <row r="192" spans="1:1" x14ac:dyDescent="0.2">
      <c r="A192" t="str">
        <f>IF(ISBLANK(B192), "","GeographicalRegion-191")</f>
        <v/>
      </c>
    </row>
    <row r="193" spans="1:1" x14ac:dyDescent="0.2">
      <c r="A193" t="str">
        <f>IF(ISBLANK(B193), "","GeographicalRegion-192")</f>
        <v/>
      </c>
    </row>
    <row r="194" spans="1:1" x14ac:dyDescent="0.2">
      <c r="A194" t="str">
        <f>IF(ISBLANK(B194), "","GeographicalRegion-193")</f>
        <v/>
      </c>
    </row>
    <row r="195" spans="1:1" x14ac:dyDescent="0.2">
      <c r="A195" t="str">
        <f>IF(ISBLANK(B195), "","GeographicalRegion-194")</f>
        <v/>
      </c>
    </row>
    <row r="196" spans="1:1" x14ac:dyDescent="0.2">
      <c r="A196" t="str">
        <f>IF(ISBLANK(B196), "","GeographicalRegion-195")</f>
        <v/>
      </c>
    </row>
    <row r="197" spans="1:1" x14ac:dyDescent="0.2">
      <c r="A197" t="str">
        <f>IF(ISBLANK(B197), "","GeographicalRegion-196")</f>
        <v/>
      </c>
    </row>
    <row r="198" spans="1:1" x14ac:dyDescent="0.2">
      <c r="A198" t="str">
        <f>IF(ISBLANK(B198), "","GeographicalRegion-197")</f>
        <v/>
      </c>
    </row>
    <row r="199" spans="1:1" x14ac:dyDescent="0.2">
      <c r="A199" t="str">
        <f>IF(ISBLANK(B199), "","GeographicalRegion-198")</f>
        <v/>
      </c>
    </row>
    <row r="200" spans="1:1" x14ac:dyDescent="0.2">
      <c r="A200" t="str">
        <f>IF(ISBLANK(B200), "","GeographicalRegion-199")</f>
        <v/>
      </c>
    </row>
    <row r="201" spans="1:1" x14ac:dyDescent="0.2">
      <c r="A201" t="str">
        <f>IF(ISBLANK(B201), "","GeographicalRegion-200")</f>
        <v/>
      </c>
    </row>
    <row r="202" spans="1:1" x14ac:dyDescent="0.2">
      <c r="A202" t="str">
        <f>IF(ISBLANK(B202), "","GeographicalRegion-201")</f>
        <v/>
      </c>
    </row>
    <row r="203" spans="1:1" x14ac:dyDescent="0.2">
      <c r="A203" t="str">
        <f>IF(ISBLANK(B203), "","GeographicalRegion-202")</f>
        <v/>
      </c>
    </row>
    <row r="204" spans="1:1" x14ac:dyDescent="0.2">
      <c r="A204" t="str">
        <f>IF(ISBLANK(B204), "","GeographicalRegion-203")</f>
        <v/>
      </c>
    </row>
    <row r="205" spans="1:1" x14ac:dyDescent="0.2">
      <c r="A205" t="str">
        <f>IF(ISBLANK(B205), "","GeographicalRegion-204")</f>
        <v/>
      </c>
    </row>
    <row r="206" spans="1:1" x14ac:dyDescent="0.2">
      <c r="A206" t="str">
        <f>IF(ISBLANK(B206), "","GeographicalRegion-205")</f>
        <v/>
      </c>
    </row>
    <row r="207" spans="1:1" x14ac:dyDescent="0.2">
      <c r="A207" t="str">
        <f>IF(ISBLANK(B207), "","GeographicalRegion-206")</f>
        <v/>
      </c>
    </row>
    <row r="208" spans="1:1" x14ac:dyDescent="0.2">
      <c r="A208" t="str">
        <f>IF(ISBLANK(B208), "","GeographicalRegion-207")</f>
        <v/>
      </c>
    </row>
    <row r="209" spans="1:1" x14ac:dyDescent="0.2">
      <c r="A209" t="str">
        <f>IF(ISBLANK(B209), "","GeographicalRegion-208")</f>
        <v/>
      </c>
    </row>
    <row r="210" spans="1:1" x14ac:dyDescent="0.2">
      <c r="A210" t="str">
        <f>IF(ISBLANK(B210), "","GeographicalRegion-209")</f>
        <v/>
      </c>
    </row>
    <row r="211" spans="1:1" x14ac:dyDescent="0.2">
      <c r="A211" t="str">
        <f>IF(ISBLANK(B211), "","GeographicalRegion-210")</f>
        <v/>
      </c>
    </row>
    <row r="212" spans="1:1" x14ac:dyDescent="0.2">
      <c r="A212" t="str">
        <f>IF(ISBLANK(B212), "","GeographicalRegion-211")</f>
        <v/>
      </c>
    </row>
    <row r="213" spans="1:1" x14ac:dyDescent="0.2">
      <c r="A213" t="str">
        <f>IF(ISBLANK(B213), "","GeographicalRegion-212")</f>
        <v/>
      </c>
    </row>
    <row r="214" spans="1:1" x14ac:dyDescent="0.2">
      <c r="A214" t="str">
        <f>IF(ISBLANK(B214), "","GeographicalRegion-213")</f>
        <v/>
      </c>
    </row>
    <row r="215" spans="1:1" x14ac:dyDescent="0.2">
      <c r="A215" t="str">
        <f>IF(ISBLANK(B215), "","GeographicalRegion-214")</f>
        <v/>
      </c>
    </row>
    <row r="216" spans="1:1" x14ac:dyDescent="0.2">
      <c r="A216" t="str">
        <f>IF(ISBLANK(B216), "","GeographicalRegion-215")</f>
        <v/>
      </c>
    </row>
    <row r="217" spans="1:1" x14ac:dyDescent="0.2">
      <c r="A217" t="str">
        <f>IF(ISBLANK(B217), "","GeographicalRegion-216")</f>
        <v/>
      </c>
    </row>
    <row r="218" spans="1:1" x14ac:dyDescent="0.2">
      <c r="A218" t="str">
        <f>IF(ISBLANK(B218), "","GeographicalRegion-217")</f>
        <v/>
      </c>
    </row>
    <row r="219" spans="1:1" x14ac:dyDescent="0.2">
      <c r="A219" t="str">
        <f>IF(ISBLANK(B219), "","GeographicalRegion-218")</f>
        <v/>
      </c>
    </row>
    <row r="220" spans="1:1" x14ac:dyDescent="0.2">
      <c r="A220" t="str">
        <f>IF(ISBLANK(B220), "","GeographicalRegion-219")</f>
        <v/>
      </c>
    </row>
    <row r="221" spans="1:1" x14ac:dyDescent="0.2">
      <c r="A221" t="str">
        <f>IF(ISBLANK(B221), "","GeographicalRegion-220")</f>
        <v/>
      </c>
    </row>
    <row r="222" spans="1:1" x14ac:dyDescent="0.2">
      <c r="A222" t="str">
        <f>IF(ISBLANK(B222), "","GeographicalRegion-221")</f>
        <v/>
      </c>
    </row>
    <row r="223" spans="1:1" x14ac:dyDescent="0.2">
      <c r="A223" t="str">
        <f>IF(ISBLANK(B223), "","GeographicalRegion-222")</f>
        <v/>
      </c>
    </row>
    <row r="224" spans="1:1" x14ac:dyDescent="0.2">
      <c r="A224" t="str">
        <f>IF(ISBLANK(B224), "","GeographicalRegion-223")</f>
        <v/>
      </c>
    </row>
    <row r="225" spans="1:1" x14ac:dyDescent="0.2">
      <c r="A225" t="str">
        <f>IF(ISBLANK(B225), "","GeographicalRegion-224")</f>
        <v/>
      </c>
    </row>
    <row r="226" spans="1:1" x14ac:dyDescent="0.2">
      <c r="A226" t="str">
        <f>IF(ISBLANK(B226), "","GeographicalRegion-225")</f>
        <v/>
      </c>
    </row>
    <row r="227" spans="1:1" x14ac:dyDescent="0.2">
      <c r="A227" t="str">
        <f>IF(ISBLANK(B227), "","GeographicalRegion-226")</f>
        <v/>
      </c>
    </row>
    <row r="228" spans="1:1" x14ac:dyDescent="0.2">
      <c r="A228" t="str">
        <f>IF(ISBLANK(B228), "","GeographicalRegion-227")</f>
        <v/>
      </c>
    </row>
    <row r="229" spans="1:1" x14ac:dyDescent="0.2">
      <c r="A229" t="str">
        <f>IF(ISBLANK(B229), "","GeographicalRegion-228")</f>
        <v/>
      </c>
    </row>
    <row r="230" spans="1:1" x14ac:dyDescent="0.2">
      <c r="A230" t="str">
        <f>IF(ISBLANK(B230), "","GeographicalRegion-229")</f>
        <v/>
      </c>
    </row>
    <row r="231" spans="1:1" x14ac:dyDescent="0.2">
      <c r="A231" t="str">
        <f>IF(ISBLANK(B231), "","GeographicalRegion-230")</f>
        <v/>
      </c>
    </row>
    <row r="232" spans="1:1" x14ac:dyDescent="0.2">
      <c r="A232" t="str">
        <f>IF(ISBLANK(B232), "","GeographicalRegion-231")</f>
        <v/>
      </c>
    </row>
    <row r="233" spans="1:1" x14ac:dyDescent="0.2">
      <c r="A233" t="str">
        <f>IF(ISBLANK(B233), "","GeographicalRegion-232")</f>
        <v/>
      </c>
    </row>
    <row r="234" spans="1:1" x14ac:dyDescent="0.2">
      <c r="A234" t="str">
        <f>IF(ISBLANK(B234), "","GeographicalRegion-233")</f>
        <v/>
      </c>
    </row>
    <row r="235" spans="1:1" x14ac:dyDescent="0.2">
      <c r="A235" t="str">
        <f>IF(ISBLANK(B235), "","GeographicalRegion-234")</f>
        <v/>
      </c>
    </row>
    <row r="236" spans="1:1" x14ac:dyDescent="0.2">
      <c r="A236" t="str">
        <f>IF(ISBLANK(B236), "","GeographicalRegion-235")</f>
        <v/>
      </c>
    </row>
    <row r="237" spans="1:1" x14ac:dyDescent="0.2">
      <c r="A237" t="str">
        <f>IF(ISBLANK(B237), "","GeographicalRegion-236")</f>
        <v/>
      </c>
    </row>
    <row r="238" spans="1:1" x14ac:dyDescent="0.2">
      <c r="A238" t="str">
        <f>IF(ISBLANK(B238), "","GeographicalRegion-237")</f>
        <v/>
      </c>
    </row>
    <row r="239" spans="1:1" x14ac:dyDescent="0.2">
      <c r="A239" t="str">
        <f>IF(ISBLANK(B239), "","GeographicalRegion-238")</f>
        <v/>
      </c>
    </row>
    <row r="240" spans="1:1" x14ac:dyDescent="0.2">
      <c r="A240" t="str">
        <f>IF(ISBLANK(B240), "","GeographicalRegion-239")</f>
        <v/>
      </c>
    </row>
    <row r="241" spans="1:1" x14ac:dyDescent="0.2">
      <c r="A241" t="str">
        <f>IF(ISBLANK(B241), "","GeographicalRegion-240")</f>
        <v/>
      </c>
    </row>
    <row r="242" spans="1:1" x14ac:dyDescent="0.2">
      <c r="A242" t="str">
        <f>IF(ISBLANK(B242), "","GeographicalRegion-241")</f>
        <v/>
      </c>
    </row>
    <row r="243" spans="1:1" x14ac:dyDescent="0.2">
      <c r="A243" t="str">
        <f>IF(ISBLANK(B243), "","GeographicalRegion-242")</f>
        <v/>
      </c>
    </row>
    <row r="244" spans="1:1" x14ac:dyDescent="0.2">
      <c r="A244" t="str">
        <f>IF(ISBLANK(B244), "","GeographicalRegion-243")</f>
        <v/>
      </c>
    </row>
    <row r="245" spans="1:1" x14ac:dyDescent="0.2">
      <c r="A245" t="str">
        <f>IF(ISBLANK(B245), "","GeographicalRegion-244")</f>
        <v/>
      </c>
    </row>
    <row r="246" spans="1:1" x14ac:dyDescent="0.2">
      <c r="A246" t="str">
        <f>IF(ISBLANK(B246), "","GeographicalRegion-245")</f>
        <v/>
      </c>
    </row>
    <row r="247" spans="1:1" x14ac:dyDescent="0.2">
      <c r="A247" t="str">
        <f>IF(ISBLANK(B247), "","GeographicalRegion-246")</f>
        <v/>
      </c>
    </row>
    <row r="248" spans="1:1" x14ac:dyDescent="0.2">
      <c r="A248" t="str">
        <f>IF(ISBLANK(B248), "","GeographicalRegion-247")</f>
        <v/>
      </c>
    </row>
    <row r="249" spans="1:1" x14ac:dyDescent="0.2">
      <c r="A249" t="str">
        <f>IF(ISBLANK(B249), "","GeographicalRegion-248")</f>
        <v/>
      </c>
    </row>
    <row r="250" spans="1:1" x14ac:dyDescent="0.2">
      <c r="A250" t="str">
        <f>IF(ISBLANK(B250), "","GeographicalRegion-249")</f>
        <v/>
      </c>
    </row>
    <row r="251" spans="1:1" x14ac:dyDescent="0.2">
      <c r="A251" t="str">
        <f>IF(ISBLANK(B251), "","GeographicalRegion-250")</f>
        <v/>
      </c>
    </row>
    <row r="252" spans="1:1" x14ac:dyDescent="0.2">
      <c r="A252" t="str">
        <f>IF(ISBLANK(B252), "","GeographicalRegion-251")</f>
        <v/>
      </c>
    </row>
    <row r="253" spans="1:1" x14ac:dyDescent="0.2">
      <c r="A253" t="str">
        <f>IF(ISBLANK(B253), "","GeographicalRegion-252")</f>
        <v/>
      </c>
    </row>
    <row r="254" spans="1:1" x14ac:dyDescent="0.2">
      <c r="A254" t="str">
        <f>IF(ISBLANK(B254), "","GeographicalRegion-253")</f>
        <v/>
      </c>
    </row>
    <row r="255" spans="1:1" x14ac:dyDescent="0.2">
      <c r="A255" t="str">
        <f>IF(ISBLANK(B255), "","GeographicalRegion-254")</f>
        <v/>
      </c>
    </row>
    <row r="256" spans="1:1" x14ac:dyDescent="0.2">
      <c r="A256" t="str">
        <f>IF(ISBLANK(B256), "","GeographicalRegion-255")</f>
        <v/>
      </c>
    </row>
    <row r="257" spans="1:1" x14ac:dyDescent="0.2">
      <c r="A257" t="str">
        <f>IF(ISBLANK(B257), "","GeographicalRegion-256")</f>
        <v/>
      </c>
    </row>
    <row r="258" spans="1:1" x14ac:dyDescent="0.2">
      <c r="A258" t="str">
        <f>IF(ISBLANK(B258), "","GeographicalRegion-257")</f>
        <v/>
      </c>
    </row>
    <row r="259" spans="1:1" x14ac:dyDescent="0.2">
      <c r="A259" t="str">
        <f>IF(ISBLANK(B259), "","GeographicalRegion-258")</f>
        <v/>
      </c>
    </row>
    <row r="260" spans="1:1" x14ac:dyDescent="0.2">
      <c r="A260" t="str">
        <f>IF(ISBLANK(B260), "","GeographicalRegion-259")</f>
        <v/>
      </c>
    </row>
    <row r="261" spans="1:1" x14ac:dyDescent="0.2">
      <c r="A261" t="str">
        <f>IF(ISBLANK(B261), "","GeographicalRegion-260")</f>
        <v/>
      </c>
    </row>
    <row r="262" spans="1:1" x14ac:dyDescent="0.2">
      <c r="A262" t="str">
        <f>IF(ISBLANK(B262), "","GeographicalRegion-261")</f>
        <v/>
      </c>
    </row>
    <row r="263" spans="1:1" x14ac:dyDescent="0.2">
      <c r="A263" t="str">
        <f>IF(ISBLANK(B263), "","GeographicalRegion-262")</f>
        <v/>
      </c>
    </row>
    <row r="264" spans="1:1" x14ac:dyDescent="0.2">
      <c r="A264" t="str">
        <f>IF(ISBLANK(B264), "","GeographicalRegion-263")</f>
        <v/>
      </c>
    </row>
    <row r="265" spans="1:1" x14ac:dyDescent="0.2">
      <c r="A265" t="str">
        <f>IF(ISBLANK(B265), "","GeographicalRegion-264")</f>
        <v/>
      </c>
    </row>
    <row r="266" spans="1:1" x14ac:dyDescent="0.2">
      <c r="A266" t="str">
        <f>IF(ISBLANK(B266), "","GeographicalRegion-265")</f>
        <v/>
      </c>
    </row>
    <row r="267" spans="1:1" x14ac:dyDescent="0.2">
      <c r="A267" t="str">
        <f>IF(ISBLANK(B267), "","GeographicalRegion-266")</f>
        <v/>
      </c>
    </row>
    <row r="268" spans="1:1" x14ac:dyDescent="0.2">
      <c r="A268" t="str">
        <f>IF(ISBLANK(B268), "","GeographicalRegion-267")</f>
        <v/>
      </c>
    </row>
    <row r="269" spans="1:1" x14ac:dyDescent="0.2">
      <c r="A269" t="str">
        <f>IF(ISBLANK(B269), "","GeographicalRegion-268")</f>
        <v/>
      </c>
    </row>
    <row r="270" spans="1:1" x14ac:dyDescent="0.2">
      <c r="A270" t="str">
        <f>IF(ISBLANK(B270), "","GeographicalRegion-269")</f>
        <v/>
      </c>
    </row>
    <row r="271" spans="1:1" x14ac:dyDescent="0.2">
      <c r="A271" t="str">
        <f>IF(ISBLANK(B271), "","GeographicalRegion-270")</f>
        <v/>
      </c>
    </row>
    <row r="272" spans="1:1" x14ac:dyDescent="0.2">
      <c r="A272" t="str">
        <f>IF(ISBLANK(B272), "","GeographicalRegion-271")</f>
        <v/>
      </c>
    </row>
    <row r="273" spans="1:1" x14ac:dyDescent="0.2">
      <c r="A273" t="str">
        <f>IF(ISBLANK(B273), "","GeographicalRegion-272")</f>
        <v/>
      </c>
    </row>
    <row r="274" spans="1:1" x14ac:dyDescent="0.2">
      <c r="A274" t="str">
        <f>IF(ISBLANK(B274), "","GeographicalRegion-273")</f>
        <v/>
      </c>
    </row>
    <row r="275" spans="1:1" x14ac:dyDescent="0.2">
      <c r="A275" t="str">
        <f>IF(ISBLANK(B275), "","GeographicalRegion-274")</f>
        <v/>
      </c>
    </row>
    <row r="276" spans="1:1" x14ac:dyDescent="0.2">
      <c r="A276" t="str">
        <f>IF(ISBLANK(B276), "","GeographicalRegion-275")</f>
        <v/>
      </c>
    </row>
    <row r="277" spans="1:1" x14ac:dyDescent="0.2">
      <c r="A277" t="str">
        <f>IF(ISBLANK(B277), "","GeographicalRegion-276")</f>
        <v/>
      </c>
    </row>
    <row r="278" spans="1:1" x14ac:dyDescent="0.2">
      <c r="A278" t="str">
        <f>IF(ISBLANK(B278), "","GeographicalRegion-277")</f>
        <v/>
      </c>
    </row>
    <row r="279" spans="1:1" x14ac:dyDescent="0.2">
      <c r="A279" t="str">
        <f>IF(ISBLANK(B279), "","GeographicalRegion-278")</f>
        <v/>
      </c>
    </row>
    <row r="280" spans="1:1" x14ac:dyDescent="0.2">
      <c r="A280" t="str">
        <f>IF(ISBLANK(B280), "","GeographicalRegion-279")</f>
        <v/>
      </c>
    </row>
    <row r="281" spans="1:1" x14ac:dyDescent="0.2">
      <c r="A281" t="str">
        <f>IF(ISBLANK(B281), "","GeographicalRegion-280")</f>
        <v/>
      </c>
    </row>
    <row r="282" spans="1:1" x14ac:dyDescent="0.2">
      <c r="A282" t="str">
        <f>IF(ISBLANK(B282), "","GeographicalRegion-281")</f>
        <v/>
      </c>
    </row>
    <row r="283" spans="1:1" x14ac:dyDescent="0.2">
      <c r="A283" t="str">
        <f>IF(ISBLANK(B283), "","GeographicalRegion-282")</f>
        <v/>
      </c>
    </row>
    <row r="284" spans="1:1" x14ac:dyDescent="0.2">
      <c r="A284" t="str">
        <f>IF(ISBLANK(B284), "","GeographicalRegion-283")</f>
        <v/>
      </c>
    </row>
    <row r="285" spans="1:1" x14ac:dyDescent="0.2">
      <c r="A285" t="str">
        <f>IF(ISBLANK(B285), "","GeographicalRegion-284")</f>
        <v/>
      </c>
    </row>
    <row r="286" spans="1:1" x14ac:dyDescent="0.2">
      <c r="A286" t="str">
        <f>IF(ISBLANK(B286), "","GeographicalRegion-285")</f>
        <v/>
      </c>
    </row>
    <row r="287" spans="1:1" x14ac:dyDescent="0.2">
      <c r="A287" t="str">
        <f>IF(ISBLANK(B287), "","GeographicalRegion-286")</f>
        <v/>
      </c>
    </row>
    <row r="288" spans="1:1" x14ac:dyDescent="0.2">
      <c r="A288" t="str">
        <f>IF(ISBLANK(B288), "","GeographicalRegion-287")</f>
        <v/>
      </c>
    </row>
    <row r="289" spans="1:1" x14ac:dyDescent="0.2">
      <c r="A289" t="str">
        <f>IF(ISBLANK(B289), "","GeographicalRegion-288")</f>
        <v/>
      </c>
    </row>
    <row r="290" spans="1:1" x14ac:dyDescent="0.2">
      <c r="A290" t="str">
        <f>IF(ISBLANK(B290), "","GeographicalRegion-289")</f>
        <v/>
      </c>
    </row>
    <row r="291" spans="1:1" x14ac:dyDescent="0.2">
      <c r="A291" t="str">
        <f>IF(ISBLANK(B291), "","GeographicalRegion-290")</f>
        <v/>
      </c>
    </row>
    <row r="292" spans="1:1" x14ac:dyDescent="0.2">
      <c r="A292" t="str">
        <f>IF(ISBLANK(B292), "","GeographicalRegion-291")</f>
        <v/>
      </c>
    </row>
    <row r="293" spans="1:1" x14ac:dyDescent="0.2">
      <c r="A293" t="str">
        <f>IF(ISBLANK(B293), "","GeographicalRegion-292")</f>
        <v/>
      </c>
    </row>
    <row r="294" spans="1:1" x14ac:dyDescent="0.2">
      <c r="A294" t="str">
        <f>IF(ISBLANK(B294), "","GeographicalRegion-293")</f>
        <v/>
      </c>
    </row>
    <row r="295" spans="1:1" x14ac:dyDescent="0.2">
      <c r="A295" t="str">
        <f>IF(ISBLANK(B295), "","GeographicalRegion-294")</f>
        <v/>
      </c>
    </row>
    <row r="296" spans="1:1" x14ac:dyDescent="0.2">
      <c r="A296" t="str">
        <f>IF(ISBLANK(B296), "","GeographicalRegion-295")</f>
        <v/>
      </c>
    </row>
    <row r="297" spans="1:1" x14ac:dyDescent="0.2">
      <c r="A297" t="str">
        <f>IF(ISBLANK(B297), "","GeographicalRegion-296")</f>
        <v/>
      </c>
    </row>
    <row r="298" spans="1:1" x14ac:dyDescent="0.2">
      <c r="A298" t="str">
        <f>IF(ISBLANK(B298), "","GeographicalRegion-297")</f>
        <v/>
      </c>
    </row>
    <row r="299" spans="1:1" x14ac:dyDescent="0.2">
      <c r="A299" t="str">
        <f>IF(ISBLANK(B299), "","GeographicalRegion-298")</f>
        <v/>
      </c>
    </row>
    <row r="300" spans="1:1" x14ac:dyDescent="0.2">
      <c r="A300" t="str">
        <f>IF(ISBLANK(B300), "","GeographicalRegion-299")</f>
        <v/>
      </c>
    </row>
    <row r="301" spans="1:1" x14ac:dyDescent="0.2">
      <c r="A301" t="str">
        <f>IF(ISBLANK(B301), "","GeographicalRegion-300")</f>
        <v/>
      </c>
    </row>
    <row r="302" spans="1:1" x14ac:dyDescent="0.2">
      <c r="A302" t="str">
        <f>IF(ISBLANK(B302), "","GeographicalRegion-301")</f>
        <v/>
      </c>
    </row>
    <row r="303" spans="1:1" x14ac:dyDescent="0.2">
      <c r="A303" t="str">
        <f>IF(ISBLANK(B303), "","GeographicalRegion-302")</f>
        <v/>
      </c>
    </row>
    <row r="304" spans="1:1" x14ac:dyDescent="0.2">
      <c r="A304" t="str">
        <f>IF(ISBLANK(B304), "","GeographicalRegion-303")</f>
        <v/>
      </c>
    </row>
    <row r="305" spans="1:1" x14ac:dyDescent="0.2">
      <c r="A305" t="str">
        <f>IF(ISBLANK(B305), "","GeographicalRegion-304")</f>
        <v/>
      </c>
    </row>
    <row r="306" spans="1:1" x14ac:dyDescent="0.2">
      <c r="A306" t="str">
        <f>IF(ISBLANK(B306), "","GeographicalRegion-305")</f>
        <v/>
      </c>
    </row>
    <row r="307" spans="1:1" x14ac:dyDescent="0.2">
      <c r="A307" t="str">
        <f>IF(ISBLANK(B307), "","GeographicalRegion-306")</f>
        <v/>
      </c>
    </row>
    <row r="308" spans="1:1" x14ac:dyDescent="0.2">
      <c r="A308" t="str">
        <f>IF(ISBLANK(B308), "","GeographicalRegion-307")</f>
        <v/>
      </c>
    </row>
    <row r="309" spans="1:1" x14ac:dyDescent="0.2">
      <c r="A309" t="str">
        <f>IF(ISBLANK(B309), "","GeographicalRegion-308")</f>
        <v/>
      </c>
    </row>
    <row r="310" spans="1:1" x14ac:dyDescent="0.2">
      <c r="A310" t="str">
        <f>IF(ISBLANK(B310), "","GeographicalRegion-309")</f>
        <v/>
      </c>
    </row>
    <row r="311" spans="1:1" x14ac:dyDescent="0.2">
      <c r="A311" t="str">
        <f>IF(ISBLANK(B311), "","GeographicalRegion-310")</f>
        <v/>
      </c>
    </row>
    <row r="312" spans="1:1" x14ac:dyDescent="0.2">
      <c r="A312" t="str">
        <f>IF(ISBLANK(B312), "","GeographicalRegion-311")</f>
        <v/>
      </c>
    </row>
    <row r="313" spans="1:1" x14ac:dyDescent="0.2">
      <c r="A313" t="str">
        <f>IF(ISBLANK(B313), "","GeographicalRegion-312")</f>
        <v/>
      </c>
    </row>
    <row r="314" spans="1:1" x14ac:dyDescent="0.2">
      <c r="A314" t="str">
        <f>IF(ISBLANK(B314), "","GeographicalRegion-313")</f>
        <v/>
      </c>
    </row>
    <row r="315" spans="1:1" x14ac:dyDescent="0.2">
      <c r="A315" t="str">
        <f>IF(ISBLANK(B315), "","GeographicalRegion-314")</f>
        <v/>
      </c>
    </row>
    <row r="316" spans="1:1" x14ac:dyDescent="0.2">
      <c r="A316" t="str">
        <f>IF(ISBLANK(B316), "","GeographicalRegion-315")</f>
        <v/>
      </c>
    </row>
    <row r="317" spans="1:1" x14ac:dyDescent="0.2">
      <c r="A317" t="str">
        <f>IF(ISBLANK(B317), "","GeographicalRegion-316")</f>
        <v/>
      </c>
    </row>
    <row r="318" spans="1:1" x14ac:dyDescent="0.2">
      <c r="A318" t="str">
        <f>IF(ISBLANK(B318), "","GeographicalRegion-317")</f>
        <v/>
      </c>
    </row>
    <row r="319" spans="1:1" x14ac:dyDescent="0.2">
      <c r="A319" t="str">
        <f>IF(ISBLANK(B319), "","GeographicalRegion-318")</f>
        <v/>
      </c>
    </row>
    <row r="320" spans="1:1" x14ac:dyDescent="0.2">
      <c r="A320" t="str">
        <f>IF(ISBLANK(B320), "","GeographicalRegion-319")</f>
        <v/>
      </c>
    </row>
    <row r="321" spans="1:1" x14ac:dyDescent="0.2">
      <c r="A321" t="str">
        <f>IF(ISBLANK(B321), "","GeographicalRegion-320")</f>
        <v/>
      </c>
    </row>
    <row r="322" spans="1:1" x14ac:dyDescent="0.2">
      <c r="A322" t="str">
        <f>IF(ISBLANK(B322), "","GeographicalRegion-321")</f>
        <v/>
      </c>
    </row>
    <row r="323" spans="1:1" x14ac:dyDescent="0.2">
      <c r="A323" t="str">
        <f>IF(ISBLANK(B323), "","GeographicalRegion-322")</f>
        <v/>
      </c>
    </row>
    <row r="324" spans="1:1" x14ac:dyDescent="0.2">
      <c r="A324" t="str">
        <f>IF(ISBLANK(B324), "","GeographicalRegion-323")</f>
        <v/>
      </c>
    </row>
    <row r="325" spans="1:1" x14ac:dyDescent="0.2">
      <c r="A325" t="str">
        <f>IF(ISBLANK(B325), "","GeographicalRegion-324")</f>
        <v/>
      </c>
    </row>
    <row r="326" spans="1:1" x14ac:dyDescent="0.2">
      <c r="A326" t="str">
        <f>IF(ISBLANK(B326), "","GeographicalRegion-325")</f>
        <v/>
      </c>
    </row>
    <row r="327" spans="1:1" x14ac:dyDescent="0.2">
      <c r="A327" t="str">
        <f>IF(ISBLANK(B327), "","GeographicalRegion-326")</f>
        <v/>
      </c>
    </row>
    <row r="328" spans="1:1" x14ac:dyDescent="0.2">
      <c r="A328" t="str">
        <f>IF(ISBLANK(B328), "","GeographicalRegion-327")</f>
        <v/>
      </c>
    </row>
    <row r="329" spans="1:1" x14ac:dyDescent="0.2">
      <c r="A329" t="str">
        <f>IF(ISBLANK(B329), "","GeographicalRegion-328")</f>
        <v/>
      </c>
    </row>
    <row r="330" spans="1:1" x14ac:dyDescent="0.2">
      <c r="A330" t="str">
        <f>IF(ISBLANK(B330), "","GeographicalRegion-329")</f>
        <v/>
      </c>
    </row>
    <row r="331" spans="1:1" x14ac:dyDescent="0.2">
      <c r="A331" t="str">
        <f>IF(ISBLANK(B331), "","GeographicalRegion-330")</f>
        <v/>
      </c>
    </row>
    <row r="332" spans="1:1" x14ac:dyDescent="0.2">
      <c r="A332" t="str">
        <f>IF(ISBLANK(B332), "","GeographicalRegion-331")</f>
        <v/>
      </c>
    </row>
    <row r="333" spans="1:1" x14ac:dyDescent="0.2">
      <c r="A333" t="str">
        <f>IF(ISBLANK(B333), "","GeographicalRegion-332")</f>
        <v/>
      </c>
    </row>
    <row r="334" spans="1:1" x14ac:dyDescent="0.2">
      <c r="A334" t="str">
        <f>IF(ISBLANK(B334), "","GeographicalRegion-333")</f>
        <v/>
      </c>
    </row>
    <row r="335" spans="1:1" x14ac:dyDescent="0.2">
      <c r="A335" t="str">
        <f>IF(ISBLANK(B335), "","GeographicalRegion-334")</f>
        <v/>
      </c>
    </row>
    <row r="336" spans="1:1" x14ac:dyDescent="0.2">
      <c r="A336" t="str">
        <f>IF(ISBLANK(B336), "","GeographicalRegion-335")</f>
        <v/>
      </c>
    </row>
    <row r="337" spans="1:1" x14ac:dyDescent="0.2">
      <c r="A337" t="str">
        <f>IF(ISBLANK(B337), "","GeographicalRegion-336")</f>
        <v/>
      </c>
    </row>
    <row r="338" spans="1:1" x14ac:dyDescent="0.2">
      <c r="A338" t="str">
        <f>IF(ISBLANK(B338), "","GeographicalRegion-337")</f>
        <v/>
      </c>
    </row>
    <row r="339" spans="1:1" x14ac:dyDescent="0.2">
      <c r="A339" t="str">
        <f>IF(ISBLANK(B339), "","GeographicalRegion-338")</f>
        <v/>
      </c>
    </row>
    <row r="340" spans="1:1" x14ac:dyDescent="0.2">
      <c r="A340" t="str">
        <f>IF(ISBLANK(B340), "","GeographicalRegion-339")</f>
        <v/>
      </c>
    </row>
    <row r="341" spans="1:1" x14ac:dyDescent="0.2">
      <c r="A341" t="str">
        <f>IF(ISBLANK(B341), "","GeographicalRegion-340")</f>
        <v/>
      </c>
    </row>
    <row r="342" spans="1:1" x14ac:dyDescent="0.2">
      <c r="A342" t="str">
        <f>IF(ISBLANK(B342), "","GeographicalRegion-341")</f>
        <v/>
      </c>
    </row>
    <row r="343" spans="1:1" x14ac:dyDescent="0.2">
      <c r="A343" t="str">
        <f>IF(ISBLANK(B343), "","GeographicalRegion-342")</f>
        <v/>
      </c>
    </row>
    <row r="344" spans="1:1" x14ac:dyDescent="0.2">
      <c r="A344" t="str">
        <f>IF(ISBLANK(B344), "","GeographicalRegion-343")</f>
        <v/>
      </c>
    </row>
    <row r="345" spans="1:1" x14ac:dyDescent="0.2">
      <c r="A345" t="str">
        <f>IF(ISBLANK(B345), "","GeographicalRegion-344")</f>
        <v/>
      </c>
    </row>
    <row r="346" spans="1:1" x14ac:dyDescent="0.2">
      <c r="A346" t="str">
        <f>IF(ISBLANK(B346), "","GeographicalRegion-345")</f>
        <v/>
      </c>
    </row>
    <row r="347" spans="1:1" x14ac:dyDescent="0.2">
      <c r="A347" t="str">
        <f>IF(ISBLANK(B347), "","GeographicalRegion-346")</f>
        <v/>
      </c>
    </row>
    <row r="348" spans="1:1" x14ac:dyDescent="0.2">
      <c r="A348" t="str">
        <f>IF(ISBLANK(B348), "","GeographicalRegion-347")</f>
        <v/>
      </c>
    </row>
    <row r="349" spans="1:1" x14ac:dyDescent="0.2">
      <c r="A349" t="str">
        <f>IF(ISBLANK(B349), "","GeographicalRegion-348")</f>
        <v/>
      </c>
    </row>
    <row r="350" spans="1:1" x14ac:dyDescent="0.2">
      <c r="A350" t="str">
        <f>IF(ISBLANK(B350), "","GeographicalRegion-349")</f>
        <v/>
      </c>
    </row>
    <row r="351" spans="1:1" x14ac:dyDescent="0.2">
      <c r="A351" t="str">
        <f>IF(ISBLANK(B351), "","GeographicalRegion-350")</f>
        <v/>
      </c>
    </row>
    <row r="352" spans="1:1" x14ac:dyDescent="0.2">
      <c r="A352" t="str">
        <f>IF(ISBLANK(B352), "","GeographicalRegion-351")</f>
        <v/>
      </c>
    </row>
    <row r="353" spans="1:1" x14ac:dyDescent="0.2">
      <c r="A353" t="str">
        <f>IF(ISBLANK(B353), "","GeographicalRegion-352")</f>
        <v/>
      </c>
    </row>
    <row r="354" spans="1:1" x14ac:dyDescent="0.2">
      <c r="A354" t="str">
        <f>IF(ISBLANK(B354), "","GeographicalRegion-353")</f>
        <v/>
      </c>
    </row>
    <row r="355" spans="1:1" x14ac:dyDescent="0.2">
      <c r="A355" t="str">
        <f>IF(ISBLANK(B355), "","GeographicalRegion-354")</f>
        <v/>
      </c>
    </row>
    <row r="356" spans="1:1" x14ac:dyDescent="0.2">
      <c r="A356" t="str">
        <f>IF(ISBLANK(B356), "","GeographicalRegion-355")</f>
        <v/>
      </c>
    </row>
    <row r="357" spans="1:1" x14ac:dyDescent="0.2">
      <c r="A357" t="str">
        <f>IF(ISBLANK(B357), "","GeographicalRegion-356")</f>
        <v/>
      </c>
    </row>
    <row r="358" spans="1:1" x14ac:dyDescent="0.2">
      <c r="A358" t="str">
        <f>IF(ISBLANK(B358), "","GeographicalRegion-357")</f>
        <v/>
      </c>
    </row>
    <row r="359" spans="1:1" x14ac:dyDescent="0.2">
      <c r="A359" t="str">
        <f>IF(ISBLANK(B359), "","GeographicalRegion-358")</f>
        <v/>
      </c>
    </row>
    <row r="360" spans="1:1" x14ac:dyDescent="0.2">
      <c r="A360" t="str">
        <f>IF(ISBLANK(B360), "","GeographicalRegion-359")</f>
        <v/>
      </c>
    </row>
    <row r="361" spans="1:1" x14ac:dyDescent="0.2">
      <c r="A361" t="str">
        <f>IF(ISBLANK(B361), "","GeographicalRegion-360")</f>
        <v/>
      </c>
    </row>
    <row r="362" spans="1:1" x14ac:dyDescent="0.2">
      <c r="A362" t="str">
        <f>IF(ISBLANK(B362), "","GeographicalRegion-361")</f>
        <v/>
      </c>
    </row>
    <row r="363" spans="1:1" x14ac:dyDescent="0.2">
      <c r="A363" t="str">
        <f>IF(ISBLANK(B363), "","GeographicalRegion-362")</f>
        <v/>
      </c>
    </row>
    <row r="364" spans="1:1" x14ac:dyDescent="0.2">
      <c r="A364" t="str">
        <f>IF(ISBLANK(B364), "","GeographicalRegion-363")</f>
        <v/>
      </c>
    </row>
    <row r="365" spans="1:1" x14ac:dyDescent="0.2">
      <c r="A365" t="str">
        <f>IF(ISBLANK(B365), "","GeographicalRegion-364")</f>
        <v/>
      </c>
    </row>
    <row r="366" spans="1:1" x14ac:dyDescent="0.2">
      <c r="A366" t="str">
        <f>IF(ISBLANK(B366), "","GeographicalRegion-365")</f>
        <v/>
      </c>
    </row>
    <row r="367" spans="1:1" x14ac:dyDescent="0.2">
      <c r="A367" t="str">
        <f>IF(ISBLANK(B367), "","GeographicalRegion-366")</f>
        <v/>
      </c>
    </row>
    <row r="368" spans="1:1" x14ac:dyDescent="0.2">
      <c r="A368" t="str">
        <f>IF(ISBLANK(B368), "","GeographicalRegion-367")</f>
        <v/>
      </c>
    </row>
    <row r="369" spans="1:1" x14ac:dyDescent="0.2">
      <c r="A369" t="str">
        <f>IF(ISBLANK(B369), "","GeographicalRegion-368")</f>
        <v/>
      </c>
    </row>
    <row r="370" spans="1:1" x14ac:dyDescent="0.2">
      <c r="A370" t="str">
        <f>IF(ISBLANK(B370), "","GeographicalRegion-369")</f>
        <v/>
      </c>
    </row>
    <row r="371" spans="1:1" x14ac:dyDescent="0.2">
      <c r="A371" t="str">
        <f>IF(ISBLANK(B371), "","GeographicalRegion-370")</f>
        <v/>
      </c>
    </row>
    <row r="372" spans="1:1" x14ac:dyDescent="0.2">
      <c r="A372" t="str">
        <f>IF(ISBLANK(B372), "","GeographicalRegion-371")</f>
        <v/>
      </c>
    </row>
    <row r="373" spans="1:1" x14ac:dyDescent="0.2">
      <c r="A373" t="str">
        <f>IF(ISBLANK(B373), "","GeographicalRegion-372")</f>
        <v/>
      </c>
    </row>
    <row r="374" spans="1:1" x14ac:dyDescent="0.2">
      <c r="A374" t="str">
        <f>IF(ISBLANK(B374), "","GeographicalRegion-373")</f>
        <v/>
      </c>
    </row>
    <row r="375" spans="1:1" x14ac:dyDescent="0.2">
      <c r="A375" t="str">
        <f>IF(ISBLANK(B375), "","GeographicalRegion-374")</f>
        <v/>
      </c>
    </row>
    <row r="376" spans="1:1" x14ac:dyDescent="0.2">
      <c r="A376" t="str">
        <f>IF(ISBLANK(B376), "","GeographicalRegion-375")</f>
        <v/>
      </c>
    </row>
    <row r="377" spans="1:1" x14ac:dyDescent="0.2">
      <c r="A377" t="str">
        <f>IF(ISBLANK(B377), "","GeographicalRegion-376")</f>
        <v/>
      </c>
    </row>
    <row r="378" spans="1:1" x14ac:dyDescent="0.2">
      <c r="A378" t="str">
        <f>IF(ISBLANK(B378), "","GeographicalRegion-377")</f>
        <v/>
      </c>
    </row>
    <row r="379" spans="1:1" x14ac:dyDescent="0.2">
      <c r="A379" t="str">
        <f>IF(ISBLANK(B379), "","GeographicalRegion-378")</f>
        <v/>
      </c>
    </row>
    <row r="380" spans="1:1" x14ac:dyDescent="0.2">
      <c r="A380" t="str">
        <f>IF(ISBLANK(B380), "","GeographicalRegion-379")</f>
        <v/>
      </c>
    </row>
    <row r="381" spans="1:1" x14ac:dyDescent="0.2">
      <c r="A381" t="str">
        <f>IF(ISBLANK(B381), "","GeographicalRegion-380")</f>
        <v/>
      </c>
    </row>
    <row r="382" spans="1:1" x14ac:dyDescent="0.2">
      <c r="A382" t="str">
        <f>IF(ISBLANK(B382), "","GeographicalRegion-381")</f>
        <v/>
      </c>
    </row>
    <row r="383" spans="1:1" x14ac:dyDescent="0.2">
      <c r="A383" t="str">
        <f>IF(ISBLANK(B383), "","GeographicalRegion-382")</f>
        <v/>
      </c>
    </row>
    <row r="384" spans="1:1" x14ac:dyDescent="0.2">
      <c r="A384" t="str">
        <f>IF(ISBLANK(B384), "","GeographicalRegion-383")</f>
        <v/>
      </c>
    </row>
    <row r="385" spans="1:1" x14ac:dyDescent="0.2">
      <c r="A385" t="str">
        <f>IF(ISBLANK(B385), "","GeographicalRegion-384")</f>
        <v/>
      </c>
    </row>
    <row r="386" spans="1:1" x14ac:dyDescent="0.2">
      <c r="A386" t="str">
        <f>IF(ISBLANK(B386), "","GeographicalRegion-385")</f>
        <v/>
      </c>
    </row>
    <row r="387" spans="1:1" x14ac:dyDescent="0.2">
      <c r="A387" t="str">
        <f>IF(ISBLANK(B387), "","GeographicalRegion-386")</f>
        <v/>
      </c>
    </row>
    <row r="388" spans="1:1" x14ac:dyDescent="0.2">
      <c r="A388" t="str">
        <f>IF(ISBLANK(B388), "","GeographicalRegion-387")</f>
        <v/>
      </c>
    </row>
    <row r="389" spans="1:1" x14ac:dyDescent="0.2">
      <c r="A389" t="str">
        <f>IF(ISBLANK(B389), "","GeographicalRegion-388")</f>
        <v/>
      </c>
    </row>
    <row r="390" spans="1:1" x14ac:dyDescent="0.2">
      <c r="A390" t="str">
        <f>IF(ISBLANK(B390), "","GeographicalRegion-389")</f>
        <v/>
      </c>
    </row>
    <row r="391" spans="1:1" x14ac:dyDescent="0.2">
      <c r="A391" t="str">
        <f>IF(ISBLANK(B391), "","GeographicalRegion-390")</f>
        <v/>
      </c>
    </row>
    <row r="392" spans="1:1" x14ac:dyDescent="0.2">
      <c r="A392" t="str">
        <f>IF(ISBLANK(B392), "","GeographicalRegion-391")</f>
        <v/>
      </c>
    </row>
    <row r="393" spans="1:1" x14ac:dyDescent="0.2">
      <c r="A393" t="str">
        <f>IF(ISBLANK(B393), "","GeographicalRegion-392")</f>
        <v/>
      </c>
    </row>
    <row r="394" spans="1:1" x14ac:dyDescent="0.2">
      <c r="A394" t="str">
        <f>IF(ISBLANK(B394), "","GeographicalRegion-393")</f>
        <v/>
      </c>
    </row>
    <row r="395" spans="1:1" x14ac:dyDescent="0.2">
      <c r="A395" t="str">
        <f>IF(ISBLANK(B395), "","GeographicalRegion-394")</f>
        <v/>
      </c>
    </row>
    <row r="396" spans="1:1" x14ac:dyDescent="0.2">
      <c r="A396" t="str">
        <f>IF(ISBLANK(B396), "","GeographicalRegion-395")</f>
        <v/>
      </c>
    </row>
    <row r="397" spans="1:1" x14ac:dyDescent="0.2">
      <c r="A397" t="str">
        <f>IF(ISBLANK(B397), "","GeographicalRegion-396")</f>
        <v/>
      </c>
    </row>
    <row r="398" spans="1:1" x14ac:dyDescent="0.2">
      <c r="A398" t="str">
        <f>IF(ISBLANK(B398), "","GeographicalRegion-397")</f>
        <v/>
      </c>
    </row>
    <row r="399" spans="1:1" x14ac:dyDescent="0.2">
      <c r="A399" t="str">
        <f>IF(ISBLANK(B399), "","GeographicalRegion-398")</f>
        <v/>
      </c>
    </row>
    <row r="400" spans="1:1" x14ac:dyDescent="0.2">
      <c r="A400" t="str">
        <f>IF(ISBLANK(B400), "","GeographicalRegion-399")</f>
        <v/>
      </c>
    </row>
    <row r="401" spans="1:1" x14ac:dyDescent="0.2">
      <c r="A401" t="str">
        <f>IF(ISBLANK(B401), "","GeographicalRegion-400")</f>
        <v/>
      </c>
    </row>
    <row r="402" spans="1:1" x14ac:dyDescent="0.2">
      <c r="A402" t="str">
        <f>IF(ISBLANK(B402), "","GeographicalRegion-401")</f>
        <v/>
      </c>
    </row>
    <row r="403" spans="1:1" x14ac:dyDescent="0.2">
      <c r="A403" t="str">
        <f>IF(ISBLANK(B403), "","GeographicalRegion-402")</f>
        <v/>
      </c>
    </row>
    <row r="404" spans="1:1" x14ac:dyDescent="0.2">
      <c r="A404" t="str">
        <f>IF(ISBLANK(B404), "","GeographicalRegion-403")</f>
        <v/>
      </c>
    </row>
    <row r="405" spans="1:1" x14ac:dyDescent="0.2">
      <c r="A405" t="str">
        <f>IF(ISBLANK(B405), "","GeographicalRegion-404")</f>
        <v/>
      </c>
    </row>
    <row r="406" spans="1:1" x14ac:dyDescent="0.2">
      <c r="A406" t="str">
        <f>IF(ISBLANK(B406), "","GeographicalRegion-405")</f>
        <v/>
      </c>
    </row>
    <row r="407" spans="1:1" x14ac:dyDescent="0.2">
      <c r="A407" t="str">
        <f>IF(ISBLANK(B407), "","GeographicalRegion-406")</f>
        <v/>
      </c>
    </row>
    <row r="408" spans="1:1" x14ac:dyDescent="0.2">
      <c r="A408" t="str">
        <f>IF(ISBLANK(B408), "","GeographicalRegion-407")</f>
        <v/>
      </c>
    </row>
    <row r="409" spans="1:1" x14ac:dyDescent="0.2">
      <c r="A409" t="str">
        <f>IF(ISBLANK(B409), "","GeographicalRegion-408")</f>
        <v/>
      </c>
    </row>
    <row r="410" spans="1:1" x14ac:dyDescent="0.2">
      <c r="A410" t="str">
        <f>IF(ISBLANK(B410), "","GeographicalRegion-409")</f>
        <v/>
      </c>
    </row>
    <row r="411" spans="1:1" x14ac:dyDescent="0.2">
      <c r="A411" t="str">
        <f>IF(ISBLANK(B411), "","GeographicalRegion-410")</f>
        <v/>
      </c>
    </row>
    <row r="412" spans="1:1" x14ac:dyDescent="0.2">
      <c r="A412" t="str">
        <f>IF(ISBLANK(B412), "","GeographicalRegion-411")</f>
        <v/>
      </c>
    </row>
    <row r="413" spans="1:1" x14ac:dyDescent="0.2">
      <c r="A413" t="str">
        <f>IF(ISBLANK(B413), "","GeographicalRegion-412")</f>
        <v/>
      </c>
    </row>
    <row r="414" spans="1:1" x14ac:dyDescent="0.2">
      <c r="A414" t="str">
        <f>IF(ISBLANK(B414), "","GeographicalRegion-413")</f>
        <v/>
      </c>
    </row>
    <row r="415" spans="1:1" x14ac:dyDescent="0.2">
      <c r="A415" t="str">
        <f>IF(ISBLANK(B415), "","GeographicalRegion-414")</f>
        <v/>
      </c>
    </row>
    <row r="416" spans="1:1" x14ac:dyDescent="0.2">
      <c r="A416" t="str">
        <f>IF(ISBLANK(B416), "","GeographicalRegion-415")</f>
        <v/>
      </c>
    </row>
    <row r="417" spans="1:1" x14ac:dyDescent="0.2">
      <c r="A417" t="str">
        <f>IF(ISBLANK(B417), "","GeographicalRegion-416")</f>
        <v/>
      </c>
    </row>
    <row r="418" spans="1:1" x14ac:dyDescent="0.2">
      <c r="A418" t="str">
        <f>IF(ISBLANK(B418), "","GeographicalRegion-417")</f>
        <v/>
      </c>
    </row>
    <row r="419" spans="1:1" x14ac:dyDescent="0.2">
      <c r="A419" t="str">
        <f>IF(ISBLANK(B419), "","GeographicalRegion-418")</f>
        <v/>
      </c>
    </row>
    <row r="420" spans="1:1" x14ac:dyDescent="0.2">
      <c r="A420" t="str">
        <f>IF(ISBLANK(B420), "","GeographicalRegion-419")</f>
        <v/>
      </c>
    </row>
    <row r="421" spans="1:1" x14ac:dyDescent="0.2">
      <c r="A421" t="str">
        <f>IF(ISBLANK(B421), "","GeographicalRegion-420")</f>
        <v/>
      </c>
    </row>
    <row r="422" spans="1:1" x14ac:dyDescent="0.2">
      <c r="A422" t="str">
        <f>IF(ISBLANK(B422), "","GeographicalRegion-421")</f>
        <v/>
      </c>
    </row>
    <row r="423" spans="1:1" x14ac:dyDescent="0.2">
      <c r="A423" t="str">
        <f>IF(ISBLANK(B423), "","GeographicalRegion-422")</f>
        <v/>
      </c>
    </row>
    <row r="424" spans="1:1" x14ac:dyDescent="0.2">
      <c r="A424" t="str">
        <f>IF(ISBLANK(B424), "","GeographicalRegion-423")</f>
        <v/>
      </c>
    </row>
    <row r="425" spans="1:1" x14ac:dyDescent="0.2">
      <c r="A425" t="str">
        <f>IF(ISBLANK(B425), "","GeographicalRegion-424")</f>
        <v/>
      </c>
    </row>
    <row r="426" spans="1:1" x14ac:dyDescent="0.2">
      <c r="A426" t="str">
        <f>IF(ISBLANK(B426), "","GeographicalRegion-425")</f>
        <v/>
      </c>
    </row>
    <row r="427" spans="1:1" x14ac:dyDescent="0.2">
      <c r="A427" t="str">
        <f>IF(ISBLANK(B427), "","GeographicalRegion-426")</f>
        <v/>
      </c>
    </row>
    <row r="428" spans="1:1" x14ac:dyDescent="0.2">
      <c r="A428" t="str">
        <f>IF(ISBLANK(B428), "","GeographicalRegion-427")</f>
        <v/>
      </c>
    </row>
    <row r="429" spans="1:1" x14ac:dyDescent="0.2">
      <c r="A429" t="str">
        <f>IF(ISBLANK(B429), "","GeographicalRegion-428")</f>
        <v/>
      </c>
    </row>
    <row r="430" spans="1:1" x14ac:dyDescent="0.2">
      <c r="A430" t="str">
        <f>IF(ISBLANK(B430), "","GeographicalRegion-429")</f>
        <v/>
      </c>
    </row>
    <row r="431" spans="1:1" x14ac:dyDescent="0.2">
      <c r="A431" t="str">
        <f>IF(ISBLANK(B431), "","GeographicalRegion-430")</f>
        <v/>
      </c>
    </row>
    <row r="432" spans="1:1" x14ac:dyDescent="0.2">
      <c r="A432" t="str">
        <f>IF(ISBLANK(B432), "","GeographicalRegion-431")</f>
        <v/>
      </c>
    </row>
    <row r="433" spans="1:1" x14ac:dyDescent="0.2">
      <c r="A433" t="str">
        <f>IF(ISBLANK(B433), "","GeographicalRegion-432")</f>
        <v/>
      </c>
    </row>
    <row r="434" spans="1:1" x14ac:dyDescent="0.2">
      <c r="A434" t="str">
        <f>IF(ISBLANK(B434), "","GeographicalRegion-433")</f>
        <v/>
      </c>
    </row>
    <row r="435" spans="1:1" x14ac:dyDescent="0.2">
      <c r="A435" t="str">
        <f>IF(ISBLANK(B435), "","GeographicalRegion-434")</f>
        <v/>
      </c>
    </row>
    <row r="436" spans="1:1" x14ac:dyDescent="0.2">
      <c r="A436" t="str">
        <f>IF(ISBLANK(B436), "","GeographicalRegion-435")</f>
        <v/>
      </c>
    </row>
    <row r="437" spans="1:1" x14ac:dyDescent="0.2">
      <c r="A437" t="str">
        <f>IF(ISBLANK(B437), "","GeographicalRegion-436")</f>
        <v/>
      </c>
    </row>
    <row r="438" spans="1:1" x14ac:dyDescent="0.2">
      <c r="A438" t="str">
        <f>IF(ISBLANK(B438), "","GeographicalRegion-437")</f>
        <v/>
      </c>
    </row>
    <row r="439" spans="1:1" x14ac:dyDescent="0.2">
      <c r="A439" t="str">
        <f>IF(ISBLANK(B439), "","GeographicalRegion-438")</f>
        <v/>
      </c>
    </row>
    <row r="440" spans="1:1" x14ac:dyDescent="0.2">
      <c r="A440" t="str">
        <f>IF(ISBLANK(B440), "","GeographicalRegion-439")</f>
        <v/>
      </c>
    </row>
    <row r="441" spans="1:1" x14ac:dyDescent="0.2">
      <c r="A441" t="str">
        <f>IF(ISBLANK(B441), "","GeographicalRegion-440")</f>
        <v/>
      </c>
    </row>
    <row r="442" spans="1:1" x14ac:dyDescent="0.2">
      <c r="A442" t="str">
        <f>IF(ISBLANK(B442), "","GeographicalRegion-441")</f>
        <v/>
      </c>
    </row>
    <row r="443" spans="1:1" x14ac:dyDescent="0.2">
      <c r="A443" t="str">
        <f>IF(ISBLANK(B443), "","GeographicalRegion-442")</f>
        <v/>
      </c>
    </row>
    <row r="444" spans="1:1" x14ac:dyDescent="0.2">
      <c r="A444" t="str">
        <f>IF(ISBLANK(B444), "","GeographicalRegion-443")</f>
        <v/>
      </c>
    </row>
    <row r="445" spans="1:1" x14ac:dyDescent="0.2">
      <c r="A445" t="str">
        <f>IF(ISBLANK(B445), "","GeographicalRegion-444")</f>
        <v/>
      </c>
    </row>
    <row r="446" spans="1:1" x14ac:dyDescent="0.2">
      <c r="A446" t="str">
        <f>IF(ISBLANK(B446), "","GeographicalRegion-445")</f>
        <v/>
      </c>
    </row>
    <row r="447" spans="1:1" x14ac:dyDescent="0.2">
      <c r="A447" t="str">
        <f>IF(ISBLANK(B447), "","GeographicalRegion-446")</f>
        <v/>
      </c>
    </row>
    <row r="448" spans="1:1" x14ac:dyDescent="0.2">
      <c r="A448" t="str">
        <f>IF(ISBLANK(B448), "","GeographicalRegion-447")</f>
        <v/>
      </c>
    </row>
    <row r="449" spans="1:1" x14ac:dyDescent="0.2">
      <c r="A449" t="str">
        <f>IF(ISBLANK(B449), "","GeographicalRegion-448")</f>
        <v/>
      </c>
    </row>
    <row r="450" spans="1:1" x14ac:dyDescent="0.2">
      <c r="A450" t="str">
        <f>IF(ISBLANK(B450), "","GeographicalRegion-449")</f>
        <v/>
      </c>
    </row>
    <row r="451" spans="1:1" x14ac:dyDescent="0.2">
      <c r="A451" t="str">
        <f>IF(ISBLANK(B451), "","GeographicalRegion-450")</f>
        <v/>
      </c>
    </row>
    <row r="452" spans="1:1" x14ac:dyDescent="0.2">
      <c r="A452" t="str">
        <f>IF(ISBLANK(B452), "","GeographicalRegion-451")</f>
        <v/>
      </c>
    </row>
    <row r="453" spans="1:1" x14ac:dyDescent="0.2">
      <c r="A453" t="str">
        <f>IF(ISBLANK(B453), "","GeographicalRegion-452")</f>
        <v/>
      </c>
    </row>
    <row r="454" spans="1:1" x14ac:dyDescent="0.2">
      <c r="A454" t="str">
        <f>IF(ISBLANK(B454), "","GeographicalRegion-453")</f>
        <v/>
      </c>
    </row>
    <row r="455" spans="1:1" x14ac:dyDescent="0.2">
      <c r="A455" t="str">
        <f>IF(ISBLANK(B455), "","GeographicalRegion-454")</f>
        <v/>
      </c>
    </row>
    <row r="456" spans="1:1" x14ac:dyDescent="0.2">
      <c r="A456" t="str">
        <f>IF(ISBLANK(B456), "","GeographicalRegion-455")</f>
        <v/>
      </c>
    </row>
    <row r="457" spans="1:1" x14ac:dyDescent="0.2">
      <c r="A457" t="str">
        <f>IF(ISBLANK(B457), "","GeographicalRegion-456")</f>
        <v/>
      </c>
    </row>
    <row r="458" spans="1:1" x14ac:dyDescent="0.2">
      <c r="A458" t="str">
        <f>IF(ISBLANK(B458), "","GeographicalRegion-457")</f>
        <v/>
      </c>
    </row>
    <row r="459" spans="1:1" x14ac:dyDescent="0.2">
      <c r="A459" t="str">
        <f>IF(ISBLANK(B459), "","GeographicalRegion-458")</f>
        <v/>
      </c>
    </row>
    <row r="460" spans="1:1" x14ac:dyDescent="0.2">
      <c r="A460" t="str">
        <f>IF(ISBLANK(B460), "","GeographicalRegion-459")</f>
        <v/>
      </c>
    </row>
    <row r="461" spans="1:1" x14ac:dyDescent="0.2">
      <c r="A461" t="str">
        <f>IF(ISBLANK(B461), "","GeographicalRegion-460")</f>
        <v/>
      </c>
    </row>
    <row r="462" spans="1:1" x14ac:dyDescent="0.2">
      <c r="A462" t="str">
        <f>IF(ISBLANK(B462), "","GeographicalRegion-461")</f>
        <v/>
      </c>
    </row>
    <row r="463" spans="1:1" x14ac:dyDescent="0.2">
      <c r="A463" t="str">
        <f>IF(ISBLANK(B463), "","GeographicalRegion-462")</f>
        <v/>
      </c>
    </row>
    <row r="464" spans="1:1" x14ac:dyDescent="0.2">
      <c r="A464" t="str">
        <f>IF(ISBLANK(B464), "","GeographicalRegion-463")</f>
        <v/>
      </c>
    </row>
    <row r="465" spans="1:1" x14ac:dyDescent="0.2">
      <c r="A465" t="str">
        <f>IF(ISBLANK(B465), "","GeographicalRegion-464")</f>
        <v/>
      </c>
    </row>
    <row r="466" spans="1:1" x14ac:dyDescent="0.2">
      <c r="A466" t="str">
        <f>IF(ISBLANK(B466), "","GeographicalRegion-465")</f>
        <v/>
      </c>
    </row>
    <row r="467" spans="1:1" x14ac:dyDescent="0.2">
      <c r="A467" t="str">
        <f>IF(ISBLANK(B467), "","GeographicalRegion-466")</f>
        <v/>
      </c>
    </row>
    <row r="468" spans="1:1" x14ac:dyDescent="0.2">
      <c r="A468" t="str">
        <f>IF(ISBLANK(B468), "","GeographicalRegion-467")</f>
        <v/>
      </c>
    </row>
    <row r="469" spans="1:1" x14ac:dyDescent="0.2">
      <c r="A469" t="str">
        <f>IF(ISBLANK(B469), "","GeographicalRegion-468")</f>
        <v/>
      </c>
    </row>
    <row r="470" spans="1:1" x14ac:dyDescent="0.2">
      <c r="A470" t="str">
        <f>IF(ISBLANK(B470), "","GeographicalRegion-469")</f>
        <v/>
      </c>
    </row>
    <row r="471" spans="1:1" x14ac:dyDescent="0.2">
      <c r="A471" t="str">
        <f>IF(ISBLANK(B471), "","GeographicalRegion-470")</f>
        <v/>
      </c>
    </row>
    <row r="472" spans="1:1" x14ac:dyDescent="0.2">
      <c r="A472" t="str">
        <f>IF(ISBLANK(B472), "","GeographicalRegion-471")</f>
        <v/>
      </c>
    </row>
    <row r="473" spans="1:1" x14ac:dyDescent="0.2">
      <c r="A473" t="str">
        <f>IF(ISBLANK(B473), "","GeographicalRegion-472")</f>
        <v/>
      </c>
    </row>
    <row r="474" spans="1:1" x14ac:dyDescent="0.2">
      <c r="A474" t="str">
        <f>IF(ISBLANK(B474), "","GeographicalRegion-473")</f>
        <v/>
      </c>
    </row>
    <row r="475" spans="1:1" x14ac:dyDescent="0.2">
      <c r="A475" t="str">
        <f>IF(ISBLANK(B475), "","GeographicalRegion-474")</f>
        <v/>
      </c>
    </row>
    <row r="476" spans="1:1" x14ac:dyDescent="0.2">
      <c r="A476" t="str">
        <f>IF(ISBLANK(B476), "","GeographicalRegion-475")</f>
        <v/>
      </c>
    </row>
    <row r="477" spans="1:1" x14ac:dyDescent="0.2">
      <c r="A477" t="str">
        <f>IF(ISBLANK(B477), "","GeographicalRegion-476")</f>
        <v/>
      </c>
    </row>
    <row r="478" spans="1:1" x14ac:dyDescent="0.2">
      <c r="A478" t="str">
        <f>IF(ISBLANK(B478), "","GeographicalRegion-477")</f>
        <v/>
      </c>
    </row>
    <row r="479" spans="1:1" x14ac:dyDescent="0.2">
      <c r="A479" t="str">
        <f>IF(ISBLANK(B479), "","GeographicalRegion-478")</f>
        <v/>
      </c>
    </row>
    <row r="480" spans="1:1" x14ac:dyDescent="0.2">
      <c r="A480" t="str">
        <f>IF(ISBLANK(B480), "","GeographicalRegion-479")</f>
        <v/>
      </c>
    </row>
    <row r="481" spans="1:1" x14ac:dyDescent="0.2">
      <c r="A481" t="str">
        <f>IF(ISBLANK(B481), "","GeographicalRegion-480")</f>
        <v/>
      </c>
    </row>
    <row r="482" spans="1:1" x14ac:dyDescent="0.2">
      <c r="A482" t="str">
        <f>IF(ISBLANK(B482), "","GeographicalRegion-481")</f>
        <v/>
      </c>
    </row>
    <row r="483" spans="1:1" x14ac:dyDescent="0.2">
      <c r="A483" t="str">
        <f>IF(ISBLANK(B483), "","GeographicalRegion-482")</f>
        <v/>
      </c>
    </row>
    <row r="484" spans="1:1" x14ac:dyDescent="0.2">
      <c r="A484" t="str">
        <f>IF(ISBLANK(B484), "","GeographicalRegion-483")</f>
        <v/>
      </c>
    </row>
    <row r="485" spans="1:1" x14ac:dyDescent="0.2">
      <c r="A485" t="str">
        <f>IF(ISBLANK(B485), "","GeographicalRegion-484")</f>
        <v/>
      </c>
    </row>
    <row r="486" spans="1:1" x14ac:dyDescent="0.2">
      <c r="A486" t="str">
        <f>IF(ISBLANK(B486), "","GeographicalRegion-485")</f>
        <v/>
      </c>
    </row>
    <row r="487" spans="1:1" x14ac:dyDescent="0.2">
      <c r="A487" t="str">
        <f>IF(ISBLANK(B487), "","GeographicalRegion-486")</f>
        <v/>
      </c>
    </row>
    <row r="488" spans="1:1" x14ac:dyDescent="0.2">
      <c r="A488" t="str">
        <f>IF(ISBLANK(B488), "","GeographicalRegion-487")</f>
        <v/>
      </c>
    </row>
    <row r="489" spans="1:1" x14ac:dyDescent="0.2">
      <c r="A489" t="str">
        <f>IF(ISBLANK(B489), "","GeographicalRegion-488")</f>
        <v/>
      </c>
    </row>
    <row r="490" spans="1:1" x14ac:dyDescent="0.2">
      <c r="A490" t="str">
        <f>IF(ISBLANK(B490), "","GeographicalRegion-489")</f>
        <v/>
      </c>
    </row>
    <row r="491" spans="1:1" x14ac:dyDescent="0.2">
      <c r="A491" t="str">
        <f>IF(ISBLANK(B491), "","GeographicalRegion-490")</f>
        <v/>
      </c>
    </row>
    <row r="492" spans="1:1" x14ac:dyDescent="0.2">
      <c r="A492" t="str">
        <f>IF(ISBLANK(B492), "","GeographicalRegion-491")</f>
        <v/>
      </c>
    </row>
    <row r="493" spans="1:1" x14ac:dyDescent="0.2">
      <c r="A493" t="str">
        <f>IF(ISBLANK(B493), "","GeographicalRegion-492")</f>
        <v/>
      </c>
    </row>
    <row r="494" spans="1:1" x14ac:dyDescent="0.2">
      <c r="A494" t="str">
        <f>IF(ISBLANK(B494), "","GeographicalRegion-493")</f>
        <v/>
      </c>
    </row>
    <row r="495" spans="1:1" x14ac:dyDescent="0.2">
      <c r="A495" t="str">
        <f>IF(ISBLANK(B495), "","GeographicalRegion-494")</f>
        <v/>
      </c>
    </row>
    <row r="496" spans="1:1" x14ac:dyDescent="0.2">
      <c r="A496" t="str">
        <f>IF(ISBLANK(B496), "","GeographicalRegion-495")</f>
        <v/>
      </c>
    </row>
    <row r="497" spans="1:1" x14ac:dyDescent="0.2">
      <c r="A497" t="str">
        <f>IF(ISBLANK(B497), "","GeographicalRegion-496")</f>
        <v/>
      </c>
    </row>
    <row r="498" spans="1:1" x14ac:dyDescent="0.2">
      <c r="A498" t="str">
        <f>IF(ISBLANK(B498), "","GeographicalRegion-497")</f>
        <v/>
      </c>
    </row>
    <row r="499" spans="1:1" x14ac:dyDescent="0.2">
      <c r="A499" t="str">
        <f>IF(ISBLANK(B499), "","GeographicalRegion-498")</f>
        <v/>
      </c>
    </row>
    <row r="500" spans="1:1" x14ac:dyDescent="0.2">
      <c r="A500" t="str">
        <f>IF(ISBLANK(B500), "","GeographicalRegion-499")</f>
        <v/>
      </c>
    </row>
    <row r="501" spans="1:1" x14ac:dyDescent="0.2">
      <c r="A501" t="str">
        <f>IF(ISBLANK(B501), "","GeographicalRegion-500")</f>
        <v/>
      </c>
    </row>
    <row r="502" spans="1:1" x14ac:dyDescent="0.2">
      <c r="A502" t="str">
        <f>IF(ISBLANK(B502), "","GeographicalRegion-501")</f>
        <v/>
      </c>
    </row>
    <row r="503" spans="1:1" x14ac:dyDescent="0.2">
      <c r="A503" t="str">
        <f>IF(ISBLANK(B503), "","GeographicalRegion-502")</f>
        <v/>
      </c>
    </row>
    <row r="504" spans="1:1" x14ac:dyDescent="0.2">
      <c r="A504" t="str">
        <f>IF(ISBLANK(B504), "","GeographicalRegion-503")</f>
        <v/>
      </c>
    </row>
    <row r="505" spans="1:1" x14ac:dyDescent="0.2">
      <c r="A505" t="str">
        <f>IF(ISBLANK(B505), "","GeographicalRegion-504")</f>
        <v/>
      </c>
    </row>
    <row r="506" spans="1:1" x14ac:dyDescent="0.2">
      <c r="A506" t="str">
        <f>IF(ISBLANK(B506), "","GeographicalRegion-505")</f>
        <v/>
      </c>
    </row>
    <row r="507" spans="1:1" x14ac:dyDescent="0.2">
      <c r="A507" t="str">
        <f>IF(ISBLANK(B507), "","GeographicalRegion-506")</f>
        <v/>
      </c>
    </row>
    <row r="508" spans="1:1" x14ac:dyDescent="0.2">
      <c r="A508" t="str">
        <f>IF(ISBLANK(B508), "","GeographicalRegion-507")</f>
        <v/>
      </c>
    </row>
    <row r="509" spans="1:1" x14ac:dyDescent="0.2">
      <c r="A509" t="str">
        <f>IF(ISBLANK(B509), "","GeographicalRegion-508")</f>
        <v/>
      </c>
    </row>
    <row r="510" spans="1:1" x14ac:dyDescent="0.2">
      <c r="A510" t="str">
        <f>IF(ISBLANK(B510), "","GeographicalRegion-509")</f>
        <v/>
      </c>
    </row>
    <row r="511" spans="1:1" x14ac:dyDescent="0.2">
      <c r="A511" t="str">
        <f>IF(ISBLANK(B511), "","GeographicalRegion-510")</f>
        <v/>
      </c>
    </row>
    <row r="512" spans="1:1" x14ac:dyDescent="0.2">
      <c r="A512" t="str">
        <f>IF(ISBLANK(B512), "","GeographicalRegion-511")</f>
        <v/>
      </c>
    </row>
    <row r="513" spans="1:1" x14ac:dyDescent="0.2">
      <c r="A513" t="str">
        <f>IF(ISBLANK(B513), "","GeographicalRegion-512")</f>
        <v/>
      </c>
    </row>
    <row r="514" spans="1:1" x14ac:dyDescent="0.2">
      <c r="A514" t="str">
        <f>IF(ISBLANK(B514), "","GeographicalRegion-513")</f>
        <v/>
      </c>
    </row>
    <row r="515" spans="1:1" x14ac:dyDescent="0.2">
      <c r="A515" t="str">
        <f>IF(ISBLANK(B515), "","GeographicalRegion-514")</f>
        <v/>
      </c>
    </row>
    <row r="516" spans="1:1" x14ac:dyDescent="0.2">
      <c r="A516" t="str">
        <f>IF(ISBLANK(B516), "","GeographicalRegion-515")</f>
        <v/>
      </c>
    </row>
    <row r="517" spans="1:1" x14ac:dyDescent="0.2">
      <c r="A517" t="str">
        <f>IF(ISBLANK(B517), "","GeographicalRegion-516")</f>
        <v/>
      </c>
    </row>
    <row r="518" spans="1:1" x14ac:dyDescent="0.2">
      <c r="A518" t="str">
        <f>IF(ISBLANK(B518), "","GeographicalRegion-517")</f>
        <v/>
      </c>
    </row>
    <row r="519" spans="1:1" x14ac:dyDescent="0.2">
      <c r="A519" t="str">
        <f>IF(ISBLANK(B519), "","GeographicalRegion-518")</f>
        <v/>
      </c>
    </row>
    <row r="520" spans="1:1" x14ac:dyDescent="0.2">
      <c r="A520" t="str">
        <f>IF(ISBLANK(B520), "","GeographicalRegion-519")</f>
        <v/>
      </c>
    </row>
    <row r="521" spans="1:1" x14ac:dyDescent="0.2">
      <c r="A521" t="str">
        <f>IF(ISBLANK(B521), "","GeographicalRegion-520")</f>
        <v/>
      </c>
    </row>
    <row r="522" spans="1:1" x14ac:dyDescent="0.2">
      <c r="A522" t="str">
        <f>IF(ISBLANK(B522), "","GeographicalRegion-521")</f>
        <v/>
      </c>
    </row>
    <row r="523" spans="1:1" x14ac:dyDescent="0.2">
      <c r="A523" t="str">
        <f>IF(ISBLANK(B523), "","GeographicalRegion-522")</f>
        <v/>
      </c>
    </row>
    <row r="524" spans="1:1" x14ac:dyDescent="0.2">
      <c r="A524" t="str">
        <f>IF(ISBLANK(B524), "","GeographicalRegion-523")</f>
        <v/>
      </c>
    </row>
    <row r="525" spans="1:1" x14ac:dyDescent="0.2">
      <c r="A525" t="str">
        <f>IF(ISBLANK(B525), "","GeographicalRegion-524")</f>
        <v/>
      </c>
    </row>
    <row r="526" spans="1:1" x14ac:dyDescent="0.2">
      <c r="A526" t="str">
        <f>IF(ISBLANK(B526), "","GeographicalRegion-525")</f>
        <v/>
      </c>
    </row>
    <row r="527" spans="1:1" x14ac:dyDescent="0.2">
      <c r="A527" t="str">
        <f>IF(ISBLANK(B527), "","GeographicalRegion-526")</f>
        <v/>
      </c>
    </row>
    <row r="528" spans="1:1" x14ac:dyDescent="0.2">
      <c r="A528" t="str">
        <f>IF(ISBLANK(B528), "","GeographicalRegion-527")</f>
        <v/>
      </c>
    </row>
    <row r="529" spans="1:1" x14ac:dyDescent="0.2">
      <c r="A529" t="str">
        <f>IF(ISBLANK(B529), "","GeographicalRegion-528")</f>
        <v/>
      </c>
    </row>
    <row r="530" spans="1:1" x14ac:dyDescent="0.2">
      <c r="A530" t="str">
        <f>IF(ISBLANK(B530), "","GeographicalRegion-529")</f>
        <v/>
      </c>
    </row>
    <row r="531" spans="1:1" x14ac:dyDescent="0.2">
      <c r="A531" t="str">
        <f>IF(ISBLANK(B531), "","GeographicalRegion-530")</f>
        <v/>
      </c>
    </row>
    <row r="532" spans="1:1" x14ac:dyDescent="0.2">
      <c r="A532" t="str">
        <f>IF(ISBLANK(B532), "","GeographicalRegion-531")</f>
        <v/>
      </c>
    </row>
    <row r="533" spans="1:1" x14ac:dyDescent="0.2">
      <c r="A533" t="str">
        <f>IF(ISBLANK(B533), "","GeographicalRegion-532")</f>
        <v/>
      </c>
    </row>
    <row r="534" spans="1:1" x14ac:dyDescent="0.2">
      <c r="A534" t="str">
        <f>IF(ISBLANK(B534), "","GeographicalRegion-533")</f>
        <v/>
      </c>
    </row>
    <row r="535" spans="1:1" x14ac:dyDescent="0.2">
      <c r="A535" t="str">
        <f>IF(ISBLANK(B535), "","GeographicalRegion-534")</f>
        <v/>
      </c>
    </row>
    <row r="536" spans="1:1" x14ac:dyDescent="0.2">
      <c r="A536" t="str">
        <f>IF(ISBLANK(B536), "","GeographicalRegion-535")</f>
        <v/>
      </c>
    </row>
    <row r="537" spans="1:1" x14ac:dyDescent="0.2">
      <c r="A537" t="str">
        <f>IF(ISBLANK(B537), "","GeographicalRegion-536")</f>
        <v/>
      </c>
    </row>
    <row r="538" spans="1:1" x14ac:dyDescent="0.2">
      <c r="A538" t="str">
        <f>IF(ISBLANK(B538), "","GeographicalRegion-537")</f>
        <v/>
      </c>
    </row>
    <row r="539" spans="1:1" x14ac:dyDescent="0.2">
      <c r="A539" t="str">
        <f>IF(ISBLANK(B539), "","GeographicalRegion-538")</f>
        <v/>
      </c>
    </row>
    <row r="540" spans="1:1" x14ac:dyDescent="0.2">
      <c r="A540" t="str">
        <f>IF(ISBLANK(B540), "","GeographicalRegion-539")</f>
        <v/>
      </c>
    </row>
    <row r="541" spans="1:1" x14ac:dyDescent="0.2">
      <c r="A541" t="str">
        <f>IF(ISBLANK(B541), "","GeographicalRegion-540")</f>
        <v/>
      </c>
    </row>
    <row r="542" spans="1:1" x14ac:dyDescent="0.2">
      <c r="A542" t="str">
        <f>IF(ISBLANK(B542), "","GeographicalRegion-541")</f>
        <v/>
      </c>
    </row>
    <row r="543" spans="1:1" x14ac:dyDescent="0.2">
      <c r="A543" t="str">
        <f>IF(ISBLANK(B543), "","GeographicalRegion-542")</f>
        <v/>
      </c>
    </row>
    <row r="544" spans="1:1" x14ac:dyDescent="0.2">
      <c r="A544" t="str">
        <f>IF(ISBLANK(B544), "","GeographicalRegion-543")</f>
        <v/>
      </c>
    </row>
    <row r="545" spans="1:1" x14ac:dyDescent="0.2">
      <c r="A545" t="str">
        <f>IF(ISBLANK(B545), "","GeographicalRegion-544")</f>
        <v/>
      </c>
    </row>
    <row r="546" spans="1:1" x14ac:dyDescent="0.2">
      <c r="A546" t="str">
        <f>IF(ISBLANK(B546), "","GeographicalRegion-545")</f>
        <v/>
      </c>
    </row>
    <row r="547" spans="1:1" x14ac:dyDescent="0.2">
      <c r="A547" t="str">
        <f>IF(ISBLANK(B547), "","GeographicalRegion-546")</f>
        <v/>
      </c>
    </row>
    <row r="548" spans="1:1" x14ac:dyDescent="0.2">
      <c r="A548" t="str">
        <f>IF(ISBLANK(B548), "","GeographicalRegion-547")</f>
        <v/>
      </c>
    </row>
    <row r="549" spans="1:1" x14ac:dyDescent="0.2">
      <c r="A549" t="str">
        <f>IF(ISBLANK(B549), "","GeographicalRegion-548")</f>
        <v/>
      </c>
    </row>
    <row r="550" spans="1:1" x14ac:dyDescent="0.2">
      <c r="A550" t="str">
        <f>IF(ISBLANK(B550), "","GeographicalRegion-549")</f>
        <v/>
      </c>
    </row>
    <row r="551" spans="1:1" x14ac:dyDescent="0.2">
      <c r="A551" t="str">
        <f>IF(ISBLANK(B551), "","GeographicalRegion-550")</f>
        <v/>
      </c>
    </row>
    <row r="552" spans="1:1" x14ac:dyDescent="0.2">
      <c r="A552" t="str">
        <f>IF(ISBLANK(B552), "","GeographicalRegion-551")</f>
        <v/>
      </c>
    </row>
    <row r="553" spans="1:1" x14ac:dyDescent="0.2">
      <c r="A553" t="str">
        <f>IF(ISBLANK(B553), "","GeographicalRegion-552")</f>
        <v/>
      </c>
    </row>
    <row r="554" spans="1:1" x14ac:dyDescent="0.2">
      <c r="A554" t="str">
        <f>IF(ISBLANK(B554), "","GeographicalRegion-553")</f>
        <v/>
      </c>
    </row>
    <row r="555" spans="1:1" x14ac:dyDescent="0.2">
      <c r="A555" t="str">
        <f>IF(ISBLANK(B555), "","GeographicalRegion-554")</f>
        <v/>
      </c>
    </row>
    <row r="556" spans="1:1" x14ac:dyDescent="0.2">
      <c r="A556" t="str">
        <f>IF(ISBLANK(B556), "","GeographicalRegion-555")</f>
        <v/>
      </c>
    </row>
    <row r="557" spans="1:1" x14ac:dyDescent="0.2">
      <c r="A557" t="str">
        <f>IF(ISBLANK(B557), "","GeographicalRegion-556")</f>
        <v/>
      </c>
    </row>
    <row r="558" spans="1:1" x14ac:dyDescent="0.2">
      <c r="A558" t="str">
        <f>IF(ISBLANK(B558), "","GeographicalRegion-557")</f>
        <v/>
      </c>
    </row>
    <row r="559" spans="1:1" x14ac:dyDescent="0.2">
      <c r="A559" t="str">
        <f>IF(ISBLANK(B559), "","GeographicalRegion-558")</f>
        <v/>
      </c>
    </row>
    <row r="560" spans="1:1" x14ac:dyDescent="0.2">
      <c r="A560" t="str">
        <f>IF(ISBLANK(B560), "","GeographicalRegion-559")</f>
        <v/>
      </c>
    </row>
    <row r="561" spans="1:1" x14ac:dyDescent="0.2">
      <c r="A561" t="str">
        <f>IF(ISBLANK(B561), "","GeographicalRegion-560")</f>
        <v/>
      </c>
    </row>
    <row r="562" spans="1:1" x14ac:dyDescent="0.2">
      <c r="A562" t="str">
        <f>IF(ISBLANK(B562), "","GeographicalRegion-561")</f>
        <v/>
      </c>
    </row>
    <row r="563" spans="1:1" x14ac:dyDescent="0.2">
      <c r="A563" t="str">
        <f>IF(ISBLANK(B563), "","GeographicalRegion-562")</f>
        <v/>
      </c>
    </row>
    <row r="564" spans="1:1" x14ac:dyDescent="0.2">
      <c r="A564" t="str">
        <f>IF(ISBLANK(B564), "","GeographicalRegion-563")</f>
        <v/>
      </c>
    </row>
    <row r="565" spans="1:1" x14ac:dyDescent="0.2">
      <c r="A565" t="str">
        <f>IF(ISBLANK(B565), "","GeographicalRegion-564")</f>
        <v/>
      </c>
    </row>
    <row r="566" spans="1:1" x14ac:dyDescent="0.2">
      <c r="A566" t="str">
        <f>IF(ISBLANK(B566), "","GeographicalRegion-565")</f>
        <v/>
      </c>
    </row>
    <row r="567" spans="1:1" x14ac:dyDescent="0.2">
      <c r="A567" t="str">
        <f>IF(ISBLANK(B567), "","GeographicalRegion-566")</f>
        <v/>
      </c>
    </row>
    <row r="568" spans="1:1" x14ac:dyDescent="0.2">
      <c r="A568" t="str">
        <f>IF(ISBLANK(B568), "","GeographicalRegion-567")</f>
        <v/>
      </c>
    </row>
    <row r="569" spans="1:1" x14ac:dyDescent="0.2">
      <c r="A569" t="str">
        <f>IF(ISBLANK(B569), "","GeographicalRegion-568")</f>
        <v/>
      </c>
    </row>
    <row r="570" spans="1:1" x14ac:dyDescent="0.2">
      <c r="A570" t="str">
        <f>IF(ISBLANK(B570), "","GeographicalRegion-569")</f>
        <v/>
      </c>
    </row>
    <row r="571" spans="1:1" x14ac:dyDescent="0.2">
      <c r="A571" t="str">
        <f>IF(ISBLANK(B571), "","GeographicalRegion-570")</f>
        <v/>
      </c>
    </row>
    <row r="572" spans="1:1" x14ac:dyDescent="0.2">
      <c r="A572" t="str">
        <f>IF(ISBLANK(B572), "","GeographicalRegion-571")</f>
        <v/>
      </c>
    </row>
    <row r="573" spans="1:1" x14ac:dyDescent="0.2">
      <c r="A573" t="str">
        <f>IF(ISBLANK(B573), "","GeographicalRegion-572")</f>
        <v/>
      </c>
    </row>
    <row r="574" spans="1:1" x14ac:dyDescent="0.2">
      <c r="A574" t="str">
        <f>IF(ISBLANK(B574), "","GeographicalRegion-573")</f>
        <v/>
      </c>
    </row>
    <row r="575" spans="1:1" x14ac:dyDescent="0.2">
      <c r="A575" t="str">
        <f>IF(ISBLANK(B575), "","GeographicalRegion-574")</f>
        <v/>
      </c>
    </row>
    <row r="576" spans="1:1" x14ac:dyDescent="0.2">
      <c r="A576" t="str">
        <f>IF(ISBLANK(B576), "","GeographicalRegion-575")</f>
        <v/>
      </c>
    </row>
    <row r="577" spans="1:1" x14ac:dyDescent="0.2">
      <c r="A577" t="str">
        <f>IF(ISBLANK(B577), "","GeographicalRegion-576")</f>
        <v/>
      </c>
    </row>
    <row r="578" spans="1:1" x14ac:dyDescent="0.2">
      <c r="A578" t="str">
        <f>IF(ISBLANK(B578), "","GeographicalRegion-577")</f>
        <v/>
      </c>
    </row>
    <row r="579" spans="1:1" x14ac:dyDescent="0.2">
      <c r="A579" t="str">
        <f>IF(ISBLANK(B579), "","GeographicalRegion-578")</f>
        <v/>
      </c>
    </row>
    <row r="580" spans="1:1" x14ac:dyDescent="0.2">
      <c r="A580" t="str">
        <f>IF(ISBLANK(B580), "","GeographicalRegion-579")</f>
        <v/>
      </c>
    </row>
    <row r="581" spans="1:1" x14ac:dyDescent="0.2">
      <c r="A581" t="str">
        <f>IF(ISBLANK(B581), "","GeographicalRegion-580")</f>
        <v/>
      </c>
    </row>
    <row r="582" spans="1:1" x14ac:dyDescent="0.2">
      <c r="A582" t="str">
        <f>IF(ISBLANK(B582), "","GeographicalRegion-581")</f>
        <v/>
      </c>
    </row>
    <row r="583" spans="1:1" x14ac:dyDescent="0.2">
      <c r="A583" t="str">
        <f>IF(ISBLANK(B583), "","GeographicalRegion-582")</f>
        <v/>
      </c>
    </row>
    <row r="584" spans="1:1" x14ac:dyDescent="0.2">
      <c r="A584" t="str">
        <f>IF(ISBLANK(B584), "","GeographicalRegion-583")</f>
        <v/>
      </c>
    </row>
    <row r="585" spans="1:1" x14ac:dyDescent="0.2">
      <c r="A585" t="str">
        <f>IF(ISBLANK(B585), "","GeographicalRegion-584")</f>
        <v/>
      </c>
    </row>
    <row r="586" spans="1:1" x14ac:dyDescent="0.2">
      <c r="A586" t="str">
        <f>IF(ISBLANK(B586), "","GeographicalRegion-585")</f>
        <v/>
      </c>
    </row>
    <row r="587" spans="1:1" x14ac:dyDescent="0.2">
      <c r="A587" t="str">
        <f>IF(ISBLANK(B587), "","GeographicalRegion-586")</f>
        <v/>
      </c>
    </row>
    <row r="588" spans="1:1" x14ac:dyDescent="0.2">
      <c r="A588" t="str">
        <f>IF(ISBLANK(B588), "","GeographicalRegion-587")</f>
        <v/>
      </c>
    </row>
    <row r="589" spans="1:1" x14ac:dyDescent="0.2">
      <c r="A589" t="str">
        <f>IF(ISBLANK(B589), "","GeographicalRegion-588")</f>
        <v/>
      </c>
    </row>
    <row r="590" spans="1:1" x14ac:dyDescent="0.2">
      <c r="A590" t="str">
        <f>IF(ISBLANK(B590), "","GeographicalRegion-589")</f>
        <v/>
      </c>
    </row>
    <row r="591" spans="1:1" x14ac:dyDescent="0.2">
      <c r="A591" t="str">
        <f>IF(ISBLANK(B591), "","GeographicalRegion-590")</f>
        <v/>
      </c>
    </row>
    <row r="592" spans="1:1" x14ac:dyDescent="0.2">
      <c r="A592" t="str">
        <f>IF(ISBLANK(B592), "","GeographicalRegion-591")</f>
        <v/>
      </c>
    </row>
    <row r="593" spans="1:1" x14ac:dyDescent="0.2">
      <c r="A593" t="str">
        <f>IF(ISBLANK(B593), "","GeographicalRegion-592")</f>
        <v/>
      </c>
    </row>
    <row r="594" spans="1:1" x14ac:dyDescent="0.2">
      <c r="A594" t="str">
        <f>IF(ISBLANK(B594), "","GeographicalRegion-593")</f>
        <v/>
      </c>
    </row>
    <row r="595" spans="1:1" x14ac:dyDescent="0.2">
      <c r="A595" t="str">
        <f>IF(ISBLANK(B595), "","GeographicalRegion-594")</f>
        <v/>
      </c>
    </row>
    <row r="596" spans="1:1" x14ac:dyDescent="0.2">
      <c r="A596" t="str">
        <f>IF(ISBLANK(B596), "","GeographicalRegion-595")</f>
        <v/>
      </c>
    </row>
    <row r="597" spans="1:1" x14ac:dyDescent="0.2">
      <c r="A597" t="str">
        <f>IF(ISBLANK(B597), "","GeographicalRegion-596")</f>
        <v/>
      </c>
    </row>
    <row r="598" spans="1:1" x14ac:dyDescent="0.2">
      <c r="A598" t="str">
        <f>IF(ISBLANK(B598), "","GeographicalRegion-597")</f>
        <v/>
      </c>
    </row>
    <row r="599" spans="1:1" x14ac:dyDescent="0.2">
      <c r="A599" t="str">
        <f>IF(ISBLANK(B599), "","GeographicalRegion-598")</f>
        <v/>
      </c>
    </row>
    <row r="600" spans="1:1" x14ac:dyDescent="0.2">
      <c r="A600" t="str">
        <f>IF(ISBLANK(B600), "","GeographicalRegion-599")</f>
        <v/>
      </c>
    </row>
    <row r="601" spans="1:1" x14ac:dyDescent="0.2">
      <c r="A601" t="str">
        <f>IF(ISBLANK(B601), "","GeographicalRegion-600")</f>
        <v/>
      </c>
    </row>
    <row r="602" spans="1:1" x14ac:dyDescent="0.2">
      <c r="A602" t="str">
        <f>IF(ISBLANK(B602), "","GeographicalRegion-601")</f>
        <v/>
      </c>
    </row>
    <row r="603" spans="1:1" x14ac:dyDescent="0.2">
      <c r="A603" t="str">
        <f>IF(ISBLANK(B603), "","GeographicalRegion-602")</f>
        <v/>
      </c>
    </row>
    <row r="604" spans="1:1" x14ac:dyDescent="0.2">
      <c r="A604" t="str">
        <f>IF(ISBLANK(B604), "","GeographicalRegion-603")</f>
        <v/>
      </c>
    </row>
    <row r="605" spans="1:1" x14ac:dyDescent="0.2">
      <c r="A605" t="str">
        <f>IF(ISBLANK(B605), "","GeographicalRegion-604")</f>
        <v/>
      </c>
    </row>
    <row r="606" spans="1:1" x14ac:dyDescent="0.2">
      <c r="A606" t="str">
        <f>IF(ISBLANK(B606), "","GeographicalRegion-605")</f>
        <v/>
      </c>
    </row>
    <row r="607" spans="1:1" x14ac:dyDescent="0.2">
      <c r="A607" t="str">
        <f>IF(ISBLANK(B607), "","GeographicalRegion-606")</f>
        <v/>
      </c>
    </row>
    <row r="608" spans="1:1" x14ac:dyDescent="0.2">
      <c r="A608" t="str">
        <f>IF(ISBLANK(B608), "","GeographicalRegion-607")</f>
        <v/>
      </c>
    </row>
    <row r="609" spans="1:1" x14ac:dyDescent="0.2">
      <c r="A609" t="str">
        <f>IF(ISBLANK(B609), "","GeographicalRegion-608")</f>
        <v/>
      </c>
    </row>
    <row r="610" spans="1:1" x14ac:dyDescent="0.2">
      <c r="A610" t="str">
        <f>IF(ISBLANK(B610), "","GeographicalRegion-609")</f>
        <v/>
      </c>
    </row>
    <row r="611" spans="1:1" x14ac:dyDescent="0.2">
      <c r="A611" t="str">
        <f>IF(ISBLANK(B611), "","GeographicalRegion-610")</f>
        <v/>
      </c>
    </row>
    <row r="612" spans="1:1" x14ac:dyDescent="0.2">
      <c r="A612" t="str">
        <f>IF(ISBLANK(B612), "","GeographicalRegion-611")</f>
        <v/>
      </c>
    </row>
    <row r="613" spans="1:1" x14ac:dyDescent="0.2">
      <c r="A613" t="str">
        <f>IF(ISBLANK(B613), "","GeographicalRegion-612")</f>
        <v/>
      </c>
    </row>
    <row r="614" spans="1:1" x14ac:dyDescent="0.2">
      <c r="A614" t="str">
        <f>IF(ISBLANK(B614), "","GeographicalRegion-613")</f>
        <v/>
      </c>
    </row>
    <row r="615" spans="1:1" x14ac:dyDescent="0.2">
      <c r="A615" t="str">
        <f>IF(ISBLANK(B615), "","GeographicalRegion-614")</f>
        <v/>
      </c>
    </row>
    <row r="616" spans="1:1" x14ac:dyDescent="0.2">
      <c r="A616" t="str">
        <f>IF(ISBLANK(B616), "","GeographicalRegion-615")</f>
        <v/>
      </c>
    </row>
    <row r="617" spans="1:1" x14ac:dyDescent="0.2">
      <c r="A617" t="str">
        <f>IF(ISBLANK(B617), "","GeographicalRegion-616")</f>
        <v/>
      </c>
    </row>
    <row r="618" spans="1:1" x14ac:dyDescent="0.2">
      <c r="A618" t="str">
        <f>IF(ISBLANK(B618), "","GeographicalRegion-617")</f>
        <v/>
      </c>
    </row>
    <row r="619" spans="1:1" x14ac:dyDescent="0.2">
      <c r="A619" t="str">
        <f>IF(ISBLANK(B619), "","GeographicalRegion-618")</f>
        <v/>
      </c>
    </row>
    <row r="620" spans="1:1" x14ac:dyDescent="0.2">
      <c r="A620" t="str">
        <f>IF(ISBLANK(B620), "","GeographicalRegion-619")</f>
        <v/>
      </c>
    </row>
    <row r="621" spans="1:1" x14ac:dyDescent="0.2">
      <c r="A621" t="str">
        <f>IF(ISBLANK(B621), "","GeographicalRegion-620")</f>
        <v/>
      </c>
    </row>
    <row r="622" spans="1:1" x14ac:dyDescent="0.2">
      <c r="A622" t="str">
        <f>IF(ISBLANK(B622), "","GeographicalRegion-621")</f>
        <v/>
      </c>
    </row>
    <row r="623" spans="1:1" x14ac:dyDescent="0.2">
      <c r="A623" t="str">
        <f>IF(ISBLANK(B623), "","GeographicalRegion-622")</f>
        <v/>
      </c>
    </row>
    <row r="624" spans="1:1" x14ac:dyDescent="0.2">
      <c r="A624" t="str">
        <f>IF(ISBLANK(B624), "","GeographicalRegion-623")</f>
        <v/>
      </c>
    </row>
    <row r="625" spans="1:1" x14ac:dyDescent="0.2">
      <c r="A625" t="str">
        <f>IF(ISBLANK(B625), "","GeographicalRegion-624")</f>
        <v/>
      </c>
    </row>
    <row r="626" spans="1:1" x14ac:dyDescent="0.2">
      <c r="A626" t="str">
        <f>IF(ISBLANK(B626), "","GeographicalRegion-625")</f>
        <v/>
      </c>
    </row>
    <row r="627" spans="1:1" x14ac:dyDescent="0.2">
      <c r="A627" t="str">
        <f>IF(ISBLANK(B627), "","GeographicalRegion-626")</f>
        <v/>
      </c>
    </row>
    <row r="628" spans="1:1" x14ac:dyDescent="0.2">
      <c r="A628" t="str">
        <f>IF(ISBLANK(B628), "","GeographicalRegion-627")</f>
        <v/>
      </c>
    </row>
    <row r="629" spans="1:1" x14ac:dyDescent="0.2">
      <c r="A629" t="str">
        <f>IF(ISBLANK(B629), "","GeographicalRegion-628")</f>
        <v/>
      </c>
    </row>
    <row r="630" spans="1:1" x14ac:dyDescent="0.2">
      <c r="A630" t="str">
        <f>IF(ISBLANK(B630), "","GeographicalRegion-629")</f>
        <v/>
      </c>
    </row>
    <row r="631" spans="1:1" x14ac:dyDescent="0.2">
      <c r="A631" t="str">
        <f>IF(ISBLANK(B631), "","GeographicalRegion-630")</f>
        <v/>
      </c>
    </row>
    <row r="632" spans="1:1" x14ac:dyDescent="0.2">
      <c r="A632" t="str">
        <f>IF(ISBLANK(B632), "","GeographicalRegion-631")</f>
        <v/>
      </c>
    </row>
    <row r="633" spans="1:1" x14ac:dyDescent="0.2">
      <c r="A633" t="str">
        <f>IF(ISBLANK(B633), "","GeographicalRegion-632")</f>
        <v/>
      </c>
    </row>
    <row r="634" spans="1:1" x14ac:dyDescent="0.2">
      <c r="A634" t="str">
        <f>IF(ISBLANK(B634), "","GeographicalRegion-633")</f>
        <v/>
      </c>
    </row>
    <row r="635" spans="1:1" x14ac:dyDescent="0.2">
      <c r="A635" t="str">
        <f>IF(ISBLANK(B635), "","GeographicalRegion-634")</f>
        <v/>
      </c>
    </row>
    <row r="636" spans="1:1" x14ac:dyDescent="0.2">
      <c r="A636" t="str">
        <f>IF(ISBLANK(B636), "","GeographicalRegion-635")</f>
        <v/>
      </c>
    </row>
    <row r="637" spans="1:1" x14ac:dyDescent="0.2">
      <c r="A637" t="str">
        <f>IF(ISBLANK(B637), "","GeographicalRegion-636")</f>
        <v/>
      </c>
    </row>
    <row r="638" spans="1:1" x14ac:dyDescent="0.2">
      <c r="A638" t="str">
        <f>IF(ISBLANK(B638), "","GeographicalRegion-637")</f>
        <v/>
      </c>
    </row>
    <row r="639" spans="1:1" x14ac:dyDescent="0.2">
      <c r="A639" t="str">
        <f>IF(ISBLANK(B639), "","GeographicalRegion-638")</f>
        <v/>
      </c>
    </row>
    <row r="640" spans="1:1" x14ac:dyDescent="0.2">
      <c r="A640" t="str">
        <f>IF(ISBLANK(B640), "","GeographicalRegion-639")</f>
        <v/>
      </c>
    </row>
    <row r="641" spans="1:1" x14ac:dyDescent="0.2">
      <c r="A641" t="str">
        <f>IF(ISBLANK(B641), "","GeographicalRegion-640")</f>
        <v/>
      </c>
    </row>
    <row r="642" spans="1:1" x14ac:dyDescent="0.2">
      <c r="A642" t="str">
        <f>IF(ISBLANK(B642), "","GeographicalRegion-641")</f>
        <v/>
      </c>
    </row>
    <row r="643" spans="1:1" x14ac:dyDescent="0.2">
      <c r="A643" t="str">
        <f>IF(ISBLANK(B643), "","GeographicalRegion-642")</f>
        <v/>
      </c>
    </row>
    <row r="644" spans="1:1" x14ac:dyDescent="0.2">
      <c r="A644" t="str">
        <f>IF(ISBLANK(B644), "","GeographicalRegion-643")</f>
        <v/>
      </c>
    </row>
    <row r="645" spans="1:1" x14ac:dyDescent="0.2">
      <c r="A645" t="str">
        <f>IF(ISBLANK(B645), "","GeographicalRegion-644")</f>
        <v/>
      </c>
    </row>
    <row r="646" spans="1:1" x14ac:dyDescent="0.2">
      <c r="A646" t="str">
        <f>IF(ISBLANK(B646), "","GeographicalRegion-645")</f>
        <v/>
      </c>
    </row>
    <row r="647" spans="1:1" x14ac:dyDescent="0.2">
      <c r="A647" t="str">
        <f>IF(ISBLANK(B647), "","GeographicalRegion-646")</f>
        <v/>
      </c>
    </row>
    <row r="648" spans="1:1" x14ac:dyDescent="0.2">
      <c r="A648" t="str">
        <f>IF(ISBLANK(B648), "","GeographicalRegion-647")</f>
        <v/>
      </c>
    </row>
    <row r="649" spans="1:1" x14ac:dyDescent="0.2">
      <c r="A649" t="str">
        <f>IF(ISBLANK(B649), "","GeographicalRegion-648")</f>
        <v/>
      </c>
    </row>
    <row r="650" spans="1:1" x14ac:dyDescent="0.2">
      <c r="A650" t="str">
        <f>IF(ISBLANK(B650), "","GeographicalRegion-649")</f>
        <v/>
      </c>
    </row>
    <row r="651" spans="1:1" x14ac:dyDescent="0.2">
      <c r="A651" t="str">
        <f>IF(ISBLANK(B651), "","GeographicalRegion-650")</f>
        <v/>
      </c>
    </row>
    <row r="652" spans="1:1" x14ac:dyDescent="0.2">
      <c r="A652" t="str">
        <f>IF(ISBLANK(B652), "","GeographicalRegion-651")</f>
        <v/>
      </c>
    </row>
    <row r="653" spans="1:1" x14ac:dyDescent="0.2">
      <c r="A653" t="str">
        <f>IF(ISBLANK(B653), "","GeographicalRegion-652")</f>
        <v/>
      </c>
    </row>
    <row r="654" spans="1:1" x14ac:dyDescent="0.2">
      <c r="A654" t="str">
        <f>IF(ISBLANK(B654), "","GeographicalRegion-653")</f>
        <v/>
      </c>
    </row>
    <row r="655" spans="1:1" x14ac:dyDescent="0.2">
      <c r="A655" t="str">
        <f>IF(ISBLANK(B655), "","GeographicalRegion-654")</f>
        <v/>
      </c>
    </row>
    <row r="656" spans="1:1" x14ac:dyDescent="0.2">
      <c r="A656" t="str">
        <f>IF(ISBLANK(B656), "","GeographicalRegion-655")</f>
        <v/>
      </c>
    </row>
    <row r="657" spans="1:1" x14ac:dyDescent="0.2">
      <c r="A657" t="str">
        <f>IF(ISBLANK(B657), "","GeographicalRegion-656")</f>
        <v/>
      </c>
    </row>
    <row r="658" spans="1:1" x14ac:dyDescent="0.2">
      <c r="A658" t="str">
        <f>IF(ISBLANK(B658), "","GeographicalRegion-657")</f>
        <v/>
      </c>
    </row>
    <row r="659" spans="1:1" x14ac:dyDescent="0.2">
      <c r="A659" t="str">
        <f>IF(ISBLANK(B659), "","GeographicalRegion-658")</f>
        <v/>
      </c>
    </row>
    <row r="660" spans="1:1" x14ac:dyDescent="0.2">
      <c r="A660" t="str">
        <f>IF(ISBLANK(B660), "","GeographicalRegion-659")</f>
        <v/>
      </c>
    </row>
    <row r="661" spans="1:1" x14ac:dyDescent="0.2">
      <c r="A661" t="str">
        <f>IF(ISBLANK(B661), "","GeographicalRegion-660")</f>
        <v/>
      </c>
    </row>
    <row r="662" spans="1:1" x14ac:dyDescent="0.2">
      <c r="A662" t="str">
        <f>IF(ISBLANK(B662), "","GeographicalRegion-661")</f>
        <v/>
      </c>
    </row>
    <row r="663" spans="1:1" x14ac:dyDescent="0.2">
      <c r="A663" t="str">
        <f>IF(ISBLANK(B663), "","GeographicalRegion-662")</f>
        <v/>
      </c>
    </row>
    <row r="664" spans="1:1" x14ac:dyDescent="0.2">
      <c r="A664" t="str">
        <f>IF(ISBLANK(B664), "","GeographicalRegion-663")</f>
        <v/>
      </c>
    </row>
    <row r="665" spans="1:1" x14ac:dyDescent="0.2">
      <c r="A665" t="str">
        <f>IF(ISBLANK(B665), "","GeographicalRegion-664")</f>
        <v/>
      </c>
    </row>
    <row r="666" spans="1:1" x14ac:dyDescent="0.2">
      <c r="A666" t="str">
        <f>IF(ISBLANK(B666), "","GeographicalRegion-665")</f>
        <v/>
      </c>
    </row>
    <row r="667" spans="1:1" x14ac:dyDescent="0.2">
      <c r="A667" t="str">
        <f>IF(ISBLANK(B667), "","GeographicalRegion-666")</f>
        <v/>
      </c>
    </row>
    <row r="668" spans="1:1" x14ac:dyDescent="0.2">
      <c r="A668" t="str">
        <f>IF(ISBLANK(B668), "","GeographicalRegion-667")</f>
        <v/>
      </c>
    </row>
    <row r="669" spans="1:1" x14ac:dyDescent="0.2">
      <c r="A669" t="str">
        <f>IF(ISBLANK(B669), "","GeographicalRegion-668")</f>
        <v/>
      </c>
    </row>
    <row r="670" spans="1:1" x14ac:dyDescent="0.2">
      <c r="A670" t="str">
        <f>IF(ISBLANK(B670), "","GeographicalRegion-669")</f>
        <v/>
      </c>
    </row>
    <row r="671" spans="1:1" x14ac:dyDescent="0.2">
      <c r="A671" t="str">
        <f>IF(ISBLANK(B671), "","GeographicalRegion-670")</f>
        <v/>
      </c>
    </row>
    <row r="672" spans="1:1" x14ac:dyDescent="0.2">
      <c r="A672" t="str">
        <f>IF(ISBLANK(B672), "","GeographicalRegion-671")</f>
        <v/>
      </c>
    </row>
    <row r="673" spans="1:1" x14ac:dyDescent="0.2">
      <c r="A673" t="str">
        <f>IF(ISBLANK(B673), "","GeographicalRegion-672")</f>
        <v/>
      </c>
    </row>
    <row r="674" spans="1:1" x14ac:dyDescent="0.2">
      <c r="A674" t="str">
        <f>IF(ISBLANK(B674), "","GeographicalRegion-673")</f>
        <v/>
      </c>
    </row>
    <row r="675" spans="1:1" x14ac:dyDescent="0.2">
      <c r="A675" t="str">
        <f>IF(ISBLANK(B675), "","GeographicalRegion-674")</f>
        <v/>
      </c>
    </row>
    <row r="676" spans="1:1" x14ac:dyDescent="0.2">
      <c r="A676" t="str">
        <f>IF(ISBLANK(B676), "","GeographicalRegion-675")</f>
        <v/>
      </c>
    </row>
    <row r="677" spans="1:1" x14ac:dyDescent="0.2">
      <c r="A677" t="str">
        <f>IF(ISBLANK(B677), "","GeographicalRegion-676")</f>
        <v/>
      </c>
    </row>
    <row r="678" spans="1:1" x14ac:dyDescent="0.2">
      <c r="A678" t="str">
        <f>IF(ISBLANK(B678), "","GeographicalRegion-677")</f>
        <v/>
      </c>
    </row>
    <row r="679" spans="1:1" x14ac:dyDescent="0.2">
      <c r="A679" t="str">
        <f>IF(ISBLANK(B679), "","GeographicalRegion-678")</f>
        <v/>
      </c>
    </row>
    <row r="680" spans="1:1" x14ac:dyDescent="0.2">
      <c r="A680" t="str">
        <f>IF(ISBLANK(B680), "","GeographicalRegion-679")</f>
        <v/>
      </c>
    </row>
    <row r="681" spans="1:1" x14ac:dyDescent="0.2">
      <c r="A681" t="str">
        <f>IF(ISBLANK(B681), "","GeographicalRegion-680")</f>
        <v/>
      </c>
    </row>
    <row r="682" spans="1:1" x14ac:dyDescent="0.2">
      <c r="A682" t="str">
        <f>IF(ISBLANK(B682), "","GeographicalRegion-681")</f>
        <v/>
      </c>
    </row>
    <row r="683" spans="1:1" x14ac:dyDescent="0.2">
      <c r="A683" t="str">
        <f>IF(ISBLANK(B683), "","GeographicalRegion-682")</f>
        <v/>
      </c>
    </row>
    <row r="684" spans="1:1" x14ac:dyDescent="0.2">
      <c r="A684" t="str">
        <f>IF(ISBLANK(B684), "","GeographicalRegion-683")</f>
        <v/>
      </c>
    </row>
    <row r="685" spans="1:1" x14ac:dyDescent="0.2">
      <c r="A685" t="str">
        <f>IF(ISBLANK(B685), "","GeographicalRegion-684")</f>
        <v/>
      </c>
    </row>
    <row r="686" spans="1:1" x14ac:dyDescent="0.2">
      <c r="A686" t="str">
        <f>IF(ISBLANK(B686), "","GeographicalRegion-685")</f>
        <v/>
      </c>
    </row>
    <row r="687" spans="1:1" x14ac:dyDescent="0.2">
      <c r="A687" t="str">
        <f>IF(ISBLANK(B687), "","GeographicalRegion-686")</f>
        <v/>
      </c>
    </row>
    <row r="688" spans="1:1" x14ac:dyDescent="0.2">
      <c r="A688" t="str">
        <f>IF(ISBLANK(B688), "","GeographicalRegion-687")</f>
        <v/>
      </c>
    </row>
    <row r="689" spans="1:1" x14ac:dyDescent="0.2">
      <c r="A689" t="str">
        <f>IF(ISBLANK(B689), "","GeographicalRegion-688")</f>
        <v/>
      </c>
    </row>
    <row r="690" spans="1:1" x14ac:dyDescent="0.2">
      <c r="A690" t="str">
        <f>IF(ISBLANK(B690), "","GeographicalRegion-689")</f>
        <v/>
      </c>
    </row>
    <row r="691" spans="1:1" x14ac:dyDescent="0.2">
      <c r="A691" t="str">
        <f>IF(ISBLANK(B691), "","GeographicalRegion-690")</f>
        <v/>
      </c>
    </row>
    <row r="692" spans="1:1" x14ac:dyDescent="0.2">
      <c r="A692" t="str">
        <f>IF(ISBLANK(B692), "","GeographicalRegion-691")</f>
        <v/>
      </c>
    </row>
    <row r="693" spans="1:1" x14ac:dyDescent="0.2">
      <c r="A693" t="str">
        <f>IF(ISBLANK(B693), "","GeographicalRegion-692")</f>
        <v/>
      </c>
    </row>
    <row r="694" spans="1:1" x14ac:dyDescent="0.2">
      <c r="A694" t="str">
        <f>IF(ISBLANK(B694), "","GeographicalRegion-693")</f>
        <v/>
      </c>
    </row>
    <row r="695" spans="1:1" x14ac:dyDescent="0.2">
      <c r="A695" t="str">
        <f>IF(ISBLANK(B695), "","GeographicalRegion-694")</f>
        <v/>
      </c>
    </row>
    <row r="696" spans="1:1" x14ac:dyDescent="0.2">
      <c r="A696" t="str">
        <f>IF(ISBLANK(B696), "","GeographicalRegion-695")</f>
        <v/>
      </c>
    </row>
    <row r="697" spans="1:1" x14ac:dyDescent="0.2">
      <c r="A697" t="str">
        <f>IF(ISBLANK(B697), "","GeographicalRegion-696")</f>
        <v/>
      </c>
    </row>
    <row r="698" spans="1:1" x14ac:dyDescent="0.2">
      <c r="A698" t="str">
        <f>IF(ISBLANK(B698), "","GeographicalRegion-697")</f>
        <v/>
      </c>
    </row>
    <row r="699" spans="1:1" x14ac:dyDescent="0.2">
      <c r="A699" t="str">
        <f>IF(ISBLANK(B699), "","GeographicalRegion-698")</f>
        <v/>
      </c>
    </row>
    <row r="700" spans="1:1" x14ac:dyDescent="0.2">
      <c r="A700" t="str">
        <f>IF(ISBLANK(B700), "","GeographicalRegion-699")</f>
        <v/>
      </c>
    </row>
    <row r="701" spans="1:1" x14ac:dyDescent="0.2">
      <c r="A701" t="str">
        <f>IF(ISBLANK(B701), "","GeographicalRegion-700")</f>
        <v/>
      </c>
    </row>
    <row r="702" spans="1:1" x14ac:dyDescent="0.2">
      <c r="A702" t="str">
        <f>IF(ISBLANK(B702), "","GeographicalRegion-701")</f>
        <v/>
      </c>
    </row>
    <row r="703" spans="1:1" x14ac:dyDescent="0.2">
      <c r="A703" t="str">
        <f>IF(ISBLANK(B703), "","GeographicalRegion-702")</f>
        <v/>
      </c>
    </row>
    <row r="704" spans="1:1" x14ac:dyDescent="0.2">
      <c r="A704" t="str">
        <f>IF(ISBLANK(B704), "","GeographicalRegion-703")</f>
        <v/>
      </c>
    </row>
    <row r="705" spans="1:1" x14ac:dyDescent="0.2">
      <c r="A705" t="str">
        <f>IF(ISBLANK(B705), "","GeographicalRegion-704")</f>
        <v/>
      </c>
    </row>
    <row r="706" spans="1:1" x14ac:dyDescent="0.2">
      <c r="A706" t="str">
        <f>IF(ISBLANK(B706), "","GeographicalRegion-705")</f>
        <v/>
      </c>
    </row>
    <row r="707" spans="1:1" x14ac:dyDescent="0.2">
      <c r="A707" t="str">
        <f>IF(ISBLANK(B707), "","GeographicalRegion-706")</f>
        <v/>
      </c>
    </row>
    <row r="708" spans="1:1" x14ac:dyDescent="0.2">
      <c r="A708" t="str">
        <f>IF(ISBLANK(B708), "","GeographicalRegion-707")</f>
        <v/>
      </c>
    </row>
    <row r="709" spans="1:1" x14ac:dyDescent="0.2">
      <c r="A709" t="str">
        <f>IF(ISBLANK(B709), "","GeographicalRegion-708")</f>
        <v/>
      </c>
    </row>
    <row r="710" spans="1:1" x14ac:dyDescent="0.2">
      <c r="A710" t="str">
        <f>IF(ISBLANK(B710), "","GeographicalRegion-709")</f>
        <v/>
      </c>
    </row>
    <row r="711" spans="1:1" x14ac:dyDescent="0.2">
      <c r="A711" t="str">
        <f>IF(ISBLANK(B711), "","GeographicalRegion-710")</f>
        <v/>
      </c>
    </row>
    <row r="712" spans="1:1" x14ac:dyDescent="0.2">
      <c r="A712" t="str">
        <f>IF(ISBLANK(B712), "","GeographicalRegion-711")</f>
        <v/>
      </c>
    </row>
    <row r="713" spans="1:1" x14ac:dyDescent="0.2">
      <c r="A713" t="str">
        <f>IF(ISBLANK(B713), "","GeographicalRegion-712")</f>
        <v/>
      </c>
    </row>
    <row r="714" spans="1:1" x14ac:dyDescent="0.2">
      <c r="A714" t="str">
        <f>IF(ISBLANK(B714), "","GeographicalRegion-713")</f>
        <v/>
      </c>
    </row>
    <row r="715" spans="1:1" x14ac:dyDescent="0.2">
      <c r="A715" t="str">
        <f>IF(ISBLANK(B715), "","GeographicalRegion-714")</f>
        <v/>
      </c>
    </row>
    <row r="716" spans="1:1" x14ac:dyDescent="0.2">
      <c r="A716" t="str">
        <f>IF(ISBLANK(B716), "","GeographicalRegion-715")</f>
        <v/>
      </c>
    </row>
    <row r="717" spans="1:1" x14ac:dyDescent="0.2">
      <c r="A717" t="str">
        <f>IF(ISBLANK(B717), "","GeographicalRegion-716")</f>
        <v/>
      </c>
    </row>
    <row r="718" spans="1:1" x14ac:dyDescent="0.2">
      <c r="A718" t="str">
        <f>IF(ISBLANK(B718), "","GeographicalRegion-717")</f>
        <v/>
      </c>
    </row>
    <row r="719" spans="1:1" x14ac:dyDescent="0.2">
      <c r="A719" t="str">
        <f>IF(ISBLANK(B719), "","GeographicalRegion-718")</f>
        <v/>
      </c>
    </row>
    <row r="720" spans="1:1" x14ac:dyDescent="0.2">
      <c r="A720" t="str">
        <f>IF(ISBLANK(B720), "","GeographicalRegion-719")</f>
        <v/>
      </c>
    </row>
    <row r="721" spans="1:1" x14ac:dyDescent="0.2">
      <c r="A721" t="str">
        <f>IF(ISBLANK(B721), "","GeographicalRegion-720")</f>
        <v/>
      </c>
    </row>
    <row r="722" spans="1:1" x14ac:dyDescent="0.2">
      <c r="A722" t="str">
        <f>IF(ISBLANK(B722), "","GeographicalRegion-721")</f>
        <v/>
      </c>
    </row>
    <row r="723" spans="1:1" x14ac:dyDescent="0.2">
      <c r="A723" t="str">
        <f>IF(ISBLANK(B723), "","GeographicalRegion-722")</f>
        <v/>
      </c>
    </row>
    <row r="724" spans="1:1" x14ac:dyDescent="0.2">
      <c r="A724" t="str">
        <f>IF(ISBLANK(B724), "","GeographicalRegion-723")</f>
        <v/>
      </c>
    </row>
    <row r="725" spans="1:1" x14ac:dyDescent="0.2">
      <c r="A725" t="str">
        <f>IF(ISBLANK(B725), "","GeographicalRegion-724")</f>
        <v/>
      </c>
    </row>
    <row r="726" spans="1:1" x14ac:dyDescent="0.2">
      <c r="A726" t="str">
        <f>IF(ISBLANK(B726), "","GeographicalRegion-725")</f>
        <v/>
      </c>
    </row>
    <row r="727" spans="1:1" x14ac:dyDescent="0.2">
      <c r="A727" t="str">
        <f>IF(ISBLANK(B727), "","GeographicalRegion-726")</f>
        <v/>
      </c>
    </row>
    <row r="728" spans="1:1" x14ac:dyDescent="0.2">
      <c r="A728" t="str">
        <f>IF(ISBLANK(B728), "","GeographicalRegion-727")</f>
        <v/>
      </c>
    </row>
    <row r="729" spans="1:1" x14ac:dyDescent="0.2">
      <c r="A729" t="str">
        <f>IF(ISBLANK(B729), "","GeographicalRegion-728")</f>
        <v/>
      </c>
    </row>
    <row r="730" spans="1:1" x14ac:dyDescent="0.2">
      <c r="A730" t="str">
        <f>IF(ISBLANK(B730), "","GeographicalRegion-729")</f>
        <v/>
      </c>
    </row>
    <row r="731" spans="1:1" x14ac:dyDescent="0.2">
      <c r="A731" t="str">
        <f>IF(ISBLANK(B731), "","GeographicalRegion-730")</f>
        <v/>
      </c>
    </row>
    <row r="732" spans="1:1" x14ac:dyDescent="0.2">
      <c r="A732" t="str">
        <f>IF(ISBLANK(B732), "","GeographicalRegion-731")</f>
        <v/>
      </c>
    </row>
    <row r="733" spans="1:1" x14ac:dyDescent="0.2">
      <c r="A733" t="str">
        <f>IF(ISBLANK(B733), "","GeographicalRegion-732")</f>
        <v/>
      </c>
    </row>
    <row r="734" spans="1:1" x14ac:dyDescent="0.2">
      <c r="A734" t="str">
        <f>IF(ISBLANK(B734), "","GeographicalRegion-733")</f>
        <v/>
      </c>
    </row>
    <row r="735" spans="1:1" x14ac:dyDescent="0.2">
      <c r="A735" t="str">
        <f>IF(ISBLANK(B735), "","GeographicalRegion-734")</f>
        <v/>
      </c>
    </row>
    <row r="736" spans="1:1" x14ac:dyDescent="0.2">
      <c r="A736" t="str">
        <f>IF(ISBLANK(B736), "","GeographicalRegion-735")</f>
        <v/>
      </c>
    </row>
    <row r="737" spans="1:1" x14ac:dyDescent="0.2">
      <c r="A737" t="str">
        <f>IF(ISBLANK(B737), "","GeographicalRegion-736")</f>
        <v/>
      </c>
    </row>
    <row r="738" spans="1:1" x14ac:dyDescent="0.2">
      <c r="A738" t="str">
        <f>IF(ISBLANK(B738), "","GeographicalRegion-737")</f>
        <v/>
      </c>
    </row>
    <row r="739" spans="1:1" x14ac:dyDescent="0.2">
      <c r="A739" t="str">
        <f>IF(ISBLANK(B739), "","GeographicalRegion-738")</f>
        <v/>
      </c>
    </row>
    <row r="740" spans="1:1" x14ac:dyDescent="0.2">
      <c r="A740" t="str">
        <f>IF(ISBLANK(B740), "","GeographicalRegion-739")</f>
        <v/>
      </c>
    </row>
    <row r="741" spans="1:1" x14ac:dyDescent="0.2">
      <c r="A741" t="str">
        <f>IF(ISBLANK(B741), "","GeographicalRegion-740")</f>
        <v/>
      </c>
    </row>
    <row r="742" spans="1:1" x14ac:dyDescent="0.2">
      <c r="A742" t="str">
        <f>IF(ISBLANK(B742), "","GeographicalRegion-741")</f>
        <v/>
      </c>
    </row>
    <row r="743" spans="1:1" x14ac:dyDescent="0.2">
      <c r="A743" t="str">
        <f>IF(ISBLANK(B743), "","GeographicalRegion-742")</f>
        <v/>
      </c>
    </row>
    <row r="744" spans="1:1" x14ac:dyDescent="0.2">
      <c r="A744" t="str">
        <f>IF(ISBLANK(B744), "","GeographicalRegion-743")</f>
        <v/>
      </c>
    </row>
    <row r="745" spans="1:1" x14ac:dyDescent="0.2">
      <c r="A745" t="str">
        <f>IF(ISBLANK(B745), "","GeographicalRegion-744")</f>
        <v/>
      </c>
    </row>
    <row r="746" spans="1:1" x14ac:dyDescent="0.2">
      <c r="A746" t="str">
        <f>IF(ISBLANK(B746), "","GeographicalRegion-745")</f>
        <v/>
      </c>
    </row>
    <row r="747" spans="1:1" x14ac:dyDescent="0.2">
      <c r="A747" t="str">
        <f>IF(ISBLANK(B747), "","GeographicalRegion-746")</f>
        <v/>
      </c>
    </row>
    <row r="748" spans="1:1" x14ac:dyDescent="0.2">
      <c r="A748" t="str">
        <f>IF(ISBLANK(B748), "","GeographicalRegion-747")</f>
        <v/>
      </c>
    </row>
    <row r="749" spans="1:1" x14ac:dyDescent="0.2">
      <c r="A749" t="str">
        <f>IF(ISBLANK(B749), "","GeographicalRegion-748")</f>
        <v/>
      </c>
    </row>
    <row r="750" spans="1:1" x14ac:dyDescent="0.2">
      <c r="A750" t="str">
        <f>IF(ISBLANK(B750), "","GeographicalRegion-749")</f>
        <v/>
      </c>
    </row>
    <row r="751" spans="1:1" x14ac:dyDescent="0.2">
      <c r="A751" t="str">
        <f>IF(ISBLANK(B751), "","GeographicalRegion-750")</f>
        <v/>
      </c>
    </row>
    <row r="752" spans="1:1" x14ac:dyDescent="0.2">
      <c r="A752" t="str">
        <f>IF(ISBLANK(B752), "","GeographicalRegion-751")</f>
        <v/>
      </c>
    </row>
    <row r="753" spans="1:1" x14ac:dyDescent="0.2">
      <c r="A753" t="str">
        <f>IF(ISBLANK(B753), "","GeographicalRegion-752")</f>
        <v/>
      </c>
    </row>
    <row r="754" spans="1:1" x14ac:dyDescent="0.2">
      <c r="A754" t="str">
        <f>IF(ISBLANK(B754), "","GeographicalRegion-753")</f>
        <v/>
      </c>
    </row>
    <row r="755" spans="1:1" x14ac:dyDescent="0.2">
      <c r="A755" t="str">
        <f>IF(ISBLANK(B755), "","GeographicalRegion-754")</f>
        <v/>
      </c>
    </row>
    <row r="756" spans="1:1" x14ac:dyDescent="0.2">
      <c r="A756" t="str">
        <f>IF(ISBLANK(B756), "","GeographicalRegion-755")</f>
        <v/>
      </c>
    </row>
    <row r="757" spans="1:1" x14ac:dyDescent="0.2">
      <c r="A757" t="str">
        <f>IF(ISBLANK(B757), "","GeographicalRegion-756")</f>
        <v/>
      </c>
    </row>
    <row r="758" spans="1:1" x14ac:dyDescent="0.2">
      <c r="A758" t="str">
        <f>IF(ISBLANK(B758), "","GeographicalRegion-757")</f>
        <v/>
      </c>
    </row>
    <row r="759" spans="1:1" x14ac:dyDescent="0.2">
      <c r="A759" t="str">
        <f>IF(ISBLANK(B759), "","GeographicalRegion-758")</f>
        <v/>
      </c>
    </row>
    <row r="760" spans="1:1" x14ac:dyDescent="0.2">
      <c r="A760" t="str">
        <f>IF(ISBLANK(B760), "","GeographicalRegion-759")</f>
        <v/>
      </c>
    </row>
    <row r="761" spans="1:1" x14ac:dyDescent="0.2">
      <c r="A761" t="str">
        <f>IF(ISBLANK(B761), "","GeographicalRegion-760")</f>
        <v/>
      </c>
    </row>
    <row r="762" spans="1:1" x14ac:dyDescent="0.2">
      <c r="A762" t="str">
        <f>IF(ISBLANK(B762), "","GeographicalRegion-761")</f>
        <v/>
      </c>
    </row>
    <row r="763" spans="1:1" x14ac:dyDescent="0.2">
      <c r="A763" t="str">
        <f>IF(ISBLANK(B763), "","GeographicalRegion-762")</f>
        <v/>
      </c>
    </row>
    <row r="764" spans="1:1" x14ac:dyDescent="0.2">
      <c r="A764" t="str">
        <f>IF(ISBLANK(B764), "","GeographicalRegion-763")</f>
        <v/>
      </c>
    </row>
    <row r="765" spans="1:1" x14ac:dyDescent="0.2">
      <c r="A765" t="str">
        <f>IF(ISBLANK(B765), "","GeographicalRegion-764")</f>
        <v/>
      </c>
    </row>
    <row r="766" spans="1:1" x14ac:dyDescent="0.2">
      <c r="A766" t="str">
        <f>IF(ISBLANK(B766), "","GeographicalRegion-765")</f>
        <v/>
      </c>
    </row>
    <row r="767" spans="1:1" x14ac:dyDescent="0.2">
      <c r="A767" t="str">
        <f>IF(ISBLANK(B767), "","GeographicalRegion-766")</f>
        <v/>
      </c>
    </row>
    <row r="768" spans="1:1" x14ac:dyDescent="0.2">
      <c r="A768" t="str">
        <f>IF(ISBLANK(B768), "","GeographicalRegion-767")</f>
        <v/>
      </c>
    </row>
    <row r="769" spans="1:1" x14ac:dyDescent="0.2">
      <c r="A769" t="str">
        <f>IF(ISBLANK(B769), "","GeographicalRegion-768")</f>
        <v/>
      </c>
    </row>
    <row r="770" spans="1:1" x14ac:dyDescent="0.2">
      <c r="A770" t="str">
        <f>IF(ISBLANK(B770), "","GeographicalRegion-769")</f>
        <v/>
      </c>
    </row>
    <row r="771" spans="1:1" x14ac:dyDescent="0.2">
      <c r="A771" t="str">
        <f>IF(ISBLANK(B771), "","GeographicalRegion-770")</f>
        <v/>
      </c>
    </row>
    <row r="772" spans="1:1" x14ac:dyDescent="0.2">
      <c r="A772" t="str">
        <f>IF(ISBLANK(B772), "","GeographicalRegion-771")</f>
        <v/>
      </c>
    </row>
    <row r="773" spans="1:1" x14ac:dyDescent="0.2">
      <c r="A773" t="str">
        <f>IF(ISBLANK(B773), "","GeographicalRegion-772")</f>
        <v/>
      </c>
    </row>
    <row r="774" spans="1:1" x14ac:dyDescent="0.2">
      <c r="A774" t="str">
        <f>IF(ISBLANK(B774), "","GeographicalRegion-773")</f>
        <v/>
      </c>
    </row>
    <row r="775" spans="1:1" x14ac:dyDescent="0.2">
      <c r="A775" t="str">
        <f>IF(ISBLANK(B775), "","GeographicalRegion-774")</f>
        <v/>
      </c>
    </row>
    <row r="776" spans="1:1" x14ac:dyDescent="0.2">
      <c r="A776" t="str">
        <f>IF(ISBLANK(B776), "","GeographicalRegion-775")</f>
        <v/>
      </c>
    </row>
    <row r="777" spans="1:1" x14ac:dyDescent="0.2">
      <c r="A777" t="str">
        <f>IF(ISBLANK(B777), "","GeographicalRegion-776")</f>
        <v/>
      </c>
    </row>
    <row r="778" spans="1:1" x14ac:dyDescent="0.2">
      <c r="A778" t="str">
        <f>IF(ISBLANK(B778), "","GeographicalRegion-777")</f>
        <v/>
      </c>
    </row>
    <row r="779" spans="1:1" x14ac:dyDescent="0.2">
      <c r="A779" t="str">
        <f>IF(ISBLANK(B779), "","GeographicalRegion-778")</f>
        <v/>
      </c>
    </row>
    <row r="780" spans="1:1" x14ac:dyDescent="0.2">
      <c r="A780" t="str">
        <f>IF(ISBLANK(B780), "","GeographicalRegion-779")</f>
        <v/>
      </c>
    </row>
    <row r="781" spans="1:1" x14ac:dyDescent="0.2">
      <c r="A781" t="str">
        <f>IF(ISBLANK(B781), "","GeographicalRegion-780")</f>
        <v/>
      </c>
    </row>
    <row r="782" spans="1:1" x14ac:dyDescent="0.2">
      <c r="A782" t="str">
        <f>IF(ISBLANK(B782), "","GeographicalRegion-781")</f>
        <v/>
      </c>
    </row>
    <row r="783" spans="1:1" x14ac:dyDescent="0.2">
      <c r="A783" t="str">
        <f>IF(ISBLANK(B783), "","GeographicalRegion-782")</f>
        <v/>
      </c>
    </row>
    <row r="784" spans="1:1" x14ac:dyDescent="0.2">
      <c r="A784" t="str">
        <f>IF(ISBLANK(B784), "","GeographicalRegion-783")</f>
        <v/>
      </c>
    </row>
    <row r="785" spans="1:1" x14ac:dyDescent="0.2">
      <c r="A785" t="str">
        <f>IF(ISBLANK(B785), "","GeographicalRegion-784")</f>
        <v/>
      </c>
    </row>
    <row r="786" spans="1:1" x14ac:dyDescent="0.2">
      <c r="A786" t="str">
        <f>IF(ISBLANK(B786), "","GeographicalRegion-785")</f>
        <v/>
      </c>
    </row>
    <row r="787" spans="1:1" x14ac:dyDescent="0.2">
      <c r="A787" t="str">
        <f>IF(ISBLANK(B787), "","GeographicalRegion-786")</f>
        <v/>
      </c>
    </row>
    <row r="788" spans="1:1" x14ac:dyDescent="0.2">
      <c r="A788" t="str">
        <f>IF(ISBLANK(B788), "","GeographicalRegion-787")</f>
        <v/>
      </c>
    </row>
    <row r="789" spans="1:1" x14ac:dyDescent="0.2">
      <c r="A789" t="str">
        <f>IF(ISBLANK(B789), "","GeographicalRegion-788")</f>
        <v/>
      </c>
    </row>
    <row r="790" spans="1:1" x14ac:dyDescent="0.2">
      <c r="A790" t="str">
        <f>IF(ISBLANK(B790), "","GeographicalRegion-789")</f>
        <v/>
      </c>
    </row>
    <row r="791" spans="1:1" x14ac:dyDescent="0.2">
      <c r="A791" t="str">
        <f>IF(ISBLANK(B791), "","GeographicalRegion-790")</f>
        <v/>
      </c>
    </row>
    <row r="792" spans="1:1" x14ac:dyDescent="0.2">
      <c r="A792" t="str">
        <f>IF(ISBLANK(B792), "","GeographicalRegion-791")</f>
        <v/>
      </c>
    </row>
    <row r="793" spans="1:1" x14ac:dyDescent="0.2">
      <c r="A793" t="str">
        <f>IF(ISBLANK(B793), "","GeographicalRegion-792")</f>
        <v/>
      </c>
    </row>
    <row r="794" spans="1:1" x14ac:dyDescent="0.2">
      <c r="A794" t="str">
        <f>IF(ISBLANK(B794), "","GeographicalRegion-793")</f>
        <v/>
      </c>
    </row>
    <row r="795" spans="1:1" x14ac:dyDescent="0.2">
      <c r="A795" t="str">
        <f>IF(ISBLANK(B795), "","GeographicalRegion-794")</f>
        <v/>
      </c>
    </row>
    <row r="796" spans="1:1" x14ac:dyDescent="0.2">
      <c r="A796" t="str">
        <f>IF(ISBLANK(B796), "","GeographicalRegion-795")</f>
        <v/>
      </c>
    </row>
    <row r="797" spans="1:1" x14ac:dyDescent="0.2">
      <c r="A797" t="str">
        <f>IF(ISBLANK(B797), "","GeographicalRegion-796")</f>
        <v/>
      </c>
    </row>
    <row r="798" spans="1:1" x14ac:dyDescent="0.2">
      <c r="A798" t="str">
        <f>IF(ISBLANK(B798), "","GeographicalRegion-797")</f>
        <v/>
      </c>
    </row>
    <row r="799" spans="1:1" x14ac:dyDescent="0.2">
      <c r="A799" t="str">
        <f>IF(ISBLANK(B799), "","GeographicalRegion-798")</f>
        <v/>
      </c>
    </row>
    <row r="800" spans="1:1" x14ac:dyDescent="0.2">
      <c r="A800" t="str">
        <f>IF(ISBLANK(B800), "","GeographicalRegion-799")</f>
        <v/>
      </c>
    </row>
    <row r="801" spans="1:1" x14ac:dyDescent="0.2">
      <c r="A801" t="str">
        <f>IF(ISBLANK(B801), "","GeographicalRegion-800")</f>
        <v/>
      </c>
    </row>
    <row r="802" spans="1:1" x14ac:dyDescent="0.2">
      <c r="A802" t="str">
        <f>IF(ISBLANK(B802), "","GeographicalRegion-801")</f>
        <v/>
      </c>
    </row>
    <row r="803" spans="1:1" x14ac:dyDescent="0.2">
      <c r="A803" t="str">
        <f>IF(ISBLANK(B803), "","GeographicalRegion-802")</f>
        <v/>
      </c>
    </row>
    <row r="804" spans="1:1" x14ac:dyDescent="0.2">
      <c r="A804" t="str">
        <f>IF(ISBLANK(B804), "","GeographicalRegion-803")</f>
        <v/>
      </c>
    </row>
    <row r="805" spans="1:1" x14ac:dyDescent="0.2">
      <c r="A805" t="str">
        <f>IF(ISBLANK(B805), "","GeographicalRegion-804")</f>
        <v/>
      </c>
    </row>
    <row r="806" spans="1:1" x14ac:dyDescent="0.2">
      <c r="A806" t="str">
        <f>IF(ISBLANK(B806), "","GeographicalRegion-805")</f>
        <v/>
      </c>
    </row>
    <row r="807" spans="1:1" x14ac:dyDescent="0.2">
      <c r="A807" t="str">
        <f>IF(ISBLANK(B807), "","GeographicalRegion-806")</f>
        <v/>
      </c>
    </row>
    <row r="808" spans="1:1" x14ac:dyDescent="0.2">
      <c r="A808" t="str">
        <f>IF(ISBLANK(B808), "","GeographicalRegion-807")</f>
        <v/>
      </c>
    </row>
    <row r="809" spans="1:1" x14ac:dyDescent="0.2">
      <c r="A809" t="str">
        <f>IF(ISBLANK(B809), "","GeographicalRegion-808")</f>
        <v/>
      </c>
    </row>
    <row r="810" spans="1:1" x14ac:dyDescent="0.2">
      <c r="A810" t="str">
        <f>IF(ISBLANK(B810), "","GeographicalRegion-809")</f>
        <v/>
      </c>
    </row>
    <row r="811" spans="1:1" x14ac:dyDescent="0.2">
      <c r="A811" t="str">
        <f>IF(ISBLANK(B811), "","GeographicalRegion-810")</f>
        <v/>
      </c>
    </row>
    <row r="812" spans="1:1" x14ac:dyDescent="0.2">
      <c r="A812" t="str">
        <f>IF(ISBLANK(B812), "","GeographicalRegion-811")</f>
        <v/>
      </c>
    </row>
    <row r="813" spans="1:1" x14ac:dyDescent="0.2">
      <c r="A813" t="str">
        <f>IF(ISBLANK(B813), "","GeographicalRegion-812")</f>
        <v/>
      </c>
    </row>
    <row r="814" spans="1:1" x14ac:dyDescent="0.2">
      <c r="A814" t="str">
        <f>IF(ISBLANK(B814), "","GeographicalRegion-813")</f>
        <v/>
      </c>
    </row>
    <row r="815" spans="1:1" x14ac:dyDescent="0.2">
      <c r="A815" t="str">
        <f>IF(ISBLANK(B815), "","GeographicalRegion-814")</f>
        <v/>
      </c>
    </row>
    <row r="816" spans="1:1" x14ac:dyDescent="0.2">
      <c r="A816" t="str">
        <f>IF(ISBLANK(B816), "","GeographicalRegion-815")</f>
        <v/>
      </c>
    </row>
    <row r="817" spans="1:1" x14ac:dyDescent="0.2">
      <c r="A817" t="str">
        <f>IF(ISBLANK(B817), "","GeographicalRegion-816")</f>
        <v/>
      </c>
    </row>
    <row r="818" spans="1:1" x14ac:dyDescent="0.2">
      <c r="A818" t="str">
        <f>IF(ISBLANK(B818), "","GeographicalRegion-817")</f>
        <v/>
      </c>
    </row>
    <row r="819" spans="1:1" x14ac:dyDescent="0.2">
      <c r="A819" t="str">
        <f>IF(ISBLANK(B819), "","GeographicalRegion-818")</f>
        <v/>
      </c>
    </row>
    <row r="820" spans="1:1" x14ac:dyDescent="0.2">
      <c r="A820" t="str">
        <f>IF(ISBLANK(B820), "","GeographicalRegion-819")</f>
        <v/>
      </c>
    </row>
    <row r="821" spans="1:1" x14ac:dyDescent="0.2">
      <c r="A821" t="str">
        <f>IF(ISBLANK(B821), "","GeographicalRegion-820")</f>
        <v/>
      </c>
    </row>
    <row r="822" spans="1:1" x14ac:dyDescent="0.2">
      <c r="A822" t="str">
        <f>IF(ISBLANK(B822), "","GeographicalRegion-821")</f>
        <v/>
      </c>
    </row>
    <row r="823" spans="1:1" x14ac:dyDescent="0.2">
      <c r="A823" t="str">
        <f>IF(ISBLANK(B823), "","GeographicalRegion-822")</f>
        <v/>
      </c>
    </row>
    <row r="824" spans="1:1" x14ac:dyDescent="0.2">
      <c r="A824" t="str">
        <f>IF(ISBLANK(B824), "","GeographicalRegion-823")</f>
        <v/>
      </c>
    </row>
    <row r="825" spans="1:1" x14ac:dyDescent="0.2">
      <c r="A825" t="str">
        <f>IF(ISBLANK(B825), "","GeographicalRegion-824")</f>
        <v/>
      </c>
    </row>
    <row r="826" spans="1:1" x14ac:dyDescent="0.2">
      <c r="A826" t="str">
        <f>IF(ISBLANK(B826), "","GeographicalRegion-825")</f>
        <v/>
      </c>
    </row>
    <row r="827" spans="1:1" x14ac:dyDescent="0.2">
      <c r="A827" t="str">
        <f>IF(ISBLANK(B827), "","GeographicalRegion-826")</f>
        <v/>
      </c>
    </row>
    <row r="828" spans="1:1" x14ac:dyDescent="0.2">
      <c r="A828" t="str">
        <f>IF(ISBLANK(B828), "","GeographicalRegion-827")</f>
        <v/>
      </c>
    </row>
    <row r="829" spans="1:1" x14ac:dyDescent="0.2">
      <c r="A829" t="str">
        <f>IF(ISBLANK(B829), "","GeographicalRegion-828")</f>
        <v/>
      </c>
    </row>
    <row r="830" spans="1:1" x14ac:dyDescent="0.2">
      <c r="A830" t="str">
        <f>IF(ISBLANK(B830), "","GeographicalRegion-829")</f>
        <v/>
      </c>
    </row>
    <row r="831" spans="1:1" x14ac:dyDescent="0.2">
      <c r="A831" t="str">
        <f>IF(ISBLANK(B831), "","GeographicalRegion-830")</f>
        <v/>
      </c>
    </row>
    <row r="832" spans="1:1" x14ac:dyDescent="0.2">
      <c r="A832" t="str">
        <f>IF(ISBLANK(B832), "","GeographicalRegion-831")</f>
        <v/>
      </c>
    </row>
    <row r="833" spans="1:1" x14ac:dyDescent="0.2">
      <c r="A833" t="str">
        <f>IF(ISBLANK(B833), "","GeographicalRegion-832")</f>
        <v/>
      </c>
    </row>
    <row r="834" spans="1:1" x14ac:dyDescent="0.2">
      <c r="A834" t="str">
        <f>IF(ISBLANK(B834), "","GeographicalRegion-833")</f>
        <v/>
      </c>
    </row>
    <row r="835" spans="1:1" x14ac:dyDescent="0.2">
      <c r="A835" t="str">
        <f>IF(ISBLANK(B835), "","GeographicalRegion-834")</f>
        <v/>
      </c>
    </row>
    <row r="836" spans="1:1" x14ac:dyDescent="0.2">
      <c r="A836" t="str">
        <f>IF(ISBLANK(B836), "","GeographicalRegion-835")</f>
        <v/>
      </c>
    </row>
    <row r="837" spans="1:1" x14ac:dyDescent="0.2">
      <c r="A837" t="str">
        <f>IF(ISBLANK(B837), "","GeographicalRegion-836")</f>
        <v/>
      </c>
    </row>
    <row r="838" spans="1:1" x14ac:dyDescent="0.2">
      <c r="A838" t="str">
        <f>IF(ISBLANK(B838), "","GeographicalRegion-837")</f>
        <v/>
      </c>
    </row>
    <row r="839" spans="1:1" x14ac:dyDescent="0.2">
      <c r="A839" t="str">
        <f>IF(ISBLANK(B839), "","GeographicalRegion-838")</f>
        <v/>
      </c>
    </row>
    <row r="840" spans="1:1" x14ac:dyDescent="0.2">
      <c r="A840" t="str">
        <f>IF(ISBLANK(B840), "","GeographicalRegion-839")</f>
        <v/>
      </c>
    </row>
    <row r="841" spans="1:1" x14ac:dyDescent="0.2">
      <c r="A841" t="str">
        <f>IF(ISBLANK(B841), "","GeographicalRegion-840")</f>
        <v/>
      </c>
    </row>
    <row r="842" spans="1:1" x14ac:dyDescent="0.2">
      <c r="A842" t="str">
        <f>IF(ISBLANK(B842), "","GeographicalRegion-841")</f>
        <v/>
      </c>
    </row>
    <row r="843" spans="1:1" x14ac:dyDescent="0.2">
      <c r="A843" t="str">
        <f>IF(ISBLANK(B843), "","GeographicalRegion-842")</f>
        <v/>
      </c>
    </row>
    <row r="844" spans="1:1" x14ac:dyDescent="0.2">
      <c r="A844" t="str">
        <f>IF(ISBLANK(B844), "","GeographicalRegion-843")</f>
        <v/>
      </c>
    </row>
    <row r="845" spans="1:1" x14ac:dyDescent="0.2">
      <c r="A845" t="str">
        <f>IF(ISBLANK(B845), "","GeographicalRegion-844")</f>
        <v/>
      </c>
    </row>
    <row r="846" spans="1:1" x14ac:dyDescent="0.2">
      <c r="A846" t="str">
        <f>IF(ISBLANK(B846), "","GeographicalRegion-845")</f>
        <v/>
      </c>
    </row>
    <row r="847" spans="1:1" x14ac:dyDescent="0.2">
      <c r="A847" t="str">
        <f>IF(ISBLANK(B847), "","GeographicalRegion-846")</f>
        <v/>
      </c>
    </row>
    <row r="848" spans="1:1" x14ac:dyDescent="0.2">
      <c r="A848" t="str">
        <f>IF(ISBLANK(B848), "","GeographicalRegion-847")</f>
        <v/>
      </c>
    </row>
    <row r="849" spans="1:1" x14ac:dyDescent="0.2">
      <c r="A849" t="str">
        <f>IF(ISBLANK(B849), "","GeographicalRegion-848")</f>
        <v/>
      </c>
    </row>
    <row r="850" spans="1:1" x14ac:dyDescent="0.2">
      <c r="A850" t="str">
        <f>IF(ISBLANK(B850), "","GeographicalRegion-849")</f>
        <v/>
      </c>
    </row>
    <row r="851" spans="1:1" x14ac:dyDescent="0.2">
      <c r="A851" t="str">
        <f>IF(ISBLANK(B851), "","GeographicalRegion-850")</f>
        <v/>
      </c>
    </row>
    <row r="852" spans="1:1" x14ac:dyDescent="0.2">
      <c r="A852" t="str">
        <f>IF(ISBLANK(B852), "","GeographicalRegion-851")</f>
        <v/>
      </c>
    </row>
    <row r="853" spans="1:1" x14ac:dyDescent="0.2">
      <c r="A853" t="str">
        <f>IF(ISBLANK(B853), "","GeographicalRegion-852")</f>
        <v/>
      </c>
    </row>
    <row r="854" spans="1:1" x14ac:dyDescent="0.2">
      <c r="A854" t="str">
        <f>IF(ISBLANK(B854), "","GeographicalRegion-853")</f>
        <v/>
      </c>
    </row>
    <row r="855" spans="1:1" x14ac:dyDescent="0.2">
      <c r="A855" t="str">
        <f>IF(ISBLANK(B855), "","GeographicalRegion-854")</f>
        <v/>
      </c>
    </row>
    <row r="856" spans="1:1" x14ac:dyDescent="0.2">
      <c r="A856" t="str">
        <f>IF(ISBLANK(B856), "","GeographicalRegion-855")</f>
        <v/>
      </c>
    </row>
    <row r="857" spans="1:1" x14ac:dyDescent="0.2">
      <c r="A857" t="str">
        <f>IF(ISBLANK(B857), "","GeographicalRegion-856")</f>
        <v/>
      </c>
    </row>
    <row r="858" spans="1:1" x14ac:dyDescent="0.2">
      <c r="A858" t="str">
        <f>IF(ISBLANK(B858), "","GeographicalRegion-857")</f>
        <v/>
      </c>
    </row>
    <row r="859" spans="1:1" x14ac:dyDescent="0.2">
      <c r="A859" t="str">
        <f>IF(ISBLANK(B859), "","GeographicalRegion-858")</f>
        <v/>
      </c>
    </row>
    <row r="860" spans="1:1" x14ac:dyDescent="0.2">
      <c r="A860" t="str">
        <f>IF(ISBLANK(B860), "","GeographicalRegion-859")</f>
        <v/>
      </c>
    </row>
    <row r="861" spans="1:1" x14ac:dyDescent="0.2">
      <c r="A861" t="str">
        <f>IF(ISBLANK(B861), "","GeographicalRegion-860")</f>
        <v/>
      </c>
    </row>
    <row r="862" spans="1:1" x14ac:dyDescent="0.2">
      <c r="A862" t="str">
        <f>IF(ISBLANK(B862), "","GeographicalRegion-861")</f>
        <v/>
      </c>
    </row>
    <row r="863" spans="1:1" x14ac:dyDescent="0.2">
      <c r="A863" t="str">
        <f>IF(ISBLANK(B863), "","GeographicalRegion-862")</f>
        <v/>
      </c>
    </row>
    <row r="864" spans="1:1" x14ac:dyDescent="0.2">
      <c r="A864" t="str">
        <f>IF(ISBLANK(B864), "","GeographicalRegion-863")</f>
        <v/>
      </c>
    </row>
    <row r="865" spans="1:1" x14ac:dyDescent="0.2">
      <c r="A865" t="str">
        <f>IF(ISBLANK(B865), "","GeographicalRegion-864")</f>
        <v/>
      </c>
    </row>
    <row r="866" spans="1:1" x14ac:dyDescent="0.2">
      <c r="A866" t="str">
        <f>IF(ISBLANK(B866), "","GeographicalRegion-865")</f>
        <v/>
      </c>
    </row>
    <row r="867" spans="1:1" x14ac:dyDescent="0.2">
      <c r="A867" t="str">
        <f>IF(ISBLANK(B867), "","GeographicalRegion-866")</f>
        <v/>
      </c>
    </row>
    <row r="868" spans="1:1" x14ac:dyDescent="0.2">
      <c r="A868" t="str">
        <f>IF(ISBLANK(B868), "","GeographicalRegion-867")</f>
        <v/>
      </c>
    </row>
    <row r="869" spans="1:1" x14ac:dyDescent="0.2">
      <c r="A869" t="str">
        <f>IF(ISBLANK(B869), "","GeographicalRegion-868")</f>
        <v/>
      </c>
    </row>
    <row r="870" spans="1:1" x14ac:dyDescent="0.2">
      <c r="A870" t="str">
        <f>IF(ISBLANK(B870), "","GeographicalRegion-869")</f>
        <v/>
      </c>
    </row>
    <row r="871" spans="1:1" x14ac:dyDescent="0.2">
      <c r="A871" t="str">
        <f>IF(ISBLANK(B871), "","GeographicalRegion-870")</f>
        <v/>
      </c>
    </row>
    <row r="872" spans="1:1" x14ac:dyDescent="0.2">
      <c r="A872" t="str">
        <f>IF(ISBLANK(B872), "","GeographicalRegion-871")</f>
        <v/>
      </c>
    </row>
    <row r="873" spans="1:1" x14ac:dyDescent="0.2">
      <c r="A873" t="str">
        <f>IF(ISBLANK(B873), "","GeographicalRegion-872")</f>
        <v/>
      </c>
    </row>
    <row r="874" spans="1:1" x14ac:dyDescent="0.2">
      <c r="A874" t="str">
        <f>IF(ISBLANK(B874), "","GeographicalRegion-873")</f>
        <v/>
      </c>
    </row>
    <row r="875" spans="1:1" x14ac:dyDescent="0.2">
      <c r="A875" t="str">
        <f>IF(ISBLANK(B875), "","GeographicalRegion-874")</f>
        <v/>
      </c>
    </row>
    <row r="876" spans="1:1" x14ac:dyDescent="0.2">
      <c r="A876" t="str">
        <f>IF(ISBLANK(B876), "","GeographicalRegion-875")</f>
        <v/>
      </c>
    </row>
    <row r="877" spans="1:1" x14ac:dyDescent="0.2">
      <c r="A877" t="str">
        <f>IF(ISBLANK(B877), "","GeographicalRegion-876")</f>
        <v/>
      </c>
    </row>
    <row r="878" spans="1:1" x14ac:dyDescent="0.2">
      <c r="A878" t="str">
        <f>IF(ISBLANK(B878), "","GeographicalRegion-877")</f>
        <v/>
      </c>
    </row>
    <row r="879" spans="1:1" x14ac:dyDescent="0.2">
      <c r="A879" t="str">
        <f>IF(ISBLANK(B879), "","GeographicalRegion-878")</f>
        <v/>
      </c>
    </row>
    <row r="880" spans="1:1" x14ac:dyDescent="0.2">
      <c r="A880" t="str">
        <f>IF(ISBLANK(B880), "","GeographicalRegion-879")</f>
        <v/>
      </c>
    </row>
    <row r="881" spans="1:1" x14ac:dyDescent="0.2">
      <c r="A881" t="str">
        <f>IF(ISBLANK(B881), "","GeographicalRegion-880")</f>
        <v/>
      </c>
    </row>
    <row r="882" spans="1:1" x14ac:dyDescent="0.2">
      <c r="A882" t="str">
        <f>IF(ISBLANK(B882), "","GeographicalRegion-881")</f>
        <v/>
      </c>
    </row>
    <row r="883" spans="1:1" x14ac:dyDescent="0.2">
      <c r="A883" t="str">
        <f>IF(ISBLANK(B883), "","GeographicalRegion-882")</f>
        <v/>
      </c>
    </row>
    <row r="884" spans="1:1" x14ac:dyDescent="0.2">
      <c r="A884" t="str">
        <f>IF(ISBLANK(B884), "","GeographicalRegion-883")</f>
        <v/>
      </c>
    </row>
    <row r="885" spans="1:1" x14ac:dyDescent="0.2">
      <c r="A885" t="str">
        <f>IF(ISBLANK(B885), "","GeographicalRegion-884")</f>
        <v/>
      </c>
    </row>
    <row r="886" spans="1:1" x14ac:dyDescent="0.2">
      <c r="A886" t="str">
        <f>IF(ISBLANK(B886), "","GeographicalRegion-885")</f>
        <v/>
      </c>
    </row>
    <row r="887" spans="1:1" x14ac:dyDescent="0.2">
      <c r="A887" t="str">
        <f>IF(ISBLANK(B887), "","GeographicalRegion-886")</f>
        <v/>
      </c>
    </row>
    <row r="888" spans="1:1" x14ac:dyDescent="0.2">
      <c r="A888" t="str">
        <f>IF(ISBLANK(B888), "","GeographicalRegion-887")</f>
        <v/>
      </c>
    </row>
    <row r="889" spans="1:1" x14ac:dyDescent="0.2">
      <c r="A889" t="str">
        <f>IF(ISBLANK(B889), "","GeographicalRegion-888")</f>
        <v/>
      </c>
    </row>
    <row r="890" spans="1:1" x14ac:dyDescent="0.2">
      <c r="A890" t="str">
        <f>IF(ISBLANK(B890), "","GeographicalRegion-889")</f>
        <v/>
      </c>
    </row>
    <row r="891" spans="1:1" x14ac:dyDescent="0.2">
      <c r="A891" t="str">
        <f>IF(ISBLANK(B891), "","GeographicalRegion-890")</f>
        <v/>
      </c>
    </row>
    <row r="892" spans="1:1" x14ac:dyDescent="0.2">
      <c r="A892" t="str">
        <f>IF(ISBLANK(B892), "","GeographicalRegion-891")</f>
        <v/>
      </c>
    </row>
    <row r="893" spans="1:1" x14ac:dyDescent="0.2">
      <c r="A893" t="str">
        <f>IF(ISBLANK(B893), "","GeographicalRegion-892")</f>
        <v/>
      </c>
    </row>
    <row r="894" spans="1:1" x14ac:dyDescent="0.2">
      <c r="A894" t="str">
        <f>IF(ISBLANK(B894), "","GeographicalRegion-893")</f>
        <v/>
      </c>
    </row>
    <row r="895" spans="1:1" x14ac:dyDescent="0.2">
      <c r="A895" t="str">
        <f>IF(ISBLANK(B895), "","GeographicalRegion-894")</f>
        <v/>
      </c>
    </row>
    <row r="896" spans="1:1" x14ac:dyDescent="0.2">
      <c r="A896" t="str">
        <f>IF(ISBLANK(B896), "","GeographicalRegion-895")</f>
        <v/>
      </c>
    </row>
    <row r="897" spans="1:1" x14ac:dyDescent="0.2">
      <c r="A897" t="str">
        <f>IF(ISBLANK(B897), "","GeographicalRegion-896")</f>
        <v/>
      </c>
    </row>
    <row r="898" spans="1:1" x14ac:dyDescent="0.2">
      <c r="A898" t="str">
        <f>IF(ISBLANK(B898), "","GeographicalRegion-897")</f>
        <v/>
      </c>
    </row>
    <row r="899" spans="1:1" x14ac:dyDescent="0.2">
      <c r="A899" t="str">
        <f>IF(ISBLANK(B899), "","GeographicalRegion-898")</f>
        <v/>
      </c>
    </row>
    <row r="900" spans="1:1" x14ac:dyDescent="0.2">
      <c r="A900" t="str">
        <f>IF(ISBLANK(B900), "","GeographicalRegion-899")</f>
        <v/>
      </c>
    </row>
    <row r="901" spans="1:1" x14ac:dyDescent="0.2">
      <c r="A901" t="str">
        <f>IF(ISBLANK(B901), "","GeographicalRegion-900")</f>
        <v/>
      </c>
    </row>
    <row r="902" spans="1:1" x14ac:dyDescent="0.2">
      <c r="A902" t="str">
        <f>IF(ISBLANK(B902), "","GeographicalRegion-901")</f>
        <v/>
      </c>
    </row>
    <row r="903" spans="1:1" x14ac:dyDescent="0.2">
      <c r="A903" t="str">
        <f>IF(ISBLANK(B903), "","GeographicalRegion-902")</f>
        <v/>
      </c>
    </row>
    <row r="904" spans="1:1" x14ac:dyDescent="0.2">
      <c r="A904" t="str">
        <f>IF(ISBLANK(B904), "","GeographicalRegion-903")</f>
        <v/>
      </c>
    </row>
    <row r="905" spans="1:1" x14ac:dyDescent="0.2">
      <c r="A905" t="str">
        <f>IF(ISBLANK(B905), "","GeographicalRegion-904")</f>
        <v/>
      </c>
    </row>
    <row r="906" spans="1:1" x14ac:dyDescent="0.2">
      <c r="A906" t="str">
        <f>IF(ISBLANK(B906), "","GeographicalRegion-905")</f>
        <v/>
      </c>
    </row>
    <row r="907" spans="1:1" x14ac:dyDescent="0.2">
      <c r="A907" t="str">
        <f>IF(ISBLANK(B907), "","GeographicalRegion-906")</f>
        <v/>
      </c>
    </row>
    <row r="908" spans="1:1" x14ac:dyDescent="0.2">
      <c r="A908" t="str">
        <f>IF(ISBLANK(B908), "","GeographicalRegion-907")</f>
        <v/>
      </c>
    </row>
    <row r="909" spans="1:1" x14ac:dyDescent="0.2">
      <c r="A909" t="str">
        <f>IF(ISBLANK(B909), "","GeographicalRegion-908")</f>
        <v/>
      </c>
    </row>
    <row r="910" spans="1:1" x14ac:dyDescent="0.2">
      <c r="A910" t="str">
        <f>IF(ISBLANK(B910), "","GeographicalRegion-909")</f>
        <v/>
      </c>
    </row>
    <row r="911" spans="1:1" x14ac:dyDescent="0.2">
      <c r="A911" t="str">
        <f>IF(ISBLANK(B911), "","GeographicalRegion-910")</f>
        <v/>
      </c>
    </row>
    <row r="912" spans="1:1" x14ac:dyDescent="0.2">
      <c r="A912" t="str">
        <f>IF(ISBLANK(B912), "","GeographicalRegion-911")</f>
        <v/>
      </c>
    </row>
    <row r="913" spans="1:1" x14ac:dyDescent="0.2">
      <c r="A913" t="str">
        <f>IF(ISBLANK(B913), "","GeographicalRegion-912")</f>
        <v/>
      </c>
    </row>
    <row r="914" spans="1:1" x14ac:dyDescent="0.2">
      <c r="A914" t="str">
        <f>IF(ISBLANK(B914), "","GeographicalRegion-913")</f>
        <v/>
      </c>
    </row>
    <row r="915" spans="1:1" x14ac:dyDescent="0.2">
      <c r="A915" t="str">
        <f>IF(ISBLANK(B915), "","GeographicalRegion-914")</f>
        <v/>
      </c>
    </row>
    <row r="916" spans="1:1" x14ac:dyDescent="0.2">
      <c r="A916" t="str">
        <f>IF(ISBLANK(B916), "","GeographicalRegion-915")</f>
        <v/>
      </c>
    </row>
    <row r="917" spans="1:1" x14ac:dyDescent="0.2">
      <c r="A917" t="str">
        <f>IF(ISBLANK(B917), "","GeographicalRegion-916")</f>
        <v/>
      </c>
    </row>
    <row r="918" spans="1:1" x14ac:dyDescent="0.2">
      <c r="A918" t="str">
        <f>IF(ISBLANK(B918), "","GeographicalRegion-917")</f>
        <v/>
      </c>
    </row>
    <row r="919" spans="1:1" x14ac:dyDescent="0.2">
      <c r="A919" t="str">
        <f>IF(ISBLANK(B919), "","GeographicalRegion-918")</f>
        <v/>
      </c>
    </row>
    <row r="920" spans="1:1" x14ac:dyDescent="0.2">
      <c r="A920" t="str">
        <f>IF(ISBLANK(B920), "","GeographicalRegion-919")</f>
        <v/>
      </c>
    </row>
    <row r="921" spans="1:1" x14ac:dyDescent="0.2">
      <c r="A921" t="str">
        <f>IF(ISBLANK(B921), "","GeographicalRegion-920")</f>
        <v/>
      </c>
    </row>
    <row r="922" spans="1:1" x14ac:dyDescent="0.2">
      <c r="A922" t="str">
        <f>IF(ISBLANK(B922), "","GeographicalRegion-921")</f>
        <v/>
      </c>
    </row>
    <row r="923" spans="1:1" x14ac:dyDescent="0.2">
      <c r="A923" t="str">
        <f>IF(ISBLANK(B923), "","GeographicalRegion-922")</f>
        <v/>
      </c>
    </row>
    <row r="924" spans="1:1" x14ac:dyDescent="0.2">
      <c r="A924" t="str">
        <f>IF(ISBLANK(B924), "","GeographicalRegion-923")</f>
        <v/>
      </c>
    </row>
    <row r="925" spans="1:1" x14ac:dyDescent="0.2">
      <c r="A925" t="str">
        <f>IF(ISBLANK(B925), "","GeographicalRegion-924")</f>
        <v/>
      </c>
    </row>
    <row r="926" spans="1:1" x14ac:dyDescent="0.2">
      <c r="A926" t="str">
        <f>IF(ISBLANK(B926), "","GeographicalRegion-925")</f>
        <v/>
      </c>
    </row>
    <row r="927" spans="1:1" x14ac:dyDescent="0.2">
      <c r="A927" t="str">
        <f>IF(ISBLANK(B927), "","GeographicalRegion-926")</f>
        <v/>
      </c>
    </row>
    <row r="928" spans="1:1" x14ac:dyDescent="0.2">
      <c r="A928" t="str">
        <f>IF(ISBLANK(B928), "","GeographicalRegion-927")</f>
        <v/>
      </c>
    </row>
    <row r="929" spans="1:1" x14ac:dyDescent="0.2">
      <c r="A929" t="str">
        <f>IF(ISBLANK(B929), "","GeographicalRegion-928")</f>
        <v/>
      </c>
    </row>
    <row r="930" spans="1:1" x14ac:dyDescent="0.2">
      <c r="A930" t="str">
        <f>IF(ISBLANK(B930), "","GeographicalRegion-929")</f>
        <v/>
      </c>
    </row>
    <row r="931" spans="1:1" x14ac:dyDescent="0.2">
      <c r="A931" t="str">
        <f>IF(ISBLANK(B931), "","GeographicalRegion-930")</f>
        <v/>
      </c>
    </row>
    <row r="932" spans="1:1" x14ac:dyDescent="0.2">
      <c r="A932" t="str">
        <f>IF(ISBLANK(B932), "","GeographicalRegion-931")</f>
        <v/>
      </c>
    </row>
    <row r="933" spans="1:1" x14ac:dyDescent="0.2">
      <c r="A933" t="str">
        <f>IF(ISBLANK(B933), "","GeographicalRegion-932")</f>
        <v/>
      </c>
    </row>
    <row r="934" spans="1:1" x14ac:dyDescent="0.2">
      <c r="A934" t="str">
        <f>IF(ISBLANK(B934), "","GeographicalRegion-933")</f>
        <v/>
      </c>
    </row>
    <row r="935" spans="1:1" x14ac:dyDescent="0.2">
      <c r="A935" t="str">
        <f>IF(ISBLANK(B935), "","GeographicalRegion-934")</f>
        <v/>
      </c>
    </row>
    <row r="936" spans="1:1" x14ac:dyDescent="0.2">
      <c r="A936" t="str">
        <f>IF(ISBLANK(B936), "","GeographicalRegion-935")</f>
        <v/>
      </c>
    </row>
    <row r="937" spans="1:1" x14ac:dyDescent="0.2">
      <c r="A937" t="str">
        <f>IF(ISBLANK(B937), "","GeographicalRegion-936")</f>
        <v/>
      </c>
    </row>
    <row r="938" spans="1:1" x14ac:dyDescent="0.2">
      <c r="A938" t="str">
        <f>IF(ISBLANK(B938), "","GeographicalRegion-937")</f>
        <v/>
      </c>
    </row>
    <row r="939" spans="1:1" x14ac:dyDescent="0.2">
      <c r="A939" t="str">
        <f>IF(ISBLANK(B939), "","GeographicalRegion-938")</f>
        <v/>
      </c>
    </row>
    <row r="940" spans="1:1" x14ac:dyDescent="0.2">
      <c r="A940" t="str">
        <f>IF(ISBLANK(B940), "","GeographicalRegion-939")</f>
        <v/>
      </c>
    </row>
    <row r="941" spans="1:1" x14ac:dyDescent="0.2">
      <c r="A941" t="str">
        <f>IF(ISBLANK(B941), "","GeographicalRegion-940")</f>
        <v/>
      </c>
    </row>
    <row r="942" spans="1:1" x14ac:dyDescent="0.2">
      <c r="A942" t="str">
        <f>IF(ISBLANK(B942), "","GeographicalRegion-941")</f>
        <v/>
      </c>
    </row>
    <row r="943" spans="1:1" x14ac:dyDescent="0.2">
      <c r="A943" t="str">
        <f>IF(ISBLANK(B943), "","GeographicalRegion-942")</f>
        <v/>
      </c>
    </row>
    <row r="944" spans="1:1" x14ac:dyDescent="0.2">
      <c r="A944" t="str">
        <f>IF(ISBLANK(B944), "","GeographicalRegion-943")</f>
        <v/>
      </c>
    </row>
    <row r="945" spans="1:1" x14ac:dyDescent="0.2">
      <c r="A945" t="str">
        <f>IF(ISBLANK(B945), "","GeographicalRegion-944")</f>
        <v/>
      </c>
    </row>
    <row r="946" spans="1:1" x14ac:dyDescent="0.2">
      <c r="A946" t="str">
        <f>IF(ISBLANK(B946), "","GeographicalRegion-945")</f>
        <v/>
      </c>
    </row>
    <row r="947" spans="1:1" x14ac:dyDescent="0.2">
      <c r="A947" t="str">
        <f>IF(ISBLANK(B947), "","GeographicalRegion-946")</f>
        <v/>
      </c>
    </row>
    <row r="948" spans="1:1" x14ac:dyDescent="0.2">
      <c r="A948" t="str">
        <f>IF(ISBLANK(B948), "","GeographicalRegion-947")</f>
        <v/>
      </c>
    </row>
    <row r="949" spans="1:1" x14ac:dyDescent="0.2">
      <c r="A949" t="str">
        <f>IF(ISBLANK(B949), "","GeographicalRegion-948")</f>
        <v/>
      </c>
    </row>
    <row r="950" spans="1:1" x14ac:dyDescent="0.2">
      <c r="A950" t="str">
        <f>IF(ISBLANK(B950), "","GeographicalRegion-949")</f>
        <v/>
      </c>
    </row>
    <row r="951" spans="1:1" x14ac:dyDescent="0.2">
      <c r="A951" t="str">
        <f>IF(ISBLANK(B951), "","GeographicalRegion-950")</f>
        <v/>
      </c>
    </row>
    <row r="952" spans="1:1" x14ac:dyDescent="0.2">
      <c r="A952" t="str">
        <f>IF(ISBLANK(B952), "","GeographicalRegion-951")</f>
        <v/>
      </c>
    </row>
    <row r="953" spans="1:1" x14ac:dyDescent="0.2">
      <c r="A953" t="str">
        <f>IF(ISBLANK(B953), "","GeographicalRegion-952")</f>
        <v/>
      </c>
    </row>
    <row r="954" spans="1:1" x14ac:dyDescent="0.2">
      <c r="A954" t="str">
        <f>IF(ISBLANK(B954), "","GeographicalRegion-953")</f>
        <v/>
      </c>
    </row>
    <row r="955" spans="1:1" x14ac:dyDescent="0.2">
      <c r="A955" t="str">
        <f>IF(ISBLANK(B955), "","GeographicalRegion-954")</f>
        <v/>
      </c>
    </row>
    <row r="956" spans="1:1" x14ac:dyDescent="0.2">
      <c r="A956" t="str">
        <f>IF(ISBLANK(B956), "","GeographicalRegion-955")</f>
        <v/>
      </c>
    </row>
    <row r="957" spans="1:1" x14ac:dyDescent="0.2">
      <c r="A957" t="str">
        <f>IF(ISBLANK(B957), "","GeographicalRegion-956")</f>
        <v/>
      </c>
    </row>
    <row r="958" spans="1:1" x14ac:dyDescent="0.2">
      <c r="A958" t="str">
        <f>IF(ISBLANK(B958), "","GeographicalRegion-957")</f>
        <v/>
      </c>
    </row>
    <row r="959" spans="1:1" x14ac:dyDescent="0.2">
      <c r="A959" t="str">
        <f>IF(ISBLANK(B959), "","GeographicalRegion-958")</f>
        <v/>
      </c>
    </row>
    <row r="960" spans="1:1" x14ac:dyDescent="0.2">
      <c r="A960" t="str">
        <f>IF(ISBLANK(B960), "","GeographicalRegion-959")</f>
        <v/>
      </c>
    </row>
    <row r="961" spans="1:1" x14ac:dyDescent="0.2">
      <c r="A961" t="str">
        <f>IF(ISBLANK(B961), "","GeographicalRegion-960")</f>
        <v/>
      </c>
    </row>
    <row r="962" spans="1:1" x14ac:dyDescent="0.2">
      <c r="A962" t="str">
        <f>IF(ISBLANK(B962), "","GeographicalRegion-961")</f>
        <v/>
      </c>
    </row>
    <row r="963" spans="1:1" x14ac:dyDescent="0.2">
      <c r="A963" t="str">
        <f>IF(ISBLANK(B963), "","GeographicalRegion-962")</f>
        <v/>
      </c>
    </row>
    <row r="964" spans="1:1" x14ac:dyDescent="0.2">
      <c r="A964" t="str">
        <f>IF(ISBLANK(B964), "","GeographicalRegion-963")</f>
        <v/>
      </c>
    </row>
    <row r="965" spans="1:1" x14ac:dyDescent="0.2">
      <c r="A965" t="str">
        <f>IF(ISBLANK(B965), "","GeographicalRegion-964")</f>
        <v/>
      </c>
    </row>
    <row r="966" spans="1:1" x14ac:dyDescent="0.2">
      <c r="A966" t="str">
        <f>IF(ISBLANK(B966), "","GeographicalRegion-965")</f>
        <v/>
      </c>
    </row>
    <row r="967" spans="1:1" x14ac:dyDescent="0.2">
      <c r="A967" t="str">
        <f>IF(ISBLANK(B967), "","GeographicalRegion-966")</f>
        <v/>
      </c>
    </row>
    <row r="968" spans="1:1" x14ac:dyDescent="0.2">
      <c r="A968" t="str">
        <f>IF(ISBLANK(B968), "","GeographicalRegion-967")</f>
        <v/>
      </c>
    </row>
    <row r="969" spans="1:1" x14ac:dyDescent="0.2">
      <c r="A969" t="str">
        <f>IF(ISBLANK(B969), "","GeographicalRegion-968")</f>
        <v/>
      </c>
    </row>
    <row r="970" spans="1:1" x14ac:dyDescent="0.2">
      <c r="A970" t="str">
        <f>IF(ISBLANK(B970), "","GeographicalRegion-969")</f>
        <v/>
      </c>
    </row>
    <row r="971" spans="1:1" x14ac:dyDescent="0.2">
      <c r="A971" t="str">
        <f>IF(ISBLANK(B971), "","GeographicalRegion-970")</f>
        <v/>
      </c>
    </row>
    <row r="972" spans="1:1" x14ac:dyDescent="0.2">
      <c r="A972" t="str">
        <f>IF(ISBLANK(B972), "","GeographicalRegion-971")</f>
        <v/>
      </c>
    </row>
    <row r="973" spans="1:1" x14ac:dyDescent="0.2">
      <c r="A973" t="str">
        <f>IF(ISBLANK(B973), "","GeographicalRegion-972")</f>
        <v/>
      </c>
    </row>
    <row r="974" spans="1:1" x14ac:dyDescent="0.2">
      <c r="A974" t="str">
        <f>IF(ISBLANK(B974), "","GeographicalRegion-973")</f>
        <v/>
      </c>
    </row>
    <row r="975" spans="1:1" x14ac:dyDescent="0.2">
      <c r="A975" t="str">
        <f>IF(ISBLANK(B975), "","GeographicalRegion-974")</f>
        <v/>
      </c>
    </row>
    <row r="976" spans="1:1" x14ac:dyDescent="0.2">
      <c r="A976" t="str">
        <f>IF(ISBLANK(B976), "","GeographicalRegion-975")</f>
        <v/>
      </c>
    </row>
    <row r="977" spans="1:1" x14ac:dyDescent="0.2">
      <c r="A977" t="str">
        <f>IF(ISBLANK(B977), "","GeographicalRegion-976")</f>
        <v/>
      </c>
    </row>
    <row r="978" spans="1:1" x14ac:dyDescent="0.2">
      <c r="A978" t="str">
        <f>IF(ISBLANK(B978), "","GeographicalRegion-977")</f>
        <v/>
      </c>
    </row>
    <row r="979" spans="1:1" x14ac:dyDescent="0.2">
      <c r="A979" t="str">
        <f>IF(ISBLANK(B979), "","GeographicalRegion-978")</f>
        <v/>
      </c>
    </row>
    <row r="980" spans="1:1" x14ac:dyDescent="0.2">
      <c r="A980" t="str">
        <f>IF(ISBLANK(B980), "","GeographicalRegion-979")</f>
        <v/>
      </c>
    </row>
    <row r="981" spans="1:1" x14ac:dyDescent="0.2">
      <c r="A981" t="str">
        <f>IF(ISBLANK(B981), "","GeographicalRegion-980")</f>
        <v/>
      </c>
    </row>
    <row r="982" spans="1:1" x14ac:dyDescent="0.2">
      <c r="A982" t="str">
        <f>IF(ISBLANK(B982), "","GeographicalRegion-981")</f>
        <v/>
      </c>
    </row>
    <row r="983" spans="1:1" x14ac:dyDescent="0.2">
      <c r="A983" t="str">
        <f>IF(ISBLANK(B983), "","GeographicalRegion-982")</f>
        <v/>
      </c>
    </row>
    <row r="984" spans="1:1" x14ac:dyDescent="0.2">
      <c r="A984" t="str">
        <f>IF(ISBLANK(B984), "","GeographicalRegion-983")</f>
        <v/>
      </c>
    </row>
    <row r="985" spans="1:1" x14ac:dyDescent="0.2">
      <c r="A985" t="str">
        <f>IF(ISBLANK(B985), "","GeographicalRegion-984")</f>
        <v/>
      </c>
    </row>
    <row r="986" spans="1:1" x14ac:dyDescent="0.2">
      <c r="A986" t="str">
        <f>IF(ISBLANK(B986), "","GeographicalRegion-985")</f>
        <v/>
      </c>
    </row>
    <row r="987" spans="1:1" x14ac:dyDescent="0.2">
      <c r="A987" t="str">
        <f>IF(ISBLANK(B987), "","GeographicalRegion-986")</f>
        <v/>
      </c>
    </row>
    <row r="988" spans="1:1" x14ac:dyDescent="0.2">
      <c r="A988" t="str">
        <f>IF(ISBLANK(B988), "","GeographicalRegion-987")</f>
        <v/>
      </c>
    </row>
    <row r="989" spans="1:1" x14ac:dyDescent="0.2">
      <c r="A989" t="str">
        <f>IF(ISBLANK(B989), "","GeographicalRegion-988")</f>
        <v/>
      </c>
    </row>
    <row r="990" spans="1:1" x14ac:dyDescent="0.2">
      <c r="A990" t="str">
        <f>IF(ISBLANK(B990), "","GeographicalRegion-989")</f>
        <v/>
      </c>
    </row>
    <row r="991" spans="1:1" x14ac:dyDescent="0.2">
      <c r="A991" t="str">
        <f>IF(ISBLANK(B991), "","GeographicalRegion-990")</f>
        <v/>
      </c>
    </row>
    <row r="992" spans="1:1" x14ac:dyDescent="0.2">
      <c r="A992" t="str">
        <f>IF(ISBLANK(B992), "","GeographicalRegion-991")</f>
        <v/>
      </c>
    </row>
    <row r="993" spans="1:1" x14ac:dyDescent="0.2">
      <c r="A993" t="str">
        <f>IF(ISBLANK(B993), "","GeographicalRegion-992")</f>
        <v/>
      </c>
    </row>
    <row r="994" spans="1:1" x14ac:dyDescent="0.2">
      <c r="A994" t="str">
        <f>IF(ISBLANK(B994), "","GeographicalRegion-993")</f>
        <v/>
      </c>
    </row>
    <row r="995" spans="1:1" x14ac:dyDescent="0.2">
      <c r="A995" t="str">
        <f>IF(ISBLANK(B995), "","GeographicalRegion-994")</f>
        <v/>
      </c>
    </row>
    <row r="996" spans="1:1" x14ac:dyDescent="0.2">
      <c r="A996" t="str">
        <f>IF(ISBLANK(B996), "","GeographicalRegion-995")</f>
        <v/>
      </c>
    </row>
    <row r="997" spans="1:1" x14ac:dyDescent="0.2">
      <c r="A997" t="str">
        <f>IF(ISBLANK(B997), "","GeographicalRegion-996")</f>
        <v/>
      </c>
    </row>
    <row r="998" spans="1:1" x14ac:dyDescent="0.2">
      <c r="A998" t="str">
        <f>IF(ISBLANK(B998), "","GeographicalRegion-997")</f>
        <v/>
      </c>
    </row>
    <row r="999" spans="1:1" x14ac:dyDescent="0.2">
      <c r="A999" t="str">
        <f>IF(ISBLANK(B999), "","GeographicalRegion-998")</f>
        <v/>
      </c>
    </row>
    <row r="1000" spans="1:1" x14ac:dyDescent="0.2">
      <c r="A1000" t="str">
        <f>IF(ISBLANK(B1000), "","GeographicalRegion-999")</f>
        <v/>
      </c>
    </row>
    <row r="1001" spans="1:1" x14ac:dyDescent="0.2">
      <c r="A1001" t="str">
        <f>IF(ISBLANK(B1001), "","GeographicalRegion-1000")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opLeftCell="A2" zoomScale="150" zoomScaleNormal="150" workbookViewId="0">
      <selection activeCell="C9" sqref="C9"/>
    </sheetView>
  </sheetViews>
  <sheetFormatPr baseColWidth="10" defaultColWidth="8.83203125" defaultRowHeight="15" x14ac:dyDescent="0.2"/>
  <cols>
    <col min="1" max="1" width="20.83203125" bestFit="1" customWidth="1"/>
    <col min="2" max="2" width="20.6640625" bestFit="1" customWidth="1"/>
    <col min="3" max="3" width="18" bestFit="1" customWidth="1"/>
  </cols>
  <sheetData>
    <row r="1" spans="1:3" ht="21" x14ac:dyDescent="0.2">
      <c r="A1" s="1" t="s">
        <v>0</v>
      </c>
      <c r="B1" s="2" t="s">
        <v>1</v>
      </c>
      <c r="C1" s="2" t="s">
        <v>2</v>
      </c>
    </row>
    <row r="2" spans="1:3" x14ac:dyDescent="0.2">
      <c r="A2" t="str">
        <f>IF(ISBLANK(B2), "","SubGeographicalRegion-1")</f>
        <v>SubGeographicalRegion-1</v>
      </c>
      <c r="B2" t="s">
        <v>8</v>
      </c>
      <c r="C2" t="s">
        <v>10</v>
      </c>
    </row>
    <row r="3" spans="1:3" x14ac:dyDescent="0.2">
      <c r="A3" t="str">
        <f>IF(ISBLANK(B3), "","SubGeographicalRegion-2")</f>
        <v>SubGeographicalRegion-2</v>
      </c>
      <c r="B3" t="s">
        <v>9</v>
      </c>
      <c r="C3" t="s">
        <v>11</v>
      </c>
    </row>
    <row r="4" spans="1:3" x14ac:dyDescent="0.2">
      <c r="A4" t="str">
        <f>IF(ISBLANK(B4), "","SubGeographicalRegion-3")</f>
        <v/>
      </c>
    </row>
    <row r="5" spans="1:3" x14ac:dyDescent="0.2">
      <c r="A5" t="str">
        <f>IF(ISBLANK(B5), "","SubGeographicalRegion-4")</f>
        <v/>
      </c>
    </row>
    <row r="6" spans="1:3" x14ac:dyDescent="0.2">
      <c r="A6" t="str">
        <f>IF(ISBLANK(B6), "","SubGeographicalRegion-5")</f>
        <v/>
      </c>
    </row>
    <row r="7" spans="1:3" x14ac:dyDescent="0.2">
      <c r="A7" t="str">
        <f>IF(ISBLANK(B7), "","SubGeographicalRegion-6")</f>
        <v/>
      </c>
    </row>
    <row r="8" spans="1:3" x14ac:dyDescent="0.2">
      <c r="A8" t="str">
        <f>IF(ISBLANK(B8), "","SubGeographicalRegion-7")</f>
        <v/>
      </c>
    </row>
    <row r="9" spans="1:3" x14ac:dyDescent="0.2">
      <c r="A9" t="str">
        <f>IF(ISBLANK(B9), "","SubGeographicalRegion-8")</f>
        <v/>
      </c>
    </row>
    <row r="10" spans="1:3" x14ac:dyDescent="0.2">
      <c r="A10" t="str">
        <f>IF(ISBLANK(B10), "","SubGeographicalRegion-9")</f>
        <v/>
      </c>
    </row>
    <row r="11" spans="1:3" x14ac:dyDescent="0.2">
      <c r="A11" t="str">
        <f>IF(ISBLANK(B11), "","SubGeographicalRegion-10")</f>
        <v/>
      </c>
    </row>
    <row r="12" spans="1:3" x14ac:dyDescent="0.2">
      <c r="A12" t="str">
        <f>IF(ISBLANK(B12), "","SubGeographicalRegion-11")</f>
        <v/>
      </c>
    </row>
    <row r="13" spans="1:3" x14ac:dyDescent="0.2">
      <c r="A13" t="str">
        <f>IF(ISBLANK(B13), "","SubGeographicalRegion-12")</f>
        <v/>
      </c>
    </row>
    <row r="14" spans="1:3" x14ac:dyDescent="0.2">
      <c r="A14" t="str">
        <f>IF(ISBLANK(B14), "","SubGeographicalRegion-13")</f>
        <v/>
      </c>
    </row>
    <row r="15" spans="1:3" x14ac:dyDescent="0.2">
      <c r="A15" t="str">
        <f>IF(ISBLANK(B15), "","SubGeographicalRegion-14")</f>
        <v/>
      </c>
    </row>
    <row r="16" spans="1:3" x14ac:dyDescent="0.2">
      <c r="A16" t="str">
        <f>IF(ISBLANK(B16), "","SubGeographicalRegion-15")</f>
        <v/>
      </c>
    </row>
    <row r="17" spans="1:1" x14ac:dyDescent="0.2">
      <c r="A17" t="str">
        <f>IF(ISBLANK(B17), "","SubGeographicalRegion-16")</f>
        <v/>
      </c>
    </row>
    <row r="18" spans="1:1" x14ac:dyDescent="0.2">
      <c r="A18" t="str">
        <f>IF(ISBLANK(B18), "","SubGeographicalRegion-17")</f>
        <v/>
      </c>
    </row>
    <row r="19" spans="1:1" x14ac:dyDescent="0.2">
      <c r="A19" t="str">
        <f>IF(ISBLANK(B19), "","SubGeographicalRegion-18")</f>
        <v/>
      </c>
    </row>
    <row r="20" spans="1:1" x14ac:dyDescent="0.2">
      <c r="A20" t="str">
        <f>IF(ISBLANK(B20), "","SubGeographicalRegion-19")</f>
        <v/>
      </c>
    </row>
    <row r="21" spans="1:1" x14ac:dyDescent="0.2">
      <c r="A21" t="str">
        <f>IF(ISBLANK(B21), "","SubGeographicalRegion-20")</f>
        <v/>
      </c>
    </row>
    <row r="22" spans="1:1" x14ac:dyDescent="0.2">
      <c r="A22" t="str">
        <f>IF(ISBLANK(B22), "","SubGeographicalRegion-21")</f>
        <v/>
      </c>
    </row>
    <row r="23" spans="1:1" x14ac:dyDescent="0.2">
      <c r="A23" t="str">
        <f>IF(ISBLANK(B23), "","SubGeographicalRegion-22")</f>
        <v/>
      </c>
    </row>
    <row r="24" spans="1:1" x14ac:dyDescent="0.2">
      <c r="A24" t="str">
        <f>IF(ISBLANK(B24), "","SubGeographicalRegion-23")</f>
        <v/>
      </c>
    </row>
    <row r="25" spans="1:1" x14ac:dyDescent="0.2">
      <c r="A25" t="str">
        <f>IF(ISBLANK(B25), "","SubGeographicalRegion-24")</f>
        <v/>
      </c>
    </row>
    <row r="26" spans="1:1" x14ac:dyDescent="0.2">
      <c r="A26" t="str">
        <f>IF(ISBLANK(B26), "","SubGeographicalRegion-25")</f>
        <v/>
      </c>
    </row>
    <row r="27" spans="1:1" x14ac:dyDescent="0.2">
      <c r="A27" t="str">
        <f>IF(ISBLANK(B27), "","SubGeographicalRegion-26")</f>
        <v/>
      </c>
    </row>
    <row r="28" spans="1:1" x14ac:dyDescent="0.2">
      <c r="A28" t="str">
        <f>IF(ISBLANK(B28), "","SubGeographicalRegion-27")</f>
        <v/>
      </c>
    </row>
    <row r="29" spans="1:1" x14ac:dyDescent="0.2">
      <c r="A29" t="str">
        <f>IF(ISBLANK(B29), "","SubGeographicalRegion-28")</f>
        <v/>
      </c>
    </row>
    <row r="30" spans="1:1" x14ac:dyDescent="0.2">
      <c r="A30" t="str">
        <f>IF(ISBLANK(B30), "","SubGeographicalRegion-29")</f>
        <v/>
      </c>
    </row>
    <row r="31" spans="1:1" x14ac:dyDescent="0.2">
      <c r="A31" t="str">
        <f>IF(ISBLANK(B31), "","SubGeographicalRegion-30")</f>
        <v/>
      </c>
    </row>
    <row r="32" spans="1:1" x14ac:dyDescent="0.2">
      <c r="A32" t="str">
        <f>IF(ISBLANK(B32), "","SubGeographicalRegion-31")</f>
        <v/>
      </c>
    </row>
    <row r="33" spans="1:1" x14ac:dyDescent="0.2">
      <c r="A33" t="str">
        <f>IF(ISBLANK(B33), "","SubGeographicalRegion-32")</f>
        <v/>
      </c>
    </row>
    <row r="34" spans="1:1" x14ac:dyDescent="0.2">
      <c r="A34" t="str">
        <f>IF(ISBLANK(B34), "","SubGeographicalRegion-33")</f>
        <v/>
      </c>
    </row>
    <row r="35" spans="1:1" x14ac:dyDescent="0.2">
      <c r="A35" t="str">
        <f>IF(ISBLANK(B35), "","SubGeographicalRegion-34")</f>
        <v/>
      </c>
    </row>
    <row r="36" spans="1:1" x14ac:dyDescent="0.2">
      <c r="A36" t="str">
        <f>IF(ISBLANK(B36), "","SubGeographicalRegion-35")</f>
        <v/>
      </c>
    </row>
    <row r="37" spans="1:1" x14ac:dyDescent="0.2">
      <c r="A37" t="str">
        <f>IF(ISBLANK(B37), "","SubGeographicalRegion-36")</f>
        <v/>
      </c>
    </row>
    <row r="38" spans="1:1" x14ac:dyDescent="0.2">
      <c r="A38" t="str">
        <f>IF(ISBLANK(B38), "","SubGeographicalRegion-37")</f>
        <v/>
      </c>
    </row>
    <row r="39" spans="1:1" x14ac:dyDescent="0.2">
      <c r="A39" t="str">
        <f>IF(ISBLANK(B39), "","SubGeographicalRegion-38")</f>
        <v/>
      </c>
    </row>
    <row r="40" spans="1:1" x14ac:dyDescent="0.2">
      <c r="A40" t="str">
        <f>IF(ISBLANK(B40), "","SubGeographicalRegion-39")</f>
        <v/>
      </c>
    </row>
    <row r="41" spans="1:1" x14ac:dyDescent="0.2">
      <c r="A41" t="str">
        <f>IF(ISBLANK(B41), "","SubGeographicalRegion-40")</f>
        <v/>
      </c>
    </row>
    <row r="42" spans="1:1" x14ac:dyDescent="0.2">
      <c r="A42" t="str">
        <f>IF(ISBLANK(B42), "","SubGeographicalRegion-41")</f>
        <v/>
      </c>
    </row>
    <row r="43" spans="1:1" x14ac:dyDescent="0.2">
      <c r="A43" t="str">
        <f>IF(ISBLANK(B43), "","SubGeographicalRegion-42")</f>
        <v/>
      </c>
    </row>
    <row r="44" spans="1:1" x14ac:dyDescent="0.2">
      <c r="A44" t="str">
        <f>IF(ISBLANK(B44), "","SubGeographicalRegion-43")</f>
        <v/>
      </c>
    </row>
    <row r="45" spans="1:1" x14ac:dyDescent="0.2">
      <c r="A45" t="str">
        <f>IF(ISBLANK(B45), "","SubGeographicalRegion-44")</f>
        <v/>
      </c>
    </row>
    <row r="46" spans="1:1" x14ac:dyDescent="0.2">
      <c r="A46" t="str">
        <f>IF(ISBLANK(B46), "","SubGeographicalRegion-45")</f>
        <v/>
      </c>
    </row>
    <row r="47" spans="1:1" x14ac:dyDescent="0.2">
      <c r="A47" t="str">
        <f>IF(ISBLANK(B47), "","SubGeographicalRegion-46")</f>
        <v/>
      </c>
    </row>
    <row r="48" spans="1:1" x14ac:dyDescent="0.2">
      <c r="A48" t="str">
        <f>IF(ISBLANK(B48), "","SubGeographicalRegion-47")</f>
        <v/>
      </c>
    </row>
    <row r="49" spans="1:1" x14ac:dyDescent="0.2">
      <c r="A49" t="str">
        <f>IF(ISBLANK(B49), "","SubGeographicalRegion-48")</f>
        <v/>
      </c>
    </row>
    <row r="50" spans="1:1" x14ac:dyDescent="0.2">
      <c r="A50" t="str">
        <f>IF(ISBLANK(B50), "","SubGeographicalRegion-49")</f>
        <v/>
      </c>
    </row>
    <row r="51" spans="1:1" x14ac:dyDescent="0.2">
      <c r="A51" t="str">
        <f>IF(ISBLANK(B51), "","SubGeographicalRegion-50")</f>
        <v/>
      </c>
    </row>
    <row r="52" spans="1:1" x14ac:dyDescent="0.2">
      <c r="A52" t="str">
        <f>IF(ISBLANK(B52), "","SubGeographicalRegion-51")</f>
        <v/>
      </c>
    </row>
    <row r="53" spans="1:1" x14ac:dyDescent="0.2">
      <c r="A53" t="str">
        <f>IF(ISBLANK(B53), "","SubGeographicalRegion-52")</f>
        <v/>
      </c>
    </row>
    <row r="54" spans="1:1" x14ac:dyDescent="0.2">
      <c r="A54" t="str">
        <f>IF(ISBLANK(B54), "","SubGeographicalRegion-53")</f>
        <v/>
      </c>
    </row>
    <row r="55" spans="1:1" x14ac:dyDescent="0.2">
      <c r="A55" t="str">
        <f>IF(ISBLANK(B55), "","SubGeographicalRegion-54")</f>
        <v/>
      </c>
    </row>
    <row r="56" spans="1:1" x14ac:dyDescent="0.2">
      <c r="A56" t="str">
        <f>IF(ISBLANK(B56), "","SubGeographicalRegion-55")</f>
        <v/>
      </c>
    </row>
    <row r="57" spans="1:1" x14ac:dyDescent="0.2">
      <c r="A57" t="str">
        <f>IF(ISBLANK(B57), "","SubGeographicalRegion-56")</f>
        <v/>
      </c>
    </row>
    <row r="58" spans="1:1" x14ac:dyDescent="0.2">
      <c r="A58" t="str">
        <f>IF(ISBLANK(B58), "","SubGeographicalRegion-57")</f>
        <v/>
      </c>
    </row>
    <row r="59" spans="1:1" x14ac:dyDescent="0.2">
      <c r="A59" t="str">
        <f>IF(ISBLANK(B59), "","SubGeographicalRegion-58")</f>
        <v/>
      </c>
    </row>
    <row r="60" spans="1:1" x14ac:dyDescent="0.2">
      <c r="A60" t="str">
        <f>IF(ISBLANK(B60), "","SubGeographicalRegion-59")</f>
        <v/>
      </c>
    </row>
    <row r="61" spans="1:1" x14ac:dyDescent="0.2">
      <c r="A61" t="str">
        <f>IF(ISBLANK(B61), "","SubGeographicalRegion-60")</f>
        <v/>
      </c>
    </row>
    <row r="62" spans="1:1" x14ac:dyDescent="0.2">
      <c r="A62" t="str">
        <f>IF(ISBLANK(B62), "","SubGeographicalRegion-61")</f>
        <v/>
      </c>
    </row>
    <row r="63" spans="1:1" x14ac:dyDescent="0.2">
      <c r="A63" t="str">
        <f>IF(ISBLANK(B63), "","SubGeographicalRegion-62")</f>
        <v/>
      </c>
    </row>
    <row r="64" spans="1:1" x14ac:dyDescent="0.2">
      <c r="A64" t="str">
        <f>IF(ISBLANK(B64), "","SubGeographicalRegion-63")</f>
        <v/>
      </c>
    </row>
    <row r="65" spans="1:1" x14ac:dyDescent="0.2">
      <c r="A65" t="str">
        <f>IF(ISBLANK(B65), "","SubGeographicalRegion-64")</f>
        <v/>
      </c>
    </row>
    <row r="66" spans="1:1" x14ac:dyDescent="0.2">
      <c r="A66" t="str">
        <f>IF(ISBLANK(B66), "","SubGeographicalRegion-65")</f>
        <v/>
      </c>
    </row>
    <row r="67" spans="1:1" x14ac:dyDescent="0.2">
      <c r="A67" t="str">
        <f>IF(ISBLANK(B67), "","SubGeographicalRegion-66")</f>
        <v/>
      </c>
    </row>
    <row r="68" spans="1:1" x14ac:dyDescent="0.2">
      <c r="A68" t="str">
        <f>IF(ISBLANK(B68), "","SubGeographicalRegion-67")</f>
        <v/>
      </c>
    </row>
    <row r="69" spans="1:1" x14ac:dyDescent="0.2">
      <c r="A69" t="str">
        <f>IF(ISBLANK(B69), "","SubGeographicalRegion-68")</f>
        <v/>
      </c>
    </row>
    <row r="70" spans="1:1" x14ac:dyDescent="0.2">
      <c r="A70" t="str">
        <f>IF(ISBLANK(B70), "","SubGeographicalRegion-69")</f>
        <v/>
      </c>
    </row>
    <row r="71" spans="1:1" x14ac:dyDescent="0.2">
      <c r="A71" t="str">
        <f>IF(ISBLANK(B71), "","SubGeographicalRegion-70")</f>
        <v/>
      </c>
    </row>
    <row r="72" spans="1:1" x14ac:dyDescent="0.2">
      <c r="A72" t="str">
        <f>IF(ISBLANK(B72), "","SubGeographicalRegion-71")</f>
        <v/>
      </c>
    </row>
    <row r="73" spans="1:1" x14ac:dyDescent="0.2">
      <c r="A73" t="str">
        <f>IF(ISBLANK(B73), "","SubGeographicalRegion-72")</f>
        <v/>
      </c>
    </row>
    <row r="74" spans="1:1" x14ac:dyDescent="0.2">
      <c r="A74" t="str">
        <f>IF(ISBLANK(B74), "","SubGeographicalRegion-73")</f>
        <v/>
      </c>
    </row>
    <row r="75" spans="1:1" x14ac:dyDescent="0.2">
      <c r="A75" t="str">
        <f>IF(ISBLANK(B75), "","SubGeographicalRegion-74")</f>
        <v/>
      </c>
    </row>
    <row r="76" spans="1:1" x14ac:dyDescent="0.2">
      <c r="A76" t="str">
        <f>IF(ISBLANK(B76), "","SubGeographicalRegion-75")</f>
        <v/>
      </c>
    </row>
    <row r="77" spans="1:1" x14ac:dyDescent="0.2">
      <c r="A77" t="str">
        <f>IF(ISBLANK(B77), "","SubGeographicalRegion-76")</f>
        <v/>
      </c>
    </row>
    <row r="78" spans="1:1" x14ac:dyDescent="0.2">
      <c r="A78" t="str">
        <f>IF(ISBLANK(B78), "","SubGeographicalRegion-77")</f>
        <v/>
      </c>
    </row>
    <row r="79" spans="1:1" x14ac:dyDescent="0.2">
      <c r="A79" t="str">
        <f>IF(ISBLANK(B79), "","SubGeographicalRegion-78")</f>
        <v/>
      </c>
    </row>
    <row r="80" spans="1:1" x14ac:dyDescent="0.2">
      <c r="A80" t="str">
        <f>IF(ISBLANK(B80), "","SubGeographicalRegion-79")</f>
        <v/>
      </c>
    </row>
    <row r="81" spans="1:1" x14ac:dyDescent="0.2">
      <c r="A81" t="str">
        <f>IF(ISBLANK(B81), "","SubGeographicalRegion-80")</f>
        <v/>
      </c>
    </row>
    <row r="82" spans="1:1" x14ac:dyDescent="0.2">
      <c r="A82" t="str">
        <f>IF(ISBLANK(B82), "","SubGeographicalRegion-81")</f>
        <v/>
      </c>
    </row>
    <row r="83" spans="1:1" x14ac:dyDescent="0.2">
      <c r="A83" t="str">
        <f>IF(ISBLANK(B83), "","SubGeographicalRegion-82")</f>
        <v/>
      </c>
    </row>
    <row r="84" spans="1:1" x14ac:dyDescent="0.2">
      <c r="A84" t="str">
        <f>IF(ISBLANK(B84), "","SubGeographicalRegion-83")</f>
        <v/>
      </c>
    </row>
    <row r="85" spans="1:1" x14ac:dyDescent="0.2">
      <c r="A85" t="str">
        <f>IF(ISBLANK(B85), "","SubGeographicalRegion-84")</f>
        <v/>
      </c>
    </row>
    <row r="86" spans="1:1" x14ac:dyDescent="0.2">
      <c r="A86" t="str">
        <f>IF(ISBLANK(B86), "","SubGeographicalRegion-85")</f>
        <v/>
      </c>
    </row>
    <row r="87" spans="1:1" x14ac:dyDescent="0.2">
      <c r="A87" t="str">
        <f>IF(ISBLANK(B87), "","SubGeographicalRegion-86")</f>
        <v/>
      </c>
    </row>
    <row r="88" spans="1:1" x14ac:dyDescent="0.2">
      <c r="A88" t="str">
        <f>IF(ISBLANK(B88), "","SubGeographicalRegion-87")</f>
        <v/>
      </c>
    </row>
    <row r="89" spans="1:1" x14ac:dyDescent="0.2">
      <c r="A89" t="str">
        <f>IF(ISBLANK(B89), "","SubGeographicalRegion-88")</f>
        <v/>
      </c>
    </row>
    <row r="90" spans="1:1" x14ac:dyDescent="0.2">
      <c r="A90" t="str">
        <f>IF(ISBLANK(B90), "","SubGeographicalRegion-89")</f>
        <v/>
      </c>
    </row>
    <row r="91" spans="1:1" x14ac:dyDescent="0.2">
      <c r="A91" t="str">
        <f>IF(ISBLANK(B91), "","SubGeographicalRegion-90")</f>
        <v/>
      </c>
    </row>
    <row r="92" spans="1:1" x14ac:dyDescent="0.2">
      <c r="A92" t="str">
        <f>IF(ISBLANK(B92), "","SubGeographicalRegion-91")</f>
        <v/>
      </c>
    </row>
    <row r="93" spans="1:1" x14ac:dyDescent="0.2">
      <c r="A93" t="str">
        <f>IF(ISBLANK(B93), "","SubGeographicalRegion-92")</f>
        <v/>
      </c>
    </row>
    <row r="94" spans="1:1" x14ac:dyDescent="0.2">
      <c r="A94" t="str">
        <f>IF(ISBLANK(B94), "","SubGeographicalRegion-93")</f>
        <v/>
      </c>
    </row>
    <row r="95" spans="1:1" x14ac:dyDescent="0.2">
      <c r="A95" t="str">
        <f>IF(ISBLANK(B95), "","SubGeographicalRegion-94")</f>
        <v/>
      </c>
    </row>
    <row r="96" spans="1:1" x14ac:dyDescent="0.2">
      <c r="A96" t="str">
        <f>IF(ISBLANK(B96), "","SubGeographicalRegion-95")</f>
        <v/>
      </c>
    </row>
    <row r="97" spans="1:1" x14ac:dyDescent="0.2">
      <c r="A97" t="str">
        <f>IF(ISBLANK(B97), "","SubGeographicalRegion-96")</f>
        <v/>
      </c>
    </row>
    <row r="98" spans="1:1" x14ac:dyDescent="0.2">
      <c r="A98" t="str">
        <f>IF(ISBLANK(B98), "","SubGeographicalRegion-97")</f>
        <v/>
      </c>
    </row>
    <row r="99" spans="1:1" x14ac:dyDescent="0.2">
      <c r="A99" t="str">
        <f>IF(ISBLANK(B99), "","SubGeographicalRegion-98")</f>
        <v/>
      </c>
    </row>
    <row r="100" spans="1:1" x14ac:dyDescent="0.2">
      <c r="A100" t="str">
        <f>IF(ISBLANK(B100), "","SubGeographicalRegion-99")</f>
        <v/>
      </c>
    </row>
    <row r="101" spans="1:1" x14ac:dyDescent="0.2">
      <c r="A101" t="str">
        <f>IF(ISBLANK(B101), "","SubGeographicalRegion-100")</f>
        <v/>
      </c>
    </row>
    <row r="102" spans="1:1" x14ac:dyDescent="0.2">
      <c r="A102" t="str">
        <f>IF(ISBLANK(B102), "","SubGeographicalRegion-101")</f>
        <v/>
      </c>
    </row>
    <row r="103" spans="1:1" x14ac:dyDescent="0.2">
      <c r="A103" t="str">
        <f>IF(ISBLANK(B103), "","SubGeographicalRegion-102")</f>
        <v/>
      </c>
    </row>
    <row r="104" spans="1:1" x14ac:dyDescent="0.2">
      <c r="A104" t="str">
        <f>IF(ISBLANK(B104), "","SubGeographicalRegion-103")</f>
        <v/>
      </c>
    </row>
    <row r="105" spans="1:1" x14ac:dyDescent="0.2">
      <c r="A105" t="str">
        <f>IF(ISBLANK(B105), "","SubGeographicalRegion-104")</f>
        <v/>
      </c>
    </row>
    <row r="106" spans="1:1" x14ac:dyDescent="0.2">
      <c r="A106" t="str">
        <f>IF(ISBLANK(B106), "","SubGeographicalRegion-105")</f>
        <v/>
      </c>
    </row>
    <row r="107" spans="1:1" x14ac:dyDescent="0.2">
      <c r="A107" t="str">
        <f>IF(ISBLANK(B107), "","SubGeographicalRegion-106")</f>
        <v/>
      </c>
    </row>
    <row r="108" spans="1:1" x14ac:dyDescent="0.2">
      <c r="A108" t="str">
        <f>IF(ISBLANK(B108), "","SubGeographicalRegion-107")</f>
        <v/>
      </c>
    </row>
    <row r="109" spans="1:1" x14ac:dyDescent="0.2">
      <c r="A109" t="str">
        <f>IF(ISBLANK(B109), "","SubGeographicalRegion-108")</f>
        <v/>
      </c>
    </row>
    <row r="110" spans="1:1" x14ac:dyDescent="0.2">
      <c r="A110" t="str">
        <f>IF(ISBLANK(B110), "","SubGeographicalRegion-109")</f>
        <v/>
      </c>
    </row>
    <row r="111" spans="1:1" x14ac:dyDescent="0.2">
      <c r="A111" t="str">
        <f>IF(ISBLANK(B111), "","SubGeographicalRegion-110")</f>
        <v/>
      </c>
    </row>
    <row r="112" spans="1:1" x14ac:dyDescent="0.2">
      <c r="A112" t="str">
        <f>IF(ISBLANK(B112), "","SubGeographicalRegion-111")</f>
        <v/>
      </c>
    </row>
    <row r="113" spans="1:1" x14ac:dyDescent="0.2">
      <c r="A113" t="str">
        <f>IF(ISBLANK(B113), "","SubGeographicalRegion-112")</f>
        <v/>
      </c>
    </row>
    <row r="114" spans="1:1" x14ac:dyDescent="0.2">
      <c r="A114" t="str">
        <f>IF(ISBLANK(B114), "","SubGeographicalRegion-113")</f>
        <v/>
      </c>
    </row>
    <row r="115" spans="1:1" x14ac:dyDescent="0.2">
      <c r="A115" t="str">
        <f>IF(ISBLANK(B115), "","SubGeographicalRegion-114")</f>
        <v/>
      </c>
    </row>
    <row r="116" spans="1:1" x14ac:dyDescent="0.2">
      <c r="A116" t="str">
        <f>IF(ISBLANK(B116), "","SubGeographicalRegion-115")</f>
        <v/>
      </c>
    </row>
    <row r="117" spans="1:1" x14ac:dyDescent="0.2">
      <c r="A117" t="str">
        <f>IF(ISBLANK(B117), "","SubGeographicalRegion-116")</f>
        <v/>
      </c>
    </row>
    <row r="118" spans="1:1" x14ac:dyDescent="0.2">
      <c r="A118" t="str">
        <f>IF(ISBLANK(B118), "","SubGeographicalRegion-117")</f>
        <v/>
      </c>
    </row>
    <row r="119" spans="1:1" x14ac:dyDescent="0.2">
      <c r="A119" t="str">
        <f>IF(ISBLANK(B119), "","SubGeographicalRegion-118")</f>
        <v/>
      </c>
    </row>
    <row r="120" spans="1:1" x14ac:dyDescent="0.2">
      <c r="A120" t="str">
        <f>IF(ISBLANK(B120), "","SubGeographicalRegion-119")</f>
        <v/>
      </c>
    </row>
    <row r="121" spans="1:1" x14ac:dyDescent="0.2">
      <c r="A121" t="str">
        <f>IF(ISBLANK(B121), "","SubGeographicalRegion-120")</f>
        <v/>
      </c>
    </row>
    <row r="122" spans="1:1" x14ac:dyDescent="0.2">
      <c r="A122" t="str">
        <f>IF(ISBLANK(B122), "","SubGeographicalRegion-121")</f>
        <v/>
      </c>
    </row>
    <row r="123" spans="1:1" x14ac:dyDescent="0.2">
      <c r="A123" t="str">
        <f>IF(ISBLANK(B123), "","SubGeographicalRegion-122")</f>
        <v/>
      </c>
    </row>
    <row r="124" spans="1:1" x14ac:dyDescent="0.2">
      <c r="A124" t="str">
        <f>IF(ISBLANK(B124), "","SubGeographicalRegion-123")</f>
        <v/>
      </c>
    </row>
    <row r="125" spans="1:1" x14ac:dyDescent="0.2">
      <c r="A125" t="str">
        <f>IF(ISBLANK(B125), "","SubGeographicalRegion-124")</f>
        <v/>
      </c>
    </row>
    <row r="126" spans="1:1" x14ac:dyDescent="0.2">
      <c r="A126" t="str">
        <f>IF(ISBLANK(B126), "","SubGeographicalRegion-125")</f>
        <v/>
      </c>
    </row>
    <row r="127" spans="1:1" x14ac:dyDescent="0.2">
      <c r="A127" t="str">
        <f>IF(ISBLANK(B127), "","SubGeographicalRegion-126")</f>
        <v/>
      </c>
    </row>
    <row r="128" spans="1:1" x14ac:dyDescent="0.2">
      <c r="A128" t="str">
        <f>IF(ISBLANK(B128), "","SubGeographicalRegion-127")</f>
        <v/>
      </c>
    </row>
    <row r="129" spans="1:1" x14ac:dyDescent="0.2">
      <c r="A129" t="str">
        <f>IF(ISBLANK(B129), "","SubGeographicalRegion-128")</f>
        <v/>
      </c>
    </row>
    <row r="130" spans="1:1" x14ac:dyDescent="0.2">
      <c r="A130" t="str">
        <f>IF(ISBLANK(B130), "","SubGeographicalRegion-129")</f>
        <v/>
      </c>
    </row>
    <row r="131" spans="1:1" x14ac:dyDescent="0.2">
      <c r="A131" t="str">
        <f>IF(ISBLANK(B131), "","SubGeographicalRegion-130")</f>
        <v/>
      </c>
    </row>
    <row r="132" spans="1:1" x14ac:dyDescent="0.2">
      <c r="A132" t="str">
        <f>IF(ISBLANK(B132), "","SubGeographicalRegion-131")</f>
        <v/>
      </c>
    </row>
    <row r="133" spans="1:1" x14ac:dyDescent="0.2">
      <c r="A133" t="str">
        <f>IF(ISBLANK(B133), "","SubGeographicalRegion-132")</f>
        <v/>
      </c>
    </row>
    <row r="134" spans="1:1" x14ac:dyDescent="0.2">
      <c r="A134" t="str">
        <f>IF(ISBLANK(B134), "","SubGeographicalRegion-133")</f>
        <v/>
      </c>
    </row>
    <row r="135" spans="1:1" x14ac:dyDescent="0.2">
      <c r="A135" t="str">
        <f>IF(ISBLANK(B135), "","SubGeographicalRegion-134")</f>
        <v/>
      </c>
    </row>
    <row r="136" spans="1:1" x14ac:dyDescent="0.2">
      <c r="A136" t="str">
        <f>IF(ISBLANK(B136), "","SubGeographicalRegion-135")</f>
        <v/>
      </c>
    </row>
    <row r="137" spans="1:1" x14ac:dyDescent="0.2">
      <c r="A137" t="str">
        <f>IF(ISBLANK(B137), "","SubGeographicalRegion-136")</f>
        <v/>
      </c>
    </row>
    <row r="138" spans="1:1" x14ac:dyDescent="0.2">
      <c r="A138" t="str">
        <f>IF(ISBLANK(B138), "","SubGeographicalRegion-137")</f>
        <v/>
      </c>
    </row>
    <row r="139" spans="1:1" x14ac:dyDescent="0.2">
      <c r="A139" t="str">
        <f>IF(ISBLANK(B139), "","SubGeographicalRegion-138")</f>
        <v/>
      </c>
    </row>
    <row r="140" spans="1:1" x14ac:dyDescent="0.2">
      <c r="A140" t="str">
        <f>IF(ISBLANK(B140), "","SubGeographicalRegion-139")</f>
        <v/>
      </c>
    </row>
    <row r="141" spans="1:1" x14ac:dyDescent="0.2">
      <c r="A141" t="str">
        <f>IF(ISBLANK(B141), "","SubGeographicalRegion-140")</f>
        <v/>
      </c>
    </row>
    <row r="142" spans="1:1" x14ac:dyDescent="0.2">
      <c r="A142" t="str">
        <f>IF(ISBLANK(B142), "","SubGeographicalRegion-141")</f>
        <v/>
      </c>
    </row>
    <row r="143" spans="1:1" x14ac:dyDescent="0.2">
      <c r="A143" t="str">
        <f>IF(ISBLANK(B143), "","SubGeographicalRegion-142")</f>
        <v/>
      </c>
    </row>
    <row r="144" spans="1:1" x14ac:dyDescent="0.2">
      <c r="A144" t="str">
        <f>IF(ISBLANK(B144), "","SubGeographicalRegion-143")</f>
        <v/>
      </c>
    </row>
    <row r="145" spans="1:1" x14ac:dyDescent="0.2">
      <c r="A145" t="str">
        <f>IF(ISBLANK(B145), "","SubGeographicalRegion-144")</f>
        <v/>
      </c>
    </row>
    <row r="146" spans="1:1" x14ac:dyDescent="0.2">
      <c r="A146" t="str">
        <f>IF(ISBLANK(B146), "","SubGeographicalRegion-145")</f>
        <v/>
      </c>
    </row>
    <row r="147" spans="1:1" x14ac:dyDescent="0.2">
      <c r="A147" t="str">
        <f>IF(ISBLANK(B147), "","SubGeographicalRegion-146")</f>
        <v/>
      </c>
    </row>
    <row r="148" spans="1:1" x14ac:dyDescent="0.2">
      <c r="A148" t="str">
        <f>IF(ISBLANK(B148), "","SubGeographicalRegion-147")</f>
        <v/>
      </c>
    </row>
    <row r="149" spans="1:1" x14ac:dyDescent="0.2">
      <c r="A149" t="str">
        <f>IF(ISBLANK(B149), "","SubGeographicalRegion-148")</f>
        <v/>
      </c>
    </row>
    <row r="150" spans="1:1" x14ac:dyDescent="0.2">
      <c r="A150" t="str">
        <f>IF(ISBLANK(B150), "","SubGeographicalRegion-149")</f>
        <v/>
      </c>
    </row>
    <row r="151" spans="1:1" x14ac:dyDescent="0.2">
      <c r="A151" t="str">
        <f>IF(ISBLANK(B151), "","SubGeographicalRegion-150")</f>
        <v/>
      </c>
    </row>
    <row r="152" spans="1:1" x14ac:dyDescent="0.2">
      <c r="A152" t="str">
        <f>IF(ISBLANK(B152), "","SubGeographicalRegion-151")</f>
        <v/>
      </c>
    </row>
    <row r="153" spans="1:1" x14ac:dyDescent="0.2">
      <c r="A153" t="str">
        <f>IF(ISBLANK(B153), "","SubGeographicalRegion-152")</f>
        <v/>
      </c>
    </row>
    <row r="154" spans="1:1" x14ac:dyDescent="0.2">
      <c r="A154" t="str">
        <f>IF(ISBLANK(B154), "","SubGeographicalRegion-153")</f>
        <v/>
      </c>
    </row>
    <row r="155" spans="1:1" x14ac:dyDescent="0.2">
      <c r="A155" t="str">
        <f>IF(ISBLANK(B155), "","SubGeographicalRegion-154")</f>
        <v/>
      </c>
    </row>
    <row r="156" spans="1:1" x14ac:dyDescent="0.2">
      <c r="A156" t="str">
        <f>IF(ISBLANK(B156), "","SubGeographicalRegion-155")</f>
        <v/>
      </c>
    </row>
    <row r="157" spans="1:1" x14ac:dyDescent="0.2">
      <c r="A157" t="str">
        <f>IF(ISBLANK(B157), "","SubGeographicalRegion-156")</f>
        <v/>
      </c>
    </row>
    <row r="158" spans="1:1" x14ac:dyDescent="0.2">
      <c r="A158" t="str">
        <f>IF(ISBLANK(B158), "","SubGeographicalRegion-157")</f>
        <v/>
      </c>
    </row>
    <row r="159" spans="1:1" x14ac:dyDescent="0.2">
      <c r="A159" t="str">
        <f>IF(ISBLANK(B159), "","SubGeographicalRegion-158")</f>
        <v/>
      </c>
    </row>
    <row r="160" spans="1:1" x14ac:dyDescent="0.2">
      <c r="A160" t="str">
        <f>IF(ISBLANK(B160), "","SubGeographicalRegion-159")</f>
        <v/>
      </c>
    </row>
    <row r="161" spans="1:1" x14ac:dyDescent="0.2">
      <c r="A161" t="str">
        <f>IF(ISBLANK(B161), "","SubGeographicalRegion-160")</f>
        <v/>
      </c>
    </row>
    <row r="162" spans="1:1" x14ac:dyDescent="0.2">
      <c r="A162" t="str">
        <f>IF(ISBLANK(B162), "","SubGeographicalRegion-161")</f>
        <v/>
      </c>
    </row>
    <row r="163" spans="1:1" x14ac:dyDescent="0.2">
      <c r="A163" t="str">
        <f>IF(ISBLANK(B163), "","SubGeographicalRegion-162")</f>
        <v/>
      </c>
    </row>
    <row r="164" spans="1:1" x14ac:dyDescent="0.2">
      <c r="A164" t="str">
        <f>IF(ISBLANK(B164), "","SubGeographicalRegion-163")</f>
        <v/>
      </c>
    </row>
    <row r="165" spans="1:1" x14ac:dyDescent="0.2">
      <c r="A165" t="str">
        <f>IF(ISBLANK(B165), "","SubGeographicalRegion-164")</f>
        <v/>
      </c>
    </row>
    <row r="166" spans="1:1" x14ac:dyDescent="0.2">
      <c r="A166" t="str">
        <f>IF(ISBLANK(B166), "","SubGeographicalRegion-165")</f>
        <v/>
      </c>
    </row>
    <row r="167" spans="1:1" x14ac:dyDescent="0.2">
      <c r="A167" t="str">
        <f>IF(ISBLANK(B167), "","SubGeographicalRegion-166")</f>
        <v/>
      </c>
    </row>
    <row r="168" spans="1:1" x14ac:dyDescent="0.2">
      <c r="A168" t="str">
        <f>IF(ISBLANK(B168), "","SubGeographicalRegion-167")</f>
        <v/>
      </c>
    </row>
    <row r="169" spans="1:1" x14ac:dyDescent="0.2">
      <c r="A169" t="str">
        <f>IF(ISBLANK(B169), "","SubGeographicalRegion-168")</f>
        <v/>
      </c>
    </row>
    <row r="170" spans="1:1" x14ac:dyDescent="0.2">
      <c r="A170" t="str">
        <f>IF(ISBLANK(B170), "","SubGeographicalRegion-169")</f>
        <v/>
      </c>
    </row>
    <row r="171" spans="1:1" x14ac:dyDescent="0.2">
      <c r="A171" t="str">
        <f>IF(ISBLANK(B171), "","SubGeographicalRegion-170")</f>
        <v/>
      </c>
    </row>
    <row r="172" spans="1:1" x14ac:dyDescent="0.2">
      <c r="A172" t="str">
        <f>IF(ISBLANK(B172), "","SubGeographicalRegion-171")</f>
        <v/>
      </c>
    </row>
    <row r="173" spans="1:1" x14ac:dyDescent="0.2">
      <c r="A173" t="str">
        <f>IF(ISBLANK(B173), "","SubGeographicalRegion-172")</f>
        <v/>
      </c>
    </row>
    <row r="174" spans="1:1" x14ac:dyDescent="0.2">
      <c r="A174" t="str">
        <f>IF(ISBLANK(B174), "","SubGeographicalRegion-173")</f>
        <v/>
      </c>
    </row>
    <row r="175" spans="1:1" x14ac:dyDescent="0.2">
      <c r="A175" t="str">
        <f>IF(ISBLANK(B175), "","SubGeographicalRegion-174")</f>
        <v/>
      </c>
    </row>
    <row r="176" spans="1:1" x14ac:dyDescent="0.2">
      <c r="A176" t="str">
        <f>IF(ISBLANK(B176), "","SubGeographicalRegion-175")</f>
        <v/>
      </c>
    </row>
    <row r="177" spans="1:1" x14ac:dyDescent="0.2">
      <c r="A177" t="str">
        <f>IF(ISBLANK(B177), "","SubGeographicalRegion-176")</f>
        <v/>
      </c>
    </row>
    <row r="178" spans="1:1" x14ac:dyDescent="0.2">
      <c r="A178" t="str">
        <f>IF(ISBLANK(B178), "","SubGeographicalRegion-177")</f>
        <v/>
      </c>
    </row>
    <row r="179" spans="1:1" x14ac:dyDescent="0.2">
      <c r="A179" t="str">
        <f>IF(ISBLANK(B179), "","SubGeographicalRegion-178")</f>
        <v/>
      </c>
    </row>
    <row r="180" spans="1:1" x14ac:dyDescent="0.2">
      <c r="A180" t="str">
        <f>IF(ISBLANK(B180), "","SubGeographicalRegion-179")</f>
        <v/>
      </c>
    </row>
    <row r="181" spans="1:1" x14ac:dyDescent="0.2">
      <c r="A181" t="str">
        <f>IF(ISBLANK(B181), "","SubGeographicalRegion-180")</f>
        <v/>
      </c>
    </row>
    <row r="182" spans="1:1" x14ac:dyDescent="0.2">
      <c r="A182" t="str">
        <f>IF(ISBLANK(B182), "","SubGeographicalRegion-181")</f>
        <v/>
      </c>
    </row>
    <row r="183" spans="1:1" x14ac:dyDescent="0.2">
      <c r="A183" t="str">
        <f>IF(ISBLANK(B183), "","SubGeographicalRegion-182")</f>
        <v/>
      </c>
    </row>
    <row r="184" spans="1:1" x14ac:dyDescent="0.2">
      <c r="A184" t="str">
        <f>IF(ISBLANK(B184), "","SubGeographicalRegion-183")</f>
        <v/>
      </c>
    </row>
    <row r="185" spans="1:1" x14ac:dyDescent="0.2">
      <c r="A185" t="str">
        <f>IF(ISBLANK(B185), "","SubGeographicalRegion-184")</f>
        <v/>
      </c>
    </row>
    <row r="186" spans="1:1" x14ac:dyDescent="0.2">
      <c r="A186" t="str">
        <f>IF(ISBLANK(B186), "","SubGeographicalRegion-185")</f>
        <v/>
      </c>
    </row>
    <row r="187" spans="1:1" x14ac:dyDescent="0.2">
      <c r="A187" t="str">
        <f>IF(ISBLANK(B187), "","SubGeographicalRegion-186")</f>
        <v/>
      </c>
    </row>
    <row r="188" spans="1:1" x14ac:dyDescent="0.2">
      <c r="A188" t="str">
        <f>IF(ISBLANK(B188), "","SubGeographicalRegion-187")</f>
        <v/>
      </c>
    </row>
    <row r="189" spans="1:1" x14ac:dyDescent="0.2">
      <c r="A189" t="str">
        <f>IF(ISBLANK(B189), "","SubGeographicalRegion-188")</f>
        <v/>
      </c>
    </row>
    <row r="190" spans="1:1" x14ac:dyDescent="0.2">
      <c r="A190" t="str">
        <f>IF(ISBLANK(B190), "","SubGeographicalRegion-189")</f>
        <v/>
      </c>
    </row>
    <row r="191" spans="1:1" x14ac:dyDescent="0.2">
      <c r="A191" t="str">
        <f>IF(ISBLANK(B191), "","SubGeographicalRegion-190")</f>
        <v/>
      </c>
    </row>
    <row r="192" spans="1:1" x14ac:dyDescent="0.2">
      <c r="A192" t="str">
        <f>IF(ISBLANK(B192), "","SubGeographicalRegion-191")</f>
        <v/>
      </c>
    </row>
    <row r="193" spans="1:1" x14ac:dyDescent="0.2">
      <c r="A193" t="str">
        <f>IF(ISBLANK(B193), "","SubGeographicalRegion-192")</f>
        <v/>
      </c>
    </row>
    <row r="194" spans="1:1" x14ac:dyDescent="0.2">
      <c r="A194" t="str">
        <f>IF(ISBLANK(B194), "","SubGeographicalRegion-193")</f>
        <v/>
      </c>
    </row>
    <row r="195" spans="1:1" x14ac:dyDescent="0.2">
      <c r="A195" t="str">
        <f>IF(ISBLANK(B195), "","SubGeographicalRegion-194")</f>
        <v/>
      </c>
    </row>
    <row r="196" spans="1:1" x14ac:dyDescent="0.2">
      <c r="A196" t="str">
        <f>IF(ISBLANK(B196), "","SubGeographicalRegion-195")</f>
        <v/>
      </c>
    </row>
    <row r="197" spans="1:1" x14ac:dyDescent="0.2">
      <c r="A197" t="str">
        <f>IF(ISBLANK(B197), "","SubGeographicalRegion-196")</f>
        <v/>
      </c>
    </row>
    <row r="198" spans="1:1" x14ac:dyDescent="0.2">
      <c r="A198" t="str">
        <f>IF(ISBLANK(B198), "","SubGeographicalRegion-197")</f>
        <v/>
      </c>
    </row>
    <row r="199" spans="1:1" x14ac:dyDescent="0.2">
      <c r="A199" t="str">
        <f>IF(ISBLANK(B199), "","SubGeographicalRegion-198")</f>
        <v/>
      </c>
    </row>
    <row r="200" spans="1:1" x14ac:dyDescent="0.2">
      <c r="A200" t="str">
        <f>IF(ISBLANK(B200), "","SubGeographicalRegion-199")</f>
        <v/>
      </c>
    </row>
    <row r="201" spans="1:1" x14ac:dyDescent="0.2">
      <c r="A201" t="str">
        <f>IF(ISBLANK(B201), "","SubGeographicalRegion-200")</f>
        <v/>
      </c>
    </row>
    <row r="202" spans="1:1" x14ac:dyDescent="0.2">
      <c r="A202" t="str">
        <f>IF(ISBLANK(B202), "","SubGeographicalRegion-201")</f>
        <v/>
      </c>
    </row>
    <row r="203" spans="1:1" x14ac:dyDescent="0.2">
      <c r="A203" t="str">
        <f>IF(ISBLANK(B203), "","SubGeographicalRegion-202")</f>
        <v/>
      </c>
    </row>
    <row r="204" spans="1:1" x14ac:dyDescent="0.2">
      <c r="A204" t="str">
        <f>IF(ISBLANK(B204), "","SubGeographicalRegion-203")</f>
        <v/>
      </c>
    </row>
    <row r="205" spans="1:1" x14ac:dyDescent="0.2">
      <c r="A205" t="str">
        <f>IF(ISBLANK(B205), "","SubGeographicalRegion-204")</f>
        <v/>
      </c>
    </row>
    <row r="206" spans="1:1" x14ac:dyDescent="0.2">
      <c r="A206" t="str">
        <f>IF(ISBLANK(B206), "","SubGeographicalRegion-205")</f>
        <v/>
      </c>
    </row>
    <row r="207" spans="1:1" x14ac:dyDescent="0.2">
      <c r="A207" t="str">
        <f>IF(ISBLANK(B207), "","SubGeographicalRegion-206")</f>
        <v/>
      </c>
    </row>
    <row r="208" spans="1:1" x14ac:dyDescent="0.2">
      <c r="A208" t="str">
        <f>IF(ISBLANK(B208), "","SubGeographicalRegion-207")</f>
        <v/>
      </c>
    </row>
    <row r="209" spans="1:1" x14ac:dyDescent="0.2">
      <c r="A209" t="str">
        <f>IF(ISBLANK(B209), "","SubGeographicalRegion-208")</f>
        <v/>
      </c>
    </row>
    <row r="210" spans="1:1" x14ac:dyDescent="0.2">
      <c r="A210" t="str">
        <f>IF(ISBLANK(B210), "","SubGeographicalRegion-209")</f>
        <v/>
      </c>
    </row>
    <row r="211" spans="1:1" x14ac:dyDescent="0.2">
      <c r="A211" t="str">
        <f>IF(ISBLANK(B211), "","SubGeographicalRegion-210")</f>
        <v/>
      </c>
    </row>
    <row r="212" spans="1:1" x14ac:dyDescent="0.2">
      <c r="A212" t="str">
        <f>IF(ISBLANK(B212), "","SubGeographicalRegion-211")</f>
        <v/>
      </c>
    </row>
    <row r="213" spans="1:1" x14ac:dyDescent="0.2">
      <c r="A213" t="str">
        <f>IF(ISBLANK(B213), "","SubGeographicalRegion-212")</f>
        <v/>
      </c>
    </row>
    <row r="214" spans="1:1" x14ac:dyDescent="0.2">
      <c r="A214" t="str">
        <f>IF(ISBLANK(B214), "","SubGeographicalRegion-213")</f>
        <v/>
      </c>
    </row>
    <row r="215" spans="1:1" x14ac:dyDescent="0.2">
      <c r="A215" t="str">
        <f>IF(ISBLANK(B215), "","SubGeographicalRegion-214")</f>
        <v/>
      </c>
    </row>
    <row r="216" spans="1:1" x14ac:dyDescent="0.2">
      <c r="A216" t="str">
        <f>IF(ISBLANK(B216), "","SubGeographicalRegion-215")</f>
        <v/>
      </c>
    </row>
    <row r="217" spans="1:1" x14ac:dyDescent="0.2">
      <c r="A217" t="str">
        <f>IF(ISBLANK(B217), "","SubGeographicalRegion-216")</f>
        <v/>
      </c>
    </row>
    <row r="218" spans="1:1" x14ac:dyDescent="0.2">
      <c r="A218" t="str">
        <f>IF(ISBLANK(B218), "","SubGeographicalRegion-217")</f>
        <v/>
      </c>
    </row>
    <row r="219" spans="1:1" x14ac:dyDescent="0.2">
      <c r="A219" t="str">
        <f>IF(ISBLANK(B219), "","SubGeographicalRegion-218")</f>
        <v/>
      </c>
    </row>
    <row r="220" spans="1:1" x14ac:dyDescent="0.2">
      <c r="A220" t="str">
        <f>IF(ISBLANK(B220), "","SubGeographicalRegion-219")</f>
        <v/>
      </c>
    </row>
    <row r="221" spans="1:1" x14ac:dyDescent="0.2">
      <c r="A221" t="str">
        <f>IF(ISBLANK(B221), "","SubGeographicalRegion-220")</f>
        <v/>
      </c>
    </row>
    <row r="222" spans="1:1" x14ac:dyDescent="0.2">
      <c r="A222" t="str">
        <f>IF(ISBLANK(B222), "","SubGeographicalRegion-221")</f>
        <v/>
      </c>
    </row>
    <row r="223" spans="1:1" x14ac:dyDescent="0.2">
      <c r="A223" t="str">
        <f>IF(ISBLANK(B223), "","SubGeographicalRegion-222")</f>
        <v/>
      </c>
    </row>
    <row r="224" spans="1:1" x14ac:dyDescent="0.2">
      <c r="A224" t="str">
        <f>IF(ISBLANK(B224), "","SubGeographicalRegion-223")</f>
        <v/>
      </c>
    </row>
    <row r="225" spans="1:1" x14ac:dyDescent="0.2">
      <c r="A225" t="str">
        <f>IF(ISBLANK(B225), "","SubGeographicalRegion-224")</f>
        <v/>
      </c>
    </row>
    <row r="226" spans="1:1" x14ac:dyDescent="0.2">
      <c r="A226" t="str">
        <f>IF(ISBLANK(B226), "","SubGeographicalRegion-225")</f>
        <v/>
      </c>
    </row>
    <row r="227" spans="1:1" x14ac:dyDescent="0.2">
      <c r="A227" t="str">
        <f>IF(ISBLANK(B227), "","SubGeographicalRegion-226")</f>
        <v/>
      </c>
    </row>
    <row r="228" spans="1:1" x14ac:dyDescent="0.2">
      <c r="A228" t="str">
        <f>IF(ISBLANK(B228), "","SubGeographicalRegion-227")</f>
        <v/>
      </c>
    </row>
    <row r="229" spans="1:1" x14ac:dyDescent="0.2">
      <c r="A229" t="str">
        <f>IF(ISBLANK(B229), "","SubGeographicalRegion-228")</f>
        <v/>
      </c>
    </row>
    <row r="230" spans="1:1" x14ac:dyDescent="0.2">
      <c r="A230" t="str">
        <f>IF(ISBLANK(B230), "","SubGeographicalRegion-229")</f>
        <v/>
      </c>
    </row>
    <row r="231" spans="1:1" x14ac:dyDescent="0.2">
      <c r="A231" t="str">
        <f>IF(ISBLANK(B231), "","SubGeographicalRegion-230")</f>
        <v/>
      </c>
    </row>
    <row r="232" spans="1:1" x14ac:dyDescent="0.2">
      <c r="A232" t="str">
        <f>IF(ISBLANK(B232), "","SubGeographicalRegion-231")</f>
        <v/>
      </c>
    </row>
    <row r="233" spans="1:1" x14ac:dyDescent="0.2">
      <c r="A233" t="str">
        <f>IF(ISBLANK(B233), "","SubGeographicalRegion-232")</f>
        <v/>
      </c>
    </row>
    <row r="234" spans="1:1" x14ac:dyDescent="0.2">
      <c r="A234" t="str">
        <f>IF(ISBLANK(B234), "","SubGeographicalRegion-233")</f>
        <v/>
      </c>
    </row>
    <row r="235" spans="1:1" x14ac:dyDescent="0.2">
      <c r="A235" t="str">
        <f>IF(ISBLANK(B235), "","SubGeographicalRegion-234")</f>
        <v/>
      </c>
    </row>
    <row r="236" spans="1:1" x14ac:dyDescent="0.2">
      <c r="A236" t="str">
        <f>IF(ISBLANK(B236), "","SubGeographicalRegion-235")</f>
        <v/>
      </c>
    </row>
    <row r="237" spans="1:1" x14ac:dyDescent="0.2">
      <c r="A237" t="str">
        <f>IF(ISBLANK(B237), "","SubGeographicalRegion-236")</f>
        <v/>
      </c>
    </row>
    <row r="238" spans="1:1" x14ac:dyDescent="0.2">
      <c r="A238" t="str">
        <f>IF(ISBLANK(B238), "","SubGeographicalRegion-237")</f>
        <v/>
      </c>
    </row>
    <row r="239" spans="1:1" x14ac:dyDescent="0.2">
      <c r="A239" t="str">
        <f>IF(ISBLANK(B239), "","SubGeographicalRegion-238")</f>
        <v/>
      </c>
    </row>
    <row r="240" spans="1:1" x14ac:dyDescent="0.2">
      <c r="A240" t="str">
        <f>IF(ISBLANK(B240), "","SubGeographicalRegion-239")</f>
        <v/>
      </c>
    </row>
    <row r="241" spans="1:1" x14ac:dyDescent="0.2">
      <c r="A241" t="str">
        <f>IF(ISBLANK(B241), "","SubGeographicalRegion-240")</f>
        <v/>
      </c>
    </row>
    <row r="242" spans="1:1" x14ac:dyDescent="0.2">
      <c r="A242" t="str">
        <f>IF(ISBLANK(B242), "","SubGeographicalRegion-241")</f>
        <v/>
      </c>
    </row>
    <row r="243" spans="1:1" x14ac:dyDescent="0.2">
      <c r="A243" t="str">
        <f>IF(ISBLANK(B243), "","SubGeographicalRegion-242")</f>
        <v/>
      </c>
    </row>
    <row r="244" spans="1:1" x14ac:dyDescent="0.2">
      <c r="A244" t="str">
        <f>IF(ISBLANK(B244), "","SubGeographicalRegion-243")</f>
        <v/>
      </c>
    </row>
    <row r="245" spans="1:1" x14ac:dyDescent="0.2">
      <c r="A245" t="str">
        <f>IF(ISBLANK(B245), "","SubGeographicalRegion-244")</f>
        <v/>
      </c>
    </row>
    <row r="246" spans="1:1" x14ac:dyDescent="0.2">
      <c r="A246" t="str">
        <f>IF(ISBLANK(B246), "","SubGeographicalRegion-245")</f>
        <v/>
      </c>
    </row>
    <row r="247" spans="1:1" x14ac:dyDescent="0.2">
      <c r="A247" t="str">
        <f>IF(ISBLANK(B247), "","SubGeographicalRegion-246")</f>
        <v/>
      </c>
    </row>
    <row r="248" spans="1:1" x14ac:dyDescent="0.2">
      <c r="A248" t="str">
        <f>IF(ISBLANK(B248), "","SubGeographicalRegion-247")</f>
        <v/>
      </c>
    </row>
    <row r="249" spans="1:1" x14ac:dyDescent="0.2">
      <c r="A249" t="str">
        <f>IF(ISBLANK(B249), "","SubGeographicalRegion-248")</f>
        <v/>
      </c>
    </row>
    <row r="250" spans="1:1" x14ac:dyDescent="0.2">
      <c r="A250" t="str">
        <f>IF(ISBLANK(B250), "","SubGeographicalRegion-249")</f>
        <v/>
      </c>
    </row>
    <row r="251" spans="1:1" x14ac:dyDescent="0.2">
      <c r="A251" t="str">
        <f>IF(ISBLANK(B251), "","SubGeographicalRegion-250")</f>
        <v/>
      </c>
    </row>
    <row r="252" spans="1:1" x14ac:dyDescent="0.2">
      <c r="A252" t="str">
        <f>IF(ISBLANK(B252), "","SubGeographicalRegion-251")</f>
        <v/>
      </c>
    </row>
    <row r="253" spans="1:1" x14ac:dyDescent="0.2">
      <c r="A253" t="str">
        <f>IF(ISBLANK(B253), "","SubGeographicalRegion-252")</f>
        <v/>
      </c>
    </row>
    <row r="254" spans="1:1" x14ac:dyDescent="0.2">
      <c r="A254" t="str">
        <f>IF(ISBLANK(B254), "","SubGeographicalRegion-253")</f>
        <v/>
      </c>
    </row>
    <row r="255" spans="1:1" x14ac:dyDescent="0.2">
      <c r="A255" t="str">
        <f>IF(ISBLANK(B255), "","SubGeographicalRegion-254")</f>
        <v/>
      </c>
    </row>
    <row r="256" spans="1:1" x14ac:dyDescent="0.2">
      <c r="A256" t="str">
        <f>IF(ISBLANK(B256), "","SubGeographicalRegion-255")</f>
        <v/>
      </c>
    </row>
    <row r="257" spans="1:1" x14ac:dyDescent="0.2">
      <c r="A257" t="str">
        <f>IF(ISBLANK(B257), "","SubGeographicalRegion-256")</f>
        <v/>
      </c>
    </row>
    <row r="258" spans="1:1" x14ac:dyDescent="0.2">
      <c r="A258" t="str">
        <f>IF(ISBLANK(B258), "","SubGeographicalRegion-257")</f>
        <v/>
      </c>
    </row>
    <row r="259" spans="1:1" x14ac:dyDescent="0.2">
      <c r="A259" t="str">
        <f>IF(ISBLANK(B259), "","SubGeographicalRegion-258")</f>
        <v/>
      </c>
    </row>
    <row r="260" spans="1:1" x14ac:dyDescent="0.2">
      <c r="A260" t="str">
        <f>IF(ISBLANK(B260), "","SubGeographicalRegion-259")</f>
        <v/>
      </c>
    </row>
    <row r="261" spans="1:1" x14ac:dyDescent="0.2">
      <c r="A261" t="str">
        <f>IF(ISBLANK(B261), "","SubGeographicalRegion-260")</f>
        <v/>
      </c>
    </row>
    <row r="262" spans="1:1" x14ac:dyDescent="0.2">
      <c r="A262" t="str">
        <f>IF(ISBLANK(B262), "","SubGeographicalRegion-261")</f>
        <v/>
      </c>
    </row>
    <row r="263" spans="1:1" x14ac:dyDescent="0.2">
      <c r="A263" t="str">
        <f>IF(ISBLANK(B263), "","SubGeographicalRegion-262")</f>
        <v/>
      </c>
    </row>
    <row r="264" spans="1:1" x14ac:dyDescent="0.2">
      <c r="A264" t="str">
        <f>IF(ISBLANK(B264), "","SubGeographicalRegion-263")</f>
        <v/>
      </c>
    </row>
    <row r="265" spans="1:1" x14ac:dyDescent="0.2">
      <c r="A265" t="str">
        <f>IF(ISBLANK(B265), "","SubGeographicalRegion-264")</f>
        <v/>
      </c>
    </row>
    <row r="266" spans="1:1" x14ac:dyDescent="0.2">
      <c r="A266" t="str">
        <f>IF(ISBLANK(B266), "","SubGeographicalRegion-265")</f>
        <v/>
      </c>
    </row>
    <row r="267" spans="1:1" x14ac:dyDescent="0.2">
      <c r="A267" t="str">
        <f>IF(ISBLANK(B267), "","SubGeographicalRegion-266")</f>
        <v/>
      </c>
    </row>
    <row r="268" spans="1:1" x14ac:dyDescent="0.2">
      <c r="A268" t="str">
        <f>IF(ISBLANK(B268), "","SubGeographicalRegion-267")</f>
        <v/>
      </c>
    </row>
    <row r="269" spans="1:1" x14ac:dyDescent="0.2">
      <c r="A269" t="str">
        <f>IF(ISBLANK(B269), "","SubGeographicalRegion-268")</f>
        <v/>
      </c>
    </row>
    <row r="270" spans="1:1" x14ac:dyDescent="0.2">
      <c r="A270" t="str">
        <f>IF(ISBLANK(B270), "","SubGeographicalRegion-269")</f>
        <v/>
      </c>
    </row>
    <row r="271" spans="1:1" x14ac:dyDescent="0.2">
      <c r="A271" t="str">
        <f>IF(ISBLANK(B271), "","SubGeographicalRegion-270")</f>
        <v/>
      </c>
    </row>
    <row r="272" spans="1:1" x14ac:dyDescent="0.2">
      <c r="A272" t="str">
        <f>IF(ISBLANK(B272), "","SubGeographicalRegion-271")</f>
        <v/>
      </c>
    </row>
    <row r="273" spans="1:1" x14ac:dyDescent="0.2">
      <c r="A273" t="str">
        <f>IF(ISBLANK(B273), "","SubGeographicalRegion-272")</f>
        <v/>
      </c>
    </row>
    <row r="274" spans="1:1" x14ac:dyDescent="0.2">
      <c r="A274" t="str">
        <f>IF(ISBLANK(B274), "","SubGeographicalRegion-273")</f>
        <v/>
      </c>
    </row>
    <row r="275" spans="1:1" x14ac:dyDescent="0.2">
      <c r="A275" t="str">
        <f>IF(ISBLANK(B275), "","SubGeographicalRegion-274")</f>
        <v/>
      </c>
    </row>
    <row r="276" spans="1:1" x14ac:dyDescent="0.2">
      <c r="A276" t="str">
        <f>IF(ISBLANK(B276), "","SubGeographicalRegion-275")</f>
        <v/>
      </c>
    </row>
    <row r="277" spans="1:1" x14ac:dyDescent="0.2">
      <c r="A277" t="str">
        <f>IF(ISBLANK(B277), "","SubGeographicalRegion-276")</f>
        <v/>
      </c>
    </row>
    <row r="278" spans="1:1" x14ac:dyDescent="0.2">
      <c r="A278" t="str">
        <f>IF(ISBLANK(B278), "","SubGeographicalRegion-277")</f>
        <v/>
      </c>
    </row>
    <row r="279" spans="1:1" x14ac:dyDescent="0.2">
      <c r="A279" t="str">
        <f>IF(ISBLANK(B279), "","SubGeographicalRegion-278")</f>
        <v/>
      </c>
    </row>
    <row r="280" spans="1:1" x14ac:dyDescent="0.2">
      <c r="A280" t="str">
        <f>IF(ISBLANK(B280), "","SubGeographicalRegion-279")</f>
        <v/>
      </c>
    </row>
    <row r="281" spans="1:1" x14ac:dyDescent="0.2">
      <c r="A281" t="str">
        <f>IF(ISBLANK(B281), "","SubGeographicalRegion-280")</f>
        <v/>
      </c>
    </row>
    <row r="282" spans="1:1" x14ac:dyDescent="0.2">
      <c r="A282" t="str">
        <f>IF(ISBLANK(B282), "","SubGeographicalRegion-281")</f>
        <v/>
      </c>
    </row>
    <row r="283" spans="1:1" x14ac:dyDescent="0.2">
      <c r="A283" t="str">
        <f>IF(ISBLANK(B283), "","SubGeographicalRegion-282")</f>
        <v/>
      </c>
    </row>
    <row r="284" spans="1:1" x14ac:dyDescent="0.2">
      <c r="A284" t="str">
        <f>IF(ISBLANK(B284), "","SubGeographicalRegion-283")</f>
        <v/>
      </c>
    </row>
    <row r="285" spans="1:1" x14ac:dyDescent="0.2">
      <c r="A285" t="str">
        <f>IF(ISBLANK(B285), "","SubGeographicalRegion-284")</f>
        <v/>
      </c>
    </row>
    <row r="286" spans="1:1" x14ac:dyDescent="0.2">
      <c r="A286" t="str">
        <f>IF(ISBLANK(B286), "","SubGeographicalRegion-285")</f>
        <v/>
      </c>
    </row>
    <row r="287" spans="1:1" x14ac:dyDescent="0.2">
      <c r="A287" t="str">
        <f>IF(ISBLANK(B287), "","SubGeographicalRegion-286")</f>
        <v/>
      </c>
    </row>
    <row r="288" spans="1:1" x14ac:dyDescent="0.2">
      <c r="A288" t="str">
        <f>IF(ISBLANK(B288), "","SubGeographicalRegion-287")</f>
        <v/>
      </c>
    </row>
    <row r="289" spans="1:1" x14ac:dyDescent="0.2">
      <c r="A289" t="str">
        <f>IF(ISBLANK(B289), "","SubGeographicalRegion-288")</f>
        <v/>
      </c>
    </row>
    <row r="290" spans="1:1" x14ac:dyDescent="0.2">
      <c r="A290" t="str">
        <f>IF(ISBLANK(B290), "","SubGeographicalRegion-289")</f>
        <v/>
      </c>
    </row>
    <row r="291" spans="1:1" x14ac:dyDescent="0.2">
      <c r="A291" t="str">
        <f>IF(ISBLANK(B291), "","SubGeographicalRegion-290")</f>
        <v/>
      </c>
    </row>
    <row r="292" spans="1:1" x14ac:dyDescent="0.2">
      <c r="A292" t="str">
        <f>IF(ISBLANK(B292), "","SubGeographicalRegion-291")</f>
        <v/>
      </c>
    </row>
    <row r="293" spans="1:1" x14ac:dyDescent="0.2">
      <c r="A293" t="str">
        <f>IF(ISBLANK(B293), "","SubGeographicalRegion-292")</f>
        <v/>
      </c>
    </row>
    <row r="294" spans="1:1" x14ac:dyDescent="0.2">
      <c r="A294" t="str">
        <f>IF(ISBLANK(B294), "","SubGeographicalRegion-293")</f>
        <v/>
      </c>
    </row>
    <row r="295" spans="1:1" x14ac:dyDescent="0.2">
      <c r="A295" t="str">
        <f>IF(ISBLANK(B295), "","SubGeographicalRegion-294")</f>
        <v/>
      </c>
    </row>
    <row r="296" spans="1:1" x14ac:dyDescent="0.2">
      <c r="A296" t="str">
        <f>IF(ISBLANK(B296), "","SubGeographicalRegion-295")</f>
        <v/>
      </c>
    </row>
    <row r="297" spans="1:1" x14ac:dyDescent="0.2">
      <c r="A297" t="str">
        <f>IF(ISBLANK(B297), "","SubGeographicalRegion-296")</f>
        <v/>
      </c>
    </row>
    <row r="298" spans="1:1" x14ac:dyDescent="0.2">
      <c r="A298" t="str">
        <f>IF(ISBLANK(B298), "","SubGeographicalRegion-297")</f>
        <v/>
      </c>
    </row>
    <row r="299" spans="1:1" x14ac:dyDescent="0.2">
      <c r="A299" t="str">
        <f>IF(ISBLANK(B299), "","SubGeographicalRegion-298")</f>
        <v/>
      </c>
    </row>
    <row r="300" spans="1:1" x14ac:dyDescent="0.2">
      <c r="A300" t="str">
        <f>IF(ISBLANK(B300), "","SubGeographicalRegion-299")</f>
        <v/>
      </c>
    </row>
    <row r="301" spans="1:1" x14ac:dyDescent="0.2">
      <c r="A301" t="str">
        <f>IF(ISBLANK(B301), "","SubGeographicalRegion-300")</f>
        <v/>
      </c>
    </row>
    <row r="302" spans="1:1" x14ac:dyDescent="0.2">
      <c r="A302" t="str">
        <f>IF(ISBLANK(B302), "","SubGeographicalRegion-301")</f>
        <v/>
      </c>
    </row>
    <row r="303" spans="1:1" x14ac:dyDescent="0.2">
      <c r="A303" t="str">
        <f>IF(ISBLANK(B303), "","SubGeographicalRegion-302")</f>
        <v/>
      </c>
    </row>
    <row r="304" spans="1:1" x14ac:dyDescent="0.2">
      <c r="A304" t="str">
        <f>IF(ISBLANK(B304), "","SubGeographicalRegion-303")</f>
        <v/>
      </c>
    </row>
    <row r="305" spans="1:1" x14ac:dyDescent="0.2">
      <c r="A305" t="str">
        <f>IF(ISBLANK(B305), "","SubGeographicalRegion-304")</f>
        <v/>
      </c>
    </row>
    <row r="306" spans="1:1" x14ac:dyDescent="0.2">
      <c r="A306" t="str">
        <f>IF(ISBLANK(B306), "","SubGeographicalRegion-305")</f>
        <v/>
      </c>
    </row>
    <row r="307" spans="1:1" x14ac:dyDescent="0.2">
      <c r="A307" t="str">
        <f>IF(ISBLANK(B307), "","SubGeographicalRegion-306")</f>
        <v/>
      </c>
    </row>
    <row r="308" spans="1:1" x14ac:dyDescent="0.2">
      <c r="A308" t="str">
        <f>IF(ISBLANK(B308), "","SubGeographicalRegion-307")</f>
        <v/>
      </c>
    </row>
    <row r="309" spans="1:1" x14ac:dyDescent="0.2">
      <c r="A309" t="str">
        <f>IF(ISBLANK(B309), "","SubGeographicalRegion-308")</f>
        <v/>
      </c>
    </row>
    <row r="310" spans="1:1" x14ac:dyDescent="0.2">
      <c r="A310" t="str">
        <f>IF(ISBLANK(B310), "","SubGeographicalRegion-309")</f>
        <v/>
      </c>
    </row>
    <row r="311" spans="1:1" x14ac:dyDescent="0.2">
      <c r="A311" t="str">
        <f>IF(ISBLANK(B311), "","SubGeographicalRegion-310")</f>
        <v/>
      </c>
    </row>
    <row r="312" spans="1:1" x14ac:dyDescent="0.2">
      <c r="A312" t="str">
        <f>IF(ISBLANK(B312), "","SubGeographicalRegion-311")</f>
        <v/>
      </c>
    </row>
    <row r="313" spans="1:1" x14ac:dyDescent="0.2">
      <c r="A313" t="str">
        <f>IF(ISBLANK(B313), "","SubGeographicalRegion-312")</f>
        <v/>
      </c>
    </row>
    <row r="314" spans="1:1" x14ac:dyDescent="0.2">
      <c r="A314" t="str">
        <f>IF(ISBLANK(B314), "","SubGeographicalRegion-313")</f>
        <v/>
      </c>
    </row>
    <row r="315" spans="1:1" x14ac:dyDescent="0.2">
      <c r="A315" t="str">
        <f>IF(ISBLANK(B315), "","SubGeographicalRegion-314")</f>
        <v/>
      </c>
    </row>
    <row r="316" spans="1:1" x14ac:dyDescent="0.2">
      <c r="A316" t="str">
        <f>IF(ISBLANK(B316), "","SubGeographicalRegion-315")</f>
        <v/>
      </c>
    </row>
    <row r="317" spans="1:1" x14ac:dyDescent="0.2">
      <c r="A317" t="str">
        <f>IF(ISBLANK(B317), "","SubGeographicalRegion-316")</f>
        <v/>
      </c>
    </row>
    <row r="318" spans="1:1" x14ac:dyDescent="0.2">
      <c r="A318" t="str">
        <f>IF(ISBLANK(B318), "","SubGeographicalRegion-317")</f>
        <v/>
      </c>
    </row>
    <row r="319" spans="1:1" x14ac:dyDescent="0.2">
      <c r="A319" t="str">
        <f>IF(ISBLANK(B319), "","SubGeographicalRegion-318")</f>
        <v/>
      </c>
    </row>
    <row r="320" spans="1:1" x14ac:dyDescent="0.2">
      <c r="A320" t="str">
        <f>IF(ISBLANK(B320), "","SubGeographicalRegion-319")</f>
        <v/>
      </c>
    </row>
    <row r="321" spans="1:1" x14ac:dyDescent="0.2">
      <c r="A321" t="str">
        <f>IF(ISBLANK(B321), "","SubGeographicalRegion-320")</f>
        <v/>
      </c>
    </row>
    <row r="322" spans="1:1" x14ac:dyDescent="0.2">
      <c r="A322" t="str">
        <f>IF(ISBLANK(B322), "","SubGeographicalRegion-321")</f>
        <v/>
      </c>
    </row>
    <row r="323" spans="1:1" x14ac:dyDescent="0.2">
      <c r="A323" t="str">
        <f>IF(ISBLANK(B323), "","SubGeographicalRegion-322")</f>
        <v/>
      </c>
    </row>
    <row r="324" spans="1:1" x14ac:dyDescent="0.2">
      <c r="A324" t="str">
        <f>IF(ISBLANK(B324), "","SubGeographicalRegion-323")</f>
        <v/>
      </c>
    </row>
    <row r="325" spans="1:1" x14ac:dyDescent="0.2">
      <c r="A325" t="str">
        <f>IF(ISBLANK(B325), "","SubGeographicalRegion-324")</f>
        <v/>
      </c>
    </row>
    <row r="326" spans="1:1" x14ac:dyDescent="0.2">
      <c r="A326" t="str">
        <f>IF(ISBLANK(B326), "","SubGeographicalRegion-325")</f>
        <v/>
      </c>
    </row>
    <row r="327" spans="1:1" x14ac:dyDescent="0.2">
      <c r="A327" t="str">
        <f>IF(ISBLANK(B327), "","SubGeographicalRegion-326")</f>
        <v/>
      </c>
    </row>
    <row r="328" spans="1:1" x14ac:dyDescent="0.2">
      <c r="A328" t="str">
        <f>IF(ISBLANK(B328), "","SubGeographicalRegion-327")</f>
        <v/>
      </c>
    </row>
    <row r="329" spans="1:1" x14ac:dyDescent="0.2">
      <c r="A329" t="str">
        <f>IF(ISBLANK(B329), "","SubGeographicalRegion-328")</f>
        <v/>
      </c>
    </row>
    <row r="330" spans="1:1" x14ac:dyDescent="0.2">
      <c r="A330" t="str">
        <f>IF(ISBLANK(B330), "","SubGeographicalRegion-329")</f>
        <v/>
      </c>
    </row>
    <row r="331" spans="1:1" x14ac:dyDescent="0.2">
      <c r="A331" t="str">
        <f>IF(ISBLANK(B331), "","SubGeographicalRegion-330")</f>
        <v/>
      </c>
    </row>
    <row r="332" spans="1:1" x14ac:dyDescent="0.2">
      <c r="A332" t="str">
        <f>IF(ISBLANK(B332), "","SubGeographicalRegion-331")</f>
        <v/>
      </c>
    </row>
    <row r="333" spans="1:1" x14ac:dyDescent="0.2">
      <c r="A333" t="str">
        <f>IF(ISBLANK(B333), "","SubGeographicalRegion-332")</f>
        <v/>
      </c>
    </row>
    <row r="334" spans="1:1" x14ac:dyDescent="0.2">
      <c r="A334" t="str">
        <f>IF(ISBLANK(B334), "","SubGeographicalRegion-333")</f>
        <v/>
      </c>
    </row>
    <row r="335" spans="1:1" x14ac:dyDescent="0.2">
      <c r="A335" t="str">
        <f>IF(ISBLANK(B335), "","SubGeographicalRegion-334")</f>
        <v/>
      </c>
    </row>
    <row r="336" spans="1:1" x14ac:dyDescent="0.2">
      <c r="A336" t="str">
        <f>IF(ISBLANK(B336), "","SubGeographicalRegion-335")</f>
        <v/>
      </c>
    </row>
    <row r="337" spans="1:1" x14ac:dyDescent="0.2">
      <c r="A337" t="str">
        <f>IF(ISBLANK(B337), "","SubGeographicalRegion-336")</f>
        <v/>
      </c>
    </row>
    <row r="338" spans="1:1" x14ac:dyDescent="0.2">
      <c r="A338" t="str">
        <f>IF(ISBLANK(B338), "","SubGeographicalRegion-337")</f>
        <v/>
      </c>
    </row>
    <row r="339" spans="1:1" x14ac:dyDescent="0.2">
      <c r="A339" t="str">
        <f>IF(ISBLANK(B339), "","SubGeographicalRegion-338")</f>
        <v/>
      </c>
    </row>
    <row r="340" spans="1:1" x14ac:dyDescent="0.2">
      <c r="A340" t="str">
        <f>IF(ISBLANK(B340), "","SubGeographicalRegion-339")</f>
        <v/>
      </c>
    </row>
    <row r="341" spans="1:1" x14ac:dyDescent="0.2">
      <c r="A341" t="str">
        <f>IF(ISBLANK(B341), "","SubGeographicalRegion-340")</f>
        <v/>
      </c>
    </row>
    <row r="342" spans="1:1" x14ac:dyDescent="0.2">
      <c r="A342" t="str">
        <f>IF(ISBLANK(B342), "","SubGeographicalRegion-341")</f>
        <v/>
      </c>
    </row>
    <row r="343" spans="1:1" x14ac:dyDescent="0.2">
      <c r="A343" t="str">
        <f>IF(ISBLANK(B343), "","SubGeographicalRegion-342")</f>
        <v/>
      </c>
    </row>
    <row r="344" spans="1:1" x14ac:dyDescent="0.2">
      <c r="A344" t="str">
        <f>IF(ISBLANK(B344), "","SubGeographicalRegion-343")</f>
        <v/>
      </c>
    </row>
    <row r="345" spans="1:1" x14ac:dyDescent="0.2">
      <c r="A345" t="str">
        <f>IF(ISBLANK(B345), "","SubGeographicalRegion-344")</f>
        <v/>
      </c>
    </row>
    <row r="346" spans="1:1" x14ac:dyDescent="0.2">
      <c r="A346" t="str">
        <f>IF(ISBLANK(B346), "","SubGeographicalRegion-345")</f>
        <v/>
      </c>
    </row>
    <row r="347" spans="1:1" x14ac:dyDescent="0.2">
      <c r="A347" t="str">
        <f>IF(ISBLANK(B347), "","SubGeographicalRegion-346")</f>
        <v/>
      </c>
    </row>
    <row r="348" spans="1:1" x14ac:dyDescent="0.2">
      <c r="A348" t="str">
        <f>IF(ISBLANK(B348), "","SubGeographicalRegion-347")</f>
        <v/>
      </c>
    </row>
    <row r="349" spans="1:1" x14ac:dyDescent="0.2">
      <c r="A349" t="str">
        <f>IF(ISBLANK(B349), "","SubGeographicalRegion-348")</f>
        <v/>
      </c>
    </row>
    <row r="350" spans="1:1" x14ac:dyDescent="0.2">
      <c r="A350" t="str">
        <f>IF(ISBLANK(B350), "","SubGeographicalRegion-349")</f>
        <v/>
      </c>
    </row>
    <row r="351" spans="1:1" x14ac:dyDescent="0.2">
      <c r="A351" t="str">
        <f>IF(ISBLANK(B351), "","SubGeographicalRegion-350")</f>
        <v/>
      </c>
    </row>
    <row r="352" spans="1:1" x14ac:dyDescent="0.2">
      <c r="A352" t="str">
        <f>IF(ISBLANK(B352), "","SubGeographicalRegion-351")</f>
        <v/>
      </c>
    </row>
    <row r="353" spans="1:1" x14ac:dyDescent="0.2">
      <c r="A353" t="str">
        <f>IF(ISBLANK(B353), "","SubGeographicalRegion-352")</f>
        <v/>
      </c>
    </row>
    <row r="354" spans="1:1" x14ac:dyDescent="0.2">
      <c r="A354" t="str">
        <f>IF(ISBLANK(B354), "","SubGeographicalRegion-353")</f>
        <v/>
      </c>
    </row>
    <row r="355" spans="1:1" x14ac:dyDescent="0.2">
      <c r="A355" t="str">
        <f>IF(ISBLANK(B355), "","SubGeographicalRegion-354")</f>
        <v/>
      </c>
    </row>
    <row r="356" spans="1:1" x14ac:dyDescent="0.2">
      <c r="A356" t="str">
        <f>IF(ISBLANK(B356), "","SubGeographicalRegion-355")</f>
        <v/>
      </c>
    </row>
    <row r="357" spans="1:1" x14ac:dyDescent="0.2">
      <c r="A357" t="str">
        <f>IF(ISBLANK(B357), "","SubGeographicalRegion-356")</f>
        <v/>
      </c>
    </row>
    <row r="358" spans="1:1" x14ac:dyDescent="0.2">
      <c r="A358" t="str">
        <f>IF(ISBLANK(B358), "","SubGeographicalRegion-357")</f>
        <v/>
      </c>
    </row>
    <row r="359" spans="1:1" x14ac:dyDescent="0.2">
      <c r="A359" t="str">
        <f>IF(ISBLANK(B359), "","SubGeographicalRegion-358")</f>
        <v/>
      </c>
    </row>
    <row r="360" spans="1:1" x14ac:dyDescent="0.2">
      <c r="A360" t="str">
        <f>IF(ISBLANK(B360), "","SubGeographicalRegion-359")</f>
        <v/>
      </c>
    </row>
    <row r="361" spans="1:1" x14ac:dyDescent="0.2">
      <c r="A361" t="str">
        <f>IF(ISBLANK(B361), "","SubGeographicalRegion-360")</f>
        <v/>
      </c>
    </row>
    <row r="362" spans="1:1" x14ac:dyDescent="0.2">
      <c r="A362" t="str">
        <f>IF(ISBLANK(B362), "","SubGeographicalRegion-361")</f>
        <v/>
      </c>
    </row>
    <row r="363" spans="1:1" x14ac:dyDescent="0.2">
      <c r="A363" t="str">
        <f>IF(ISBLANK(B363), "","SubGeographicalRegion-362")</f>
        <v/>
      </c>
    </row>
    <row r="364" spans="1:1" x14ac:dyDescent="0.2">
      <c r="A364" t="str">
        <f>IF(ISBLANK(B364), "","SubGeographicalRegion-363")</f>
        <v/>
      </c>
    </row>
    <row r="365" spans="1:1" x14ac:dyDescent="0.2">
      <c r="A365" t="str">
        <f>IF(ISBLANK(B365), "","SubGeographicalRegion-364")</f>
        <v/>
      </c>
    </row>
    <row r="366" spans="1:1" x14ac:dyDescent="0.2">
      <c r="A366" t="str">
        <f>IF(ISBLANK(B366), "","SubGeographicalRegion-365")</f>
        <v/>
      </c>
    </row>
    <row r="367" spans="1:1" x14ac:dyDescent="0.2">
      <c r="A367" t="str">
        <f>IF(ISBLANK(B367), "","SubGeographicalRegion-366")</f>
        <v/>
      </c>
    </row>
    <row r="368" spans="1:1" x14ac:dyDescent="0.2">
      <c r="A368" t="str">
        <f>IF(ISBLANK(B368), "","SubGeographicalRegion-367")</f>
        <v/>
      </c>
    </row>
    <row r="369" spans="1:1" x14ac:dyDescent="0.2">
      <c r="A369" t="str">
        <f>IF(ISBLANK(B369), "","SubGeographicalRegion-368")</f>
        <v/>
      </c>
    </row>
    <row r="370" spans="1:1" x14ac:dyDescent="0.2">
      <c r="A370" t="str">
        <f>IF(ISBLANK(B370), "","SubGeographicalRegion-369")</f>
        <v/>
      </c>
    </row>
    <row r="371" spans="1:1" x14ac:dyDescent="0.2">
      <c r="A371" t="str">
        <f>IF(ISBLANK(B371), "","SubGeographicalRegion-370")</f>
        <v/>
      </c>
    </row>
    <row r="372" spans="1:1" x14ac:dyDescent="0.2">
      <c r="A372" t="str">
        <f>IF(ISBLANK(B372), "","SubGeographicalRegion-371")</f>
        <v/>
      </c>
    </row>
    <row r="373" spans="1:1" x14ac:dyDescent="0.2">
      <c r="A373" t="str">
        <f>IF(ISBLANK(B373), "","SubGeographicalRegion-372")</f>
        <v/>
      </c>
    </row>
    <row r="374" spans="1:1" x14ac:dyDescent="0.2">
      <c r="A374" t="str">
        <f>IF(ISBLANK(B374), "","SubGeographicalRegion-373")</f>
        <v/>
      </c>
    </row>
    <row r="375" spans="1:1" x14ac:dyDescent="0.2">
      <c r="A375" t="str">
        <f>IF(ISBLANK(B375), "","SubGeographicalRegion-374")</f>
        <v/>
      </c>
    </row>
    <row r="376" spans="1:1" x14ac:dyDescent="0.2">
      <c r="A376" t="str">
        <f>IF(ISBLANK(B376), "","SubGeographicalRegion-375")</f>
        <v/>
      </c>
    </row>
    <row r="377" spans="1:1" x14ac:dyDescent="0.2">
      <c r="A377" t="str">
        <f>IF(ISBLANK(B377), "","SubGeographicalRegion-376")</f>
        <v/>
      </c>
    </row>
    <row r="378" spans="1:1" x14ac:dyDescent="0.2">
      <c r="A378" t="str">
        <f>IF(ISBLANK(B378), "","SubGeographicalRegion-377")</f>
        <v/>
      </c>
    </row>
    <row r="379" spans="1:1" x14ac:dyDescent="0.2">
      <c r="A379" t="str">
        <f>IF(ISBLANK(B379), "","SubGeographicalRegion-378")</f>
        <v/>
      </c>
    </row>
    <row r="380" spans="1:1" x14ac:dyDescent="0.2">
      <c r="A380" t="str">
        <f>IF(ISBLANK(B380), "","SubGeographicalRegion-379")</f>
        <v/>
      </c>
    </row>
    <row r="381" spans="1:1" x14ac:dyDescent="0.2">
      <c r="A381" t="str">
        <f>IF(ISBLANK(B381), "","SubGeographicalRegion-380")</f>
        <v/>
      </c>
    </row>
    <row r="382" spans="1:1" x14ac:dyDescent="0.2">
      <c r="A382" t="str">
        <f>IF(ISBLANK(B382), "","SubGeographicalRegion-381")</f>
        <v/>
      </c>
    </row>
    <row r="383" spans="1:1" x14ac:dyDescent="0.2">
      <c r="A383" t="str">
        <f>IF(ISBLANK(B383), "","SubGeographicalRegion-382")</f>
        <v/>
      </c>
    </row>
    <row r="384" spans="1:1" x14ac:dyDescent="0.2">
      <c r="A384" t="str">
        <f>IF(ISBLANK(B384), "","SubGeographicalRegion-383")</f>
        <v/>
      </c>
    </row>
    <row r="385" spans="1:1" x14ac:dyDescent="0.2">
      <c r="A385" t="str">
        <f>IF(ISBLANK(B385), "","SubGeographicalRegion-384")</f>
        <v/>
      </c>
    </row>
    <row r="386" spans="1:1" x14ac:dyDescent="0.2">
      <c r="A386" t="str">
        <f>IF(ISBLANK(B386), "","SubGeographicalRegion-385")</f>
        <v/>
      </c>
    </row>
    <row r="387" spans="1:1" x14ac:dyDescent="0.2">
      <c r="A387" t="str">
        <f>IF(ISBLANK(B387), "","SubGeographicalRegion-386")</f>
        <v/>
      </c>
    </row>
    <row r="388" spans="1:1" x14ac:dyDescent="0.2">
      <c r="A388" t="str">
        <f>IF(ISBLANK(B388), "","SubGeographicalRegion-387")</f>
        <v/>
      </c>
    </row>
    <row r="389" spans="1:1" x14ac:dyDescent="0.2">
      <c r="A389" t="str">
        <f>IF(ISBLANK(B389), "","SubGeographicalRegion-388")</f>
        <v/>
      </c>
    </row>
    <row r="390" spans="1:1" x14ac:dyDescent="0.2">
      <c r="A390" t="str">
        <f>IF(ISBLANK(B390), "","SubGeographicalRegion-389")</f>
        <v/>
      </c>
    </row>
    <row r="391" spans="1:1" x14ac:dyDescent="0.2">
      <c r="A391" t="str">
        <f>IF(ISBLANK(B391), "","SubGeographicalRegion-390")</f>
        <v/>
      </c>
    </row>
    <row r="392" spans="1:1" x14ac:dyDescent="0.2">
      <c r="A392" t="str">
        <f>IF(ISBLANK(B392), "","SubGeographicalRegion-391")</f>
        <v/>
      </c>
    </row>
    <row r="393" spans="1:1" x14ac:dyDescent="0.2">
      <c r="A393" t="str">
        <f>IF(ISBLANK(B393), "","SubGeographicalRegion-392")</f>
        <v/>
      </c>
    </row>
    <row r="394" spans="1:1" x14ac:dyDescent="0.2">
      <c r="A394" t="str">
        <f>IF(ISBLANK(B394), "","SubGeographicalRegion-393")</f>
        <v/>
      </c>
    </row>
    <row r="395" spans="1:1" x14ac:dyDescent="0.2">
      <c r="A395" t="str">
        <f>IF(ISBLANK(B395), "","SubGeographicalRegion-394")</f>
        <v/>
      </c>
    </row>
    <row r="396" spans="1:1" x14ac:dyDescent="0.2">
      <c r="A396" t="str">
        <f>IF(ISBLANK(B396), "","SubGeographicalRegion-395")</f>
        <v/>
      </c>
    </row>
    <row r="397" spans="1:1" x14ac:dyDescent="0.2">
      <c r="A397" t="str">
        <f>IF(ISBLANK(B397), "","SubGeographicalRegion-396")</f>
        <v/>
      </c>
    </row>
    <row r="398" spans="1:1" x14ac:dyDescent="0.2">
      <c r="A398" t="str">
        <f>IF(ISBLANK(B398), "","SubGeographicalRegion-397")</f>
        <v/>
      </c>
    </row>
    <row r="399" spans="1:1" x14ac:dyDescent="0.2">
      <c r="A399" t="str">
        <f>IF(ISBLANK(B399), "","SubGeographicalRegion-398")</f>
        <v/>
      </c>
    </row>
    <row r="400" spans="1:1" x14ac:dyDescent="0.2">
      <c r="A400" t="str">
        <f>IF(ISBLANK(B400), "","SubGeographicalRegion-399")</f>
        <v/>
      </c>
    </row>
    <row r="401" spans="1:1" x14ac:dyDescent="0.2">
      <c r="A401" t="str">
        <f>IF(ISBLANK(B401), "","SubGeographicalRegion-400")</f>
        <v/>
      </c>
    </row>
    <row r="402" spans="1:1" x14ac:dyDescent="0.2">
      <c r="A402" t="str">
        <f>IF(ISBLANK(B402), "","SubGeographicalRegion-401")</f>
        <v/>
      </c>
    </row>
    <row r="403" spans="1:1" x14ac:dyDescent="0.2">
      <c r="A403" t="str">
        <f>IF(ISBLANK(B403), "","SubGeographicalRegion-402")</f>
        <v/>
      </c>
    </row>
    <row r="404" spans="1:1" x14ac:dyDescent="0.2">
      <c r="A404" t="str">
        <f>IF(ISBLANK(B404), "","SubGeographicalRegion-403")</f>
        <v/>
      </c>
    </row>
    <row r="405" spans="1:1" x14ac:dyDescent="0.2">
      <c r="A405" t="str">
        <f>IF(ISBLANK(B405), "","SubGeographicalRegion-404")</f>
        <v/>
      </c>
    </row>
    <row r="406" spans="1:1" x14ac:dyDescent="0.2">
      <c r="A406" t="str">
        <f>IF(ISBLANK(B406), "","SubGeographicalRegion-405")</f>
        <v/>
      </c>
    </row>
    <row r="407" spans="1:1" x14ac:dyDescent="0.2">
      <c r="A407" t="str">
        <f>IF(ISBLANK(B407), "","SubGeographicalRegion-406")</f>
        <v/>
      </c>
    </row>
    <row r="408" spans="1:1" x14ac:dyDescent="0.2">
      <c r="A408" t="str">
        <f>IF(ISBLANK(B408), "","SubGeographicalRegion-407")</f>
        <v/>
      </c>
    </row>
    <row r="409" spans="1:1" x14ac:dyDescent="0.2">
      <c r="A409" t="str">
        <f>IF(ISBLANK(B409), "","SubGeographicalRegion-408")</f>
        <v/>
      </c>
    </row>
    <row r="410" spans="1:1" x14ac:dyDescent="0.2">
      <c r="A410" t="str">
        <f>IF(ISBLANK(B410), "","SubGeographicalRegion-409")</f>
        <v/>
      </c>
    </row>
    <row r="411" spans="1:1" x14ac:dyDescent="0.2">
      <c r="A411" t="str">
        <f>IF(ISBLANK(B411), "","SubGeographicalRegion-410")</f>
        <v/>
      </c>
    </row>
    <row r="412" spans="1:1" x14ac:dyDescent="0.2">
      <c r="A412" t="str">
        <f>IF(ISBLANK(B412), "","SubGeographicalRegion-411")</f>
        <v/>
      </c>
    </row>
    <row r="413" spans="1:1" x14ac:dyDescent="0.2">
      <c r="A413" t="str">
        <f>IF(ISBLANK(B413), "","SubGeographicalRegion-412")</f>
        <v/>
      </c>
    </row>
    <row r="414" spans="1:1" x14ac:dyDescent="0.2">
      <c r="A414" t="str">
        <f>IF(ISBLANK(B414), "","SubGeographicalRegion-413")</f>
        <v/>
      </c>
    </row>
    <row r="415" spans="1:1" x14ac:dyDescent="0.2">
      <c r="A415" t="str">
        <f>IF(ISBLANK(B415), "","SubGeographicalRegion-414")</f>
        <v/>
      </c>
    </row>
    <row r="416" spans="1:1" x14ac:dyDescent="0.2">
      <c r="A416" t="str">
        <f>IF(ISBLANK(B416), "","SubGeographicalRegion-415")</f>
        <v/>
      </c>
    </row>
    <row r="417" spans="1:1" x14ac:dyDescent="0.2">
      <c r="A417" t="str">
        <f>IF(ISBLANK(B417), "","SubGeographicalRegion-416")</f>
        <v/>
      </c>
    </row>
    <row r="418" spans="1:1" x14ac:dyDescent="0.2">
      <c r="A418" t="str">
        <f>IF(ISBLANK(B418), "","SubGeographicalRegion-417")</f>
        <v/>
      </c>
    </row>
    <row r="419" spans="1:1" x14ac:dyDescent="0.2">
      <c r="A419" t="str">
        <f>IF(ISBLANK(B419), "","SubGeographicalRegion-418")</f>
        <v/>
      </c>
    </row>
    <row r="420" spans="1:1" x14ac:dyDescent="0.2">
      <c r="A420" t="str">
        <f>IF(ISBLANK(B420), "","SubGeographicalRegion-419")</f>
        <v/>
      </c>
    </row>
    <row r="421" spans="1:1" x14ac:dyDescent="0.2">
      <c r="A421" t="str">
        <f>IF(ISBLANK(B421), "","SubGeographicalRegion-420")</f>
        <v/>
      </c>
    </row>
    <row r="422" spans="1:1" x14ac:dyDescent="0.2">
      <c r="A422" t="str">
        <f>IF(ISBLANK(B422), "","SubGeographicalRegion-421")</f>
        <v/>
      </c>
    </row>
    <row r="423" spans="1:1" x14ac:dyDescent="0.2">
      <c r="A423" t="str">
        <f>IF(ISBLANK(B423), "","SubGeographicalRegion-422")</f>
        <v/>
      </c>
    </row>
    <row r="424" spans="1:1" x14ac:dyDescent="0.2">
      <c r="A424" t="str">
        <f>IF(ISBLANK(B424), "","SubGeographicalRegion-423")</f>
        <v/>
      </c>
    </row>
    <row r="425" spans="1:1" x14ac:dyDescent="0.2">
      <c r="A425" t="str">
        <f>IF(ISBLANK(B425), "","SubGeographicalRegion-424")</f>
        <v/>
      </c>
    </row>
    <row r="426" spans="1:1" x14ac:dyDescent="0.2">
      <c r="A426" t="str">
        <f>IF(ISBLANK(B426), "","SubGeographicalRegion-425")</f>
        <v/>
      </c>
    </row>
    <row r="427" spans="1:1" x14ac:dyDescent="0.2">
      <c r="A427" t="str">
        <f>IF(ISBLANK(B427), "","SubGeographicalRegion-426")</f>
        <v/>
      </c>
    </row>
    <row r="428" spans="1:1" x14ac:dyDescent="0.2">
      <c r="A428" t="str">
        <f>IF(ISBLANK(B428), "","SubGeographicalRegion-427")</f>
        <v/>
      </c>
    </row>
    <row r="429" spans="1:1" x14ac:dyDescent="0.2">
      <c r="A429" t="str">
        <f>IF(ISBLANK(B429), "","SubGeographicalRegion-428")</f>
        <v/>
      </c>
    </row>
    <row r="430" spans="1:1" x14ac:dyDescent="0.2">
      <c r="A430" t="str">
        <f>IF(ISBLANK(B430), "","SubGeographicalRegion-429")</f>
        <v/>
      </c>
    </row>
    <row r="431" spans="1:1" x14ac:dyDescent="0.2">
      <c r="A431" t="str">
        <f>IF(ISBLANK(B431), "","SubGeographicalRegion-430")</f>
        <v/>
      </c>
    </row>
    <row r="432" spans="1:1" x14ac:dyDescent="0.2">
      <c r="A432" t="str">
        <f>IF(ISBLANK(B432), "","SubGeographicalRegion-431")</f>
        <v/>
      </c>
    </row>
    <row r="433" spans="1:1" x14ac:dyDescent="0.2">
      <c r="A433" t="str">
        <f>IF(ISBLANK(B433), "","SubGeographicalRegion-432")</f>
        <v/>
      </c>
    </row>
    <row r="434" spans="1:1" x14ac:dyDescent="0.2">
      <c r="A434" t="str">
        <f>IF(ISBLANK(B434), "","SubGeographicalRegion-433")</f>
        <v/>
      </c>
    </row>
    <row r="435" spans="1:1" x14ac:dyDescent="0.2">
      <c r="A435" t="str">
        <f>IF(ISBLANK(B435), "","SubGeographicalRegion-434")</f>
        <v/>
      </c>
    </row>
    <row r="436" spans="1:1" x14ac:dyDescent="0.2">
      <c r="A436" t="str">
        <f>IF(ISBLANK(B436), "","SubGeographicalRegion-435")</f>
        <v/>
      </c>
    </row>
    <row r="437" spans="1:1" x14ac:dyDescent="0.2">
      <c r="A437" t="str">
        <f>IF(ISBLANK(B437), "","SubGeographicalRegion-436")</f>
        <v/>
      </c>
    </row>
    <row r="438" spans="1:1" x14ac:dyDescent="0.2">
      <c r="A438" t="str">
        <f>IF(ISBLANK(B438), "","SubGeographicalRegion-437")</f>
        <v/>
      </c>
    </row>
    <row r="439" spans="1:1" x14ac:dyDescent="0.2">
      <c r="A439" t="str">
        <f>IF(ISBLANK(B439), "","SubGeographicalRegion-438")</f>
        <v/>
      </c>
    </row>
    <row r="440" spans="1:1" x14ac:dyDescent="0.2">
      <c r="A440" t="str">
        <f>IF(ISBLANK(B440), "","SubGeographicalRegion-439")</f>
        <v/>
      </c>
    </row>
    <row r="441" spans="1:1" x14ac:dyDescent="0.2">
      <c r="A441" t="str">
        <f>IF(ISBLANK(B441), "","SubGeographicalRegion-440")</f>
        <v/>
      </c>
    </row>
    <row r="442" spans="1:1" x14ac:dyDescent="0.2">
      <c r="A442" t="str">
        <f>IF(ISBLANK(B442), "","SubGeographicalRegion-441")</f>
        <v/>
      </c>
    </row>
    <row r="443" spans="1:1" x14ac:dyDescent="0.2">
      <c r="A443" t="str">
        <f>IF(ISBLANK(B443), "","SubGeographicalRegion-442")</f>
        <v/>
      </c>
    </row>
    <row r="444" spans="1:1" x14ac:dyDescent="0.2">
      <c r="A444" t="str">
        <f>IF(ISBLANK(B444), "","SubGeographicalRegion-443")</f>
        <v/>
      </c>
    </row>
    <row r="445" spans="1:1" x14ac:dyDescent="0.2">
      <c r="A445" t="str">
        <f>IF(ISBLANK(B445), "","SubGeographicalRegion-444")</f>
        <v/>
      </c>
    </row>
    <row r="446" spans="1:1" x14ac:dyDescent="0.2">
      <c r="A446" t="str">
        <f>IF(ISBLANK(B446), "","SubGeographicalRegion-445")</f>
        <v/>
      </c>
    </row>
    <row r="447" spans="1:1" x14ac:dyDescent="0.2">
      <c r="A447" t="str">
        <f>IF(ISBLANK(B447), "","SubGeographicalRegion-446")</f>
        <v/>
      </c>
    </row>
    <row r="448" spans="1:1" x14ac:dyDescent="0.2">
      <c r="A448" t="str">
        <f>IF(ISBLANK(B448), "","SubGeographicalRegion-447")</f>
        <v/>
      </c>
    </row>
    <row r="449" spans="1:1" x14ac:dyDescent="0.2">
      <c r="A449" t="str">
        <f>IF(ISBLANK(B449), "","SubGeographicalRegion-448")</f>
        <v/>
      </c>
    </row>
    <row r="450" spans="1:1" x14ac:dyDescent="0.2">
      <c r="A450" t="str">
        <f>IF(ISBLANK(B450), "","SubGeographicalRegion-449")</f>
        <v/>
      </c>
    </row>
    <row r="451" spans="1:1" x14ac:dyDescent="0.2">
      <c r="A451" t="str">
        <f>IF(ISBLANK(B451), "","SubGeographicalRegion-450")</f>
        <v/>
      </c>
    </row>
    <row r="452" spans="1:1" x14ac:dyDescent="0.2">
      <c r="A452" t="str">
        <f>IF(ISBLANK(B452), "","SubGeographicalRegion-451")</f>
        <v/>
      </c>
    </row>
    <row r="453" spans="1:1" x14ac:dyDescent="0.2">
      <c r="A453" t="str">
        <f>IF(ISBLANK(B453), "","SubGeographicalRegion-452")</f>
        <v/>
      </c>
    </row>
    <row r="454" spans="1:1" x14ac:dyDescent="0.2">
      <c r="A454" t="str">
        <f>IF(ISBLANK(B454), "","SubGeographicalRegion-453")</f>
        <v/>
      </c>
    </row>
    <row r="455" spans="1:1" x14ac:dyDescent="0.2">
      <c r="A455" t="str">
        <f>IF(ISBLANK(B455), "","SubGeographicalRegion-454")</f>
        <v/>
      </c>
    </row>
    <row r="456" spans="1:1" x14ac:dyDescent="0.2">
      <c r="A456" t="str">
        <f>IF(ISBLANK(B456), "","SubGeographicalRegion-455")</f>
        <v/>
      </c>
    </row>
    <row r="457" spans="1:1" x14ac:dyDescent="0.2">
      <c r="A457" t="str">
        <f>IF(ISBLANK(B457), "","SubGeographicalRegion-456")</f>
        <v/>
      </c>
    </row>
    <row r="458" spans="1:1" x14ac:dyDescent="0.2">
      <c r="A458" t="str">
        <f>IF(ISBLANK(B458), "","SubGeographicalRegion-457")</f>
        <v/>
      </c>
    </row>
    <row r="459" spans="1:1" x14ac:dyDescent="0.2">
      <c r="A459" t="str">
        <f>IF(ISBLANK(B459), "","SubGeographicalRegion-458")</f>
        <v/>
      </c>
    </row>
    <row r="460" spans="1:1" x14ac:dyDescent="0.2">
      <c r="A460" t="str">
        <f>IF(ISBLANK(B460), "","SubGeographicalRegion-459")</f>
        <v/>
      </c>
    </row>
    <row r="461" spans="1:1" x14ac:dyDescent="0.2">
      <c r="A461" t="str">
        <f>IF(ISBLANK(B461), "","SubGeographicalRegion-460")</f>
        <v/>
      </c>
    </row>
    <row r="462" spans="1:1" x14ac:dyDescent="0.2">
      <c r="A462" t="str">
        <f>IF(ISBLANK(B462), "","SubGeographicalRegion-461")</f>
        <v/>
      </c>
    </row>
    <row r="463" spans="1:1" x14ac:dyDescent="0.2">
      <c r="A463" t="str">
        <f>IF(ISBLANK(B463), "","SubGeographicalRegion-462")</f>
        <v/>
      </c>
    </row>
    <row r="464" spans="1:1" x14ac:dyDescent="0.2">
      <c r="A464" t="str">
        <f>IF(ISBLANK(B464), "","SubGeographicalRegion-463")</f>
        <v/>
      </c>
    </row>
    <row r="465" spans="1:1" x14ac:dyDescent="0.2">
      <c r="A465" t="str">
        <f>IF(ISBLANK(B465), "","SubGeographicalRegion-464")</f>
        <v/>
      </c>
    </row>
    <row r="466" spans="1:1" x14ac:dyDescent="0.2">
      <c r="A466" t="str">
        <f>IF(ISBLANK(B466), "","SubGeographicalRegion-465")</f>
        <v/>
      </c>
    </row>
    <row r="467" spans="1:1" x14ac:dyDescent="0.2">
      <c r="A467" t="str">
        <f>IF(ISBLANK(B467), "","SubGeographicalRegion-466")</f>
        <v/>
      </c>
    </row>
    <row r="468" spans="1:1" x14ac:dyDescent="0.2">
      <c r="A468" t="str">
        <f>IF(ISBLANK(B468), "","SubGeographicalRegion-467")</f>
        <v/>
      </c>
    </row>
    <row r="469" spans="1:1" x14ac:dyDescent="0.2">
      <c r="A469" t="str">
        <f>IF(ISBLANK(B469), "","SubGeographicalRegion-468")</f>
        <v/>
      </c>
    </row>
    <row r="470" spans="1:1" x14ac:dyDescent="0.2">
      <c r="A470" t="str">
        <f>IF(ISBLANK(B470), "","SubGeographicalRegion-469")</f>
        <v/>
      </c>
    </row>
    <row r="471" spans="1:1" x14ac:dyDescent="0.2">
      <c r="A471" t="str">
        <f>IF(ISBLANK(B471), "","SubGeographicalRegion-470")</f>
        <v/>
      </c>
    </row>
    <row r="472" spans="1:1" x14ac:dyDescent="0.2">
      <c r="A472" t="str">
        <f>IF(ISBLANK(B472), "","SubGeographicalRegion-471")</f>
        <v/>
      </c>
    </row>
    <row r="473" spans="1:1" x14ac:dyDescent="0.2">
      <c r="A473" t="str">
        <f>IF(ISBLANK(B473), "","SubGeographicalRegion-472")</f>
        <v/>
      </c>
    </row>
    <row r="474" spans="1:1" x14ac:dyDescent="0.2">
      <c r="A474" t="str">
        <f>IF(ISBLANK(B474), "","SubGeographicalRegion-473")</f>
        <v/>
      </c>
    </row>
    <row r="475" spans="1:1" x14ac:dyDescent="0.2">
      <c r="A475" t="str">
        <f>IF(ISBLANK(B475), "","SubGeographicalRegion-474")</f>
        <v/>
      </c>
    </row>
    <row r="476" spans="1:1" x14ac:dyDescent="0.2">
      <c r="A476" t="str">
        <f>IF(ISBLANK(B476), "","SubGeographicalRegion-475")</f>
        <v/>
      </c>
    </row>
    <row r="477" spans="1:1" x14ac:dyDescent="0.2">
      <c r="A477" t="str">
        <f>IF(ISBLANK(B477), "","SubGeographicalRegion-476")</f>
        <v/>
      </c>
    </row>
    <row r="478" spans="1:1" x14ac:dyDescent="0.2">
      <c r="A478" t="str">
        <f>IF(ISBLANK(B478), "","SubGeographicalRegion-477")</f>
        <v/>
      </c>
    </row>
    <row r="479" spans="1:1" x14ac:dyDescent="0.2">
      <c r="A479" t="str">
        <f>IF(ISBLANK(B479), "","SubGeographicalRegion-478")</f>
        <v/>
      </c>
    </row>
    <row r="480" spans="1:1" x14ac:dyDescent="0.2">
      <c r="A480" t="str">
        <f>IF(ISBLANK(B480), "","SubGeographicalRegion-479")</f>
        <v/>
      </c>
    </row>
    <row r="481" spans="1:1" x14ac:dyDescent="0.2">
      <c r="A481" t="str">
        <f>IF(ISBLANK(B481), "","SubGeographicalRegion-480")</f>
        <v/>
      </c>
    </row>
    <row r="482" spans="1:1" x14ac:dyDescent="0.2">
      <c r="A482" t="str">
        <f>IF(ISBLANK(B482), "","SubGeographicalRegion-481")</f>
        <v/>
      </c>
    </row>
    <row r="483" spans="1:1" x14ac:dyDescent="0.2">
      <c r="A483" t="str">
        <f>IF(ISBLANK(B483), "","SubGeographicalRegion-482")</f>
        <v/>
      </c>
    </row>
    <row r="484" spans="1:1" x14ac:dyDescent="0.2">
      <c r="A484" t="str">
        <f>IF(ISBLANK(B484), "","SubGeographicalRegion-483")</f>
        <v/>
      </c>
    </row>
    <row r="485" spans="1:1" x14ac:dyDescent="0.2">
      <c r="A485" t="str">
        <f>IF(ISBLANK(B485), "","SubGeographicalRegion-484")</f>
        <v/>
      </c>
    </row>
    <row r="486" spans="1:1" x14ac:dyDescent="0.2">
      <c r="A486" t="str">
        <f>IF(ISBLANK(B486), "","SubGeographicalRegion-485")</f>
        <v/>
      </c>
    </row>
    <row r="487" spans="1:1" x14ac:dyDescent="0.2">
      <c r="A487" t="str">
        <f>IF(ISBLANK(B487), "","SubGeographicalRegion-486")</f>
        <v/>
      </c>
    </row>
    <row r="488" spans="1:1" x14ac:dyDescent="0.2">
      <c r="A488" t="str">
        <f>IF(ISBLANK(B488), "","SubGeographicalRegion-487")</f>
        <v/>
      </c>
    </row>
    <row r="489" spans="1:1" x14ac:dyDescent="0.2">
      <c r="A489" t="str">
        <f>IF(ISBLANK(B489), "","SubGeographicalRegion-488")</f>
        <v/>
      </c>
    </row>
    <row r="490" spans="1:1" x14ac:dyDescent="0.2">
      <c r="A490" t="str">
        <f>IF(ISBLANK(B490), "","SubGeographicalRegion-489")</f>
        <v/>
      </c>
    </row>
    <row r="491" spans="1:1" x14ac:dyDescent="0.2">
      <c r="A491" t="str">
        <f>IF(ISBLANK(B491), "","SubGeographicalRegion-490")</f>
        <v/>
      </c>
    </row>
    <row r="492" spans="1:1" x14ac:dyDescent="0.2">
      <c r="A492" t="str">
        <f>IF(ISBLANK(B492), "","SubGeographicalRegion-491")</f>
        <v/>
      </c>
    </row>
    <row r="493" spans="1:1" x14ac:dyDescent="0.2">
      <c r="A493" t="str">
        <f>IF(ISBLANK(B493), "","SubGeographicalRegion-492")</f>
        <v/>
      </c>
    </row>
    <row r="494" spans="1:1" x14ac:dyDescent="0.2">
      <c r="A494" t="str">
        <f>IF(ISBLANK(B494), "","SubGeographicalRegion-493")</f>
        <v/>
      </c>
    </row>
    <row r="495" spans="1:1" x14ac:dyDescent="0.2">
      <c r="A495" t="str">
        <f>IF(ISBLANK(B495), "","SubGeographicalRegion-494")</f>
        <v/>
      </c>
    </row>
    <row r="496" spans="1:1" x14ac:dyDescent="0.2">
      <c r="A496" t="str">
        <f>IF(ISBLANK(B496), "","SubGeographicalRegion-495")</f>
        <v/>
      </c>
    </row>
    <row r="497" spans="1:1" x14ac:dyDescent="0.2">
      <c r="A497" t="str">
        <f>IF(ISBLANK(B497), "","SubGeographicalRegion-496")</f>
        <v/>
      </c>
    </row>
    <row r="498" spans="1:1" x14ac:dyDescent="0.2">
      <c r="A498" t="str">
        <f>IF(ISBLANK(B498), "","SubGeographicalRegion-497")</f>
        <v/>
      </c>
    </row>
    <row r="499" spans="1:1" x14ac:dyDescent="0.2">
      <c r="A499" t="str">
        <f>IF(ISBLANK(B499), "","SubGeographicalRegion-498")</f>
        <v/>
      </c>
    </row>
    <row r="500" spans="1:1" x14ac:dyDescent="0.2">
      <c r="A500" t="str">
        <f>IF(ISBLANK(B500), "","SubGeographicalRegion-499")</f>
        <v/>
      </c>
    </row>
    <row r="501" spans="1:1" x14ac:dyDescent="0.2">
      <c r="A501" t="str">
        <f>IF(ISBLANK(B501), "","SubGeographicalRegion-500")</f>
        <v/>
      </c>
    </row>
    <row r="502" spans="1:1" x14ac:dyDescent="0.2">
      <c r="A502" t="str">
        <f>IF(ISBLANK(B502), "","SubGeographicalRegion-501")</f>
        <v/>
      </c>
    </row>
    <row r="503" spans="1:1" x14ac:dyDescent="0.2">
      <c r="A503" t="str">
        <f>IF(ISBLANK(B503), "","SubGeographicalRegion-502")</f>
        <v/>
      </c>
    </row>
    <row r="504" spans="1:1" x14ac:dyDescent="0.2">
      <c r="A504" t="str">
        <f>IF(ISBLANK(B504), "","SubGeographicalRegion-503")</f>
        <v/>
      </c>
    </row>
    <row r="505" spans="1:1" x14ac:dyDescent="0.2">
      <c r="A505" t="str">
        <f>IF(ISBLANK(B505), "","SubGeographicalRegion-504")</f>
        <v/>
      </c>
    </row>
    <row r="506" spans="1:1" x14ac:dyDescent="0.2">
      <c r="A506" t="str">
        <f>IF(ISBLANK(B506), "","SubGeographicalRegion-505")</f>
        <v/>
      </c>
    </row>
    <row r="507" spans="1:1" x14ac:dyDescent="0.2">
      <c r="A507" t="str">
        <f>IF(ISBLANK(B507), "","SubGeographicalRegion-506")</f>
        <v/>
      </c>
    </row>
    <row r="508" spans="1:1" x14ac:dyDescent="0.2">
      <c r="A508" t="str">
        <f>IF(ISBLANK(B508), "","SubGeographicalRegion-507")</f>
        <v/>
      </c>
    </row>
    <row r="509" spans="1:1" x14ac:dyDescent="0.2">
      <c r="A509" t="str">
        <f>IF(ISBLANK(B509), "","SubGeographicalRegion-508")</f>
        <v/>
      </c>
    </row>
    <row r="510" spans="1:1" x14ac:dyDescent="0.2">
      <c r="A510" t="str">
        <f>IF(ISBLANK(B510), "","SubGeographicalRegion-509")</f>
        <v/>
      </c>
    </row>
    <row r="511" spans="1:1" x14ac:dyDescent="0.2">
      <c r="A511" t="str">
        <f>IF(ISBLANK(B511), "","SubGeographicalRegion-510")</f>
        <v/>
      </c>
    </row>
    <row r="512" spans="1:1" x14ac:dyDescent="0.2">
      <c r="A512" t="str">
        <f>IF(ISBLANK(B512), "","SubGeographicalRegion-511")</f>
        <v/>
      </c>
    </row>
    <row r="513" spans="1:1" x14ac:dyDescent="0.2">
      <c r="A513" t="str">
        <f>IF(ISBLANK(B513), "","SubGeographicalRegion-512")</f>
        <v/>
      </c>
    </row>
    <row r="514" spans="1:1" x14ac:dyDescent="0.2">
      <c r="A514" t="str">
        <f>IF(ISBLANK(B514), "","SubGeographicalRegion-513")</f>
        <v/>
      </c>
    </row>
    <row r="515" spans="1:1" x14ac:dyDescent="0.2">
      <c r="A515" t="str">
        <f>IF(ISBLANK(B515), "","SubGeographicalRegion-514")</f>
        <v/>
      </c>
    </row>
    <row r="516" spans="1:1" x14ac:dyDescent="0.2">
      <c r="A516" t="str">
        <f>IF(ISBLANK(B516), "","SubGeographicalRegion-515")</f>
        <v/>
      </c>
    </row>
    <row r="517" spans="1:1" x14ac:dyDescent="0.2">
      <c r="A517" t="str">
        <f>IF(ISBLANK(B517), "","SubGeographicalRegion-516")</f>
        <v/>
      </c>
    </row>
    <row r="518" spans="1:1" x14ac:dyDescent="0.2">
      <c r="A518" t="str">
        <f>IF(ISBLANK(B518), "","SubGeographicalRegion-517")</f>
        <v/>
      </c>
    </row>
    <row r="519" spans="1:1" x14ac:dyDescent="0.2">
      <c r="A519" t="str">
        <f>IF(ISBLANK(B519), "","SubGeographicalRegion-518")</f>
        <v/>
      </c>
    </row>
    <row r="520" spans="1:1" x14ac:dyDescent="0.2">
      <c r="A520" t="str">
        <f>IF(ISBLANK(B520), "","SubGeographicalRegion-519")</f>
        <v/>
      </c>
    </row>
    <row r="521" spans="1:1" x14ac:dyDescent="0.2">
      <c r="A521" t="str">
        <f>IF(ISBLANK(B521), "","SubGeographicalRegion-520")</f>
        <v/>
      </c>
    </row>
    <row r="522" spans="1:1" x14ac:dyDescent="0.2">
      <c r="A522" t="str">
        <f>IF(ISBLANK(B522), "","SubGeographicalRegion-521")</f>
        <v/>
      </c>
    </row>
    <row r="523" spans="1:1" x14ac:dyDescent="0.2">
      <c r="A523" t="str">
        <f>IF(ISBLANK(B523), "","SubGeographicalRegion-522")</f>
        <v/>
      </c>
    </row>
    <row r="524" spans="1:1" x14ac:dyDescent="0.2">
      <c r="A524" t="str">
        <f>IF(ISBLANK(B524), "","SubGeographicalRegion-523")</f>
        <v/>
      </c>
    </row>
    <row r="525" spans="1:1" x14ac:dyDescent="0.2">
      <c r="A525" t="str">
        <f>IF(ISBLANK(B525), "","SubGeographicalRegion-524")</f>
        <v/>
      </c>
    </row>
    <row r="526" spans="1:1" x14ac:dyDescent="0.2">
      <c r="A526" t="str">
        <f>IF(ISBLANK(B526), "","SubGeographicalRegion-525")</f>
        <v/>
      </c>
    </row>
    <row r="527" spans="1:1" x14ac:dyDescent="0.2">
      <c r="A527" t="str">
        <f>IF(ISBLANK(B527), "","SubGeographicalRegion-526")</f>
        <v/>
      </c>
    </row>
    <row r="528" spans="1:1" x14ac:dyDescent="0.2">
      <c r="A528" t="str">
        <f>IF(ISBLANK(B528), "","SubGeographicalRegion-527")</f>
        <v/>
      </c>
    </row>
    <row r="529" spans="1:1" x14ac:dyDescent="0.2">
      <c r="A529" t="str">
        <f>IF(ISBLANK(B529), "","SubGeographicalRegion-528")</f>
        <v/>
      </c>
    </row>
    <row r="530" spans="1:1" x14ac:dyDescent="0.2">
      <c r="A530" t="str">
        <f>IF(ISBLANK(B530), "","SubGeographicalRegion-529")</f>
        <v/>
      </c>
    </row>
    <row r="531" spans="1:1" x14ac:dyDescent="0.2">
      <c r="A531" t="str">
        <f>IF(ISBLANK(B531), "","SubGeographicalRegion-530")</f>
        <v/>
      </c>
    </row>
    <row r="532" spans="1:1" x14ac:dyDescent="0.2">
      <c r="A532" t="str">
        <f>IF(ISBLANK(B532), "","SubGeographicalRegion-531")</f>
        <v/>
      </c>
    </row>
    <row r="533" spans="1:1" x14ac:dyDescent="0.2">
      <c r="A533" t="str">
        <f>IF(ISBLANK(B533), "","SubGeographicalRegion-532")</f>
        <v/>
      </c>
    </row>
    <row r="534" spans="1:1" x14ac:dyDescent="0.2">
      <c r="A534" t="str">
        <f>IF(ISBLANK(B534), "","SubGeographicalRegion-533")</f>
        <v/>
      </c>
    </row>
    <row r="535" spans="1:1" x14ac:dyDescent="0.2">
      <c r="A535" t="str">
        <f>IF(ISBLANK(B535), "","SubGeographicalRegion-534")</f>
        <v/>
      </c>
    </row>
    <row r="536" spans="1:1" x14ac:dyDescent="0.2">
      <c r="A536" t="str">
        <f>IF(ISBLANK(B536), "","SubGeographicalRegion-535")</f>
        <v/>
      </c>
    </row>
    <row r="537" spans="1:1" x14ac:dyDescent="0.2">
      <c r="A537" t="str">
        <f>IF(ISBLANK(B537), "","SubGeographicalRegion-536")</f>
        <v/>
      </c>
    </row>
    <row r="538" spans="1:1" x14ac:dyDescent="0.2">
      <c r="A538" t="str">
        <f>IF(ISBLANK(B538), "","SubGeographicalRegion-537")</f>
        <v/>
      </c>
    </row>
    <row r="539" spans="1:1" x14ac:dyDescent="0.2">
      <c r="A539" t="str">
        <f>IF(ISBLANK(B539), "","SubGeographicalRegion-538")</f>
        <v/>
      </c>
    </row>
    <row r="540" spans="1:1" x14ac:dyDescent="0.2">
      <c r="A540" t="str">
        <f>IF(ISBLANK(B540), "","SubGeographicalRegion-539")</f>
        <v/>
      </c>
    </row>
    <row r="541" spans="1:1" x14ac:dyDescent="0.2">
      <c r="A541" t="str">
        <f>IF(ISBLANK(B541), "","SubGeographicalRegion-540")</f>
        <v/>
      </c>
    </row>
    <row r="542" spans="1:1" x14ac:dyDescent="0.2">
      <c r="A542" t="str">
        <f>IF(ISBLANK(B542), "","SubGeographicalRegion-541")</f>
        <v/>
      </c>
    </row>
    <row r="543" spans="1:1" x14ac:dyDescent="0.2">
      <c r="A543" t="str">
        <f>IF(ISBLANK(B543), "","SubGeographicalRegion-542")</f>
        <v/>
      </c>
    </row>
    <row r="544" spans="1:1" x14ac:dyDescent="0.2">
      <c r="A544" t="str">
        <f>IF(ISBLANK(B544), "","SubGeographicalRegion-543")</f>
        <v/>
      </c>
    </row>
    <row r="545" spans="1:1" x14ac:dyDescent="0.2">
      <c r="A545" t="str">
        <f>IF(ISBLANK(B545), "","SubGeographicalRegion-544")</f>
        <v/>
      </c>
    </row>
    <row r="546" spans="1:1" x14ac:dyDescent="0.2">
      <c r="A546" t="str">
        <f>IF(ISBLANK(B546), "","SubGeographicalRegion-545")</f>
        <v/>
      </c>
    </row>
    <row r="547" spans="1:1" x14ac:dyDescent="0.2">
      <c r="A547" t="str">
        <f>IF(ISBLANK(B547), "","SubGeographicalRegion-546")</f>
        <v/>
      </c>
    </row>
    <row r="548" spans="1:1" x14ac:dyDescent="0.2">
      <c r="A548" t="str">
        <f>IF(ISBLANK(B548), "","SubGeographicalRegion-547")</f>
        <v/>
      </c>
    </row>
    <row r="549" spans="1:1" x14ac:dyDescent="0.2">
      <c r="A549" t="str">
        <f>IF(ISBLANK(B549), "","SubGeographicalRegion-548")</f>
        <v/>
      </c>
    </row>
    <row r="550" spans="1:1" x14ac:dyDescent="0.2">
      <c r="A550" t="str">
        <f>IF(ISBLANK(B550), "","SubGeographicalRegion-549")</f>
        <v/>
      </c>
    </row>
    <row r="551" spans="1:1" x14ac:dyDescent="0.2">
      <c r="A551" t="str">
        <f>IF(ISBLANK(B551), "","SubGeographicalRegion-550")</f>
        <v/>
      </c>
    </row>
    <row r="552" spans="1:1" x14ac:dyDescent="0.2">
      <c r="A552" t="str">
        <f>IF(ISBLANK(B552), "","SubGeographicalRegion-551")</f>
        <v/>
      </c>
    </row>
    <row r="553" spans="1:1" x14ac:dyDescent="0.2">
      <c r="A553" t="str">
        <f>IF(ISBLANK(B553), "","SubGeographicalRegion-552")</f>
        <v/>
      </c>
    </row>
    <row r="554" spans="1:1" x14ac:dyDescent="0.2">
      <c r="A554" t="str">
        <f>IF(ISBLANK(B554), "","SubGeographicalRegion-553")</f>
        <v/>
      </c>
    </row>
    <row r="555" spans="1:1" x14ac:dyDescent="0.2">
      <c r="A555" t="str">
        <f>IF(ISBLANK(B555), "","SubGeographicalRegion-554")</f>
        <v/>
      </c>
    </row>
    <row r="556" spans="1:1" x14ac:dyDescent="0.2">
      <c r="A556" t="str">
        <f>IF(ISBLANK(B556), "","SubGeographicalRegion-555")</f>
        <v/>
      </c>
    </row>
    <row r="557" spans="1:1" x14ac:dyDescent="0.2">
      <c r="A557" t="str">
        <f>IF(ISBLANK(B557), "","SubGeographicalRegion-556")</f>
        <v/>
      </c>
    </row>
    <row r="558" spans="1:1" x14ac:dyDescent="0.2">
      <c r="A558" t="str">
        <f>IF(ISBLANK(B558), "","SubGeographicalRegion-557")</f>
        <v/>
      </c>
    </row>
    <row r="559" spans="1:1" x14ac:dyDescent="0.2">
      <c r="A559" t="str">
        <f>IF(ISBLANK(B559), "","SubGeographicalRegion-558")</f>
        <v/>
      </c>
    </row>
    <row r="560" spans="1:1" x14ac:dyDescent="0.2">
      <c r="A560" t="str">
        <f>IF(ISBLANK(B560), "","SubGeographicalRegion-559")</f>
        <v/>
      </c>
    </row>
    <row r="561" spans="1:1" x14ac:dyDescent="0.2">
      <c r="A561" t="str">
        <f>IF(ISBLANK(B561), "","SubGeographicalRegion-560")</f>
        <v/>
      </c>
    </row>
    <row r="562" spans="1:1" x14ac:dyDescent="0.2">
      <c r="A562" t="str">
        <f>IF(ISBLANK(B562), "","SubGeographicalRegion-561")</f>
        <v/>
      </c>
    </row>
    <row r="563" spans="1:1" x14ac:dyDescent="0.2">
      <c r="A563" t="str">
        <f>IF(ISBLANK(B563), "","SubGeographicalRegion-562")</f>
        <v/>
      </c>
    </row>
    <row r="564" spans="1:1" x14ac:dyDescent="0.2">
      <c r="A564" t="str">
        <f>IF(ISBLANK(B564), "","SubGeographicalRegion-563")</f>
        <v/>
      </c>
    </row>
    <row r="565" spans="1:1" x14ac:dyDescent="0.2">
      <c r="A565" t="str">
        <f>IF(ISBLANK(B565), "","SubGeographicalRegion-564")</f>
        <v/>
      </c>
    </row>
    <row r="566" spans="1:1" x14ac:dyDescent="0.2">
      <c r="A566" t="str">
        <f>IF(ISBLANK(B566), "","SubGeographicalRegion-565")</f>
        <v/>
      </c>
    </row>
    <row r="567" spans="1:1" x14ac:dyDescent="0.2">
      <c r="A567" t="str">
        <f>IF(ISBLANK(B567), "","SubGeographicalRegion-566")</f>
        <v/>
      </c>
    </row>
    <row r="568" spans="1:1" x14ac:dyDescent="0.2">
      <c r="A568" t="str">
        <f>IF(ISBLANK(B568), "","SubGeographicalRegion-567")</f>
        <v/>
      </c>
    </row>
    <row r="569" spans="1:1" x14ac:dyDescent="0.2">
      <c r="A569" t="str">
        <f>IF(ISBLANK(B569), "","SubGeographicalRegion-568")</f>
        <v/>
      </c>
    </row>
    <row r="570" spans="1:1" x14ac:dyDescent="0.2">
      <c r="A570" t="str">
        <f>IF(ISBLANK(B570), "","SubGeographicalRegion-569")</f>
        <v/>
      </c>
    </row>
    <row r="571" spans="1:1" x14ac:dyDescent="0.2">
      <c r="A571" t="str">
        <f>IF(ISBLANK(B571), "","SubGeographicalRegion-570")</f>
        <v/>
      </c>
    </row>
    <row r="572" spans="1:1" x14ac:dyDescent="0.2">
      <c r="A572" t="str">
        <f>IF(ISBLANK(B572), "","SubGeographicalRegion-571")</f>
        <v/>
      </c>
    </row>
    <row r="573" spans="1:1" x14ac:dyDescent="0.2">
      <c r="A573" t="str">
        <f>IF(ISBLANK(B573), "","SubGeographicalRegion-572")</f>
        <v/>
      </c>
    </row>
    <row r="574" spans="1:1" x14ac:dyDescent="0.2">
      <c r="A574" t="str">
        <f>IF(ISBLANK(B574), "","SubGeographicalRegion-573")</f>
        <v/>
      </c>
    </row>
    <row r="575" spans="1:1" x14ac:dyDescent="0.2">
      <c r="A575" t="str">
        <f>IF(ISBLANK(B575), "","SubGeographicalRegion-574")</f>
        <v/>
      </c>
    </row>
    <row r="576" spans="1:1" x14ac:dyDescent="0.2">
      <c r="A576" t="str">
        <f>IF(ISBLANK(B576), "","SubGeographicalRegion-575")</f>
        <v/>
      </c>
    </row>
    <row r="577" spans="1:1" x14ac:dyDescent="0.2">
      <c r="A577" t="str">
        <f>IF(ISBLANK(B577), "","SubGeographicalRegion-576")</f>
        <v/>
      </c>
    </row>
    <row r="578" spans="1:1" x14ac:dyDescent="0.2">
      <c r="A578" t="str">
        <f>IF(ISBLANK(B578), "","SubGeographicalRegion-577")</f>
        <v/>
      </c>
    </row>
    <row r="579" spans="1:1" x14ac:dyDescent="0.2">
      <c r="A579" t="str">
        <f>IF(ISBLANK(B579), "","SubGeographicalRegion-578")</f>
        <v/>
      </c>
    </row>
    <row r="580" spans="1:1" x14ac:dyDescent="0.2">
      <c r="A580" t="str">
        <f>IF(ISBLANK(B580), "","SubGeographicalRegion-579")</f>
        <v/>
      </c>
    </row>
    <row r="581" spans="1:1" x14ac:dyDescent="0.2">
      <c r="A581" t="str">
        <f>IF(ISBLANK(B581), "","SubGeographicalRegion-580")</f>
        <v/>
      </c>
    </row>
    <row r="582" spans="1:1" x14ac:dyDescent="0.2">
      <c r="A582" t="str">
        <f>IF(ISBLANK(B582), "","SubGeographicalRegion-581")</f>
        <v/>
      </c>
    </row>
    <row r="583" spans="1:1" x14ac:dyDescent="0.2">
      <c r="A583" t="str">
        <f>IF(ISBLANK(B583), "","SubGeographicalRegion-582")</f>
        <v/>
      </c>
    </row>
    <row r="584" spans="1:1" x14ac:dyDescent="0.2">
      <c r="A584" t="str">
        <f>IF(ISBLANK(B584), "","SubGeographicalRegion-583")</f>
        <v/>
      </c>
    </row>
    <row r="585" spans="1:1" x14ac:dyDescent="0.2">
      <c r="A585" t="str">
        <f>IF(ISBLANK(B585), "","SubGeographicalRegion-584")</f>
        <v/>
      </c>
    </row>
    <row r="586" spans="1:1" x14ac:dyDescent="0.2">
      <c r="A586" t="str">
        <f>IF(ISBLANK(B586), "","SubGeographicalRegion-585")</f>
        <v/>
      </c>
    </row>
    <row r="587" spans="1:1" x14ac:dyDescent="0.2">
      <c r="A587" t="str">
        <f>IF(ISBLANK(B587), "","SubGeographicalRegion-586")</f>
        <v/>
      </c>
    </row>
    <row r="588" spans="1:1" x14ac:dyDescent="0.2">
      <c r="A588" t="str">
        <f>IF(ISBLANK(B588), "","SubGeographicalRegion-587")</f>
        <v/>
      </c>
    </row>
    <row r="589" spans="1:1" x14ac:dyDescent="0.2">
      <c r="A589" t="str">
        <f>IF(ISBLANK(B589), "","SubGeographicalRegion-588")</f>
        <v/>
      </c>
    </row>
    <row r="590" spans="1:1" x14ac:dyDescent="0.2">
      <c r="A590" t="str">
        <f>IF(ISBLANK(B590), "","SubGeographicalRegion-589")</f>
        <v/>
      </c>
    </row>
    <row r="591" spans="1:1" x14ac:dyDescent="0.2">
      <c r="A591" t="str">
        <f>IF(ISBLANK(B591), "","SubGeographicalRegion-590")</f>
        <v/>
      </c>
    </row>
    <row r="592" spans="1:1" x14ac:dyDescent="0.2">
      <c r="A592" t="str">
        <f>IF(ISBLANK(B592), "","SubGeographicalRegion-591")</f>
        <v/>
      </c>
    </row>
    <row r="593" spans="1:1" x14ac:dyDescent="0.2">
      <c r="A593" t="str">
        <f>IF(ISBLANK(B593), "","SubGeographicalRegion-592")</f>
        <v/>
      </c>
    </row>
    <row r="594" spans="1:1" x14ac:dyDescent="0.2">
      <c r="A594" t="str">
        <f>IF(ISBLANK(B594), "","SubGeographicalRegion-593")</f>
        <v/>
      </c>
    </row>
    <row r="595" spans="1:1" x14ac:dyDescent="0.2">
      <c r="A595" t="str">
        <f>IF(ISBLANK(B595), "","SubGeographicalRegion-594")</f>
        <v/>
      </c>
    </row>
    <row r="596" spans="1:1" x14ac:dyDescent="0.2">
      <c r="A596" t="str">
        <f>IF(ISBLANK(B596), "","SubGeographicalRegion-595")</f>
        <v/>
      </c>
    </row>
    <row r="597" spans="1:1" x14ac:dyDescent="0.2">
      <c r="A597" t="str">
        <f>IF(ISBLANK(B597), "","SubGeographicalRegion-596")</f>
        <v/>
      </c>
    </row>
    <row r="598" spans="1:1" x14ac:dyDescent="0.2">
      <c r="A598" t="str">
        <f>IF(ISBLANK(B598), "","SubGeographicalRegion-597")</f>
        <v/>
      </c>
    </row>
    <row r="599" spans="1:1" x14ac:dyDescent="0.2">
      <c r="A599" t="str">
        <f>IF(ISBLANK(B599), "","SubGeographicalRegion-598")</f>
        <v/>
      </c>
    </row>
    <row r="600" spans="1:1" x14ac:dyDescent="0.2">
      <c r="A600" t="str">
        <f>IF(ISBLANK(B600), "","SubGeographicalRegion-599")</f>
        <v/>
      </c>
    </row>
    <row r="601" spans="1:1" x14ac:dyDescent="0.2">
      <c r="A601" t="str">
        <f>IF(ISBLANK(B601), "","SubGeographicalRegion-600")</f>
        <v/>
      </c>
    </row>
    <row r="602" spans="1:1" x14ac:dyDescent="0.2">
      <c r="A602" t="str">
        <f>IF(ISBLANK(B602), "","SubGeographicalRegion-601")</f>
        <v/>
      </c>
    </row>
    <row r="603" spans="1:1" x14ac:dyDescent="0.2">
      <c r="A603" t="str">
        <f>IF(ISBLANK(B603), "","SubGeographicalRegion-602")</f>
        <v/>
      </c>
    </row>
    <row r="604" spans="1:1" x14ac:dyDescent="0.2">
      <c r="A604" t="str">
        <f>IF(ISBLANK(B604), "","SubGeographicalRegion-603")</f>
        <v/>
      </c>
    </row>
    <row r="605" spans="1:1" x14ac:dyDescent="0.2">
      <c r="A605" t="str">
        <f>IF(ISBLANK(B605), "","SubGeographicalRegion-604")</f>
        <v/>
      </c>
    </row>
    <row r="606" spans="1:1" x14ac:dyDescent="0.2">
      <c r="A606" t="str">
        <f>IF(ISBLANK(B606), "","SubGeographicalRegion-605")</f>
        <v/>
      </c>
    </row>
    <row r="607" spans="1:1" x14ac:dyDescent="0.2">
      <c r="A607" t="str">
        <f>IF(ISBLANK(B607), "","SubGeographicalRegion-606")</f>
        <v/>
      </c>
    </row>
    <row r="608" spans="1:1" x14ac:dyDescent="0.2">
      <c r="A608" t="str">
        <f>IF(ISBLANK(B608), "","SubGeographicalRegion-607")</f>
        <v/>
      </c>
    </row>
    <row r="609" spans="1:1" x14ac:dyDescent="0.2">
      <c r="A609" t="str">
        <f>IF(ISBLANK(B609), "","SubGeographicalRegion-608")</f>
        <v/>
      </c>
    </row>
    <row r="610" spans="1:1" x14ac:dyDescent="0.2">
      <c r="A610" t="str">
        <f>IF(ISBLANK(B610), "","SubGeographicalRegion-609")</f>
        <v/>
      </c>
    </row>
    <row r="611" spans="1:1" x14ac:dyDescent="0.2">
      <c r="A611" t="str">
        <f>IF(ISBLANK(B611), "","SubGeographicalRegion-610")</f>
        <v/>
      </c>
    </row>
    <row r="612" spans="1:1" x14ac:dyDescent="0.2">
      <c r="A612" t="str">
        <f>IF(ISBLANK(B612), "","SubGeographicalRegion-611")</f>
        <v/>
      </c>
    </row>
    <row r="613" spans="1:1" x14ac:dyDescent="0.2">
      <c r="A613" t="str">
        <f>IF(ISBLANK(B613), "","SubGeographicalRegion-612")</f>
        <v/>
      </c>
    </row>
    <row r="614" spans="1:1" x14ac:dyDescent="0.2">
      <c r="A614" t="str">
        <f>IF(ISBLANK(B614), "","SubGeographicalRegion-613")</f>
        <v/>
      </c>
    </row>
    <row r="615" spans="1:1" x14ac:dyDescent="0.2">
      <c r="A615" t="str">
        <f>IF(ISBLANK(B615), "","SubGeographicalRegion-614")</f>
        <v/>
      </c>
    </row>
    <row r="616" spans="1:1" x14ac:dyDescent="0.2">
      <c r="A616" t="str">
        <f>IF(ISBLANK(B616), "","SubGeographicalRegion-615")</f>
        <v/>
      </c>
    </row>
    <row r="617" spans="1:1" x14ac:dyDescent="0.2">
      <c r="A617" t="str">
        <f>IF(ISBLANK(B617), "","SubGeographicalRegion-616")</f>
        <v/>
      </c>
    </row>
    <row r="618" spans="1:1" x14ac:dyDescent="0.2">
      <c r="A618" t="str">
        <f>IF(ISBLANK(B618), "","SubGeographicalRegion-617")</f>
        <v/>
      </c>
    </row>
    <row r="619" spans="1:1" x14ac:dyDescent="0.2">
      <c r="A619" t="str">
        <f>IF(ISBLANK(B619), "","SubGeographicalRegion-618")</f>
        <v/>
      </c>
    </row>
    <row r="620" spans="1:1" x14ac:dyDescent="0.2">
      <c r="A620" t="str">
        <f>IF(ISBLANK(B620), "","SubGeographicalRegion-619")</f>
        <v/>
      </c>
    </row>
    <row r="621" spans="1:1" x14ac:dyDescent="0.2">
      <c r="A621" t="str">
        <f>IF(ISBLANK(B621), "","SubGeographicalRegion-620")</f>
        <v/>
      </c>
    </row>
    <row r="622" spans="1:1" x14ac:dyDescent="0.2">
      <c r="A622" t="str">
        <f>IF(ISBLANK(B622), "","SubGeographicalRegion-621")</f>
        <v/>
      </c>
    </row>
    <row r="623" spans="1:1" x14ac:dyDescent="0.2">
      <c r="A623" t="str">
        <f>IF(ISBLANK(B623), "","SubGeographicalRegion-622")</f>
        <v/>
      </c>
    </row>
    <row r="624" spans="1:1" x14ac:dyDescent="0.2">
      <c r="A624" t="str">
        <f>IF(ISBLANK(B624), "","SubGeographicalRegion-623")</f>
        <v/>
      </c>
    </row>
    <row r="625" spans="1:1" x14ac:dyDescent="0.2">
      <c r="A625" t="str">
        <f>IF(ISBLANK(B625), "","SubGeographicalRegion-624")</f>
        <v/>
      </c>
    </row>
    <row r="626" spans="1:1" x14ac:dyDescent="0.2">
      <c r="A626" t="str">
        <f>IF(ISBLANK(B626), "","SubGeographicalRegion-625")</f>
        <v/>
      </c>
    </row>
    <row r="627" spans="1:1" x14ac:dyDescent="0.2">
      <c r="A627" t="str">
        <f>IF(ISBLANK(B627), "","SubGeographicalRegion-626")</f>
        <v/>
      </c>
    </row>
    <row r="628" spans="1:1" x14ac:dyDescent="0.2">
      <c r="A628" t="str">
        <f>IF(ISBLANK(B628), "","SubGeographicalRegion-627")</f>
        <v/>
      </c>
    </row>
    <row r="629" spans="1:1" x14ac:dyDescent="0.2">
      <c r="A629" t="str">
        <f>IF(ISBLANK(B629), "","SubGeographicalRegion-628")</f>
        <v/>
      </c>
    </row>
    <row r="630" spans="1:1" x14ac:dyDescent="0.2">
      <c r="A630" t="str">
        <f>IF(ISBLANK(B630), "","SubGeographicalRegion-629")</f>
        <v/>
      </c>
    </row>
    <row r="631" spans="1:1" x14ac:dyDescent="0.2">
      <c r="A631" t="str">
        <f>IF(ISBLANK(B631), "","SubGeographicalRegion-630")</f>
        <v/>
      </c>
    </row>
    <row r="632" spans="1:1" x14ac:dyDescent="0.2">
      <c r="A632" t="str">
        <f>IF(ISBLANK(B632), "","SubGeographicalRegion-631")</f>
        <v/>
      </c>
    </row>
    <row r="633" spans="1:1" x14ac:dyDescent="0.2">
      <c r="A633" t="str">
        <f>IF(ISBLANK(B633), "","SubGeographicalRegion-632")</f>
        <v/>
      </c>
    </row>
    <row r="634" spans="1:1" x14ac:dyDescent="0.2">
      <c r="A634" t="str">
        <f>IF(ISBLANK(B634), "","SubGeographicalRegion-633")</f>
        <v/>
      </c>
    </row>
    <row r="635" spans="1:1" x14ac:dyDescent="0.2">
      <c r="A635" t="str">
        <f>IF(ISBLANK(B635), "","SubGeographicalRegion-634")</f>
        <v/>
      </c>
    </row>
    <row r="636" spans="1:1" x14ac:dyDescent="0.2">
      <c r="A636" t="str">
        <f>IF(ISBLANK(B636), "","SubGeographicalRegion-635")</f>
        <v/>
      </c>
    </row>
    <row r="637" spans="1:1" x14ac:dyDescent="0.2">
      <c r="A637" t="str">
        <f>IF(ISBLANK(B637), "","SubGeographicalRegion-636")</f>
        <v/>
      </c>
    </row>
    <row r="638" spans="1:1" x14ac:dyDescent="0.2">
      <c r="A638" t="str">
        <f>IF(ISBLANK(B638), "","SubGeographicalRegion-637")</f>
        <v/>
      </c>
    </row>
    <row r="639" spans="1:1" x14ac:dyDescent="0.2">
      <c r="A639" t="str">
        <f>IF(ISBLANK(B639), "","SubGeographicalRegion-638")</f>
        <v/>
      </c>
    </row>
    <row r="640" spans="1:1" x14ac:dyDescent="0.2">
      <c r="A640" t="str">
        <f>IF(ISBLANK(B640), "","SubGeographicalRegion-639")</f>
        <v/>
      </c>
    </row>
    <row r="641" spans="1:1" x14ac:dyDescent="0.2">
      <c r="A641" t="str">
        <f>IF(ISBLANK(B641), "","SubGeographicalRegion-640")</f>
        <v/>
      </c>
    </row>
    <row r="642" spans="1:1" x14ac:dyDescent="0.2">
      <c r="A642" t="str">
        <f>IF(ISBLANK(B642), "","SubGeographicalRegion-641")</f>
        <v/>
      </c>
    </row>
    <row r="643" spans="1:1" x14ac:dyDescent="0.2">
      <c r="A643" t="str">
        <f>IF(ISBLANK(B643), "","SubGeographicalRegion-642")</f>
        <v/>
      </c>
    </row>
    <row r="644" spans="1:1" x14ac:dyDescent="0.2">
      <c r="A644" t="str">
        <f>IF(ISBLANK(B644), "","SubGeographicalRegion-643")</f>
        <v/>
      </c>
    </row>
    <row r="645" spans="1:1" x14ac:dyDescent="0.2">
      <c r="A645" t="str">
        <f>IF(ISBLANK(B645), "","SubGeographicalRegion-644")</f>
        <v/>
      </c>
    </row>
    <row r="646" spans="1:1" x14ac:dyDescent="0.2">
      <c r="A646" t="str">
        <f>IF(ISBLANK(B646), "","SubGeographicalRegion-645")</f>
        <v/>
      </c>
    </row>
    <row r="647" spans="1:1" x14ac:dyDescent="0.2">
      <c r="A647" t="str">
        <f>IF(ISBLANK(B647), "","SubGeographicalRegion-646")</f>
        <v/>
      </c>
    </row>
    <row r="648" spans="1:1" x14ac:dyDescent="0.2">
      <c r="A648" t="str">
        <f>IF(ISBLANK(B648), "","SubGeographicalRegion-647")</f>
        <v/>
      </c>
    </row>
    <row r="649" spans="1:1" x14ac:dyDescent="0.2">
      <c r="A649" t="str">
        <f>IF(ISBLANK(B649), "","SubGeographicalRegion-648")</f>
        <v/>
      </c>
    </row>
    <row r="650" spans="1:1" x14ac:dyDescent="0.2">
      <c r="A650" t="str">
        <f>IF(ISBLANK(B650), "","SubGeographicalRegion-649")</f>
        <v/>
      </c>
    </row>
    <row r="651" spans="1:1" x14ac:dyDescent="0.2">
      <c r="A651" t="str">
        <f>IF(ISBLANK(B651), "","SubGeographicalRegion-650")</f>
        <v/>
      </c>
    </row>
    <row r="652" spans="1:1" x14ac:dyDescent="0.2">
      <c r="A652" t="str">
        <f>IF(ISBLANK(B652), "","SubGeographicalRegion-651")</f>
        <v/>
      </c>
    </row>
    <row r="653" spans="1:1" x14ac:dyDescent="0.2">
      <c r="A653" t="str">
        <f>IF(ISBLANK(B653), "","SubGeographicalRegion-652")</f>
        <v/>
      </c>
    </row>
    <row r="654" spans="1:1" x14ac:dyDescent="0.2">
      <c r="A654" t="str">
        <f>IF(ISBLANK(B654), "","SubGeographicalRegion-653")</f>
        <v/>
      </c>
    </row>
    <row r="655" spans="1:1" x14ac:dyDescent="0.2">
      <c r="A655" t="str">
        <f>IF(ISBLANK(B655), "","SubGeographicalRegion-654")</f>
        <v/>
      </c>
    </row>
    <row r="656" spans="1:1" x14ac:dyDescent="0.2">
      <c r="A656" t="str">
        <f>IF(ISBLANK(B656), "","SubGeographicalRegion-655")</f>
        <v/>
      </c>
    </row>
    <row r="657" spans="1:1" x14ac:dyDescent="0.2">
      <c r="A657" t="str">
        <f>IF(ISBLANK(B657), "","SubGeographicalRegion-656")</f>
        <v/>
      </c>
    </row>
    <row r="658" spans="1:1" x14ac:dyDescent="0.2">
      <c r="A658" t="str">
        <f>IF(ISBLANK(B658), "","SubGeographicalRegion-657")</f>
        <v/>
      </c>
    </row>
    <row r="659" spans="1:1" x14ac:dyDescent="0.2">
      <c r="A659" t="str">
        <f>IF(ISBLANK(B659), "","SubGeographicalRegion-658")</f>
        <v/>
      </c>
    </row>
    <row r="660" spans="1:1" x14ac:dyDescent="0.2">
      <c r="A660" t="str">
        <f>IF(ISBLANK(B660), "","SubGeographicalRegion-659")</f>
        <v/>
      </c>
    </row>
    <row r="661" spans="1:1" x14ac:dyDescent="0.2">
      <c r="A661" t="str">
        <f>IF(ISBLANK(B661), "","SubGeographicalRegion-660")</f>
        <v/>
      </c>
    </row>
    <row r="662" spans="1:1" x14ac:dyDescent="0.2">
      <c r="A662" t="str">
        <f>IF(ISBLANK(B662), "","SubGeographicalRegion-661")</f>
        <v/>
      </c>
    </row>
    <row r="663" spans="1:1" x14ac:dyDescent="0.2">
      <c r="A663" t="str">
        <f>IF(ISBLANK(B663), "","SubGeographicalRegion-662")</f>
        <v/>
      </c>
    </row>
    <row r="664" spans="1:1" x14ac:dyDescent="0.2">
      <c r="A664" t="str">
        <f>IF(ISBLANK(B664), "","SubGeographicalRegion-663")</f>
        <v/>
      </c>
    </row>
    <row r="665" spans="1:1" x14ac:dyDescent="0.2">
      <c r="A665" t="str">
        <f>IF(ISBLANK(B665), "","SubGeographicalRegion-664")</f>
        <v/>
      </c>
    </row>
    <row r="666" spans="1:1" x14ac:dyDescent="0.2">
      <c r="A666" t="str">
        <f>IF(ISBLANK(B666), "","SubGeographicalRegion-665")</f>
        <v/>
      </c>
    </row>
    <row r="667" spans="1:1" x14ac:dyDescent="0.2">
      <c r="A667" t="str">
        <f>IF(ISBLANK(B667), "","SubGeographicalRegion-666")</f>
        <v/>
      </c>
    </row>
    <row r="668" spans="1:1" x14ac:dyDescent="0.2">
      <c r="A668" t="str">
        <f>IF(ISBLANK(B668), "","SubGeographicalRegion-667")</f>
        <v/>
      </c>
    </row>
    <row r="669" spans="1:1" x14ac:dyDescent="0.2">
      <c r="A669" t="str">
        <f>IF(ISBLANK(B669), "","SubGeographicalRegion-668")</f>
        <v/>
      </c>
    </row>
    <row r="670" spans="1:1" x14ac:dyDescent="0.2">
      <c r="A670" t="str">
        <f>IF(ISBLANK(B670), "","SubGeographicalRegion-669")</f>
        <v/>
      </c>
    </row>
    <row r="671" spans="1:1" x14ac:dyDescent="0.2">
      <c r="A671" t="str">
        <f>IF(ISBLANK(B671), "","SubGeographicalRegion-670")</f>
        <v/>
      </c>
    </row>
    <row r="672" spans="1:1" x14ac:dyDescent="0.2">
      <c r="A672" t="str">
        <f>IF(ISBLANK(B672), "","SubGeographicalRegion-671")</f>
        <v/>
      </c>
    </row>
    <row r="673" spans="1:1" x14ac:dyDescent="0.2">
      <c r="A673" t="str">
        <f>IF(ISBLANK(B673), "","SubGeographicalRegion-672")</f>
        <v/>
      </c>
    </row>
    <row r="674" spans="1:1" x14ac:dyDescent="0.2">
      <c r="A674" t="str">
        <f>IF(ISBLANK(B674), "","SubGeographicalRegion-673")</f>
        <v/>
      </c>
    </row>
    <row r="675" spans="1:1" x14ac:dyDescent="0.2">
      <c r="A675" t="str">
        <f>IF(ISBLANK(B675), "","SubGeographicalRegion-674")</f>
        <v/>
      </c>
    </row>
    <row r="676" spans="1:1" x14ac:dyDescent="0.2">
      <c r="A676" t="str">
        <f>IF(ISBLANK(B676), "","SubGeographicalRegion-675")</f>
        <v/>
      </c>
    </row>
    <row r="677" spans="1:1" x14ac:dyDescent="0.2">
      <c r="A677" t="str">
        <f>IF(ISBLANK(B677), "","SubGeographicalRegion-676")</f>
        <v/>
      </c>
    </row>
    <row r="678" spans="1:1" x14ac:dyDescent="0.2">
      <c r="A678" t="str">
        <f>IF(ISBLANK(B678), "","SubGeographicalRegion-677")</f>
        <v/>
      </c>
    </row>
    <row r="679" spans="1:1" x14ac:dyDescent="0.2">
      <c r="A679" t="str">
        <f>IF(ISBLANK(B679), "","SubGeographicalRegion-678")</f>
        <v/>
      </c>
    </row>
    <row r="680" spans="1:1" x14ac:dyDescent="0.2">
      <c r="A680" t="str">
        <f>IF(ISBLANK(B680), "","SubGeographicalRegion-679")</f>
        <v/>
      </c>
    </row>
    <row r="681" spans="1:1" x14ac:dyDescent="0.2">
      <c r="A681" t="str">
        <f>IF(ISBLANK(B681), "","SubGeographicalRegion-680")</f>
        <v/>
      </c>
    </row>
    <row r="682" spans="1:1" x14ac:dyDescent="0.2">
      <c r="A682" t="str">
        <f>IF(ISBLANK(B682), "","SubGeographicalRegion-681")</f>
        <v/>
      </c>
    </row>
    <row r="683" spans="1:1" x14ac:dyDescent="0.2">
      <c r="A683" t="str">
        <f>IF(ISBLANK(B683), "","SubGeographicalRegion-682")</f>
        <v/>
      </c>
    </row>
    <row r="684" spans="1:1" x14ac:dyDescent="0.2">
      <c r="A684" t="str">
        <f>IF(ISBLANK(B684), "","SubGeographicalRegion-683")</f>
        <v/>
      </c>
    </row>
    <row r="685" spans="1:1" x14ac:dyDescent="0.2">
      <c r="A685" t="str">
        <f>IF(ISBLANK(B685), "","SubGeographicalRegion-684")</f>
        <v/>
      </c>
    </row>
    <row r="686" spans="1:1" x14ac:dyDescent="0.2">
      <c r="A686" t="str">
        <f>IF(ISBLANK(B686), "","SubGeographicalRegion-685")</f>
        <v/>
      </c>
    </row>
    <row r="687" spans="1:1" x14ac:dyDescent="0.2">
      <c r="A687" t="str">
        <f>IF(ISBLANK(B687), "","SubGeographicalRegion-686")</f>
        <v/>
      </c>
    </row>
    <row r="688" spans="1:1" x14ac:dyDescent="0.2">
      <c r="A688" t="str">
        <f>IF(ISBLANK(B688), "","SubGeographicalRegion-687")</f>
        <v/>
      </c>
    </row>
    <row r="689" spans="1:1" x14ac:dyDescent="0.2">
      <c r="A689" t="str">
        <f>IF(ISBLANK(B689), "","SubGeographicalRegion-688")</f>
        <v/>
      </c>
    </row>
    <row r="690" spans="1:1" x14ac:dyDescent="0.2">
      <c r="A690" t="str">
        <f>IF(ISBLANK(B690), "","SubGeographicalRegion-689")</f>
        <v/>
      </c>
    </row>
    <row r="691" spans="1:1" x14ac:dyDescent="0.2">
      <c r="A691" t="str">
        <f>IF(ISBLANK(B691), "","SubGeographicalRegion-690")</f>
        <v/>
      </c>
    </row>
    <row r="692" spans="1:1" x14ac:dyDescent="0.2">
      <c r="A692" t="str">
        <f>IF(ISBLANK(B692), "","SubGeographicalRegion-691")</f>
        <v/>
      </c>
    </row>
    <row r="693" spans="1:1" x14ac:dyDescent="0.2">
      <c r="A693" t="str">
        <f>IF(ISBLANK(B693), "","SubGeographicalRegion-692")</f>
        <v/>
      </c>
    </row>
    <row r="694" spans="1:1" x14ac:dyDescent="0.2">
      <c r="A694" t="str">
        <f>IF(ISBLANK(B694), "","SubGeographicalRegion-693")</f>
        <v/>
      </c>
    </row>
    <row r="695" spans="1:1" x14ac:dyDescent="0.2">
      <c r="A695" t="str">
        <f>IF(ISBLANK(B695), "","SubGeographicalRegion-694")</f>
        <v/>
      </c>
    </row>
    <row r="696" spans="1:1" x14ac:dyDescent="0.2">
      <c r="A696" t="str">
        <f>IF(ISBLANK(B696), "","SubGeographicalRegion-695")</f>
        <v/>
      </c>
    </row>
    <row r="697" spans="1:1" x14ac:dyDescent="0.2">
      <c r="A697" t="str">
        <f>IF(ISBLANK(B697), "","SubGeographicalRegion-696")</f>
        <v/>
      </c>
    </row>
    <row r="698" spans="1:1" x14ac:dyDescent="0.2">
      <c r="A698" t="str">
        <f>IF(ISBLANK(B698), "","SubGeographicalRegion-697")</f>
        <v/>
      </c>
    </row>
    <row r="699" spans="1:1" x14ac:dyDescent="0.2">
      <c r="A699" t="str">
        <f>IF(ISBLANK(B699), "","SubGeographicalRegion-698")</f>
        <v/>
      </c>
    </row>
    <row r="700" spans="1:1" x14ac:dyDescent="0.2">
      <c r="A700" t="str">
        <f>IF(ISBLANK(B700), "","SubGeographicalRegion-699")</f>
        <v/>
      </c>
    </row>
    <row r="701" spans="1:1" x14ac:dyDescent="0.2">
      <c r="A701" t="str">
        <f>IF(ISBLANK(B701), "","SubGeographicalRegion-700")</f>
        <v/>
      </c>
    </row>
    <row r="702" spans="1:1" x14ac:dyDescent="0.2">
      <c r="A702" t="str">
        <f>IF(ISBLANK(B702), "","SubGeographicalRegion-701")</f>
        <v/>
      </c>
    </row>
    <row r="703" spans="1:1" x14ac:dyDescent="0.2">
      <c r="A703" t="str">
        <f>IF(ISBLANK(B703), "","SubGeographicalRegion-702")</f>
        <v/>
      </c>
    </row>
    <row r="704" spans="1:1" x14ac:dyDescent="0.2">
      <c r="A704" t="str">
        <f>IF(ISBLANK(B704), "","SubGeographicalRegion-703")</f>
        <v/>
      </c>
    </row>
    <row r="705" spans="1:1" x14ac:dyDescent="0.2">
      <c r="A705" t="str">
        <f>IF(ISBLANK(B705), "","SubGeographicalRegion-704")</f>
        <v/>
      </c>
    </row>
    <row r="706" spans="1:1" x14ac:dyDescent="0.2">
      <c r="A706" t="str">
        <f>IF(ISBLANK(B706), "","SubGeographicalRegion-705")</f>
        <v/>
      </c>
    </row>
    <row r="707" spans="1:1" x14ac:dyDescent="0.2">
      <c r="A707" t="str">
        <f>IF(ISBLANK(B707), "","SubGeographicalRegion-706")</f>
        <v/>
      </c>
    </row>
    <row r="708" spans="1:1" x14ac:dyDescent="0.2">
      <c r="A708" t="str">
        <f>IF(ISBLANK(B708), "","SubGeographicalRegion-707")</f>
        <v/>
      </c>
    </row>
    <row r="709" spans="1:1" x14ac:dyDescent="0.2">
      <c r="A709" t="str">
        <f>IF(ISBLANK(B709), "","SubGeographicalRegion-708")</f>
        <v/>
      </c>
    </row>
    <row r="710" spans="1:1" x14ac:dyDescent="0.2">
      <c r="A710" t="str">
        <f>IF(ISBLANK(B710), "","SubGeographicalRegion-709")</f>
        <v/>
      </c>
    </row>
    <row r="711" spans="1:1" x14ac:dyDescent="0.2">
      <c r="A711" t="str">
        <f>IF(ISBLANK(B711), "","SubGeographicalRegion-710")</f>
        <v/>
      </c>
    </row>
    <row r="712" spans="1:1" x14ac:dyDescent="0.2">
      <c r="A712" t="str">
        <f>IF(ISBLANK(B712), "","SubGeographicalRegion-711")</f>
        <v/>
      </c>
    </row>
    <row r="713" spans="1:1" x14ac:dyDescent="0.2">
      <c r="A713" t="str">
        <f>IF(ISBLANK(B713), "","SubGeographicalRegion-712")</f>
        <v/>
      </c>
    </row>
    <row r="714" spans="1:1" x14ac:dyDescent="0.2">
      <c r="A714" t="str">
        <f>IF(ISBLANK(B714), "","SubGeographicalRegion-713")</f>
        <v/>
      </c>
    </row>
    <row r="715" spans="1:1" x14ac:dyDescent="0.2">
      <c r="A715" t="str">
        <f>IF(ISBLANK(B715), "","SubGeographicalRegion-714")</f>
        <v/>
      </c>
    </row>
    <row r="716" spans="1:1" x14ac:dyDescent="0.2">
      <c r="A716" t="str">
        <f>IF(ISBLANK(B716), "","SubGeographicalRegion-715")</f>
        <v/>
      </c>
    </row>
    <row r="717" spans="1:1" x14ac:dyDescent="0.2">
      <c r="A717" t="str">
        <f>IF(ISBLANK(B717), "","SubGeographicalRegion-716")</f>
        <v/>
      </c>
    </row>
    <row r="718" spans="1:1" x14ac:dyDescent="0.2">
      <c r="A718" t="str">
        <f>IF(ISBLANK(B718), "","SubGeographicalRegion-717")</f>
        <v/>
      </c>
    </row>
    <row r="719" spans="1:1" x14ac:dyDescent="0.2">
      <c r="A719" t="str">
        <f>IF(ISBLANK(B719), "","SubGeographicalRegion-718")</f>
        <v/>
      </c>
    </row>
    <row r="720" spans="1:1" x14ac:dyDescent="0.2">
      <c r="A720" t="str">
        <f>IF(ISBLANK(B720), "","SubGeographicalRegion-719")</f>
        <v/>
      </c>
    </row>
    <row r="721" spans="1:1" x14ac:dyDescent="0.2">
      <c r="A721" t="str">
        <f>IF(ISBLANK(B721), "","SubGeographicalRegion-720")</f>
        <v/>
      </c>
    </row>
    <row r="722" spans="1:1" x14ac:dyDescent="0.2">
      <c r="A722" t="str">
        <f>IF(ISBLANK(B722), "","SubGeographicalRegion-721")</f>
        <v/>
      </c>
    </row>
    <row r="723" spans="1:1" x14ac:dyDescent="0.2">
      <c r="A723" t="str">
        <f>IF(ISBLANK(B723), "","SubGeographicalRegion-722")</f>
        <v/>
      </c>
    </row>
    <row r="724" spans="1:1" x14ac:dyDescent="0.2">
      <c r="A724" t="str">
        <f>IF(ISBLANK(B724), "","SubGeographicalRegion-723")</f>
        <v/>
      </c>
    </row>
    <row r="725" spans="1:1" x14ac:dyDescent="0.2">
      <c r="A725" t="str">
        <f>IF(ISBLANK(B725), "","SubGeographicalRegion-724")</f>
        <v/>
      </c>
    </row>
    <row r="726" spans="1:1" x14ac:dyDescent="0.2">
      <c r="A726" t="str">
        <f>IF(ISBLANK(B726), "","SubGeographicalRegion-725")</f>
        <v/>
      </c>
    </row>
    <row r="727" spans="1:1" x14ac:dyDescent="0.2">
      <c r="A727" t="str">
        <f>IF(ISBLANK(B727), "","SubGeographicalRegion-726")</f>
        <v/>
      </c>
    </row>
    <row r="728" spans="1:1" x14ac:dyDescent="0.2">
      <c r="A728" t="str">
        <f>IF(ISBLANK(B728), "","SubGeographicalRegion-727")</f>
        <v/>
      </c>
    </row>
    <row r="729" spans="1:1" x14ac:dyDescent="0.2">
      <c r="A729" t="str">
        <f>IF(ISBLANK(B729), "","SubGeographicalRegion-728")</f>
        <v/>
      </c>
    </row>
    <row r="730" spans="1:1" x14ac:dyDescent="0.2">
      <c r="A730" t="str">
        <f>IF(ISBLANK(B730), "","SubGeographicalRegion-729")</f>
        <v/>
      </c>
    </row>
    <row r="731" spans="1:1" x14ac:dyDescent="0.2">
      <c r="A731" t="str">
        <f>IF(ISBLANK(B731), "","SubGeographicalRegion-730")</f>
        <v/>
      </c>
    </row>
    <row r="732" spans="1:1" x14ac:dyDescent="0.2">
      <c r="A732" t="str">
        <f>IF(ISBLANK(B732), "","SubGeographicalRegion-731")</f>
        <v/>
      </c>
    </row>
    <row r="733" spans="1:1" x14ac:dyDescent="0.2">
      <c r="A733" t="str">
        <f>IF(ISBLANK(B733), "","SubGeographicalRegion-732")</f>
        <v/>
      </c>
    </row>
    <row r="734" spans="1:1" x14ac:dyDescent="0.2">
      <c r="A734" t="str">
        <f>IF(ISBLANK(B734), "","SubGeographicalRegion-733")</f>
        <v/>
      </c>
    </row>
    <row r="735" spans="1:1" x14ac:dyDescent="0.2">
      <c r="A735" t="str">
        <f>IF(ISBLANK(B735), "","SubGeographicalRegion-734")</f>
        <v/>
      </c>
    </row>
    <row r="736" spans="1:1" x14ac:dyDescent="0.2">
      <c r="A736" t="str">
        <f>IF(ISBLANK(B736), "","SubGeographicalRegion-735")</f>
        <v/>
      </c>
    </row>
    <row r="737" spans="1:1" x14ac:dyDescent="0.2">
      <c r="A737" t="str">
        <f>IF(ISBLANK(B737), "","SubGeographicalRegion-736")</f>
        <v/>
      </c>
    </row>
    <row r="738" spans="1:1" x14ac:dyDescent="0.2">
      <c r="A738" t="str">
        <f>IF(ISBLANK(B738), "","SubGeographicalRegion-737")</f>
        <v/>
      </c>
    </row>
    <row r="739" spans="1:1" x14ac:dyDescent="0.2">
      <c r="A739" t="str">
        <f>IF(ISBLANK(B739), "","SubGeographicalRegion-738")</f>
        <v/>
      </c>
    </row>
    <row r="740" spans="1:1" x14ac:dyDescent="0.2">
      <c r="A740" t="str">
        <f>IF(ISBLANK(B740), "","SubGeographicalRegion-739")</f>
        <v/>
      </c>
    </row>
    <row r="741" spans="1:1" x14ac:dyDescent="0.2">
      <c r="A741" t="str">
        <f>IF(ISBLANK(B741), "","SubGeographicalRegion-740")</f>
        <v/>
      </c>
    </row>
    <row r="742" spans="1:1" x14ac:dyDescent="0.2">
      <c r="A742" t="str">
        <f>IF(ISBLANK(B742), "","SubGeographicalRegion-741")</f>
        <v/>
      </c>
    </row>
    <row r="743" spans="1:1" x14ac:dyDescent="0.2">
      <c r="A743" t="str">
        <f>IF(ISBLANK(B743), "","SubGeographicalRegion-742")</f>
        <v/>
      </c>
    </row>
    <row r="744" spans="1:1" x14ac:dyDescent="0.2">
      <c r="A744" t="str">
        <f>IF(ISBLANK(B744), "","SubGeographicalRegion-743")</f>
        <v/>
      </c>
    </row>
    <row r="745" spans="1:1" x14ac:dyDescent="0.2">
      <c r="A745" t="str">
        <f>IF(ISBLANK(B745), "","SubGeographicalRegion-744")</f>
        <v/>
      </c>
    </row>
    <row r="746" spans="1:1" x14ac:dyDescent="0.2">
      <c r="A746" t="str">
        <f>IF(ISBLANK(B746), "","SubGeographicalRegion-745")</f>
        <v/>
      </c>
    </row>
    <row r="747" spans="1:1" x14ac:dyDescent="0.2">
      <c r="A747" t="str">
        <f>IF(ISBLANK(B747), "","SubGeographicalRegion-746")</f>
        <v/>
      </c>
    </row>
    <row r="748" spans="1:1" x14ac:dyDescent="0.2">
      <c r="A748" t="str">
        <f>IF(ISBLANK(B748), "","SubGeographicalRegion-747")</f>
        <v/>
      </c>
    </row>
    <row r="749" spans="1:1" x14ac:dyDescent="0.2">
      <c r="A749" t="str">
        <f>IF(ISBLANK(B749), "","SubGeographicalRegion-748")</f>
        <v/>
      </c>
    </row>
    <row r="750" spans="1:1" x14ac:dyDescent="0.2">
      <c r="A750" t="str">
        <f>IF(ISBLANK(B750), "","SubGeographicalRegion-749")</f>
        <v/>
      </c>
    </row>
    <row r="751" spans="1:1" x14ac:dyDescent="0.2">
      <c r="A751" t="str">
        <f>IF(ISBLANK(B751), "","SubGeographicalRegion-750")</f>
        <v/>
      </c>
    </row>
    <row r="752" spans="1:1" x14ac:dyDescent="0.2">
      <c r="A752" t="str">
        <f>IF(ISBLANK(B752), "","SubGeographicalRegion-751")</f>
        <v/>
      </c>
    </row>
    <row r="753" spans="1:1" x14ac:dyDescent="0.2">
      <c r="A753" t="str">
        <f>IF(ISBLANK(B753), "","SubGeographicalRegion-752")</f>
        <v/>
      </c>
    </row>
    <row r="754" spans="1:1" x14ac:dyDescent="0.2">
      <c r="A754" t="str">
        <f>IF(ISBLANK(B754), "","SubGeographicalRegion-753")</f>
        <v/>
      </c>
    </row>
    <row r="755" spans="1:1" x14ac:dyDescent="0.2">
      <c r="A755" t="str">
        <f>IF(ISBLANK(B755), "","SubGeographicalRegion-754")</f>
        <v/>
      </c>
    </row>
    <row r="756" spans="1:1" x14ac:dyDescent="0.2">
      <c r="A756" t="str">
        <f>IF(ISBLANK(B756), "","SubGeographicalRegion-755")</f>
        <v/>
      </c>
    </row>
    <row r="757" spans="1:1" x14ac:dyDescent="0.2">
      <c r="A757" t="str">
        <f>IF(ISBLANK(B757), "","SubGeographicalRegion-756")</f>
        <v/>
      </c>
    </row>
    <row r="758" spans="1:1" x14ac:dyDescent="0.2">
      <c r="A758" t="str">
        <f>IF(ISBLANK(B758), "","SubGeographicalRegion-757")</f>
        <v/>
      </c>
    </row>
    <row r="759" spans="1:1" x14ac:dyDescent="0.2">
      <c r="A759" t="str">
        <f>IF(ISBLANK(B759), "","SubGeographicalRegion-758")</f>
        <v/>
      </c>
    </row>
    <row r="760" spans="1:1" x14ac:dyDescent="0.2">
      <c r="A760" t="str">
        <f>IF(ISBLANK(B760), "","SubGeographicalRegion-759")</f>
        <v/>
      </c>
    </row>
    <row r="761" spans="1:1" x14ac:dyDescent="0.2">
      <c r="A761" t="str">
        <f>IF(ISBLANK(B761), "","SubGeographicalRegion-760")</f>
        <v/>
      </c>
    </row>
    <row r="762" spans="1:1" x14ac:dyDescent="0.2">
      <c r="A762" t="str">
        <f>IF(ISBLANK(B762), "","SubGeographicalRegion-761")</f>
        <v/>
      </c>
    </row>
    <row r="763" spans="1:1" x14ac:dyDescent="0.2">
      <c r="A763" t="str">
        <f>IF(ISBLANK(B763), "","SubGeographicalRegion-762")</f>
        <v/>
      </c>
    </row>
    <row r="764" spans="1:1" x14ac:dyDescent="0.2">
      <c r="A764" t="str">
        <f>IF(ISBLANK(B764), "","SubGeographicalRegion-763")</f>
        <v/>
      </c>
    </row>
    <row r="765" spans="1:1" x14ac:dyDescent="0.2">
      <c r="A765" t="str">
        <f>IF(ISBLANK(B765), "","SubGeographicalRegion-764")</f>
        <v/>
      </c>
    </row>
    <row r="766" spans="1:1" x14ac:dyDescent="0.2">
      <c r="A766" t="str">
        <f>IF(ISBLANK(B766), "","SubGeographicalRegion-765")</f>
        <v/>
      </c>
    </row>
    <row r="767" spans="1:1" x14ac:dyDescent="0.2">
      <c r="A767" t="str">
        <f>IF(ISBLANK(B767), "","SubGeographicalRegion-766")</f>
        <v/>
      </c>
    </row>
    <row r="768" spans="1:1" x14ac:dyDescent="0.2">
      <c r="A768" t="str">
        <f>IF(ISBLANK(B768), "","SubGeographicalRegion-767")</f>
        <v/>
      </c>
    </row>
    <row r="769" spans="1:1" x14ac:dyDescent="0.2">
      <c r="A769" t="str">
        <f>IF(ISBLANK(B769), "","SubGeographicalRegion-768")</f>
        <v/>
      </c>
    </row>
    <row r="770" spans="1:1" x14ac:dyDescent="0.2">
      <c r="A770" t="str">
        <f>IF(ISBLANK(B770), "","SubGeographicalRegion-769")</f>
        <v/>
      </c>
    </row>
    <row r="771" spans="1:1" x14ac:dyDescent="0.2">
      <c r="A771" t="str">
        <f>IF(ISBLANK(B771), "","SubGeographicalRegion-770")</f>
        <v/>
      </c>
    </row>
    <row r="772" spans="1:1" x14ac:dyDescent="0.2">
      <c r="A772" t="str">
        <f>IF(ISBLANK(B772), "","SubGeographicalRegion-771")</f>
        <v/>
      </c>
    </row>
    <row r="773" spans="1:1" x14ac:dyDescent="0.2">
      <c r="A773" t="str">
        <f>IF(ISBLANK(B773), "","SubGeographicalRegion-772")</f>
        <v/>
      </c>
    </row>
    <row r="774" spans="1:1" x14ac:dyDescent="0.2">
      <c r="A774" t="str">
        <f>IF(ISBLANK(B774), "","SubGeographicalRegion-773")</f>
        <v/>
      </c>
    </row>
    <row r="775" spans="1:1" x14ac:dyDescent="0.2">
      <c r="A775" t="str">
        <f>IF(ISBLANK(B775), "","SubGeographicalRegion-774")</f>
        <v/>
      </c>
    </row>
    <row r="776" spans="1:1" x14ac:dyDescent="0.2">
      <c r="A776" t="str">
        <f>IF(ISBLANK(B776), "","SubGeographicalRegion-775")</f>
        <v/>
      </c>
    </row>
    <row r="777" spans="1:1" x14ac:dyDescent="0.2">
      <c r="A777" t="str">
        <f>IF(ISBLANK(B777), "","SubGeographicalRegion-776")</f>
        <v/>
      </c>
    </row>
    <row r="778" spans="1:1" x14ac:dyDescent="0.2">
      <c r="A778" t="str">
        <f>IF(ISBLANK(B778), "","SubGeographicalRegion-777")</f>
        <v/>
      </c>
    </row>
    <row r="779" spans="1:1" x14ac:dyDescent="0.2">
      <c r="A779" t="str">
        <f>IF(ISBLANK(B779), "","SubGeographicalRegion-778")</f>
        <v/>
      </c>
    </row>
    <row r="780" spans="1:1" x14ac:dyDescent="0.2">
      <c r="A780" t="str">
        <f>IF(ISBLANK(B780), "","SubGeographicalRegion-779")</f>
        <v/>
      </c>
    </row>
    <row r="781" spans="1:1" x14ac:dyDescent="0.2">
      <c r="A781" t="str">
        <f>IF(ISBLANK(B781), "","SubGeographicalRegion-780")</f>
        <v/>
      </c>
    </row>
    <row r="782" spans="1:1" x14ac:dyDescent="0.2">
      <c r="A782" t="str">
        <f>IF(ISBLANK(B782), "","SubGeographicalRegion-781")</f>
        <v/>
      </c>
    </row>
    <row r="783" spans="1:1" x14ac:dyDescent="0.2">
      <c r="A783" t="str">
        <f>IF(ISBLANK(B783), "","SubGeographicalRegion-782")</f>
        <v/>
      </c>
    </row>
    <row r="784" spans="1:1" x14ac:dyDescent="0.2">
      <c r="A784" t="str">
        <f>IF(ISBLANK(B784), "","SubGeographicalRegion-783")</f>
        <v/>
      </c>
    </row>
    <row r="785" spans="1:1" x14ac:dyDescent="0.2">
      <c r="A785" t="str">
        <f>IF(ISBLANK(B785), "","SubGeographicalRegion-784")</f>
        <v/>
      </c>
    </row>
    <row r="786" spans="1:1" x14ac:dyDescent="0.2">
      <c r="A786" t="str">
        <f>IF(ISBLANK(B786), "","SubGeographicalRegion-785")</f>
        <v/>
      </c>
    </row>
    <row r="787" spans="1:1" x14ac:dyDescent="0.2">
      <c r="A787" t="str">
        <f>IF(ISBLANK(B787), "","SubGeographicalRegion-786")</f>
        <v/>
      </c>
    </row>
    <row r="788" spans="1:1" x14ac:dyDescent="0.2">
      <c r="A788" t="str">
        <f>IF(ISBLANK(B788), "","SubGeographicalRegion-787")</f>
        <v/>
      </c>
    </row>
    <row r="789" spans="1:1" x14ac:dyDescent="0.2">
      <c r="A789" t="str">
        <f>IF(ISBLANK(B789), "","SubGeographicalRegion-788")</f>
        <v/>
      </c>
    </row>
    <row r="790" spans="1:1" x14ac:dyDescent="0.2">
      <c r="A790" t="str">
        <f>IF(ISBLANK(B790), "","SubGeographicalRegion-789")</f>
        <v/>
      </c>
    </row>
    <row r="791" spans="1:1" x14ac:dyDescent="0.2">
      <c r="A791" t="str">
        <f>IF(ISBLANK(B791), "","SubGeographicalRegion-790")</f>
        <v/>
      </c>
    </row>
    <row r="792" spans="1:1" x14ac:dyDescent="0.2">
      <c r="A792" t="str">
        <f>IF(ISBLANK(B792), "","SubGeographicalRegion-791")</f>
        <v/>
      </c>
    </row>
    <row r="793" spans="1:1" x14ac:dyDescent="0.2">
      <c r="A793" t="str">
        <f>IF(ISBLANK(B793), "","SubGeographicalRegion-792")</f>
        <v/>
      </c>
    </row>
    <row r="794" spans="1:1" x14ac:dyDescent="0.2">
      <c r="A794" t="str">
        <f>IF(ISBLANK(B794), "","SubGeographicalRegion-793")</f>
        <v/>
      </c>
    </row>
    <row r="795" spans="1:1" x14ac:dyDescent="0.2">
      <c r="A795" t="str">
        <f>IF(ISBLANK(B795), "","SubGeographicalRegion-794")</f>
        <v/>
      </c>
    </row>
    <row r="796" spans="1:1" x14ac:dyDescent="0.2">
      <c r="A796" t="str">
        <f>IF(ISBLANK(B796), "","SubGeographicalRegion-795")</f>
        <v/>
      </c>
    </row>
    <row r="797" spans="1:1" x14ac:dyDescent="0.2">
      <c r="A797" t="str">
        <f>IF(ISBLANK(B797), "","SubGeographicalRegion-796")</f>
        <v/>
      </c>
    </row>
    <row r="798" spans="1:1" x14ac:dyDescent="0.2">
      <c r="A798" t="str">
        <f>IF(ISBLANK(B798), "","SubGeographicalRegion-797")</f>
        <v/>
      </c>
    </row>
    <row r="799" spans="1:1" x14ac:dyDescent="0.2">
      <c r="A799" t="str">
        <f>IF(ISBLANK(B799), "","SubGeographicalRegion-798")</f>
        <v/>
      </c>
    </row>
    <row r="800" spans="1:1" x14ac:dyDescent="0.2">
      <c r="A800" t="str">
        <f>IF(ISBLANK(B800), "","SubGeographicalRegion-799")</f>
        <v/>
      </c>
    </row>
    <row r="801" spans="1:1" x14ac:dyDescent="0.2">
      <c r="A801" t="str">
        <f>IF(ISBLANK(B801), "","SubGeographicalRegion-800")</f>
        <v/>
      </c>
    </row>
    <row r="802" spans="1:1" x14ac:dyDescent="0.2">
      <c r="A802" t="str">
        <f>IF(ISBLANK(B802), "","SubGeographicalRegion-801")</f>
        <v/>
      </c>
    </row>
    <row r="803" spans="1:1" x14ac:dyDescent="0.2">
      <c r="A803" t="str">
        <f>IF(ISBLANK(B803), "","SubGeographicalRegion-802")</f>
        <v/>
      </c>
    </row>
    <row r="804" spans="1:1" x14ac:dyDescent="0.2">
      <c r="A804" t="str">
        <f>IF(ISBLANK(B804), "","SubGeographicalRegion-803")</f>
        <v/>
      </c>
    </row>
    <row r="805" spans="1:1" x14ac:dyDescent="0.2">
      <c r="A805" t="str">
        <f>IF(ISBLANK(B805), "","SubGeographicalRegion-804")</f>
        <v/>
      </c>
    </row>
    <row r="806" spans="1:1" x14ac:dyDescent="0.2">
      <c r="A806" t="str">
        <f>IF(ISBLANK(B806), "","SubGeographicalRegion-805")</f>
        <v/>
      </c>
    </row>
    <row r="807" spans="1:1" x14ac:dyDescent="0.2">
      <c r="A807" t="str">
        <f>IF(ISBLANK(B807), "","SubGeographicalRegion-806")</f>
        <v/>
      </c>
    </row>
    <row r="808" spans="1:1" x14ac:dyDescent="0.2">
      <c r="A808" t="str">
        <f>IF(ISBLANK(B808), "","SubGeographicalRegion-807")</f>
        <v/>
      </c>
    </row>
    <row r="809" spans="1:1" x14ac:dyDescent="0.2">
      <c r="A809" t="str">
        <f>IF(ISBLANK(B809), "","SubGeographicalRegion-808")</f>
        <v/>
      </c>
    </row>
    <row r="810" spans="1:1" x14ac:dyDescent="0.2">
      <c r="A810" t="str">
        <f>IF(ISBLANK(B810), "","SubGeographicalRegion-809")</f>
        <v/>
      </c>
    </row>
    <row r="811" spans="1:1" x14ac:dyDescent="0.2">
      <c r="A811" t="str">
        <f>IF(ISBLANK(B811), "","SubGeographicalRegion-810")</f>
        <v/>
      </c>
    </row>
    <row r="812" spans="1:1" x14ac:dyDescent="0.2">
      <c r="A812" t="str">
        <f>IF(ISBLANK(B812), "","SubGeographicalRegion-811")</f>
        <v/>
      </c>
    </row>
    <row r="813" spans="1:1" x14ac:dyDescent="0.2">
      <c r="A813" t="str">
        <f>IF(ISBLANK(B813), "","SubGeographicalRegion-812")</f>
        <v/>
      </c>
    </row>
    <row r="814" spans="1:1" x14ac:dyDescent="0.2">
      <c r="A814" t="str">
        <f>IF(ISBLANK(B814), "","SubGeographicalRegion-813")</f>
        <v/>
      </c>
    </row>
    <row r="815" spans="1:1" x14ac:dyDescent="0.2">
      <c r="A815" t="str">
        <f>IF(ISBLANK(B815), "","SubGeographicalRegion-814")</f>
        <v/>
      </c>
    </row>
    <row r="816" spans="1:1" x14ac:dyDescent="0.2">
      <c r="A816" t="str">
        <f>IF(ISBLANK(B816), "","SubGeographicalRegion-815")</f>
        <v/>
      </c>
    </row>
    <row r="817" spans="1:1" x14ac:dyDescent="0.2">
      <c r="A817" t="str">
        <f>IF(ISBLANK(B817), "","SubGeographicalRegion-816")</f>
        <v/>
      </c>
    </row>
    <row r="818" spans="1:1" x14ac:dyDescent="0.2">
      <c r="A818" t="str">
        <f>IF(ISBLANK(B818), "","SubGeographicalRegion-817")</f>
        <v/>
      </c>
    </row>
    <row r="819" spans="1:1" x14ac:dyDescent="0.2">
      <c r="A819" t="str">
        <f>IF(ISBLANK(B819), "","SubGeographicalRegion-818")</f>
        <v/>
      </c>
    </row>
    <row r="820" spans="1:1" x14ac:dyDescent="0.2">
      <c r="A820" t="str">
        <f>IF(ISBLANK(B820), "","SubGeographicalRegion-819")</f>
        <v/>
      </c>
    </row>
    <row r="821" spans="1:1" x14ac:dyDescent="0.2">
      <c r="A821" t="str">
        <f>IF(ISBLANK(B821), "","SubGeographicalRegion-820")</f>
        <v/>
      </c>
    </row>
    <row r="822" spans="1:1" x14ac:dyDescent="0.2">
      <c r="A822" t="str">
        <f>IF(ISBLANK(B822), "","SubGeographicalRegion-821")</f>
        <v/>
      </c>
    </row>
    <row r="823" spans="1:1" x14ac:dyDescent="0.2">
      <c r="A823" t="str">
        <f>IF(ISBLANK(B823), "","SubGeographicalRegion-822")</f>
        <v/>
      </c>
    </row>
    <row r="824" spans="1:1" x14ac:dyDescent="0.2">
      <c r="A824" t="str">
        <f>IF(ISBLANK(B824), "","SubGeographicalRegion-823")</f>
        <v/>
      </c>
    </row>
    <row r="825" spans="1:1" x14ac:dyDescent="0.2">
      <c r="A825" t="str">
        <f>IF(ISBLANK(B825), "","SubGeographicalRegion-824")</f>
        <v/>
      </c>
    </row>
    <row r="826" spans="1:1" x14ac:dyDescent="0.2">
      <c r="A826" t="str">
        <f>IF(ISBLANK(B826), "","SubGeographicalRegion-825")</f>
        <v/>
      </c>
    </row>
    <row r="827" spans="1:1" x14ac:dyDescent="0.2">
      <c r="A827" t="str">
        <f>IF(ISBLANK(B827), "","SubGeographicalRegion-826")</f>
        <v/>
      </c>
    </row>
    <row r="828" spans="1:1" x14ac:dyDescent="0.2">
      <c r="A828" t="str">
        <f>IF(ISBLANK(B828), "","SubGeographicalRegion-827")</f>
        <v/>
      </c>
    </row>
    <row r="829" spans="1:1" x14ac:dyDescent="0.2">
      <c r="A829" t="str">
        <f>IF(ISBLANK(B829), "","SubGeographicalRegion-828")</f>
        <v/>
      </c>
    </row>
    <row r="830" spans="1:1" x14ac:dyDescent="0.2">
      <c r="A830" t="str">
        <f>IF(ISBLANK(B830), "","SubGeographicalRegion-829")</f>
        <v/>
      </c>
    </row>
    <row r="831" spans="1:1" x14ac:dyDescent="0.2">
      <c r="A831" t="str">
        <f>IF(ISBLANK(B831), "","SubGeographicalRegion-830")</f>
        <v/>
      </c>
    </row>
    <row r="832" spans="1:1" x14ac:dyDescent="0.2">
      <c r="A832" t="str">
        <f>IF(ISBLANK(B832), "","SubGeographicalRegion-831")</f>
        <v/>
      </c>
    </row>
    <row r="833" spans="1:1" x14ac:dyDescent="0.2">
      <c r="A833" t="str">
        <f>IF(ISBLANK(B833), "","SubGeographicalRegion-832")</f>
        <v/>
      </c>
    </row>
    <row r="834" spans="1:1" x14ac:dyDescent="0.2">
      <c r="A834" t="str">
        <f>IF(ISBLANK(B834), "","SubGeographicalRegion-833")</f>
        <v/>
      </c>
    </row>
    <row r="835" spans="1:1" x14ac:dyDescent="0.2">
      <c r="A835" t="str">
        <f>IF(ISBLANK(B835), "","SubGeographicalRegion-834")</f>
        <v/>
      </c>
    </row>
    <row r="836" spans="1:1" x14ac:dyDescent="0.2">
      <c r="A836" t="str">
        <f>IF(ISBLANK(B836), "","SubGeographicalRegion-835")</f>
        <v/>
      </c>
    </row>
    <row r="837" spans="1:1" x14ac:dyDescent="0.2">
      <c r="A837" t="str">
        <f>IF(ISBLANK(B837), "","SubGeographicalRegion-836")</f>
        <v/>
      </c>
    </row>
    <row r="838" spans="1:1" x14ac:dyDescent="0.2">
      <c r="A838" t="str">
        <f>IF(ISBLANK(B838), "","SubGeographicalRegion-837")</f>
        <v/>
      </c>
    </row>
    <row r="839" spans="1:1" x14ac:dyDescent="0.2">
      <c r="A839" t="str">
        <f>IF(ISBLANK(B839), "","SubGeographicalRegion-838")</f>
        <v/>
      </c>
    </row>
    <row r="840" spans="1:1" x14ac:dyDescent="0.2">
      <c r="A840" t="str">
        <f>IF(ISBLANK(B840), "","SubGeographicalRegion-839")</f>
        <v/>
      </c>
    </row>
    <row r="841" spans="1:1" x14ac:dyDescent="0.2">
      <c r="A841" t="str">
        <f>IF(ISBLANK(B841), "","SubGeographicalRegion-840")</f>
        <v/>
      </c>
    </row>
    <row r="842" spans="1:1" x14ac:dyDescent="0.2">
      <c r="A842" t="str">
        <f>IF(ISBLANK(B842), "","SubGeographicalRegion-841")</f>
        <v/>
      </c>
    </row>
    <row r="843" spans="1:1" x14ac:dyDescent="0.2">
      <c r="A843" t="str">
        <f>IF(ISBLANK(B843), "","SubGeographicalRegion-842")</f>
        <v/>
      </c>
    </row>
    <row r="844" spans="1:1" x14ac:dyDescent="0.2">
      <c r="A844" t="str">
        <f>IF(ISBLANK(B844), "","SubGeographicalRegion-843")</f>
        <v/>
      </c>
    </row>
    <row r="845" spans="1:1" x14ac:dyDescent="0.2">
      <c r="A845" t="str">
        <f>IF(ISBLANK(B845), "","SubGeographicalRegion-844")</f>
        <v/>
      </c>
    </row>
    <row r="846" spans="1:1" x14ac:dyDescent="0.2">
      <c r="A846" t="str">
        <f>IF(ISBLANK(B846), "","SubGeographicalRegion-845")</f>
        <v/>
      </c>
    </row>
    <row r="847" spans="1:1" x14ac:dyDescent="0.2">
      <c r="A847" t="str">
        <f>IF(ISBLANK(B847), "","SubGeographicalRegion-846")</f>
        <v/>
      </c>
    </row>
    <row r="848" spans="1:1" x14ac:dyDescent="0.2">
      <c r="A848" t="str">
        <f>IF(ISBLANK(B848), "","SubGeographicalRegion-847")</f>
        <v/>
      </c>
    </row>
    <row r="849" spans="1:1" x14ac:dyDescent="0.2">
      <c r="A849" t="str">
        <f>IF(ISBLANK(B849), "","SubGeographicalRegion-848")</f>
        <v/>
      </c>
    </row>
    <row r="850" spans="1:1" x14ac:dyDescent="0.2">
      <c r="A850" t="str">
        <f>IF(ISBLANK(B850), "","SubGeographicalRegion-849")</f>
        <v/>
      </c>
    </row>
    <row r="851" spans="1:1" x14ac:dyDescent="0.2">
      <c r="A851" t="str">
        <f>IF(ISBLANK(B851), "","SubGeographicalRegion-850")</f>
        <v/>
      </c>
    </row>
    <row r="852" spans="1:1" x14ac:dyDescent="0.2">
      <c r="A852" t="str">
        <f>IF(ISBLANK(B852), "","SubGeographicalRegion-851")</f>
        <v/>
      </c>
    </row>
    <row r="853" spans="1:1" x14ac:dyDescent="0.2">
      <c r="A853" t="str">
        <f>IF(ISBLANK(B853), "","SubGeographicalRegion-852")</f>
        <v/>
      </c>
    </row>
    <row r="854" spans="1:1" x14ac:dyDescent="0.2">
      <c r="A854" t="str">
        <f>IF(ISBLANK(B854), "","SubGeographicalRegion-853")</f>
        <v/>
      </c>
    </row>
    <row r="855" spans="1:1" x14ac:dyDescent="0.2">
      <c r="A855" t="str">
        <f>IF(ISBLANK(B855), "","SubGeographicalRegion-854")</f>
        <v/>
      </c>
    </row>
    <row r="856" spans="1:1" x14ac:dyDescent="0.2">
      <c r="A856" t="str">
        <f>IF(ISBLANK(B856), "","SubGeographicalRegion-855")</f>
        <v/>
      </c>
    </row>
    <row r="857" spans="1:1" x14ac:dyDescent="0.2">
      <c r="A857" t="str">
        <f>IF(ISBLANK(B857), "","SubGeographicalRegion-856")</f>
        <v/>
      </c>
    </row>
    <row r="858" spans="1:1" x14ac:dyDescent="0.2">
      <c r="A858" t="str">
        <f>IF(ISBLANK(B858), "","SubGeographicalRegion-857")</f>
        <v/>
      </c>
    </row>
    <row r="859" spans="1:1" x14ac:dyDescent="0.2">
      <c r="A859" t="str">
        <f>IF(ISBLANK(B859), "","SubGeographicalRegion-858")</f>
        <v/>
      </c>
    </row>
    <row r="860" spans="1:1" x14ac:dyDescent="0.2">
      <c r="A860" t="str">
        <f>IF(ISBLANK(B860), "","SubGeographicalRegion-859")</f>
        <v/>
      </c>
    </row>
    <row r="861" spans="1:1" x14ac:dyDescent="0.2">
      <c r="A861" t="str">
        <f>IF(ISBLANK(B861), "","SubGeographicalRegion-860")</f>
        <v/>
      </c>
    </row>
    <row r="862" spans="1:1" x14ac:dyDescent="0.2">
      <c r="A862" t="str">
        <f>IF(ISBLANK(B862), "","SubGeographicalRegion-861")</f>
        <v/>
      </c>
    </row>
    <row r="863" spans="1:1" x14ac:dyDescent="0.2">
      <c r="A863" t="str">
        <f>IF(ISBLANK(B863), "","SubGeographicalRegion-862")</f>
        <v/>
      </c>
    </row>
    <row r="864" spans="1:1" x14ac:dyDescent="0.2">
      <c r="A864" t="str">
        <f>IF(ISBLANK(B864), "","SubGeographicalRegion-863")</f>
        <v/>
      </c>
    </row>
    <row r="865" spans="1:1" x14ac:dyDescent="0.2">
      <c r="A865" t="str">
        <f>IF(ISBLANK(B865), "","SubGeographicalRegion-864")</f>
        <v/>
      </c>
    </row>
    <row r="866" spans="1:1" x14ac:dyDescent="0.2">
      <c r="A866" t="str">
        <f>IF(ISBLANK(B866), "","SubGeographicalRegion-865")</f>
        <v/>
      </c>
    </row>
    <row r="867" spans="1:1" x14ac:dyDescent="0.2">
      <c r="A867" t="str">
        <f>IF(ISBLANK(B867), "","SubGeographicalRegion-866")</f>
        <v/>
      </c>
    </row>
    <row r="868" spans="1:1" x14ac:dyDescent="0.2">
      <c r="A868" t="str">
        <f>IF(ISBLANK(B868), "","SubGeographicalRegion-867")</f>
        <v/>
      </c>
    </row>
    <row r="869" spans="1:1" x14ac:dyDescent="0.2">
      <c r="A869" t="str">
        <f>IF(ISBLANK(B869), "","SubGeographicalRegion-868")</f>
        <v/>
      </c>
    </row>
    <row r="870" spans="1:1" x14ac:dyDescent="0.2">
      <c r="A870" t="str">
        <f>IF(ISBLANK(B870), "","SubGeographicalRegion-869")</f>
        <v/>
      </c>
    </row>
    <row r="871" spans="1:1" x14ac:dyDescent="0.2">
      <c r="A871" t="str">
        <f>IF(ISBLANK(B871), "","SubGeographicalRegion-870")</f>
        <v/>
      </c>
    </row>
    <row r="872" spans="1:1" x14ac:dyDescent="0.2">
      <c r="A872" t="str">
        <f>IF(ISBLANK(B872), "","SubGeographicalRegion-871")</f>
        <v/>
      </c>
    </row>
    <row r="873" spans="1:1" x14ac:dyDescent="0.2">
      <c r="A873" t="str">
        <f>IF(ISBLANK(B873), "","SubGeographicalRegion-872")</f>
        <v/>
      </c>
    </row>
    <row r="874" spans="1:1" x14ac:dyDescent="0.2">
      <c r="A874" t="str">
        <f>IF(ISBLANK(B874), "","SubGeographicalRegion-873")</f>
        <v/>
      </c>
    </row>
    <row r="875" spans="1:1" x14ac:dyDescent="0.2">
      <c r="A875" t="str">
        <f>IF(ISBLANK(B875), "","SubGeographicalRegion-874")</f>
        <v/>
      </c>
    </row>
    <row r="876" spans="1:1" x14ac:dyDescent="0.2">
      <c r="A876" t="str">
        <f>IF(ISBLANK(B876), "","SubGeographicalRegion-875")</f>
        <v/>
      </c>
    </row>
    <row r="877" spans="1:1" x14ac:dyDescent="0.2">
      <c r="A877" t="str">
        <f>IF(ISBLANK(B877), "","SubGeographicalRegion-876")</f>
        <v/>
      </c>
    </row>
    <row r="878" spans="1:1" x14ac:dyDescent="0.2">
      <c r="A878" t="str">
        <f>IF(ISBLANK(B878), "","SubGeographicalRegion-877")</f>
        <v/>
      </c>
    </row>
    <row r="879" spans="1:1" x14ac:dyDescent="0.2">
      <c r="A879" t="str">
        <f>IF(ISBLANK(B879), "","SubGeographicalRegion-878")</f>
        <v/>
      </c>
    </row>
    <row r="880" spans="1:1" x14ac:dyDescent="0.2">
      <c r="A880" t="str">
        <f>IF(ISBLANK(B880), "","SubGeographicalRegion-879")</f>
        <v/>
      </c>
    </row>
    <row r="881" spans="1:1" x14ac:dyDescent="0.2">
      <c r="A881" t="str">
        <f>IF(ISBLANK(B881), "","SubGeographicalRegion-880")</f>
        <v/>
      </c>
    </row>
    <row r="882" spans="1:1" x14ac:dyDescent="0.2">
      <c r="A882" t="str">
        <f>IF(ISBLANK(B882), "","SubGeographicalRegion-881")</f>
        <v/>
      </c>
    </row>
    <row r="883" spans="1:1" x14ac:dyDescent="0.2">
      <c r="A883" t="str">
        <f>IF(ISBLANK(B883), "","SubGeographicalRegion-882")</f>
        <v/>
      </c>
    </row>
    <row r="884" spans="1:1" x14ac:dyDescent="0.2">
      <c r="A884" t="str">
        <f>IF(ISBLANK(B884), "","SubGeographicalRegion-883")</f>
        <v/>
      </c>
    </row>
    <row r="885" spans="1:1" x14ac:dyDescent="0.2">
      <c r="A885" t="str">
        <f>IF(ISBLANK(B885), "","SubGeographicalRegion-884")</f>
        <v/>
      </c>
    </row>
    <row r="886" spans="1:1" x14ac:dyDescent="0.2">
      <c r="A886" t="str">
        <f>IF(ISBLANK(B886), "","SubGeographicalRegion-885")</f>
        <v/>
      </c>
    </row>
    <row r="887" spans="1:1" x14ac:dyDescent="0.2">
      <c r="A887" t="str">
        <f>IF(ISBLANK(B887), "","SubGeographicalRegion-886")</f>
        <v/>
      </c>
    </row>
    <row r="888" spans="1:1" x14ac:dyDescent="0.2">
      <c r="A888" t="str">
        <f>IF(ISBLANK(B888), "","SubGeographicalRegion-887")</f>
        <v/>
      </c>
    </row>
    <row r="889" spans="1:1" x14ac:dyDescent="0.2">
      <c r="A889" t="str">
        <f>IF(ISBLANK(B889), "","SubGeographicalRegion-888")</f>
        <v/>
      </c>
    </row>
    <row r="890" spans="1:1" x14ac:dyDescent="0.2">
      <c r="A890" t="str">
        <f>IF(ISBLANK(B890), "","SubGeographicalRegion-889")</f>
        <v/>
      </c>
    </row>
    <row r="891" spans="1:1" x14ac:dyDescent="0.2">
      <c r="A891" t="str">
        <f>IF(ISBLANK(B891), "","SubGeographicalRegion-890")</f>
        <v/>
      </c>
    </row>
    <row r="892" spans="1:1" x14ac:dyDescent="0.2">
      <c r="A892" t="str">
        <f>IF(ISBLANK(B892), "","SubGeographicalRegion-891")</f>
        <v/>
      </c>
    </row>
    <row r="893" spans="1:1" x14ac:dyDescent="0.2">
      <c r="A893" t="str">
        <f>IF(ISBLANK(B893), "","SubGeographicalRegion-892")</f>
        <v/>
      </c>
    </row>
    <row r="894" spans="1:1" x14ac:dyDescent="0.2">
      <c r="A894" t="str">
        <f>IF(ISBLANK(B894), "","SubGeographicalRegion-893")</f>
        <v/>
      </c>
    </row>
    <row r="895" spans="1:1" x14ac:dyDescent="0.2">
      <c r="A895" t="str">
        <f>IF(ISBLANK(B895), "","SubGeographicalRegion-894")</f>
        <v/>
      </c>
    </row>
    <row r="896" spans="1:1" x14ac:dyDescent="0.2">
      <c r="A896" t="str">
        <f>IF(ISBLANK(B896), "","SubGeographicalRegion-895")</f>
        <v/>
      </c>
    </row>
    <row r="897" spans="1:1" x14ac:dyDescent="0.2">
      <c r="A897" t="str">
        <f>IF(ISBLANK(B897), "","SubGeographicalRegion-896")</f>
        <v/>
      </c>
    </row>
    <row r="898" spans="1:1" x14ac:dyDescent="0.2">
      <c r="A898" t="str">
        <f>IF(ISBLANK(B898), "","SubGeographicalRegion-897")</f>
        <v/>
      </c>
    </row>
    <row r="899" spans="1:1" x14ac:dyDescent="0.2">
      <c r="A899" t="str">
        <f>IF(ISBLANK(B899), "","SubGeographicalRegion-898")</f>
        <v/>
      </c>
    </row>
    <row r="900" spans="1:1" x14ac:dyDescent="0.2">
      <c r="A900" t="str">
        <f>IF(ISBLANK(B900), "","SubGeographicalRegion-899")</f>
        <v/>
      </c>
    </row>
    <row r="901" spans="1:1" x14ac:dyDescent="0.2">
      <c r="A901" t="str">
        <f>IF(ISBLANK(B901), "","SubGeographicalRegion-900")</f>
        <v/>
      </c>
    </row>
    <row r="902" spans="1:1" x14ac:dyDescent="0.2">
      <c r="A902" t="str">
        <f>IF(ISBLANK(B902), "","SubGeographicalRegion-901")</f>
        <v/>
      </c>
    </row>
    <row r="903" spans="1:1" x14ac:dyDescent="0.2">
      <c r="A903" t="str">
        <f>IF(ISBLANK(B903), "","SubGeographicalRegion-902")</f>
        <v/>
      </c>
    </row>
    <row r="904" spans="1:1" x14ac:dyDescent="0.2">
      <c r="A904" t="str">
        <f>IF(ISBLANK(B904), "","SubGeographicalRegion-903")</f>
        <v/>
      </c>
    </row>
    <row r="905" spans="1:1" x14ac:dyDescent="0.2">
      <c r="A905" t="str">
        <f>IF(ISBLANK(B905), "","SubGeographicalRegion-904")</f>
        <v/>
      </c>
    </row>
    <row r="906" spans="1:1" x14ac:dyDescent="0.2">
      <c r="A906" t="str">
        <f>IF(ISBLANK(B906), "","SubGeographicalRegion-905")</f>
        <v/>
      </c>
    </row>
    <row r="907" spans="1:1" x14ac:dyDescent="0.2">
      <c r="A907" t="str">
        <f>IF(ISBLANK(B907), "","SubGeographicalRegion-906")</f>
        <v/>
      </c>
    </row>
    <row r="908" spans="1:1" x14ac:dyDescent="0.2">
      <c r="A908" t="str">
        <f>IF(ISBLANK(B908), "","SubGeographicalRegion-907")</f>
        <v/>
      </c>
    </row>
    <row r="909" spans="1:1" x14ac:dyDescent="0.2">
      <c r="A909" t="str">
        <f>IF(ISBLANK(B909), "","SubGeographicalRegion-908")</f>
        <v/>
      </c>
    </row>
    <row r="910" spans="1:1" x14ac:dyDescent="0.2">
      <c r="A910" t="str">
        <f>IF(ISBLANK(B910), "","SubGeographicalRegion-909")</f>
        <v/>
      </c>
    </row>
    <row r="911" spans="1:1" x14ac:dyDescent="0.2">
      <c r="A911" t="str">
        <f>IF(ISBLANK(B911), "","SubGeographicalRegion-910")</f>
        <v/>
      </c>
    </row>
    <row r="912" spans="1:1" x14ac:dyDescent="0.2">
      <c r="A912" t="str">
        <f>IF(ISBLANK(B912), "","SubGeographicalRegion-911")</f>
        <v/>
      </c>
    </row>
    <row r="913" spans="1:1" x14ac:dyDescent="0.2">
      <c r="A913" t="str">
        <f>IF(ISBLANK(B913), "","SubGeographicalRegion-912")</f>
        <v/>
      </c>
    </row>
    <row r="914" spans="1:1" x14ac:dyDescent="0.2">
      <c r="A914" t="str">
        <f>IF(ISBLANK(B914), "","SubGeographicalRegion-913")</f>
        <v/>
      </c>
    </row>
    <row r="915" spans="1:1" x14ac:dyDescent="0.2">
      <c r="A915" t="str">
        <f>IF(ISBLANK(B915), "","SubGeographicalRegion-914")</f>
        <v/>
      </c>
    </row>
    <row r="916" spans="1:1" x14ac:dyDescent="0.2">
      <c r="A916" t="str">
        <f>IF(ISBLANK(B916), "","SubGeographicalRegion-915")</f>
        <v/>
      </c>
    </row>
    <row r="917" spans="1:1" x14ac:dyDescent="0.2">
      <c r="A917" t="str">
        <f>IF(ISBLANK(B917), "","SubGeographicalRegion-916")</f>
        <v/>
      </c>
    </row>
    <row r="918" spans="1:1" x14ac:dyDescent="0.2">
      <c r="A918" t="str">
        <f>IF(ISBLANK(B918), "","SubGeographicalRegion-917")</f>
        <v/>
      </c>
    </row>
    <row r="919" spans="1:1" x14ac:dyDescent="0.2">
      <c r="A919" t="str">
        <f>IF(ISBLANK(B919), "","SubGeographicalRegion-918")</f>
        <v/>
      </c>
    </row>
    <row r="920" spans="1:1" x14ac:dyDescent="0.2">
      <c r="A920" t="str">
        <f>IF(ISBLANK(B920), "","SubGeographicalRegion-919")</f>
        <v/>
      </c>
    </row>
    <row r="921" spans="1:1" x14ac:dyDescent="0.2">
      <c r="A921" t="str">
        <f>IF(ISBLANK(B921), "","SubGeographicalRegion-920")</f>
        <v/>
      </c>
    </row>
    <row r="922" spans="1:1" x14ac:dyDescent="0.2">
      <c r="A922" t="str">
        <f>IF(ISBLANK(B922), "","SubGeographicalRegion-921")</f>
        <v/>
      </c>
    </row>
    <row r="923" spans="1:1" x14ac:dyDescent="0.2">
      <c r="A923" t="str">
        <f>IF(ISBLANK(B923), "","SubGeographicalRegion-922")</f>
        <v/>
      </c>
    </row>
    <row r="924" spans="1:1" x14ac:dyDescent="0.2">
      <c r="A924" t="str">
        <f>IF(ISBLANK(B924), "","SubGeographicalRegion-923")</f>
        <v/>
      </c>
    </row>
    <row r="925" spans="1:1" x14ac:dyDescent="0.2">
      <c r="A925" t="str">
        <f>IF(ISBLANK(B925), "","SubGeographicalRegion-924")</f>
        <v/>
      </c>
    </row>
    <row r="926" spans="1:1" x14ac:dyDescent="0.2">
      <c r="A926" t="str">
        <f>IF(ISBLANK(B926), "","SubGeographicalRegion-925")</f>
        <v/>
      </c>
    </row>
    <row r="927" spans="1:1" x14ac:dyDescent="0.2">
      <c r="A927" t="str">
        <f>IF(ISBLANK(B927), "","SubGeographicalRegion-926")</f>
        <v/>
      </c>
    </row>
    <row r="928" spans="1:1" x14ac:dyDescent="0.2">
      <c r="A928" t="str">
        <f>IF(ISBLANK(B928), "","SubGeographicalRegion-927")</f>
        <v/>
      </c>
    </row>
    <row r="929" spans="1:1" x14ac:dyDescent="0.2">
      <c r="A929" t="str">
        <f>IF(ISBLANK(B929), "","SubGeographicalRegion-928")</f>
        <v/>
      </c>
    </row>
    <row r="930" spans="1:1" x14ac:dyDescent="0.2">
      <c r="A930" t="str">
        <f>IF(ISBLANK(B930), "","SubGeographicalRegion-929")</f>
        <v/>
      </c>
    </row>
    <row r="931" spans="1:1" x14ac:dyDescent="0.2">
      <c r="A931" t="str">
        <f>IF(ISBLANK(B931), "","SubGeographicalRegion-930")</f>
        <v/>
      </c>
    </row>
    <row r="932" spans="1:1" x14ac:dyDescent="0.2">
      <c r="A932" t="str">
        <f>IF(ISBLANK(B932), "","SubGeographicalRegion-931")</f>
        <v/>
      </c>
    </row>
    <row r="933" spans="1:1" x14ac:dyDescent="0.2">
      <c r="A933" t="str">
        <f>IF(ISBLANK(B933), "","SubGeographicalRegion-932")</f>
        <v/>
      </c>
    </row>
    <row r="934" spans="1:1" x14ac:dyDescent="0.2">
      <c r="A934" t="str">
        <f>IF(ISBLANK(B934), "","SubGeographicalRegion-933")</f>
        <v/>
      </c>
    </row>
    <row r="935" spans="1:1" x14ac:dyDescent="0.2">
      <c r="A935" t="str">
        <f>IF(ISBLANK(B935), "","SubGeographicalRegion-934")</f>
        <v/>
      </c>
    </row>
    <row r="936" spans="1:1" x14ac:dyDescent="0.2">
      <c r="A936" t="str">
        <f>IF(ISBLANK(B936), "","SubGeographicalRegion-935")</f>
        <v/>
      </c>
    </row>
    <row r="937" spans="1:1" x14ac:dyDescent="0.2">
      <c r="A937" t="str">
        <f>IF(ISBLANK(B937), "","SubGeographicalRegion-936")</f>
        <v/>
      </c>
    </row>
    <row r="938" spans="1:1" x14ac:dyDescent="0.2">
      <c r="A938" t="str">
        <f>IF(ISBLANK(B938), "","SubGeographicalRegion-937")</f>
        <v/>
      </c>
    </row>
    <row r="939" spans="1:1" x14ac:dyDescent="0.2">
      <c r="A939" t="str">
        <f>IF(ISBLANK(B939), "","SubGeographicalRegion-938")</f>
        <v/>
      </c>
    </row>
    <row r="940" spans="1:1" x14ac:dyDescent="0.2">
      <c r="A940" t="str">
        <f>IF(ISBLANK(B940), "","SubGeographicalRegion-939")</f>
        <v/>
      </c>
    </row>
    <row r="941" spans="1:1" x14ac:dyDescent="0.2">
      <c r="A941" t="str">
        <f>IF(ISBLANK(B941), "","SubGeographicalRegion-940")</f>
        <v/>
      </c>
    </row>
    <row r="942" spans="1:1" x14ac:dyDescent="0.2">
      <c r="A942" t="str">
        <f>IF(ISBLANK(B942), "","SubGeographicalRegion-941")</f>
        <v/>
      </c>
    </row>
    <row r="943" spans="1:1" x14ac:dyDescent="0.2">
      <c r="A943" t="str">
        <f>IF(ISBLANK(B943), "","SubGeographicalRegion-942")</f>
        <v/>
      </c>
    </row>
    <row r="944" spans="1:1" x14ac:dyDescent="0.2">
      <c r="A944" t="str">
        <f>IF(ISBLANK(B944), "","SubGeographicalRegion-943")</f>
        <v/>
      </c>
    </row>
    <row r="945" spans="1:1" x14ac:dyDescent="0.2">
      <c r="A945" t="str">
        <f>IF(ISBLANK(B945), "","SubGeographicalRegion-944")</f>
        <v/>
      </c>
    </row>
    <row r="946" spans="1:1" x14ac:dyDescent="0.2">
      <c r="A946" t="str">
        <f>IF(ISBLANK(B946), "","SubGeographicalRegion-945")</f>
        <v/>
      </c>
    </row>
    <row r="947" spans="1:1" x14ac:dyDescent="0.2">
      <c r="A947" t="str">
        <f>IF(ISBLANK(B947), "","SubGeographicalRegion-946")</f>
        <v/>
      </c>
    </row>
    <row r="948" spans="1:1" x14ac:dyDescent="0.2">
      <c r="A948" t="str">
        <f>IF(ISBLANK(B948), "","SubGeographicalRegion-947")</f>
        <v/>
      </c>
    </row>
    <row r="949" spans="1:1" x14ac:dyDescent="0.2">
      <c r="A949" t="str">
        <f>IF(ISBLANK(B949), "","SubGeographicalRegion-948")</f>
        <v/>
      </c>
    </row>
    <row r="950" spans="1:1" x14ac:dyDescent="0.2">
      <c r="A950" t="str">
        <f>IF(ISBLANK(B950), "","SubGeographicalRegion-949")</f>
        <v/>
      </c>
    </row>
    <row r="951" spans="1:1" x14ac:dyDescent="0.2">
      <c r="A951" t="str">
        <f>IF(ISBLANK(B951), "","SubGeographicalRegion-950")</f>
        <v/>
      </c>
    </row>
    <row r="952" spans="1:1" x14ac:dyDescent="0.2">
      <c r="A952" t="str">
        <f>IF(ISBLANK(B952), "","SubGeographicalRegion-951")</f>
        <v/>
      </c>
    </row>
    <row r="953" spans="1:1" x14ac:dyDescent="0.2">
      <c r="A953" t="str">
        <f>IF(ISBLANK(B953), "","SubGeographicalRegion-952")</f>
        <v/>
      </c>
    </row>
    <row r="954" spans="1:1" x14ac:dyDescent="0.2">
      <c r="A954" t="str">
        <f>IF(ISBLANK(B954), "","SubGeographicalRegion-953")</f>
        <v/>
      </c>
    </row>
    <row r="955" spans="1:1" x14ac:dyDescent="0.2">
      <c r="A955" t="str">
        <f>IF(ISBLANK(B955), "","SubGeographicalRegion-954")</f>
        <v/>
      </c>
    </row>
    <row r="956" spans="1:1" x14ac:dyDescent="0.2">
      <c r="A956" t="str">
        <f>IF(ISBLANK(B956), "","SubGeographicalRegion-955")</f>
        <v/>
      </c>
    </row>
    <row r="957" spans="1:1" x14ac:dyDescent="0.2">
      <c r="A957" t="str">
        <f>IF(ISBLANK(B957), "","SubGeographicalRegion-956")</f>
        <v/>
      </c>
    </row>
    <row r="958" spans="1:1" x14ac:dyDescent="0.2">
      <c r="A958" t="str">
        <f>IF(ISBLANK(B958), "","SubGeographicalRegion-957")</f>
        <v/>
      </c>
    </row>
    <row r="959" spans="1:1" x14ac:dyDescent="0.2">
      <c r="A959" t="str">
        <f>IF(ISBLANK(B959), "","SubGeographicalRegion-958")</f>
        <v/>
      </c>
    </row>
    <row r="960" spans="1:1" x14ac:dyDescent="0.2">
      <c r="A960" t="str">
        <f>IF(ISBLANK(B960), "","SubGeographicalRegion-959")</f>
        <v/>
      </c>
    </row>
    <row r="961" spans="1:1" x14ac:dyDescent="0.2">
      <c r="A961" t="str">
        <f>IF(ISBLANK(B961), "","SubGeographicalRegion-960")</f>
        <v/>
      </c>
    </row>
    <row r="962" spans="1:1" x14ac:dyDescent="0.2">
      <c r="A962" t="str">
        <f>IF(ISBLANK(B962), "","SubGeographicalRegion-961")</f>
        <v/>
      </c>
    </row>
    <row r="963" spans="1:1" x14ac:dyDescent="0.2">
      <c r="A963" t="str">
        <f>IF(ISBLANK(B963), "","SubGeographicalRegion-962")</f>
        <v/>
      </c>
    </row>
    <row r="964" spans="1:1" x14ac:dyDescent="0.2">
      <c r="A964" t="str">
        <f>IF(ISBLANK(B964), "","SubGeographicalRegion-963")</f>
        <v/>
      </c>
    </row>
    <row r="965" spans="1:1" x14ac:dyDescent="0.2">
      <c r="A965" t="str">
        <f>IF(ISBLANK(B965), "","SubGeographicalRegion-964")</f>
        <v/>
      </c>
    </row>
    <row r="966" spans="1:1" x14ac:dyDescent="0.2">
      <c r="A966" t="str">
        <f>IF(ISBLANK(B966), "","SubGeographicalRegion-965")</f>
        <v/>
      </c>
    </row>
    <row r="967" spans="1:1" x14ac:dyDescent="0.2">
      <c r="A967" t="str">
        <f>IF(ISBLANK(B967), "","SubGeographicalRegion-966")</f>
        <v/>
      </c>
    </row>
    <row r="968" spans="1:1" x14ac:dyDescent="0.2">
      <c r="A968" t="str">
        <f>IF(ISBLANK(B968), "","SubGeographicalRegion-967")</f>
        <v/>
      </c>
    </row>
    <row r="969" spans="1:1" x14ac:dyDescent="0.2">
      <c r="A969" t="str">
        <f>IF(ISBLANK(B969), "","SubGeographicalRegion-968")</f>
        <v/>
      </c>
    </row>
    <row r="970" spans="1:1" x14ac:dyDescent="0.2">
      <c r="A970" t="str">
        <f>IF(ISBLANK(B970), "","SubGeographicalRegion-969")</f>
        <v/>
      </c>
    </row>
    <row r="971" spans="1:1" x14ac:dyDescent="0.2">
      <c r="A971" t="str">
        <f>IF(ISBLANK(B971), "","SubGeographicalRegion-970")</f>
        <v/>
      </c>
    </row>
    <row r="972" spans="1:1" x14ac:dyDescent="0.2">
      <c r="A972" t="str">
        <f>IF(ISBLANK(B972), "","SubGeographicalRegion-971")</f>
        <v/>
      </c>
    </row>
    <row r="973" spans="1:1" x14ac:dyDescent="0.2">
      <c r="A973" t="str">
        <f>IF(ISBLANK(B973), "","SubGeographicalRegion-972")</f>
        <v/>
      </c>
    </row>
    <row r="974" spans="1:1" x14ac:dyDescent="0.2">
      <c r="A974" t="str">
        <f>IF(ISBLANK(B974), "","SubGeographicalRegion-973")</f>
        <v/>
      </c>
    </row>
    <row r="975" spans="1:1" x14ac:dyDescent="0.2">
      <c r="A975" t="str">
        <f>IF(ISBLANK(B975), "","SubGeographicalRegion-974")</f>
        <v/>
      </c>
    </row>
    <row r="976" spans="1:1" x14ac:dyDescent="0.2">
      <c r="A976" t="str">
        <f>IF(ISBLANK(B976), "","SubGeographicalRegion-975")</f>
        <v/>
      </c>
    </row>
    <row r="977" spans="1:1" x14ac:dyDescent="0.2">
      <c r="A977" t="str">
        <f>IF(ISBLANK(B977), "","SubGeographicalRegion-976")</f>
        <v/>
      </c>
    </row>
    <row r="978" spans="1:1" x14ac:dyDescent="0.2">
      <c r="A978" t="str">
        <f>IF(ISBLANK(B978), "","SubGeographicalRegion-977")</f>
        <v/>
      </c>
    </row>
    <row r="979" spans="1:1" x14ac:dyDescent="0.2">
      <c r="A979" t="str">
        <f>IF(ISBLANK(B979), "","SubGeographicalRegion-978")</f>
        <v/>
      </c>
    </row>
    <row r="980" spans="1:1" x14ac:dyDescent="0.2">
      <c r="A980" t="str">
        <f>IF(ISBLANK(B980), "","SubGeographicalRegion-979")</f>
        <v/>
      </c>
    </row>
    <row r="981" spans="1:1" x14ac:dyDescent="0.2">
      <c r="A981" t="str">
        <f>IF(ISBLANK(B981), "","SubGeographicalRegion-980")</f>
        <v/>
      </c>
    </row>
    <row r="982" spans="1:1" x14ac:dyDescent="0.2">
      <c r="A982" t="str">
        <f>IF(ISBLANK(B982), "","SubGeographicalRegion-981")</f>
        <v/>
      </c>
    </row>
    <row r="983" spans="1:1" x14ac:dyDescent="0.2">
      <c r="A983" t="str">
        <f>IF(ISBLANK(B983), "","SubGeographicalRegion-982")</f>
        <v/>
      </c>
    </row>
    <row r="984" spans="1:1" x14ac:dyDescent="0.2">
      <c r="A984" t="str">
        <f>IF(ISBLANK(B984), "","SubGeographicalRegion-983")</f>
        <v/>
      </c>
    </row>
    <row r="985" spans="1:1" x14ac:dyDescent="0.2">
      <c r="A985" t="str">
        <f>IF(ISBLANK(B985), "","SubGeographicalRegion-984")</f>
        <v/>
      </c>
    </row>
    <row r="986" spans="1:1" x14ac:dyDescent="0.2">
      <c r="A986" t="str">
        <f>IF(ISBLANK(B986), "","SubGeographicalRegion-985")</f>
        <v/>
      </c>
    </row>
    <row r="987" spans="1:1" x14ac:dyDescent="0.2">
      <c r="A987" t="str">
        <f>IF(ISBLANK(B987), "","SubGeographicalRegion-986")</f>
        <v/>
      </c>
    </row>
    <row r="988" spans="1:1" x14ac:dyDescent="0.2">
      <c r="A988" t="str">
        <f>IF(ISBLANK(B988), "","SubGeographicalRegion-987")</f>
        <v/>
      </c>
    </row>
    <row r="989" spans="1:1" x14ac:dyDescent="0.2">
      <c r="A989" t="str">
        <f>IF(ISBLANK(B989), "","SubGeographicalRegion-988")</f>
        <v/>
      </c>
    </row>
    <row r="990" spans="1:1" x14ac:dyDescent="0.2">
      <c r="A990" t="str">
        <f>IF(ISBLANK(B990), "","SubGeographicalRegion-989")</f>
        <v/>
      </c>
    </row>
    <row r="991" spans="1:1" x14ac:dyDescent="0.2">
      <c r="A991" t="str">
        <f>IF(ISBLANK(B991), "","SubGeographicalRegion-990")</f>
        <v/>
      </c>
    </row>
    <row r="992" spans="1:1" x14ac:dyDescent="0.2">
      <c r="A992" t="str">
        <f>IF(ISBLANK(B992), "","SubGeographicalRegion-991")</f>
        <v/>
      </c>
    </row>
    <row r="993" spans="1:1" x14ac:dyDescent="0.2">
      <c r="A993" t="str">
        <f>IF(ISBLANK(B993), "","SubGeographicalRegion-992")</f>
        <v/>
      </c>
    </row>
    <row r="994" spans="1:1" x14ac:dyDescent="0.2">
      <c r="A994" t="str">
        <f>IF(ISBLANK(B994), "","SubGeographicalRegion-993")</f>
        <v/>
      </c>
    </row>
    <row r="995" spans="1:1" x14ac:dyDescent="0.2">
      <c r="A995" t="str">
        <f>IF(ISBLANK(B995), "","SubGeographicalRegion-994")</f>
        <v/>
      </c>
    </row>
    <row r="996" spans="1:1" x14ac:dyDescent="0.2">
      <c r="A996" t="str">
        <f>IF(ISBLANK(B996), "","SubGeographicalRegion-995")</f>
        <v/>
      </c>
    </row>
    <row r="997" spans="1:1" x14ac:dyDescent="0.2">
      <c r="A997" t="str">
        <f>IF(ISBLANK(B997), "","SubGeographicalRegion-996")</f>
        <v/>
      </c>
    </row>
    <row r="998" spans="1:1" x14ac:dyDescent="0.2">
      <c r="A998" t="str">
        <f>IF(ISBLANK(B998), "","SubGeographicalRegion-997")</f>
        <v/>
      </c>
    </row>
    <row r="999" spans="1:1" x14ac:dyDescent="0.2">
      <c r="A999" t="str">
        <f>IF(ISBLANK(B999), "","SubGeographicalRegion-998")</f>
        <v/>
      </c>
    </row>
    <row r="1000" spans="1:1" x14ac:dyDescent="0.2">
      <c r="A1000" t="str">
        <f>IF(ISBLANK(B1000), "","SubGeographicalRegion-999")</f>
        <v/>
      </c>
    </row>
    <row r="1001" spans="1:1" x14ac:dyDescent="0.2">
      <c r="A1001" t="str">
        <f>IF(ISBLANK(B1001), "","SubGeographicalRegion-1000")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zoomScale="150" zoomScaleNormal="150" workbookViewId="0">
      <selection activeCell="C1" sqref="C1:C1048576"/>
    </sheetView>
  </sheetViews>
  <sheetFormatPr baseColWidth="10" defaultColWidth="8.83203125" defaultRowHeight="15" x14ac:dyDescent="0.2"/>
  <cols>
    <col min="1" max="1" width="18" customWidth="1"/>
    <col min="2" max="2" width="11.6640625" bestFit="1" customWidth="1"/>
    <col min="3" max="3" width="31.1640625" customWidth="1"/>
  </cols>
  <sheetData>
    <row r="1" spans="1:3" ht="21" x14ac:dyDescent="0.2">
      <c r="A1" s="1" t="s">
        <v>0</v>
      </c>
      <c r="B1" s="2" t="s">
        <v>1</v>
      </c>
      <c r="C1" s="2" t="s">
        <v>3</v>
      </c>
    </row>
    <row r="2" spans="1:3" x14ac:dyDescent="0.2">
      <c r="A2" t="str">
        <f>IF(ISBLANK(B2), "","Substation-1")</f>
        <v>Substation-1</v>
      </c>
      <c r="B2" t="s">
        <v>12</v>
      </c>
      <c r="C2" t="s">
        <v>14</v>
      </c>
    </row>
    <row r="3" spans="1:3" x14ac:dyDescent="0.2">
      <c r="A3" t="str">
        <f>IF(ISBLANK(B3), "","Substation-2")</f>
        <v>Substation-2</v>
      </c>
      <c r="B3" t="s">
        <v>13</v>
      </c>
      <c r="C3" t="s">
        <v>15</v>
      </c>
    </row>
    <row r="4" spans="1:3" x14ac:dyDescent="0.2">
      <c r="A4" t="str">
        <f>IF(ISBLANK(B4), "","Substation-3")</f>
        <v/>
      </c>
    </row>
    <row r="5" spans="1:3" x14ac:dyDescent="0.2">
      <c r="A5" t="str">
        <f>IF(ISBLANK(B5), "","Substation-4")</f>
        <v/>
      </c>
    </row>
    <row r="6" spans="1:3" x14ac:dyDescent="0.2">
      <c r="A6" t="str">
        <f>IF(ISBLANK(B6), "","Substation-5")</f>
        <v/>
      </c>
    </row>
    <row r="7" spans="1:3" x14ac:dyDescent="0.2">
      <c r="A7" t="str">
        <f>IF(ISBLANK(B7), "","Substation-6")</f>
        <v/>
      </c>
    </row>
    <row r="8" spans="1:3" x14ac:dyDescent="0.2">
      <c r="A8" t="str">
        <f>IF(ISBLANK(B8), "","Substation-7")</f>
        <v/>
      </c>
    </row>
    <row r="9" spans="1:3" x14ac:dyDescent="0.2">
      <c r="A9" t="str">
        <f>IF(ISBLANK(B9), "","Substation-8")</f>
        <v/>
      </c>
    </row>
    <row r="10" spans="1:3" x14ac:dyDescent="0.2">
      <c r="A10" t="str">
        <f>IF(ISBLANK(B10), "","Substation-9")</f>
        <v/>
      </c>
    </row>
    <row r="11" spans="1:3" x14ac:dyDescent="0.2">
      <c r="A11" t="str">
        <f>IF(ISBLANK(B11), "","Substation-10")</f>
        <v/>
      </c>
    </row>
    <row r="12" spans="1:3" x14ac:dyDescent="0.2">
      <c r="A12" t="str">
        <f>IF(ISBLANK(B12), "","Substation-11")</f>
        <v/>
      </c>
    </row>
    <row r="13" spans="1:3" x14ac:dyDescent="0.2">
      <c r="A13" t="str">
        <f>IF(ISBLANK(B13), "","Substation-12")</f>
        <v/>
      </c>
    </row>
    <row r="14" spans="1:3" x14ac:dyDescent="0.2">
      <c r="A14" t="str">
        <f>IF(ISBLANK(B14), "","Substation-13")</f>
        <v/>
      </c>
    </row>
    <row r="15" spans="1:3" x14ac:dyDescent="0.2">
      <c r="A15" t="str">
        <f>IF(ISBLANK(B15), "","Substation-14")</f>
        <v/>
      </c>
    </row>
    <row r="16" spans="1:3" x14ac:dyDescent="0.2">
      <c r="A16" t="str">
        <f>IF(ISBLANK(B16), "","Substation-15")</f>
        <v/>
      </c>
    </row>
    <row r="17" spans="1:1" x14ac:dyDescent="0.2">
      <c r="A17" t="str">
        <f>IF(ISBLANK(B17), "","Substation-16")</f>
        <v/>
      </c>
    </row>
    <row r="18" spans="1:1" x14ac:dyDescent="0.2">
      <c r="A18" t="str">
        <f>IF(ISBLANK(B18), "","Substation-17")</f>
        <v/>
      </c>
    </row>
    <row r="19" spans="1:1" x14ac:dyDescent="0.2">
      <c r="A19" t="str">
        <f>IF(ISBLANK(B19), "","Substation-18")</f>
        <v/>
      </c>
    </row>
    <row r="20" spans="1:1" x14ac:dyDescent="0.2">
      <c r="A20" t="str">
        <f>IF(ISBLANK(B20), "","Substation-19")</f>
        <v/>
      </c>
    </row>
    <row r="21" spans="1:1" x14ac:dyDescent="0.2">
      <c r="A21" t="str">
        <f>IF(ISBLANK(B21), "","Substation-20")</f>
        <v/>
      </c>
    </row>
    <row r="22" spans="1:1" x14ac:dyDescent="0.2">
      <c r="A22" t="str">
        <f>IF(ISBLANK(B22), "","Substation-21")</f>
        <v/>
      </c>
    </row>
    <row r="23" spans="1:1" x14ac:dyDescent="0.2">
      <c r="A23" t="str">
        <f>IF(ISBLANK(B23), "","Substation-22")</f>
        <v/>
      </c>
    </row>
    <row r="24" spans="1:1" x14ac:dyDescent="0.2">
      <c r="A24" t="str">
        <f>IF(ISBLANK(B24), "","Substation-23")</f>
        <v/>
      </c>
    </row>
    <row r="25" spans="1:1" x14ac:dyDescent="0.2">
      <c r="A25" t="str">
        <f>IF(ISBLANK(B25), "","Substation-24")</f>
        <v/>
      </c>
    </row>
    <row r="26" spans="1:1" x14ac:dyDescent="0.2">
      <c r="A26" t="str">
        <f>IF(ISBLANK(B26), "","Substation-25")</f>
        <v/>
      </c>
    </row>
    <row r="27" spans="1:1" x14ac:dyDescent="0.2">
      <c r="A27" t="str">
        <f>IF(ISBLANK(B27), "","Substation-26")</f>
        <v/>
      </c>
    </row>
    <row r="28" spans="1:1" x14ac:dyDescent="0.2">
      <c r="A28" t="str">
        <f>IF(ISBLANK(B28), "","Substation-27")</f>
        <v/>
      </c>
    </row>
    <row r="29" spans="1:1" x14ac:dyDescent="0.2">
      <c r="A29" t="str">
        <f>IF(ISBLANK(B29), "","Substation-28")</f>
        <v/>
      </c>
    </row>
    <row r="30" spans="1:1" x14ac:dyDescent="0.2">
      <c r="A30" t="str">
        <f>IF(ISBLANK(B30), "","Substation-29")</f>
        <v/>
      </c>
    </row>
    <row r="31" spans="1:1" x14ac:dyDescent="0.2">
      <c r="A31" t="str">
        <f>IF(ISBLANK(B31), "","Substation-30")</f>
        <v/>
      </c>
    </row>
    <row r="32" spans="1:1" x14ac:dyDescent="0.2">
      <c r="A32" t="str">
        <f>IF(ISBLANK(B32), "","Substation-31")</f>
        <v/>
      </c>
    </row>
    <row r="33" spans="1:1" x14ac:dyDescent="0.2">
      <c r="A33" t="str">
        <f>IF(ISBLANK(B33), "","Substation-32")</f>
        <v/>
      </c>
    </row>
    <row r="34" spans="1:1" x14ac:dyDescent="0.2">
      <c r="A34" t="str">
        <f>IF(ISBLANK(B34), "","Substation-33")</f>
        <v/>
      </c>
    </row>
    <row r="35" spans="1:1" x14ac:dyDescent="0.2">
      <c r="A35" t="str">
        <f>IF(ISBLANK(B35), "","Substation-34")</f>
        <v/>
      </c>
    </row>
    <row r="36" spans="1:1" x14ac:dyDescent="0.2">
      <c r="A36" t="str">
        <f>IF(ISBLANK(B36), "","Substation-35")</f>
        <v/>
      </c>
    </row>
    <row r="37" spans="1:1" x14ac:dyDescent="0.2">
      <c r="A37" t="str">
        <f>IF(ISBLANK(B37), "","Substation-36")</f>
        <v/>
      </c>
    </row>
    <row r="38" spans="1:1" x14ac:dyDescent="0.2">
      <c r="A38" t="str">
        <f>IF(ISBLANK(B38), "","Substation-37")</f>
        <v/>
      </c>
    </row>
    <row r="39" spans="1:1" x14ac:dyDescent="0.2">
      <c r="A39" t="str">
        <f>IF(ISBLANK(B39), "","Substation-38")</f>
        <v/>
      </c>
    </row>
    <row r="40" spans="1:1" x14ac:dyDescent="0.2">
      <c r="A40" t="str">
        <f>IF(ISBLANK(B40), "","Substation-39")</f>
        <v/>
      </c>
    </row>
    <row r="41" spans="1:1" x14ac:dyDescent="0.2">
      <c r="A41" t="str">
        <f>IF(ISBLANK(B41), "","Substation-40")</f>
        <v/>
      </c>
    </row>
    <row r="42" spans="1:1" x14ac:dyDescent="0.2">
      <c r="A42" t="str">
        <f>IF(ISBLANK(B42), "","Substation-41")</f>
        <v/>
      </c>
    </row>
    <row r="43" spans="1:1" x14ac:dyDescent="0.2">
      <c r="A43" t="str">
        <f>IF(ISBLANK(B43), "","Substation-42")</f>
        <v/>
      </c>
    </row>
    <row r="44" spans="1:1" x14ac:dyDescent="0.2">
      <c r="A44" t="str">
        <f>IF(ISBLANK(B44), "","Substation-43")</f>
        <v/>
      </c>
    </row>
    <row r="45" spans="1:1" x14ac:dyDescent="0.2">
      <c r="A45" t="str">
        <f>IF(ISBLANK(B45), "","Substation-44")</f>
        <v/>
      </c>
    </row>
    <row r="46" spans="1:1" x14ac:dyDescent="0.2">
      <c r="A46" t="str">
        <f>IF(ISBLANK(B46), "","Substation-45")</f>
        <v/>
      </c>
    </row>
    <row r="47" spans="1:1" x14ac:dyDescent="0.2">
      <c r="A47" t="str">
        <f>IF(ISBLANK(B47), "","Substation-46")</f>
        <v/>
      </c>
    </row>
    <row r="48" spans="1:1" x14ac:dyDescent="0.2">
      <c r="A48" t="str">
        <f>IF(ISBLANK(B48), "","Substation-47")</f>
        <v/>
      </c>
    </row>
    <row r="49" spans="1:1" x14ac:dyDescent="0.2">
      <c r="A49" t="str">
        <f>IF(ISBLANK(B49), "","Substation-48")</f>
        <v/>
      </c>
    </row>
    <row r="50" spans="1:1" x14ac:dyDescent="0.2">
      <c r="A50" t="str">
        <f>IF(ISBLANK(B50), "","Substation-49")</f>
        <v/>
      </c>
    </row>
    <row r="51" spans="1:1" x14ac:dyDescent="0.2">
      <c r="A51" t="str">
        <f>IF(ISBLANK(B51), "","Substation-50")</f>
        <v/>
      </c>
    </row>
    <row r="52" spans="1:1" x14ac:dyDescent="0.2">
      <c r="A52" t="str">
        <f>IF(ISBLANK(B52), "","Substation-51")</f>
        <v/>
      </c>
    </row>
    <row r="53" spans="1:1" x14ac:dyDescent="0.2">
      <c r="A53" t="str">
        <f>IF(ISBLANK(B53), "","Substation-52")</f>
        <v/>
      </c>
    </row>
    <row r="54" spans="1:1" x14ac:dyDescent="0.2">
      <c r="A54" t="str">
        <f>IF(ISBLANK(B54), "","Substation-53")</f>
        <v/>
      </c>
    </row>
    <row r="55" spans="1:1" x14ac:dyDescent="0.2">
      <c r="A55" t="str">
        <f>IF(ISBLANK(B55), "","Substation-54")</f>
        <v/>
      </c>
    </row>
    <row r="56" spans="1:1" x14ac:dyDescent="0.2">
      <c r="A56" t="str">
        <f>IF(ISBLANK(B56), "","Substation-55")</f>
        <v/>
      </c>
    </row>
    <row r="57" spans="1:1" x14ac:dyDescent="0.2">
      <c r="A57" t="str">
        <f>IF(ISBLANK(B57), "","Substation-56")</f>
        <v/>
      </c>
    </row>
    <row r="58" spans="1:1" x14ac:dyDescent="0.2">
      <c r="A58" t="str">
        <f>IF(ISBLANK(B58), "","Substation-57")</f>
        <v/>
      </c>
    </row>
    <row r="59" spans="1:1" x14ac:dyDescent="0.2">
      <c r="A59" t="str">
        <f>IF(ISBLANK(B59), "","Substation-58")</f>
        <v/>
      </c>
    </row>
    <row r="60" spans="1:1" x14ac:dyDescent="0.2">
      <c r="A60" t="str">
        <f>IF(ISBLANK(B60), "","Substation-59")</f>
        <v/>
      </c>
    </row>
    <row r="61" spans="1:1" x14ac:dyDescent="0.2">
      <c r="A61" t="str">
        <f>IF(ISBLANK(B61), "","Substation-60")</f>
        <v/>
      </c>
    </row>
    <row r="62" spans="1:1" x14ac:dyDescent="0.2">
      <c r="A62" t="str">
        <f>IF(ISBLANK(B62), "","Substation-61")</f>
        <v/>
      </c>
    </row>
    <row r="63" spans="1:1" x14ac:dyDescent="0.2">
      <c r="A63" t="str">
        <f>IF(ISBLANK(B63), "","Substation-62")</f>
        <v/>
      </c>
    </row>
    <row r="64" spans="1:1" x14ac:dyDescent="0.2">
      <c r="A64" t="str">
        <f>IF(ISBLANK(B64), "","Substation-63")</f>
        <v/>
      </c>
    </row>
    <row r="65" spans="1:1" x14ac:dyDescent="0.2">
      <c r="A65" t="str">
        <f>IF(ISBLANK(B65), "","Substation-64")</f>
        <v/>
      </c>
    </row>
    <row r="66" spans="1:1" x14ac:dyDescent="0.2">
      <c r="A66" t="str">
        <f>IF(ISBLANK(B66), "","Substation-65")</f>
        <v/>
      </c>
    </row>
    <row r="67" spans="1:1" x14ac:dyDescent="0.2">
      <c r="A67" t="str">
        <f>IF(ISBLANK(B67), "","Substation-66")</f>
        <v/>
      </c>
    </row>
    <row r="68" spans="1:1" x14ac:dyDescent="0.2">
      <c r="A68" t="str">
        <f>IF(ISBLANK(B68), "","Substation-67")</f>
        <v/>
      </c>
    </row>
    <row r="69" spans="1:1" x14ac:dyDescent="0.2">
      <c r="A69" t="str">
        <f>IF(ISBLANK(B69), "","Substation-68")</f>
        <v/>
      </c>
    </row>
    <row r="70" spans="1:1" x14ac:dyDescent="0.2">
      <c r="A70" t="str">
        <f>IF(ISBLANK(B70), "","Substation-69")</f>
        <v/>
      </c>
    </row>
    <row r="71" spans="1:1" x14ac:dyDescent="0.2">
      <c r="A71" t="str">
        <f>IF(ISBLANK(B71), "","Substation-70")</f>
        <v/>
      </c>
    </row>
    <row r="72" spans="1:1" x14ac:dyDescent="0.2">
      <c r="A72" t="str">
        <f>IF(ISBLANK(B72), "","Substation-71")</f>
        <v/>
      </c>
    </row>
    <row r="73" spans="1:1" x14ac:dyDescent="0.2">
      <c r="A73" t="str">
        <f>IF(ISBLANK(B73), "","Substation-72")</f>
        <v/>
      </c>
    </row>
    <row r="74" spans="1:1" x14ac:dyDescent="0.2">
      <c r="A74" t="str">
        <f>IF(ISBLANK(B74), "","Substation-73")</f>
        <v/>
      </c>
    </row>
    <row r="75" spans="1:1" x14ac:dyDescent="0.2">
      <c r="A75" t="str">
        <f>IF(ISBLANK(B75), "","Substation-74")</f>
        <v/>
      </c>
    </row>
    <row r="76" spans="1:1" x14ac:dyDescent="0.2">
      <c r="A76" t="str">
        <f>IF(ISBLANK(B76), "","Substation-75")</f>
        <v/>
      </c>
    </row>
    <row r="77" spans="1:1" x14ac:dyDescent="0.2">
      <c r="A77" t="str">
        <f>IF(ISBLANK(B77), "","Substation-76")</f>
        <v/>
      </c>
    </row>
    <row r="78" spans="1:1" x14ac:dyDescent="0.2">
      <c r="A78" t="str">
        <f>IF(ISBLANK(B78), "","Substation-77")</f>
        <v/>
      </c>
    </row>
    <row r="79" spans="1:1" x14ac:dyDescent="0.2">
      <c r="A79" t="str">
        <f>IF(ISBLANK(B79), "","Substation-78")</f>
        <v/>
      </c>
    </row>
    <row r="80" spans="1:1" x14ac:dyDescent="0.2">
      <c r="A80" t="str">
        <f>IF(ISBLANK(B80), "","Substation-79")</f>
        <v/>
      </c>
    </row>
    <row r="81" spans="1:1" x14ac:dyDescent="0.2">
      <c r="A81" t="str">
        <f>IF(ISBLANK(B81), "","Substation-80")</f>
        <v/>
      </c>
    </row>
    <row r="82" spans="1:1" x14ac:dyDescent="0.2">
      <c r="A82" t="str">
        <f>IF(ISBLANK(B82), "","Substation-81")</f>
        <v/>
      </c>
    </row>
    <row r="83" spans="1:1" x14ac:dyDescent="0.2">
      <c r="A83" t="str">
        <f>IF(ISBLANK(B83), "","Substation-82")</f>
        <v/>
      </c>
    </row>
    <row r="84" spans="1:1" x14ac:dyDescent="0.2">
      <c r="A84" t="str">
        <f>IF(ISBLANK(B84), "","Substation-83")</f>
        <v/>
      </c>
    </row>
    <row r="85" spans="1:1" x14ac:dyDescent="0.2">
      <c r="A85" t="str">
        <f>IF(ISBLANK(B85), "","Substation-84")</f>
        <v/>
      </c>
    </row>
    <row r="86" spans="1:1" x14ac:dyDescent="0.2">
      <c r="A86" t="str">
        <f>IF(ISBLANK(B86), "","Substation-85")</f>
        <v/>
      </c>
    </row>
    <row r="87" spans="1:1" x14ac:dyDescent="0.2">
      <c r="A87" t="str">
        <f>IF(ISBLANK(B87), "","Substation-86")</f>
        <v/>
      </c>
    </row>
    <row r="88" spans="1:1" x14ac:dyDescent="0.2">
      <c r="A88" t="str">
        <f>IF(ISBLANK(B88), "","Substation-87")</f>
        <v/>
      </c>
    </row>
    <row r="89" spans="1:1" x14ac:dyDescent="0.2">
      <c r="A89" t="str">
        <f>IF(ISBLANK(B89), "","Substation-88")</f>
        <v/>
      </c>
    </row>
    <row r="90" spans="1:1" x14ac:dyDescent="0.2">
      <c r="A90" t="str">
        <f>IF(ISBLANK(B90), "","Substation-89")</f>
        <v/>
      </c>
    </row>
    <row r="91" spans="1:1" x14ac:dyDescent="0.2">
      <c r="A91" t="str">
        <f>IF(ISBLANK(B91), "","Substation-90")</f>
        <v/>
      </c>
    </row>
    <row r="92" spans="1:1" x14ac:dyDescent="0.2">
      <c r="A92" t="str">
        <f>IF(ISBLANK(B92), "","Substation-91")</f>
        <v/>
      </c>
    </row>
    <row r="93" spans="1:1" x14ac:dyDescent="0.2">
      <c r="A93" t="str">
        <f>IF(ISBLANK(B93), "","Substation-92")</f>
        <v/>
      </c>
    </row>
    <row r="94" spans="1:1" x14ac:dyDescent="0.2">
      <c r="A94" t="str">
        <f>IF(ISBLANK(B94), "","Substation-93")</f>
        <v/>
      </c>
    </row>
    <row r="95" spans="1:1" x14ac:dyDescent="0.2">
      <c r="A95" t="str">
        <f>IF(ISBLANK(B95), "","Substation-94")</f>
        <v/>
      </c>
    </row>
    <row r="96" spans="1:1" x14ac:dyDescent="0.2">
      <c r="A96" t="str">
        <f>IF(ISBLANK(B96), "","Substation-95")</f>
        <v/>
      </c>
    </row>
    <row r="97" spans="1:1" x14ac:dyDescent="0.2">
      <c r="A97" t="str">
        <f>IF(ISBLANK(B97), "","Substation-96")</f>
        <v/>
      </c>
    </row>
    <row r="98" spans="1:1" x14ac:dyDescent="0.2">
      <c r="A98" t="str">
        <f>IF(ISBLANK(B98), "","Substation-97")</f>
        <v/>
      </c>
    </row>
    <row r="99" spans="1:1" x14ac:dyDescent="0.2">
      <c r="A99" t="str">
        <f>IF(ISBLANK(B99), "","Substation-98")</f>
        <v/>
      </c>
    </row>
    <row r="100" spans="1:1" x14ac:dyDescent="0.2">
      <c r="A100" t="str">
        <f>IF(ISBLANK(B100), "","Substation-99")</f>
        <v/>
      </c>
    </row>
    <row r="101" spans="1:1" x14ac:dyDescent="0.2">
      <c r="A101" t="str">
        <f>IF(ISBLANK(B101), "","Substation-100")</f>
        <v/>
      </c>
    </row>
    <row r="102" spans="1:1" x14ac:dyDescent="0.2">
      <c r="A102" t="str">
        <f>IF(ISBLANK(B102), "","Substation-101")</f>
        <v/>
      </c>
    </row>
    <row r="103" spans="1:1" x14ac:dyDescent="0.2">
      <c r="A103" t="str">
        <f>IF(ISBLANK(B103), "","Substation-102")</f>
        <v/>
      </c>
    </row>
    <row r="104" spans="1:1" x14ac:dyDescent="0.2">
      <c r="A104" t="str">
        <f>IF(ISBLANK(B104), "","Substation-103")</f>
        <v/>
      </c>
    </row>
    <row r="105" spans="1:1" x14ac:dyDescent="0.2">
      <c r="A105" t="str">
        <f>IF(ISBLANK(B105), "","Substation-104")</f>
        <v/>
      </c>
    </row>
    <row r="106" spans="1:1" x14ac:dyDescent="0.2">
      <c r="A106" t="str">
        <f>IF(ISBLANK(B106), "","Substation-105")</f>
        <v/>
      </c>
    </row>
    <row r="107" spans="1:1" x14ac:dyDescent="0.2">
      <c r="A107" t="str">
        <f>IF(ISBLANK(B107), "","Substation-106")</f>
        <v/>
      </c>
    </row>
    <row r="108" spans="1:1" x14ac:dyDescent="0.2">
      <c r="A108" t="str">
        <f>IF(ISBLANK(B108), "","Substation-107")</f>
        <v/>
      </c>
    </row>
    <row r="109" spans="1:1" x14ac:dyDescent="0.2">
      <c r="A109" t="str">
        <f>IF(ISBLANK(B109), "","Substation-108")</f>
        <v/>
      </c>
    </row>
    <row r="110" spans="1:1" x14ac:dyDescent="0.2">
      <c r="A110" t="str">
        <f>IF(ISBLANK(B110), "","Substation-109")</f>
        <v/>
      </c>
    </row>
    <row r="111" spans="1:1" x14ac:dyDescent="0.2">
      <c r="A111" t="str">
        <f>IF(ISBLANK(B111), "","Substation-110")</f>
        <v/>
      </c>
    </row>
    <row r="112" spans="1:1" x14ac:dyDescent="0.2">
      <c r="A112" t="str">
        <f>IF(ISBLANK(B112), "","Substation-111")</f>
        <v/>
      </c>
    </row>
    <row r="113" spans="1:1" x14ac:dyDescent="0.2">
      <c r="A113" t="str">
        <f>IF(ISBLANK(B113), "","Substation-112")</f>
        <v/>
      </c>
    </row>
    <row r="114" spans="1:1" x14ac:dyDescent="0.2">
      <c r="A114" t="str">
        <f>IF(ISBLANK(B114), "","Substation-113")</f>
        <v/>
      </c>
    </row>
    <row r="115" spans="1:1" x14ac:dyDescent="0.2">
      <c r="A115" t="str">
        <f>IF(ISBLANK(B115), "","Substation-114")</f>
        <v/>
      </c>
    </row>
    <row r="116" spans="1:1" x14ac:dyDescent="0.2">
      <c r="A116" t="str">
        <f>IF(ISBLANK(B116), "","Substation-115")</f>
        <v/>
      </c>
    </row>
    <row r="117" spans="1:1" x14ac:dyDescent="0.2">
      <c r="A117" t="str">
        <f>IF(ISBLANK(B117), "","Substation-116")</f>
        <v/>
      </c>
    </row>
    <row r="118" spans="1:1" x14ac:dyDescent="0.2">
      <c r="A118" t="str">
        <f>IF(ISBLANK(B118), "","Substation-117")</f>
        <v/>
      </c>
    </row>
    <row r="119" spans="1:1" x14ac:dyDescent="0.2">
      <c r="A119" t="str">
        <f>IF(ISBLANK(B119), "","Substation-118")</f>
        <v/>
      </c>
    </row>
    <row r="120" spans="1:1" x14ac:dyDescent="0.2">
      <c r="A120" t="str">
        <f>IF(ISBLANK(B120), "","Substation-119")</f>
        <v/>
      </c>
    </row>
    <row r="121" spans="1:1" x14ac:dyDescent="0.2">
      <c r="A121" t="str">
        <f>IF(ISBLANK(B121), "","Substation-120")</f>
        <v/>
      </c>
    </row>
    <row r="122" spans="1:1" x14ac:dyDescent="0.2">
      <c r="A122" t="str">
        <f>IF(ISBLANK(B122), "","Substation-121")</f>
        <v/>
      </c>
    </row>
    <row r="123" spans="1:1" x14ac:dyDescent="0.2">
      <c r="A123" t="str">
        <f>IF(ISBLANK(B123), "","Substation-122")</f>
        <v/>
      </c>
    </row>
    <row r="124" spans="1:1" x14ac:dyDescent="0.2">
      <c r="A124" t="str">
        <f>IF(ISBLANK(B124), "","Substation-123")</f>
        <v/>
      </c>
    </row>
    <row r="125" spans="1:1" x14ac:dyDescent="0.2">
      <c r="A125" t="str">
        <f>IF(ISBLANK(B125), "","Substation-124")</f>
        <v/>
      </c>
    </row>
    <row r="126" spans="1:1" x14ac:dyDescent="0.2">
      <c r="A126" t="str">
        <f>IF(ISBLANK(B126), "","Substation-125")</f>
        <v/>
      </c>
    </row>
    <row r="127" spans="1:1" x14ac:dyDescent="0.2">
      <c r="A127" t="str">
        <f>IF(ISBLANK(B127), "","Substation-126")</f>
        <v/>
      </c>
    </row>
    <row r="128" spans="1:1" x14ac:dyDescent="0.2">
      <c r="A128" t="str">
        <f>IF(ISBLANK(B128), "","Substation-127")</f>
        <v/>
      </c>
    </row>
    <row r="129" spans="1:1" x14ac:dyDescent="0.2">
      <c r="A129" t="str">
        <f>IF(ISBLANK(B129), "","Substation-128")</f>
        <v/>
      </c>
    </row>
    <row r="130" spans="1:1" x14ac:dyDescent="0.2">
      <c r="A130" t="str">
        <f>IF(ISBLANK(B130), "","Substation-129")</f>
        <v/>
      </c>
    </row>
    <row r="131" spans="1:1" x14ac:dyDescent="0.2">
      <c r="A131" t="str">
        <f>IF(ISBLANK(B131), "","Substation-130")</f>
        <v/>
      </c>
    </row>
    <row r="132" spans="1:1" x14ac:dyDescent="0.2">
      <c r="A132" t="str">
        <f>IF(ISBLANK(B132), "","Substation-131")</f>
        <v/>
      </c>
    </row>
    <row r="133" spans="1:1" x14ac:dyDescent="0.2">
      <c r="A133" t="str">
        <f>IF(ISBLANK(B133), "","Substation-132")</f>
        <v/>
      </c>
    </row>
    <row r="134" spans="1:1" x14ac:dyDescent="0.2">
      <c r="A134" t="str">
        <f>IF(ISBLANK(B134), "","Substation-133")</f>
        <v/>
      </c>
    </row>
    <row r="135" spans="1:1" x14ac:dyDescent="0.2">
      <c r="A135" t="str">
        <f>IF(ISBLANK(B135), "","Substation-134")</f>
        <v/>
      </c>
    </row>
    <row r="136" spans="1:1" x14ac:dyDescent="0.2">
      <c r="A136" t="str">
        <f>IF(ISBLANK(B136), "","Substation-135")</f>
        <v/>
      </c>
    </row>
    <row r="137" spans="1:1" x14ac:dyDescent="0.2">
      <c r="A137" t="str">
        <f>IF(ISBLANK(B137), "","Substation-136")</f>
        <v/>
      </c>
    </row>
    <row r="138" spans="1:1" x14ac:dyDescent="0.2">
      <c r="A138" t="str">
        <f>IF(ISBLANK(B138), "","Substation-137")</f>
        <v/>
      </c>
    </row>
    <row r="139" spans="1:1" x14ac:dyDescent="0.2">
      <c r="A139" t="str">
        <f>IF(ISBLANK(B139), "","Substation-138")</f>
        <v/>
      </c>
    </row>
    <row r="140" spans="1:1" x14ac:dyDescent="0.2">
      <c r="A140" t="str">
        <f>IF(ISBLANK(B140), "","Substation-139")</f>
        <v/>
      </c>
    </row>
    <row r="141" spans="1:1" x14ac:dyDescent="0.2">
      <c r="A141" t="str">
        <f>IF(ISBLANK(B141), "","Substation-140")</f>
        <v/>
      </c>
    </row>
    <row r="142" spans="1:1" x14ac:dyDescent="0.2">
      <c r="A142" t="str">
        <f>IF(ISBLANK(B142), "","Substation-141")</f>
        <v/>
      </c>
    </row>
    <row r="143" spans="1:1" x14ac:dyDescent="0.2">
      <c r="A143" t="str">
        <f>IF(ISBLANK(B143), "","Substation-142")</f>
        <v/>
      </c>
    </row>
    <row r="144" spans="1:1" x14ac:dyDescent="0.2">
      <c r="A144" t="str">
        <f>IF(ISBLANK(B144), "","Substation-143")</f>
        <v/>
      </c>
    </row>
    <row r="145" spans="1:1" x14ac:dyDescent="0.2">
      <c r="A145" t="str">
        <f>IF(ISBLANK(B145), "","Substation-144")</f>
        <v/>
      </c>
    </row>
    <row r="146" spans="1:1" x14ac:dyDescent="0.2">
      <c r="A146" t="str">
        <f>IF(ISBLANK(B146), "","Substation-145")</f>
        <v/>
      </c>
    </row>
    <row r="147" spans="1:1" x14ac:dyDescent="0.2">
      <c r="A147" t="str">
        <f>IF(ISBLANK(B147), "","Substation-146")</f>
        <v/>
      </c>
    </row>
    <row r="148" spans="1:1" x14ac:dyDescent="0.2">
      <c r="A148" t="str">
        <f>IF(ISBLANK(B148), "","Substation-147")</f>
        <v/>
      </c>
    </row>
    <row r="149" spans="1:1" x14ac:dyDescent="0.2">
      <c r="A149" t="str">
        <f>IF(ISBLANK(B149), "","Substation-148")</f>
        <v/>
      </c>
    </row>
    <row r="150" spans="1:1" x14ac:dyDescent="0.2">
      <c r="A150" t="str">
        <f>IF(ISBLANK(B150), "","Substation-149")</f>
        <v/>
      </c>
    </row>
    <row r="151" spans="1:1" x14ac:dyDescent="0.2">
      <c r="A151" t="str">
        <f>IF(ISBLANK(B151), "","Substation-150")</f>
        <v/>
      </c>
    </row>
    <row r="152" spans="1:1" x14ac:dyDescent="0.2">
      <c r="A152" t="str">
        <f>IF(ISBLANK(B152), "","Substation-151")</f>
        <v/>
      </c>
    </row>
    <row r="153" spans="1:1" x14ac:dyDescent="0.2">
      <c r="A153" t="str">
        <f>IF(ISBLANK(B153), "","Substation-152")</f>
        <v/>
      </c>
    </row>
    <row r="154" spans="1:1" x14ac:dyDescent="0.2">
      <c r="A154" t="str">
        <f>IF(ISBLANK(B154), "","Substation-153")</f>
        <v/>
      </c>
    </row>
    <row r="155" spans="1:1" x14ac:dyDescent="0.2">
      <c r="A155" t="str">
        <f>IF(ISBLANK(B155), "","Substation-154")</f>
        <v/>
      </c>
    </row>
    <row r="156" spans="1:1" x14ac:dyDescent="0.2">
      <c r="A156" t="str">
        <f>IF(ISBLANK(B156), "","Substation-155")</f>
        <v/>
      </c>
    </row>
    <row r="157" spans="1:1" x14ac:dyDescent="0.2">
      <c r="A157" t="str">
        <f>IF(ISBLANK(B157), "","Substation-156")</f>
        <v/>
      </c>
    </row>
    <row r="158" spans="1:1" x14ac:dyDescent="0.2">
      <c r="A158" t="str">
        <f>IF(ISBLANK(B158), "","Substation-157")</f>
        <v/>
      </c>
    </row>
    <row r="159" spans="1:1" x14ac:dyDescent="0.2">
      <c r="A159" t="str">
        <f>IF(ISBLANK(B159), "","Substation-158")</f>
        <v/>
      </c>
    </row>
    <row r="160" spans="1:1" x14ac:dyDescent="0.2">
      <c r="A160" t="str">
        <f>IF(ISBLANK(B160), "","Substation-159")</f>
        <v/>
      </c>
    </row>
    <row r="161" spans="1:1" x14ac:dyDescent="0.2">
      <c r="A161" t="str">
        <f>IF(ISBLANK(B161), "","Substation-160")</f>
        <v/>
      </c>
    </row>
    <row r="162" spans="1:1" x14ac:dyDescent="0.2">
      <c r="A162" t="str">
        <f>IF(ISBLANK(B162), "","Substation-161")</f>
        <v/>
      </c>
    </row>
    <row r="163" spans="1:1" x14ac:dyDescent="0.2">
      <c r="A163" t="str">
        <f>IF(ISBLANK(B163), "","Substation-162")</f>
        <v/>
      </c>
    </row>
    <row r="164" spans="1:1" x14ac:dyDescent="0.2">
      <c r="A164" t="str">
        <f>IF(ISBLANK(B164), "","Substation-163")</f>
        <v/>
      </c>
    </row>
    <row r="165" spans="1:1" x14ac:dyDescent="0.2">
      <c r="A165" t="str">
        <f>IF(ISBLANK(B165), "","Substation-164")</f>
        <v/>
      </c>
    </row>
    <row r="166" spans="1:1" x14ac:dyDescent="0.2">
      <c r="A166" t="str">
        <f>IF(ISBLANK(B166), "","Substation-165")</f>
        <v/>
      </c>
    </row>
    <row r="167" spans="1:1" x14ac:dyDescent="0.2">
      <c r="A167" t="str">
        <f>IF(ISBLANK(B167), "","Substation-166")</f>
        <v/>
      </c>
    </row>
    <row r="168" spans="1:1" x14ac:dyDescent="0.2">
      <c r="A168" t="str">
        <f>IF(ISBLANK(B168), "","Substation-167")</f>
        <v/>
      </c>
    </row>
    <row r="169" spans="1:1" x14ac:dyDescent="0.2">
      <c r="A169" t="str">
        <f>IF(ISBLANK(B169), "","Substation-168")</f>
        <v/>
      </c>
    </row>
    <row r="170" spans="1:1" x14ac:dyDescent="0.2">
      <c r="A170" t="str">
        <f>IF(ISBLANK(B170), "","Substation-169")</f>
        <v/>
      </c>
    </row>
    <row r="171" spans="1:1" x14ac:dyDescent="0.2">
      <c r="A171" t="str">
        <f>IF(ISBLANK(B171), "","Substation-170")</f>
        <v/>
      </c>
    </row>
    <row r="172" spans="1:1" x14ac:dyDescent="0.2">
      <c r="A172" t="str">
        <f>IF(ISBLANK(B172), "","Substation-171")</f>
        <v/>
      </c>
    </row>
    <row r="173" spans="1:1" x14ac:dyDescent="0.2">
      <c r="A173" t="str">
        <f>IF(ISBLANK(B173), "","Substation-172")</f>
        <v/>
      </c>
    </row>
    <row r="174" spans="1:1" x14ac:dyDescent="0.2">
      <c r="A174" t="str">
        <f>IF(ISBLANK(B174), "","Substation-173")</f>
        <v/>
      </c>
    </row>
    <row r="175" spans="1:1" x14ac:dyDescent="0.2">
      <c r="A175" t="str">
        <f>IF(ISBLANK(B175), "","Substation-174")</f>
        <v/>
      </c>
    </row>
    <row r="176" spans="1:1" x14ac:dyDescent="0.2">
      <c r="A176" t="str">
        <f>IF(ISBLANK(B176), "","Substation-175")</f>
        <v/>
      </c>
    </row>
    <row r="177" spans="1:1" x14ac:dyDescent="0.2">
      <c r="A177" t="str">
        <f>IF(ISBLANK(B177), "","Substation-176")</f>
        <v/>
      </c>
    </row>
    <row r="178" spans="1:1" x14ac:dyDescent="0.2">
      <c r="A178" t="str">
        <f>IF(ISBLANK(B178), "","Substation-177")</f>
        <v/>
      </c>
    </row>
    <row r="179" spans="1:1" x14ac:dyDescent="0.2">
      <c r="A179" t="str">
        <f>IF(ISBLANK(B179), "","Substation-178")</f>
        <v/>
      </c>
    </row>
    <row r="180" spans="1:1" x14ac:dyDescent="0.2">
      <c r="A180" t="str">
        <f>IF(ISBLANK(B180), "","Substation-179")</f>
        <v/>
      </c>
    </row>
    <row r="181" spans="1:1" x14ac:dyDescent="0.2">
      <c r="A181" t="str">
        <f>IF(ISBLANK(B181), "","Substation-180")</f>
        <v/>
      </c>
    </row>
    <row r="182" spans="1:1" x14ac:dyDescent="0.2">
      <c r="A182" t="str">
        <f>IF(ISBLANK(B182), "","Substation-181")</f>
        <v/>
      </c>
    </row>
    <row r="183" spans="1:1" x14ac:dyDescent="0.2">
      <c r="A183" t="str">
        <f>IF(ISBLANK(B183), "","Substation-182")</f>
        <v/>
      </c>
    </row>
    <row r="184" spans="1:1" x14ac:dyDescent="0.2">
      <c r="A184" t="str">
        <f>IF(ISBLANK(B184), "","Substation-183")</f>
        <v/>
      </c>
    </row>
    <row r="185" spans="1:1" x14ac:dyDescent="0.2">
      <c r="A185" t="str">
        <f>IF(ISBLANK(B185), "","Substation-184")</f>
        <v/>
      </c>
    </row>
    <row r="186" spans="1:1" x14ac:dyDescent="0.2">
      <c r="A186" t="str">
        <f>IF(ISBLANK(B186), "","Substation-185")</f>
        <v/>
      </c>
    </row>
    <row r="187" spans="1:1" x14ac:dyDescent="0.2">
      <c r="A187" t="str">
        <f>IF(ISBLANK(B187), "","Substation-186")</f>
        <v/>
      </c>
    </row>
    <row r="188" spans="1:1" x14ac:dyDescent="0.2">
      <c r="A188" t="str">
        <f>IF(ISBLANK(B188), "","Substation-187")</f>
        <v/>
      </c>
    </row>
    <row r="189" spans="1:1" x14ac:dyDescent="0.2">
      <c r="A189" t="str">
        <f>IF(ISBLANK(B189), "","Substation-188")</f>
        <v/>
      </c>
    </row>
    <row r="190" spans="1:1" x14ac:dyDescent="0.2">
      <c r="A190" t="str">
        <f>IF(ISBLANK(B190), "","Substation-189")</f>
        <v/>
      </c>
    </row>
    <row r="191" spans="1:1" x14ac:dyDescent="0.2">
      <c r="A191" t="str">
        <f>IF(ISBLANK(B191), "","Substation-190")</f>
        <v/>
      </c>
    </row>
    <row r="192" spans="1:1" x14ac:dyDescent="0.2">
      <c r="A192" t="str">
        <f>IF(ISBLANK(B192), "","Substation-191")</f>
        <v/>
      </c>
    </row>
    <row r="193" spans="1:1" x14ac:dyDescent="0.2">
      <c r="A193" t="str">
        <f>IF(ISBLANK(B193), "","Substation-192")</f>
        <v/>
      </c>
    </row>
    <row r="194" spans="1:1" x14ac:dyDescent="0.2">
      <c r="A194" t="str">
        <f>IF(ISBLANK(B194), "","Substation-193")</f>
        <v/>
      </c>
    </row>
    <row r="195" spans="1:1" x14ac:dyDescent="0.2">
      <c r="A195" t="str">
        <f>IF(ISBLANK(B195), "","Substation-194")</f>
        <v/>
      </c>
    </row>
    <row r="196" spans="1:1" x14ac:dyDescent="0.2">
      <c r="A196" t="str">
        <f>IF(ISBLANK(B196), "","Substation-195")</f>
        <v/>
      </c>
    </row>
    <row r="197" spans="1:1" x14ac:dyDescent="0.2">
      <c r="A197" t="str">
        <f>IF(ISBLANK(B197), "","Substation-196")</f>
        <v/>
      </c>
    </row>
    <row r="198" spans="1:1" x14ac:dyDescent="0.2">
      <c r="A198" t="str">
        <f>IF(ISBLANK(B198), "","Substation-197")</f>
        <v/>
      </c>
    </row>
    <row r="199" spans="1:1" x14ac:dyDescent="0.2">
      <c r="A199" t="str">
        <f>IF(ISBLANK(B199), "","Substation-198")</f>
        <v/>
      </c>
    </row>
    <row r="200" spans="1:1" x14ac:dyDescent="0.2">
      <c r="A200" t="str">
        <f>IF(ISBLANK(B200), "","Substation-199")</f>
        <v/>
      </c>
    </row>
    <row r="201" spans="1:1" x14ac:dyDescent="0.2">
      <c r="A201" t="str">
        <f>IF(ISBLANK(B201), "","Substation-200")</f>
        <v/>
      </c>
    </row>
    <row r="202" spans="1:1" x14ac:dyDescent="0.2">
      <c r="A202" t="str">
        <f>IF(ISBLANK(B202), "","Substation-201")</f>
        <v/>
      </c>
    </row>
    <row r="203" spans="1:1" x14ac:dyDescent="0.2">
      <c r="A203" t="str">
        <f>IF(ISBLANK(B203), "","Substation-202")</f>
        <v/>
      </c>
    </row>
    <row r="204" spans="1:1" x14ac:dyDescent="0.2">
      <c r="A204" t="str">
        <f>IF(ISBLANK(B204), "","Substation-203")</f>
        <v/>
      </c>
    </row>
    <row r="205" spans="1:1" x14ac:dyDescent="0.2">
      <c r="A205" t="str">
        <f>IF(ISBLANK(B205), "","Substation-204")</f>
        <v/>
      </c>
    </row>
    <row r="206" spans="1:1" x14ac:dyDescent="0.2">
      <c r="A206" t="str">
        <f>IF(ISBLANK(B206), "","Substation-205")</f>
        <v/>
      </c>
    </row>
    <row r="207" spans="1:1" x14ac:dyDescent="0.2">
      <c r="A207" t="str">
        <f>IF(ISBLANK(B207), "","Substation-206")</f>
        <v/>
      </c>
    </row>
    <row r="208" spans="1:1" x14ac:dyDescent="0.2">
      <c r="A208" t="str">
        <f>IF(ISBLANK(B208), "","Substation-207")</f>
        <v/>
      </c>
    </row>
    <row r="209" spans="1:1" x14ac:dyDescent="0.2">
      <c r="A209" t="str">
        <f>IF(ISBLANK(B209), "","Substation-208")</f>
        <v/>
      </c>
    </row>
    <row r="210" spans="1:1" x14ac:dyDescent="0.2">
      <c r="A210" t="str">
        <f>IF(ISBLANK(B210), "","Substation-209")</f>
        <v/>
      </c>
    </row>
    <row r="211" spans="1:1" x14ac:dyDescent="0.2">
      <c r="A211" t="str">
        <f>IF(ISBLANK(B211), "","Substation-210")</f>
        <v/>
      </c>
    </row>
    <row r="212" spans="1:1" x14ac:dyDescent="0.2">
      <c r="A212" t="str">
        <f>IF(ISBLANK(B212), "","Substation-211")</f>
        <v/>
      </c>
    </row>
    <row r="213" spans="1:1" x14ac:dyDescent="0.2">
      <c r="A213" t="str">
        <f>IF(ISBLANK(B213), "","Substation-212")</f>
        <v/>
      </c>
    </row>
    <row r="214" spans="1:1" x14ac:dyDescent="0.2">
      <c r="A214" t="str">
        <f>IF(ISBLANK(B214), "","Substation-213")</f>
        <v/>
      </c>
    </row>
    <row r="215" spans="1:1" x14ac:dyDescent="0.2">
      <c r="A215" t="str">
        <f>IF(ISBLANK(B215), "","Substation-214")</f>
        <v/>
      </c>
    </row>
    <row r="216" spans="1:1" x14ac:dyDescent="0.2">
      <c r="A216" t="str">
        <f>IF(ISBLANK(B216), "","Substation-215")</f>
        <v/>
      </c>
    </row>
    <row r="217" spans="1:1" x14ac:dyDescent="0.2">
      <c r="A217" t="str">
        <f>IF(ISBLANK(B217), "","Substation-216")</f>
        <v/>
      </c>
    </row>
    <row r="218" spans="1:1" x14ac:dyDescent="0.2">
      <c r="A218" t="str">
        <f>IF(ISBLANK(B218), "","Substation-217")</f>
        <v/>
      </c>
    </row>
    <row r="219" spans="1:1" x14ac:dyDescent="0.2">
      <c r="A219" t="str">
        <f>IF(ISBLANK(B219), "","Substation-218")</f>
        <v/>
      </c>
    </row>
    <row r="220" spans="1:1" x14ac:dyDescent="0.2">
      <c r="A220" t="str">
        <f>IF(ISBLANK(B220), "","Substation-219")</f>
        <v/>
      </c>
    </row>
    <row r="221" spans="1:1" x14ac:dyDescent="0.2">
      <c r="A221" t="str">
        <f>IF(ISBLANK(B221), "","Substation-220")</f>
        <v/>
      </c>
    </row>
    <row r="222" spans="1:1" x14ac:dyDescent="0.2">
      <c r="A222" t="str">
        <f>IF(ISBLANK(B222), "","Substation-221")</f>
        <v/>
      </c>
    </row>
    <row r="223" spans="1:1" x14ac:dyDescent="0.2">
      <c r="A223" t="str">
        <f>IF(ISBLANK(B223), "","Substation-222")</f>
        <v/>
      </c>
    </row>
    <row r="224" spans="1:1" x14ac:dyDescent="0.2">
      <c r="A224" t="str">
        <f>IF(ISBLANK(B224), "","Substation-223")</f>
        <v/>
      </c>
    </row>
    <row r="225" spans="1:1" x14ac:dyDescent="0.2">
      <c r="A225" t="str">
        <f>IF(ISBLANK(B225), "","Substation-224")</f>
        <v/>
      </c>
    </row>
    <row r="226" spans="1:1" x14ac:dyDescent="0.2">
      <c r="A226" t="str">
        <f>IF(ISBLANK(B226), "","Substation-225")</f>
        <v/>
      </c>
    </row>
    <row r="227" spans="1:1" x14ac:dyDescent="0.2">
      <c r="A227" t="str">
        <f>IF(ISBLANK(B227), "","Substation-226")</f>
        <v/>
      </c>
    </row>
    <row r="228" spans="1:1" x14ac:dyDescent="0.2">
      <c r="A228" t="str">
        <f>IF(ISBLANK(B228), "","Substation-227")</f>
        <v/>
      </c>
    </row>
    <row r="229" spans="1:1" x14ac:dyDescent="0.2">
      <c r="A229" t="str">
        <f>IF(ISBLANK(B229), "","Substation-228")</f>
        <v/>
      </c>
    </row>
    <row r="230" spans="1:1" x14ac:dyDescent="0.2">
      <c r="A230" t="str">
        <f>IF(ISBLANK(B230), "","Substation-229")</f>
        <v/>
      </c>
    </row>
    <row r="231" spans="1:1" x14ac:dyDescent="0.2">
      <c r="A231" t="str">
        <f>IF(ISBLANK(B231), "","Substation-230")</f>
        <v/>
      </c>
    </row>
    <row r="232" spans="1:1" x14ac:dyDescent="0.2">
      <c r="A232" t="str">
        <f>IF(ISBLANK(B232), "","Substation-231")</f>
        <v/>
      </c>
    </row>
    <row r="233" spans="1:1" x14ac:dyDescent="0.2">
      <c r="A233" t="str">
        <f>IF(ISBLANK(B233), "","Substation-232")</f>
        <v/>
      </c>
    </row>
    <row r="234" spans="1:1" x14ac:dyDescent="0.2">
      <c r="A234" t="str">
        <f>IF(ISBLANK(B234), "","Substation-233")</f>
        <v/>
      </c>
    </row>
    <row r="235" spans="1:1" x14ac:dyDescent="0.2">
      <c r="A235" t="str">
        <f>IF(ISBLANK(B235), "","Substation-234")</f>
        <v/>
      </c>
    </row>
    <row r="236" spans="1:1" x14ac:dyDescent="0.2">
      <c r="A236" t="str">
        <f>IF(ISBLANK(B236), "","Substation-235")</f>
        <v/>
      </c>
    </row>
    <row r="237" spans="1:1" x14ac:dyDescent="0.2">
      <c r="A237" t="str">
        <f>IF(ISBLANK(B237), "","Substation-236")</f>
        <v/>
      </c>
    </row>
    <row r="238" spans="1:1" x14ac:dyDescent="0.2">
      <c r="A238" t="str">
        <f>IF(ISBLANK(B238), "","Substation-237")</f>
        <v/>
      </c>
    </row>
    <row r="239" spans="1:1" x14ac:dyDescent="0.2">
      <c r="A239" t="str">
        <f>IF(ISBLANK(B239), "","Substation-238")</f>
        <v/>
      </c>
    </row>
    <row r="240" spans="1:1" x14ac:dyDescent="0.2">
      <c r="A240" t="str">
        <f>IF(ISBLANK(B240), "","Substation-239")</f>
        <v/>
      </c>
    </row>
    <row r="241" spans="1:1" x14ac:dyDescent="0.2">
      <c r="A241" t="str">
        <f>IF(ISBLANK(B241), "","Substation-240")</f>
        <v/>
      </c>
    </row>
    <row r="242" spans="1:1" x14ac:dyDescent="0.2">
      <c r="A242" t="str">
        <f>IF(ISBLANK(B242), "","Substation-241")</f>
        <v/>
      </c>
    </row>
    <row r="243" spans="1:1" x14ac:dyDescent="0.2">
      <c r="A243" t="str">
        <f>IF(ISBLANK(B243), "","Substation-242")</f>
        <v/>
      </c>
    </row>
    <row r="244" spans="1:1" x14ac:dyDescent="0.2">
      <c r="A244" t="str">
        <f>IF(ISBLANK(B244), "","Substation-243")</f>
        <v/>
      </c>
    </row>
    <row r="245" spans="1:1" x14ac:dyDescent="0.2">
      <c r="A245" t="str">
        <f>IF(ISBLANK(B245), "","Substation-244")</f>
        <v/>
      </c>
    </row>
    <row r="246" spans="1:1" x14ac:dyDescent="0.2">
      <c r="A246" t="str">
        <f>IF(ISBLANK(B246), "","Substation-245")</f>
        <v/>
      </c>
    </row>
    <row r="247" spans="1:1" x14ac:dyDescent="0.2">
      <c r="A247" t="str">
        <f>IF(ISBLANK(B247), "","Substation-246")</f>
        <v/>
      </c>
    </row>
    <row r="248" spans="1:1" x14ac:dyDescent="0.2">
      <c r="A248" t="str">
        <f>IF(ISBLANK(B248), "","Substation-247")</f>
        <v/>
      </c>
    </row>
    <row r="249" spans="1:1" x14ac:dyDescent="0.2">
      <c r="A249" t="str">
        <f>IF(ISBLANK(B249), "","Substation-248")</f>
        <v/>
      </c>
    </row>
    <row r="250" spans="1:1" x14ac:dyDescent="0.2">
      <c r="A250" t="str">
        <f>IF(ISBLANK(B250), "","Substation-249")</f>
        <v/>
      </c>
    </row>
    <row r="251" spans="1:1" x14ac:dyDescent="0.2">
      <c r="A251" t="str">
        <f>IF(ISBLANK(B251), "","Substation-250")</f>
        <v/>
      </c>
    </row>
    <row r="252" spans="1:1" x14ac:dyDescent="0.2">
      <c r="A252" t="str">
        <f>IF(ISBLANK(B252), "","Substation-251")</f>
        <v/>
      </c>
    </row>
    <row r="253" spans="1:1" x14ac:dyDescent="0.2">
      <c r="A253" t="str">
        <f>IF(ISBLANK(B253), "","Substation-252")</f>
        <v/>
      </c>
    </row>
    <row r="254" spans="1:1" x14ac:dyDescent="0.2">
      <c r="A254" t="str">
        <f>IF(ISBLANK(B254), "","Substation-253")</f>
        <v/>
      </c>
    </row>
    <row r="255" spans="1:1" x14ac:dyDescent="0.2">
      <c r="A255" t="str">
        <f>IF(ISBLANK(B255), "","Substation-254")</f>
        <v/>
      </c>
    </row>
    <row r="256" spans="1:1" x14ac:dyDescent="0.2">
      <c r="A256" t="str">
        <f>IF(ISBLANK(B256), "","Substation-255")</f>
        <v/>
      </c>
    </row>
    <row r="257" spans="1:1" x14ac:dyDescent="0.2">
      <c r="A257" t="str">
        <f>IF(ISBLANK(B257), "","Substation-256")</f>
        <v/>
      </c>
    </row>
    <row r="258" spans="1:1" x14ac:dyDescent="0.2">
      <c r="A258" t="str">
        <f>IF(ISBLANK(B258), "","Substation-257")</f>
        <v/>
      </c>
    </row>
    <row r="259" spans="1:1" x14ac:dyDescent="0.2">
      <c r="A259" t="str">
        <f>IF(ISBLANK(B259), "","Substation-258")</f>
        <v/>
      </c>
    </row>
    <row r="260" spans="1:1" x14ac:dyDescent="0.2">
      <c r="A260" t="str">
        <f>IF(ISBLANK(B260), "","Substation-259")</f>
        <v/>
      </c>
    </row>
    <row r="261" spans="1:1" x14ac:dyDescent="0.2">
      <c r="A261" t="str">
        <f>IF(ISBLANK(B261), "","Substation-260")</f>
        <v/>
      </c>
    </row>
    <row r="262" spans="1:1" x14ac:dyDescent="0.2">
      <c r="A262" t="str">
        <f>IF(ISBLANK(B262), "","Substation-261")</f>
        <v/>
      </c>
    </row>
    <row r="263" spans="1:1" x14ac:dyDescent="0.2">
      <c r="A263" t="str">
        <f>IF(ISBLANK(B263), "","Substation-262")</f>
        <v/>
      </c>
    </row>
    <row r="264" spans="1:1" x14ac:dyDescent="0.2">
      <c r="A264" t="str">
        <f>IF(ISBLANK(B264), "","Substation-263")</f>
        <v/>
      </c>
    </row>
    <row r="265" spans="1:1" x14ac:dyDescent="0.2">
      <c r="A265" t="str">
        <f>IF(ISBLANK(B265), "","Substation-264")</f>
        <v/>
      </c>
    </row>
    <row r="266" spans="1:1" x14ac:dyDescent="0.2">
      <c r="A266" t="str">
        <f>IF(ISBLANK(B266), "","Substation-265")</f>
        <v/>
      </c>
    </row>
    <row r="267" spans="1:1" x14ac:dyDescent="0.2">
      <c r="A267" t="str">
        <f>IF(ISBLANK(B267), "","Substation-266")</f>
        <v/>
      </c>
    </row>
    <row r="268" spans="1:1" x14ac:dyDescent="0.2">
      <c r="A268" t="str">
        <f>IF(ISBLANK(B268), "","Substation-267")</f>
        <v/>
      </c>
    </row>
    <row r="269" spans="1:1" x14ac:dyDescent="0.2">
      <c r="A269" t="str">
        <f>IF(ISBLANK(B269), "","Substation-268")</f>
        <v/>
      </c>
    </row>
    <row r="270" spans="1:1" x14ac:dyDescent="0.2">
      <c r="A270" t="str">
        <f>IF(ISBLANK(B270), "","Substation-269")</f>
        <v/>
      </c>
    </row>
    <row r="271" spans="1:1" x14ac:dyDescent="0.2">
      <c r="A271" t="str">
        <f>IF(ISBLANK(B271), "","Substation-270")</f>
        <v/>
      </c>
    </row>
    <row r="272" spans="1:1" x14ac:dyDescent="0.2">
      <c r="A272" t="str">
        <f>IF(ISBLANK(B272), "","Substation-271")</f>
        <v/>
      </c>
    </row>
    <row r="273" spans="1:1" x14ac:dyDescent="0.2">
      <c r="A273" t="str">
        <f>IF(ISBLANK(B273), "","Substation-272")</f>
        <v/>
      </c>
    </row>
    <row r="274" spans="1:1" x14ac:dyDescent="0.2">
      <c r="A274" t="str">
        <f>IF(ISBLANK(B274), "","Substation-273")</f>
        <v/>
      </c>
    </row>
    <row r="275" spans="1:1" x14ac:dyDescent="0.2">
      <c r="A275" t="str">
        <f>IF(ISBLANK(B275), "","Substation-274")</f>
        <v/>
      </c>
    </row>
    <row r="276" spans="1:1" x14ac:dyDescent="0.2">
      <c r="A276" t="str">
        <f>IF(ISBLANK(B276), "","Substation-275")</f>
        <v/>
      </c>
    </row>
    <row r="277" spans="1:1" x14ac:dyDescent="0.2">
      <c r="A277" t="str">
        <f>IF(ISBLANK(B277), "","Substation-276")</f>
        <v/>
      </c>
    </row>
    <row r="278" spans="1:1" x14ac:dyDescent="0.2">
      <c r="A278" t="str">
        <f>IF(ISBLANK(B278), "","Substation-277")</f>
        <v/>
      </c>
    </row>
    <row r="279" spans="1:1" x14ac:dyDescent="0.2">
      <c r="A279" t="str">
        <f>IF(ISBLANK(B279), "","Substation-278")</f>
        <v/>
      </c>
    </row>
    <row r="280" spans="1:1" x14ac:dyDescent="0.2">
      <c r="A280" t="str">
        <f>IF(ISBLANK(B280), "","Substation-279")</f>
        <v/>
      </c>
    </row>
    <row r="281" spans="1:1" x14ac:dyDescent="0.2">
      <c r="A281" t="str">
        <f>IF(ISBLANK(B281), "","Substation-280")</f>
        <v/>
      </c>
    </row>
    <row r="282" spans="1:1" x14ac:dyDescent="0.2">
      <c r="A282" t="str">
        <f>IF(ISBLANK(B282), "","Substation-281")</f>
        <v/>
      </c>
    </row>
    <row r="283" spans="1:1" x14ac:dyDescent="0.2">
      <c r="A283" t="str">
        <f>IF(ISBLANK(B283), "","Substation-282")</f>
        <v/>
      </c>
    </row>
    <row r="284" spans="1:1" x14ac:dyDescent="0.2">
      <c r="A284" t="str">
        <f>IF(ISBLANK(B284), "","Substation-283")</f>
        <v/>
      </c>
    </row>
    <row r="285" spans="1:1" x14ac:dyDescent="0.2">
      <c r="A285" t="str">
        <f>IF(ISBLANK(B285), "","Substation-284")</f>
        <v/>
      </c>
    </row>
    <row r="286" spans="1:1" x14ac:dyDescent="0.2">
      <c r="A286" t="str">
        <f>IF(ISBLANK(B286), "","Substation-285")</f>
        <v/>
      </c>
    </row>
    <row r="287" spans="1:1" x14ac:dyDescent="0.2">
      <c r="A287" t="str">
        <f>IF(ISBLANK(B287), "","Substation-286")</f>
        <v/>
      </c>
    </row>
    <row r="288" spans="1:1" x14ac:dyDescent="0.2">
      <c r="A288" t="str">
        <f>IF(ISBLANK(B288), "","Substation-287")</f>
        <v/>
      </c>
    </row>
    <row r="289" spans="1:1" x14ac:dyDescent="0.2">
      <c r="A289" t="str">
        <f>IF(ISBLANK(B289), "","Substation-288")</f>
        <v/>
      </c>
    </row>
    <row r="290" spans="1:1" x14ac:dyDescent="0.2">
      <c r="A290" t="str">
        <f>IF(ISBLANK(B290), "","Substation-289")</f>
        <v/>
      </c>
    </row>
    <row r="291" spans="1:1" x14ac:dyDescent="0.2">
      <c r="A291" t="str">
        <f>IF(ISBLANK(B291), "","Substation-290")</f>
        <v/>
      </c>
    </row>
    <row r="292" spans="1:1" x14ac:dyDescent="0.2">
      <c r="A292" t="str">
        <f>IF(ISBLANK(B292), "","Substation-291")</f>
        <v/>
      </c>
    </row>
    <row r="293" spans="1:1" x14ac:dyDescent="0.2">
      <c r="A293" t="str">
        <f>IF(ISBLANK(B293), "","Substation-292")</f>
        <v/>
      </c>
    </row>
    <row r="294" spans="1:1" x14ac:dyDescent="0.2">
      <c r="A294" t="str">
        <f>IF(ISBLANK(B294), "","Substation-293")</f>
        <v/>
      </c>
    </row>
    <row r="295" spans="1:1" x14ac:dyDescent="0.2">
      <c r="A295" t="str">
        <f>IF(ISBLANK(B295), "","Substation-294")</f>
        <v/>
      </c>
    </row>
    <row r="296" spans="1:1" x14ac:dyDescent="0.2">
      <c r="A296" t="str">
        <f>IF(ISBLANK(B296), "","Substation-295")</f>
        <v/>
      </c>
    </row>
    <row r="297" spans="1:1" x14ac:dyDescent="0.2">
      <c r="A297" t="str">
        <f>IF(ISBLANK(B297), "","Substation-296")</f>
        <v/>
      </c>
    </row>
    <row r="298" spans="1:1" x14ac:dyDescent="0.2">
      <c r="A298" t="str">
        <f>IF(ISBLANK(B298), "","Substation-297")</f>
        <v/>
      </c>
    </row>
    <row r="299" spans="1:1" x14ac:dyDescent="0.2">
      <c r="A299" t="str">
        <f>IF(ISBLANK(B299), "","Substation-298")</f>
        <v/>
      </c>
    </row>
    <row r="300" spans="1:1" x14ac:dyDescent="0.2">
      <c r="A300" t="str">
        <f>IF(ISBLANK(B300), "","Substation-299")</f>
        <v/>
      </c>
    </row>
    <row r="301" spans="1:1" x14ac:dyDescent="0.2">
      <c r="A301" t="str">
        <f>IF(ISBLANK(B301), "","Substation-300")</f>
        <v/>
      </c>
    </row>
    <row r="302" spans="1:1" x14ac:dyDescent="0.2">
      <c r="A302" t="str">
        <f>IF(ISBLANK(B302), "","Substation-301")</f>
        <v/>
      </c>
    </row>
    <row r="303" spans="1:1" x14ac:dyDescent="0.2">
      <c r="A303" t="str">
        <f>IF(ISBLANK(B303), "","Substation-302")</f>
        <v/>
      </c>
    </row>
    <row r="304" spans="1:1" x14ac:dyDescent="0.2">
      <c r="A304" t="str">
        <f>IF(ISBLANK(B304), "","Substation-303")</f>
        <v/>
      </c>
    </row>
    <row r="305" spans="1:1" x14ac:dyDescent="0.2">
      <c r="A305" t="str">
        <f>IF(ISBLANK(B305), "","Substation-304")</f>
        <v/>
      </c>
    </row>
    <row r="306" spans="1:1" x14ac:dyDescent="0.2">
      <c r="A306" t="str">
        <f>IF(ISBLANK(B306), "","Substation-305")</f>
        <v/>
      </c>
    </row>
    <row r="307" spans="1:1" x14ac:dyDescent="0.2">
      <c r="A307" t="str">
        <f>IF(ISBLANK(B307), "","Substation-306")</f>
        <v/>
      </c>
    </row>
    <row r="308" spans="1:1" x14ac:dyDescent="0.2">
      <c r="A308" t="str">
        <f>IF(ISBLANK(B308), "","Substation-307")</f>
        <v/>
      </c>
    </row>
    <row r="309" spans="1:1" x14ac:dyDescent="0.2">
      <c r="A309" t="str">
        <f>IF(ISBLANK(B309), "","Substation-308")</f>
        <v/>
      </c>
    </row>
    <row r="310" spans="1:1" x14ac:dyDescent="0.2">
      <c r="A310" t="str">
        <f>IF(ISBLANK(B310), "","Substation-309")</f>
        <v/>
      </c>
    </row>
    <row r="311" spans="1:1" x14ac:dyDescent="0.2">
      <c r="A311" t="str">
        <f>IF(ISBLANK(B311), "","Substation-310")</f>
        <v/>
      </c>
    </row>
    <row r="312" spans="1:1" x14ac:dyDescent="0.2">
      <c r="A312" t="str">
        <f>IF(ISBLANK(B312), "","Substation-311")</f>
        <v/>
      </c>
    </row>
    <row r="313" spans="1:1" x14ac:dyDescent="0.2">
      <c r="A313" t="str">
        <f>IF(ISBLANK(B313), "","Substation-312")</f>
        <v/>
      </c>
    </row>
    <row r="314" spans="1:1" x14ac:dyDescent="0.2">
      <c r="A314" t="str">
        <f>IF(ISBLANK(B314), "","Substation-313")</f>
        <v/>
      </c>
    </row>
    <row r="315" spans="1:1" x14ac:dyDescent="0.2">
      <c r="A315" t="str">
        <f>IF(ISBLANK(B315), "","Substation-314")</f>
        <v/>
      </c>
    </row>
    <row r="316" spans="1:1" x14ac:dyDescent="0.2">
      <c r="A316" t="str">
        <f>IF(ISBLANK(B316), "","Substation-315")</f>
        <v/>
      </c>
    </row>
    <row r="317" spans="1:1" x14ac:dyDescent="0.2">
      <c r="A317" t="str">
        <f>IF(ISBLANK(B317), "","Substation-316")</f>
        <v/>
      </c>
    </row>
    <row r="318" spans="1:1" x14ac:dyDescent="0.2">
      <c r="A318" t="str">
        <f>IF(ISBLANK(B318), "","Substation-317")</f>
        <v/>
      </c>
    </row>
    <row r="319" spans="1:1" x14ac:dyDescent="0.2">
      <c r="A319" t="str">
        <f>IF(ISBLANK(B319), "","Substation-318")</f>
        <v/>
      </c>
    </row>
    <row r="320" spans="1:1" x14ac:dyDescent="0.2">
      <c r="A320" t="str">
        <f>IF(ISBLANK(B320), "","Substation-319")</f>
        <v/>
      </c>
    </row>
    <row r="321" spans="1:1" x14ac:dyDescent="0.2">
      <c r="A321" t="str">
        <f>IF(ISBLANK(B321), "","Substation-320")</f>
        <v/>
      </c>
    </row>
    <row r="322" spans="1:1" x14ac:dyDescent="0.2">
      <c r="A322" t="str">
        <f>IF(ISBLANK(B322), "","Substation-321")</f>
        <v/>
      </c>
    </row>
    <row r="323" spans="1:1" x14ac:dyDescent="0.2">
      <c r="A323" t="str">
        <f>IF(ISBLANK(B323), "","Substation-322")</f>
        <v/>
      </c>
    </row>
    <row r="324" spans="1:1" x14ac:dyDescent="0.2">
      <c r="A324" t="str">
        <f>IF(ISBLANK(B324), "","Substation-323")</f>
        <v/>
      </c>
    </row>
    <row r="325" spans="1:1" x14ac:dyDescent="0.2">
      <c r="A325" t="str">
        <f>IF(ISBLANK(B325), "","Substation-324")</f>
        <v/>
      </c>
    </row>
    <row r="326" spans="1:1" x14ac:dyDescent="0.2">
      <c r="A326" t="str">
        <f>IF(ISBLANK(B326), "","Substation-325")</f>
        <v/>
      </c>
    </row>
    <row r="327" spans="1:1" x14ac:dyDescent="0.2">
      <c r="A327" t="str">
        <f>IF(ISBLANK(B327), "","Substation-326")</f>
        <v/>
      </c>
    </row>
    <row r="328" spans="1:1" x14ac:dyDescent="0.2">
      <c r="A328" t="str">
        <f>IF(ISBLANK(B328), "","Substation-327")</f>
        <v/>
      </c>
    </row>
    <row r="329" spans="1:1" x14ac:dyDescent="0.2">
      <c r="A329" t="str">
        <f>IF(ISBLANK(B329), "","Substation-328")</f>
        <v/>
      </c>
    </row>
    <row r="330" spans="1:1" x14ac:dyDescent="0.2">
      <c r="A330" t="str">
        <f>IF(ISBLANK(B330), "","Substation-329")</f>
        <v/>
      </c>
    </row>
    <row r="331" spans="1:1" x14ac:dyDescent="0.2">
      <c r="A331" t="str">
        <f>IF(ISBLANK(B331), "","Substation-330")</f>
        <v/>
      </c>
    </row>
    <row r="332" spans="1:1" x14ac:dyDescent="0.2">
      <c r="A332" t="str">
        <f>IF(ISBLANK(B332), "","Substation-331")</f>
        <v/>
      </c>
    </row>
    <row r="333" spans="1:1" x14ac:dyDescent="0.2">
      <c r="A333" t="str">
        <f>IF(ISBLANK(B333), "","Substation-332")</f>
        <v/>
      </c>
    </row>
    <row r="334" spans="1:1" x14ac:dyDescent="0.2">
      <c r="A334" t="str">
        <f>IF(ISBLANK(B334), "","Substation-333")</f>
        <v/>
      </c>
    </row>
    <row r="335" spans="1:1" x14ac:dyDescent="0.2">
      <c r="A335" t="str">
        <f>IF(ISBLANK(B335), "","Substation-334")</f>
        <v/>
      </c>
    </row>
    <row r="336" spans="1:1" x14ac:dyDescent="0.2">
      <c r="A336" t="str">
        <f>IF(ISBLANK(B336), "","Substation-335")</f>
        <v/>
      </c>
    </row>
    <row r="337" spans="1:1" x14ac:dyDescent="0.2">
      <c r="A337" t="str">
        <f>IF(ISBLANK(B337), "","Substation-336")</f>
        <v/>
      </c>
    </row>
    <row r="338" spans="1:1" x14ac:dyDescent="0.2">
      <c r="A338" t="str">
        <f>IF(ISBLANK(B338), "","Substation-337")</f>
        <v/>
      </c>
    </row>
    <row r="339" spans="1:1" x14ac:dyDescent="0.2">
      <c r="A339" t="str">
        <f>IF(ISBLANK(B339), "","Substation-338")</f>
        <v/>
      </c>
    </row>
    <row r="340" spans="1:1" x14ac:dyDescent="0.2">
      <c r="A340" t="str">
        <f>IF(ISBLANK(B340), "","Substation-339")</f>
        <v/>
      </c>
    </row>
    <row r="341" spans="1:1" x14ac:dyDescent="0.2">
      <c r="A341" t="str">
        <f>IF(ISBLANK(B341), "","Substation-340")</f>
        <v/>
      </c>
    </row>
    <row r="342" spans="1:1" x14ac:dyDescent="0.2">
      <c r="A342" t="str">
        <f>IF(ISBLANK(B342), "","Substation-341")</f>
        <v/>
      </c>
    </row>
    <row r="343" spans="1:1" x14ac:dyDescent="0.2">
      <c r="A343" t="str">
        <f>IF(ISBLANK(B343), "","Substation-342")</f>
        <v/>
      </c>
    </row>
    <row r="344" spans="1:1" x14ac:dyDescent="0.2">
      <c r="A344" t="str">
        <f>IF(ISBLANK(B344), "","Substation-343")</f>
        <v/>
      </c>
    </row>
    <row r="345" spans="1:1" x14ac:dyDescent="0.2">
      <c r="A345" t="str">
        <f>IF(ISBLANK(B345), "","Substation-344")</f>
        <v/>
      </c>
    </row>
    <row r="346" spans="1:1" x14ac:dyDescent="0.2">
      <c r="A346" t="str">
        <f>IF(ISBLANK(B346), "","Substation-345")</f>
        <v/>
      </c>
    </row>
    <row r="347" spans="1:1" x14ac:dyDescent="0.2">
      <c r="A347" t="str">
        <f>IF(ISBLANK(B347), "","Substation-346")</f>
        <v/>
      </c>
    </row>
    <row r="348" spans="1:1" x14ac:dyDescent="0.2">
      <c r="A348" t="str">
        <f>IF(ISBLANK(B348), "","Substation-347")</f>
        <v/>
      </c>
    </row>
    <row r="349" spans="1:1" x14ac:dyDescent="0.2">
      <c r="A349" t="str">
        <f>IF(ISBLANK(B349), "","Substation-348")</f>
        <v/>
      </c>
    </row>
    <row r="350" spans="1:1" x14ac:dyDescent="0.2">
      <c r="A350" t="str">
        <f>IF(ISBLANK(B350), "","Substation-349")</f>
        <v/>
      </c>
    </row>
    <row r="351" spans="1:1" x14ac:dyDescent="0.2">
      <c r="A351" t="str">
        <f>IF(ISBLANK(B351), "","Substation-350")</f>
        <v/>
      </c>
    </row>
    <row r="352" spans="1:1" x14ac:dyDescent="0.2">
      <c r="A352" t="str">
        <f>IF(ISBLANK(B352), "","Substation-351")</f>
        <v/>
      </c>
    </row>
    <row r="353" spans="1:1" x14ac:dyDescent="0.2">
      <c r="A353" t="str">
        <f>IF(ISBLANK(B353), "","Substation-352")</f>
        <v/>
      </c>
    </row>
    <row r="354" spans="1:1" x14ac:dyDescent="0.2">
      <c r="A354" t="str">
        <f>IF(ISBLANK(B354), "","Substation-353")</f>
        <v/>
      </c>
    </row>
    <row r="355" spans="1:1" x14ac:dyDescent="0.2">
      <c r="A355" t="str">
        <f>IF(ISBLANK(B355), "","Substation-354")</f>
        <v/>
      </c>
    </row>
    <row r="356" spans="1:1" x14ac:dyDescent="0.2">
      <c r="A356" t="str">
        <f>IF(ISBLANK(B356), "","Substation-355")</f>
        <v/>
      </c>
    </row>
    <row r="357" spans="1:1" x14ac:dyDescent="0.2">
      <c r="A357" t="str">
        <f>IF(ISBLANK(B357), "","Substation-356")</f>
        <v/>
      </c>
    </row>
    <row r="358" spans="1:1" x14ac:dyDescent="0.2">
      <c r="A358" t="str">
        <f>IF(ISBLANK(B358), "","Substation-357")</f>
        <v/>
      </c>
    </row>
    <row r="359" spans="1:1" x14ac:dyDescent="0.2">
      <c r="A359" t="str">
        <f>IF(ISBLANK(B359), "","Substation-358")</f>
        <v/>
      </c>
    </row>
    <row r="360" spans="1:1" x14ac:dyDescent="0.2">
      <c r="A360" t="str">
        <f>IF(ISBLANK(B360), "","Substation-359")</f>
        <v/>
      </c>
    </row>
    <row r="361" spans="1:1" x14ac:dyDescent="0.2">
      <c r="A361" t="str">
        <f>IF(ISBLANK(B361), "","Substation-360")</f>
        <v/>
      </c>
    </row>
    <row r="362" spans="1:1" x14ac:dyDescent="0.2">
      <c r="A362" t="str">
        <f>IF(ISBLANK(B362), "","Substation-361")</f>
        <v/>
      </c>
    </row>
    <row r="363" spans="1:1" x14ac:dyDescent="0.2">
      <c r="A363" t="str">
        <f>IF(ISBLANK(B363), "","Substation-362")</f>
        <v/>
      </c>
    </row>
    <row r="364" spans="1:1" x14ac:dyDescent="0.2">
      <c r="A364" t="str">
        <f>IF(ISBLANK(B364), "","Substation-363")</f>
        <v/>
      </c>
    </row>
    <row r="365" spans="1:1" x14ac:dyDescent="0.2">
      <c r="A365" t="str">
        <f>IF(ISBLANK(B365), "","Substation-364")</f>
        <v/>
      </c>
    </row>
    <row r="366" spans="1:1" x14ac:dyDescent="0.2">
      <c r="A366" t="str">
        <f>IF(ISBLANK(B366), "","Substation-365")</f>
        <v/>
      </c>
    </row>
    <row r="367" spans="1:1" x14ac:dyDescent="0.2">
      <c r="A367" t="str">
        <f>IF(ISBLANK(B367), "","Substation-366")</f>
        <v/>
      </c>
    </row>
    <row r="368" spans="1:1" x14ac:dyDescent="0.2">
      <c r="A368" t="str">
        <f>IF(ISBLANK(B368), "","Substation-367")</f>
        <v/>
      </c>
    </row>
    <row r="369" spans="1:1" x14ac:dyDescent="0.2">
      <c r="A369" t="str">
        <f>IF(ISBLANK(B369), "","Substation-368")</f>
        <v/>
      </c>
    </row>
    <row r="370" spans="1:1" x14ac:dyDescent="0.2">
      <c r="A370" t="str">
        <f>IF(ISBLANK(B370), "","Substation-369")</f>
        <v/>
      </c>
    </row>
    <row r="371" spans="1:1" x14ac:dyDescent="0.2">
      <c r="A371" t="str">
        <f>IF(ISBLANK(B371), "","Substation-370")</f>
        <v/>
      </c>
    </row>
    <row r="372" spans="1:1" x14ac:dyDescent="0.2">
      <c r="A372" t="str">
        <f>IF(ISBLANK(B372), "","Substation-371")</f>
        <v/>
      </c>
    </row>
    <row r="373" spans="1:1" x14ac:dyDescent="0.2">
      <c r="A373" t="str">
        <f>IF(ISBLANK(B373), "","Substation-372")</f>
        <v/>
      </c>
    </row>
    <row r="374" spans="1:1" x14ac:dyDescent="0.2">
      <c r="A374" t="str">
        <f>IF(ISBLANK(B374), "","Substation-373")</f>
        <v/>
      </c>
    </row>
    <row r="375" spans="1:1" x14ac:dyDescent="0.2">
      <c r="A375" t="str">
        <f>IF(ISBLANK(B375), "","Substation-374")</f>
        <v/>
      </c>
    </row>
    <row r="376" spans="1:1" x14ac:dyDescent="0.2">
      <c r="A376" t="str">
        <f>IF(ISBLANK(B376), "","Substation-375")</f>
        <v/>
      </c>
    </row>
    <row r="377" spans="1:1" x14ac:dyDescent="0.2">
      <c r="A377" t="str">
        <f>IF(ISBLANK(B377), "","Substation-376")</f>
        <v/>
      </c>
    </row>
    <row r="378" spans="1:1" x14ac:dyDescent="0.2">
      <c r="A378" t="str">
        <f>IF(ISBLANK(B378), "","Substation-377")</f>
        <v/>
      </c>
    </row>
    <row r="379" spans="1:1" x14ac:dyDescent="0.2">
      <c r="A379" t="str">
        <f>IF(ISBLANK(B379), "","Substation-378")</f>
        <v/>
      </c>
    </row>
    <row r="380" spans="1:1" x14ac:dyDescent="0.2">
      <c r="A380" t="str">
        <f>IF(ISBLANK(B380), "","Substation-379")</f>
        <v/>
      </c>
    </row>
    <row r="381" spans="1:1" x14ac:dyDescent="0.2">
      <c r="A381" t="str">
        <f>IF(ISBLANK(B381), "","Substation-380")</f>
        <v/>
      </c>
    </row>
    <row r="382" spans="1:1" x14ac:dyDescent="0.2">
      <c r="A382" t="str">
        <f>IF(ISBLANK(B382), "","Substation-381")</f>
        <v/>
      </c>
    </row>
    <row r="383" spans="1:1" x14ac:dyDescent="0.2">
      <c r="A383" t="str">
        <f>IF(ISBLANK(B383), "","Substation-382")</f>
        <v/>
      </c>
    </row>
    <row r="384" spans="1:1" x14ac:dyDescent="0.2">
      <c r="A384" t="str">
        <f>IF(ISBLANK(B384), "","Substation-383")</f>
        <v/>
      </c>
    </row>
    <row r="385" spans="1:1" x14ac:dyDescent="0.2">
      <c r="A385" t="str">
        <f>IF(ISBLANK(B385), "","Substation-384")</f>
        <v/>
      </c>
    </row>
    <row r="386" spans="1:1" x14ac:dyDescent="0.2">
      <c r="A386" t="str">
        <f>IF(ISBLANK(B386), "","Substation-385")</f>
        <v/>
      </c>
    </row>
    <row r="387" spans="1:1" x14ac:dyDescent="0.2">
      <c r="A387" t="str">
        <f>IF(ISBLANK(B387), "","Substation-386")</f>
        <v/>
      </c>
    </row>
    <row r="388" spans="1:1" x14ac:dyDescent="0.2">
      <c r="A388" t="str">
        <f>IF(ISBLANK(B388), "","Substation-387")</f>
        <v/>
      </c>
    </row>
    <row r="389" spans="1:1" x14ac:dyDescent="0.2">
      <c r="A389" t="str">
        <f>IF(ISBLANK(B389), "","Substation-388")</f>
        <v/>
      </c>
    </row>
    <row r="390" spans="1:1" x14ac:dyDescent="0.2">
      <c r="A390" t="str">
        <f>IF(ISBLANK(B390), "","Substation-389")</f>
        <v/>
      </c>
    </row>
    <row r="391" spans="1:1" x14ac:dyDescent="0.2">
      <c r="A391" t="str">
        <f>IF(ISBLANK(B391), "","Substation-390")</f>
        <v/>
      </c>
    </row>
    <row r="392" spans="1:1" x14ac:dyDescent="0.2">
      <c r="A392" t="str">
        <f>IF(ISBLANK(B392), "","Substation-391")</f>
        <v/>
      </c>
    </row>
    <row r="393" spans="1:1" x14ac:dyDescent="0.2">
      <c r="A393" t="str">
        <f>IF(ISBLANK(B393), "","Substation-392")</f>
        <v/>
      </c>
    </row>
    <row r="394" spans="1:1" x14ac:dyDescent="0.2">
      <c r="A394" t="str">
        <f>IF(ISBLANK(B394), "","Substation-393")</f>
        <v/>
      </c>
    </row>
    <row r="395" spans="1:1" x14ac:dyDescent="0.2">
      <c r="A395" t="str">
        <f>IF(ISBLANK(B395), "","Substation-394")</f>
        <v/>
      </c>
    </row>
    <row r="396" spans="1:1" x14ac:dyDescent="0.2">
      <c r="A396" t="str">
        <f>IF(ISBLANK(B396), "","Substation-395")</f>
        <v/>
      </c>
    </row>
    <row r="397" spans="1:1" x14ac:dyDescent="0.2">
      <c r="A397" t="str">
        <f>IF(ISBLANK(B397), "","Substation-396")</f>
        <v/>
      </c>
    </row>
    <row r="398" spans="1:1" x14ac:dyDescent="0.2">
      <c r="A398" t="str">
        <f>IF(ISBLANK(B398), "","Substation-397")</f>
        <v/>
      </c>
    </row>
    <row r="399" spans="1:1" x14ac:dyDescent="0.2">
      <c r="A399" t="str">
        <f>IF(ISBLANK(B399), "","Substation-398")</f>
        <v/>
      </c>
    </row>
    <row r="400" spans="1:1" x14ac:dyDescent="0.2">
      <c r="A400" t="str">
        <f>IF(ISBLANK(B400), "","Substation-399")</f>
        <v/>
      </c>
    </row>
    <row r="401" spans="1:1" x14ac:dyDescent="0.2">
      <c r="A401" t="str">
        <f>IF(ISBLANK(B401), "","Substation-400")</f>
        <v/>
      </c>
    </row>
    <row r="402" spans="1:1" x14ac:dyDescent="0.2">
      <c r="A402" t="str">
        <f>IF(ISBLANK(B402), "","Substation-401")</f>
        <v/>
      </c>
    </row>
    <row r="403" spans="1:1" x14ac:dyDescent="0.2">
      <c r="A403" t="str">
        <f>IF(ISBLANK(B403), "","Substation-402")</f>
        <v/>
      </c>
    </row>
    <row r="404" spans="1:1" x14ac:dyDescent="0.2">
      <c r="A404" t="str">
        <f>IF(ISBLANK(B404), "","Substation-403")</f>
        <v/>
      </c>
    </row>
    <row r="405" spans="1:1" x14ac:dyDescent="0.2">
      <c r="A405" t="str">
        <f>IF(ISBLANK(B405), "","Substation-404")</f>
        <v/>
      </c>
    </row>
    <row r="406" spans="1:1" x14ac:dyDescent="0.2">
      <c r="A406" t="str">
        <f>IF(ISBLANK(B406), "","Substation-405")</f>
        <v/>
      </c>
    </row>
    <row r="407" spans="1:1" x14ac:dyDescent="0.2">
      <c r="A407" t="str">
        <f>IF(ISBLANK(B407), "","Substation-406")</f>
        <v/>
      </c>
    </row>
    <row r="408" spans="1:1" x14ac:dyDescent="0.2">
      <c r="A408" t="str">
        <f>IF(ISBLANK(B408), "","Substation-407")</f>
        <v/>
      </c>
    </row>
    <row r="409" spans="1:1" x14ac:dyDescent="0.2">
      <c r="A409" t="str">
        <f>IF(ISBLANK(B409), "","Substation-408")</f>
        <v/>
      </c>
    </row>
    <row r="410" spans="1:1" x14ac:dyDescent="0.2">
      <c r="A410" t="str">
        <f>IF(ISBLANK(B410), "","Substation-409")</f>
        <v/>
      </c>
    </row>
    <row r="411" spans="1:1" x14ac:dyDescent="0.2">
      <c r="A411" t="str">
        <f>IF(ISBLANK(B411), "","Substation-410")</f>
        <v/>
      </c>
    </row>
    <row r="412" spans="1:1" x14ac:dyDescent="0.2">
      <c r="A412" t="str">
        <f>IF(ISBLANK(B412), "","Substation-411")</f>
        <v/>
      </c>
    </row>
    <row r="413" spans="1:1" x14ac:dyDescent="0.2">
      <c r="A413" t="str">
        <f>IF(ISBLANK(B413), "","Substation-412")</f>
        <v/>
      </c>
    </row>
    <row r="414" spans="1:1" x14ac:dyDescent="0.2">
      <c r="A414" t="str">
        <f>IF(ISBLANK(B414), "","Substation-413")</f>
        <v/>
      </c>
    </row>
    <row r="415" spans="1:1" x14ac:dyDescent="0.2">
      <c r="A415" t="str">
        <f>IF(ISBLANK(B415), "","Substation-414")</f>
        <v/>
      </c>
    </row>
    <row r="416" spans="1:1" x14ac:dyDescent="0.2">
      <c r="A416" t="str">
        <f>IF(ISBLANK(B416), "","Substation-415")</f>
        <v/>
      </c>
    </row>
    <row r="417" spans="1:1" x14ac:dyDescent="0.2">
      <c r="A417" t="str">
        <f>IF(ISBLANK(B417), "","Substation-416")</f>
        <v/>
      </c>
    </row>
    <row r="418" spans="1:1" x14ac:dyDescent="0.2">
      <c r="A418" t="str">
        <f>IF(ISBLANK(B418), "","Substation-417")</f>
        <v/>
      </c>
    </row>
    <row r="419" spans="1:1" x14ac:dyDescent="0.2">
      <c r="A419" t="str">
        <f>IF(ISBLANK(B419), "","Substation-418")</f>
        <v/>
      </c>
    </row>
    <row r="420" spans="1:1" x14ac:dyDescent="0.2">
      <c r="A420" t="str">
        <f>IF(ISBLANK(B420), "","Substation-419")</f>
        <v/>
      </c>
    </row>
    <row r="421" spans="1:1" x14ac:dyDescent="0.2">
      <c r="A421" t="str">
        <f>IF(ISBLANK(B421), "","Substation-420")</f>
        <v/>
      </c>
    </row>
    <row r="422" spans="1:1" x14ac:dyDescent="0.2">
      <c r="A422" t="str">
        <f>IF(ISBLANK(B422), "","Substation-421")</f>
        <v/>
      </c>
    </row>
    <row r="423" spans="1:1" x14ac:dyDescent="0.2">
      <c r="A423" t="str">
        <f>IF(ISBLANK(B423), "","Substation-422")</f>
        <v/>
      </c>
    </row>
    <row r="424" spans="1:1" x14ac:dyDescent="0.2">
      <c r="A424" t="str">
        <f>IF(ISBLANK(B424), "","Substation-423")</f>
        <v/>
      </c>
    </row>
    <row r="425" spans="1:1" x14ac:dyDescent="0.2">
      <c r="A425" t="str">
        <f>IF(ISBLANK(B425), "","Substation-424")</f>
        <v/>
      </c>
    </row>
    <row r="426" spans="1:1" x14ac:dyDescent="0.2">
      <c r="A426" t="str">
        <f>IF(ISBLANK(B426), "","Substation-425")</f>
        <v/>
      </c>
    </row>
    <row r="427" spans="1:1" x14ac:dyDescent="0.2">
      <c r="A427" t="str">
        <f>IF(ISBLANK(B427), "","Substation-426")</f>
        <v/>
      </c>
    </row>
    <row r="428" spans="1:1" x14ac:dyDescent="0.2">
      <c r="A428" t="str">
        <f>IF(ISBLANK(B428), "","Substation-427")</f>
        <v/>
      </c>
    </row>
    <row r="429" spans="1:1" x14ac:dyDescent="0.2">
      <c r="A429" t="str">
        <f>IF(ISBLANK(B429), "","Substation-428")</f>
        <v/>
      </c>
    </row>
    <row r="430" spans="1:1" x14ac:dyDescent="0.2">
      <c r="A430" t="str">
        <f>IF(ISBLANK(B430), "","Substation-429")</f>
        <v/>
      </c>
    </row>
    <row r="431" spans="1:1" x14ac:dyDescent="0.2">
      <c r="A431" t="str">
        <f>IF(ISBLANK(B431), "","Substation-430")</f>
        <v/>
      </c>
    </row>
    <row r="432" spans="1:1" x14ac:dyDescent="0.2">
      <c r="A432" t="str">
        <f>IF(ISBLANK(B432), "","Substation-431")</f>
        <v/>
      </c>
    </row>
    <row r="433" spans="1:1" x14ac:dyDescent="0.2">
      <c r="A433" t="str">
        <f>IF(ISBLANK(B433), "","Substation-432")</f>
        <v/>
      </c>
    </row>
    <row r="434" spans="1:1" x14ac:dyDescent="0.2">
      <c r="A434" t="str">
        <f>IF(ISBLANK(B434), "","Substation-433")</f>
        <v/>
      </c>
    </row>
    <row r="435" spans="1:1" x14ac:dyDescent="0.2">
      <c r="A435" t="str">
        <f>IF(ISBLANK(B435), "","Substation-434")</f>
        <v/>
      </c>
    </row>
    <row r="436" spans="1:1" x14ac:dyDescent="0.2">
      <c r="A436" t="str">
        <f>IF(ISBLANK(B436), "","Substation-435")</f>
        <v/>
      </c>
    </row>
    <row r="437" spans="1:1" x14ac:dyDescent="0.2">
      <c r="A437" t="str">
        <f>IF(ISBLANK(B437), "","Substation-436")</f>
        <v/>
      </c>
    </row>
    <row r="438" spans="1:1" x14ac:dyDescent="0.2">
      <c r="A438" t="str">
        <f>IF(ISBLANK(B438), "","Substation-437")</f>
        <v/>
      </c>
    </row>
    <row r="439" spans="1:1" x14ac:dyDescent="0.2">
      <c r="A439" t="str">
        <f>IF(ISBLANK(B439), "","Substation-438")</f>
        <v/>
      </c>
    </row>
    <row r="440" spans="1:1" x14ac:dyDescent="0.2">
      <c r="A440" t="str">
        <f>IF(ISBLANK(B440), "","Substation-439")</f>
        <v/>
      </c>
    </row>
    <row r="441" spans="1:1" x14ac:dyDescent="0.2">
      <c r="A441" t="str">
        <f>IF(ISBLANK(B441), "","Substation-440")</f>
        <v/>
      </c>
    </row>
    <row r="442" spans="1:1" x14ac:dyDescent="0.2">
      <c r="A442" t="str">
        <f>IF(ISBLANK(B442), "","Substation-441")</f>
        <v/>
      </c>
    </row>
    <row r="443" spans="1:1" x14ac:dyDescent="0.2">
      <c r="A443" t="str">
        <f>IF(ISBLANK(B443), "","Substation-442")</f>
        <v/>
      </c>
    </row>
    <row r="444" spans="1:1" x14ac:dyDescent="0.2">
      <c r="A444" t="str">
        <f>IF(ISBLANK(B444), "","Substation-443")</f>
        <v/>
      </c>
    </row>
    <row r="445" spans="1:1" x14ac:dyDescent="0.2">
      <c r="A445" t="str">
        <f>IF(ISBLANK(B445), "","Substation-444")</f>
        <v/>
      </c>
    </row>
    <row r="446" spans="1:1" x14ac:dyDescent="0.2">
      <c r="A446" t="str">
        <f>IF(ISBLANK(B446), "","Substation-445")</f>
        <v/>
      </c>
    </row>
    <row r="447" spans="1:1" x14ac:dyDescent="0.2">
      <c r="A447" t="str">
        <f>IF(ISBLANK(B447), "","Substation-446")</f>
        <v/>
      </c>
    </row>
    <row r="448" spans="1:1" x14ac:dyDescent="0.2">
      <c r="A448" t="str">
        <f>IF(ISBLANK(B448), "","Substation-447")</f>
        <v/>
      </c>
    </row>
    <row r="449" spans="1:1" x14ac:dyDescent="0.2">
      <c r="A449" t="str">
        <f>IF(ISBLANK(B449), "","Substation-448")</f>
        <v/>
      </c>
    </row>
    <row r="450" spans="1:1" x14ac:dyDescent="0.2">
      <c r="A450" t="str">
        <f>IF(ISBLANK(B450), "","Substation-449")</f>
        <v/>
      </c>
    </row>
    <row r="451" spans="1:1" x14ac:dyDescent="0.2">
      <c r="A451" t="str">
        <f>IF(ISBLANK(B451), "","Substation-450")</f>
        <v/>
      </c>
    </row>
    <row r="452" spans="1:1" x14ac:dyDescent="0.2">
      <c r="A452" t="str">
        <f>IF(ISBLANK(B452), "","Substation-451")</f>
        <v/>
      </c>
    </row>
    <row r="453" spans="1:1" x14ac:dyDescent="0.2">
      <c r="A453" t="str">
        <f>IF(ISBLANK(B453), "","Substation-452")</f>
        <v/>
      </c>
    </row>
    <row r="454" spans="1:1" x14ac:dyDescent="0.2">
      <c r="A454" t="str">
        <f>IF(ISBLANK(B454), "","Substation-453")</f>
        <v/>
      </c>
    </row>
    <row r="455" spans="1:1" x14ac:dyDescent="0.2">
      <c r="A455" t="str">
        <f>IF(ISBLANK(B455), "","Substation-454")</f>
        <v/>
      </c>
    </row>
    <row r="456" spans="1:1" x14ac:dyDescent="0.2">
      <c r="A456" t="str">
        <f>IF(ISBLANK(B456), "","Substation-455")</f>
        <v/>
      </c>
    </row>
    <row r="457" spans="1:1" x14ac:dyDescent="0.2">
      <c r="A457" t="str">
        <f>IF(ISBLANK(B457), "","Substation-456")</f>
        <v/>
      </c>
    </row>
    <row r="458" spans="1:1" x14ac:dyDescent="0.2">
      <c r="A458" t="str">
        <f>IF(ISBLANK(B458), "","Substation-457")</f>
        <v/>
      </c>
    </row>
    <row r="459" spans="1:1" x14ac:dyDescent="0.2">
      <c r="A459" t="str">
        <f>IF(ISBLANK(B459), "","Substation-458")</f>
        <v/>
      </c>
    </row>
    <row r="460" spans="1:1" x14ac:dyDescent="0.2">
      <c r="A460" t="str">
        <f>IF(ISBLANK(B460), "","Substation-459")</f>
        <v/>
      </c>
    </row>
    <row r="461" spans="1:1" x14ac:dyDescent="0.2">
      <c r="A461" t="str">
        <f>IF(ISBLANK(B461), "","Substation-460")</f>
        <v/>
      </c>
    </row>
    <row r="462" spans="1:1" x14ac:dyDescent="0.2">
      <c r="A462" t="str">
        <f>IF(ISBLANK(B462), "","Substation-461")</f>
        <v/>
      </c>
    </row>
    <row r="463" spans="1:1" x14ac:dyDescent="0.2">
      <c r="A463" t="str">
        <f>IF(ISBLANK(B463), "","Substation-462")</f>
        <v/>
      </c>
    </row>
    <row r="464" spans="1:1" x14ac:dyDescent="0.2">
      <c r="A464" t="str">
        <f>IF(ISBLANK(B464), "","Substation-463")</f>
        <v/>
      </c>
    </row>
    <row r="465" spans="1:1" x14ac:dyDescent="0.2">
      <c r="A465" t="str">
        <f>IF(ISBLANK(B465), "","Substation-464")</f>
        <v/>
      </c>
    </row>
    <row r="466" spans="1:1" x14ac:dyDescent="0.2">
      <c r="A466" t="str">
        <f>IF(ISBLANK(B466), "","Substation-465")</f>
        <v/>
      </c>
    </row>
    <row r="467" spans="1:1" x14ac:dyDescent="0.2">
      <c r="A467" t="str">
        <f>IF(ISBLANK(B467), "","Substation-466")</f>
        <v/>
      </c>
    </row>
    <row r="468" spans="1:1" x14ac:dyDescent="0.2">
      <c r="A468" t="str">
        <f>IF(ISBLANK(B468), "","Substation-467")</f>
        <v/>
      </c>
    </row>
    <row r="469" spans="1:1" x14ac:dyDescent="0.2">
      <c r="A469" t="str">
        <f>IF(ISBLANK(B469), "","Substation-468")</f>
        <v/>
      </c>
    </row>
    <row r="470" spans="1:1" x14ac:dyDescent="0.2">
      <c r="A470" t="str">
        <f>IF(ISBLANK(B470), "","Substation-469")</f>
        <v/>
      </c>
    </row>
    <row r="471" spans="1:1" x14ac:dyDescent="0.2">
      <c r="A471" t="str">
        <f>IF(ISBLANK(B471), "","Substation-470")</f>
        <v/>
      </c>
    </row>
    <row r="472" spans="1:1" x14ac:dyDescent="0.2">
      <c r="A472" t="str">
        <f>IF(ISBLANK(B472), "","Substation-471")</f>
        <v/>
      </c>
    </row>
    <row r="473" spans="1:1" x14ac:dyDescent="0.2">
      <c r="A473" t="str">
        <f>IF(ISBLANK(B473), "","Substation-472")</f>
        <v/>
      </c>
    </row>
    <row r="474" spans="1:1" x14ac:dyDescent="0.2">
      <c r="A474" t="str">
        <f>IF(ISBLANK(B474), "","Substation-473")</f>
        <v/>
      </c>
    </row>
    <row r="475" spans="1:1" x14ac:dyDescent="0.2">
      <c r="A475" t="str">
        <f>IF(ISBLANK(B475), "","Substation-474")</f>
        <v/>
      </c>
    </row>
    <row r="476" spans="1:1" x14ac:dyDescent="0.2">
      <c r="A476" t="str">
        <f>IF(ISBLANK(B476), "","Substation-475")</f>
        <v/>
      </c>
    </row>
    <row r="477" spans="1:1" x14ac:dyDescent="0.2">
      <c r="A477" t="str">
        <f>IF(ISBLANK(B477), "","Substation-476")</f>
        <v/>
      </c>
    </row>
    <row r="478" spans="1:1" x14ac:dyDescent="0.2">
      <c r="A478" t="str">
        <f>IF(ISBLANK(B478), "","Substation-477")</f>
        <v/>
      </c>
    </row>
    <row r="479" spans="1:1" x14ac:dyDescent="0.2">
      <c r="A479" t="str">
        <f>IF(ISBLANK(B479), "","Substation-478")</f>
        <v/>
      </c>
    </row>
    <row r="480" spans="1:1" x14ac:dyDescent="0.2">
      <c r="A480" t="str">
        <f>IF(ISBLANK(B480), "","Substation-479")</f>
        <v/>
      </c>
    </row>
    <row r="481" spans="1:1" x14ac:dyDescent="0.2">
      <c r="A481" t="str">
        <f>IF(ISBLANK(B481), "","Substation-480")</f>
        <v/>
      </c>
    </row>
    <row r="482" spans="1:1" x14ac:dyDescent="0.2">
      <c r="A482" t="str">
        <f>IF(ISBLANK(B482), "","Substation-481")</f>
        <v/>
      </c>
    </row>
    <row r="483" spans="1:1" x14ac:dyDescent="0.2">
      <c r="A483" t="str">
        <f>IF(ISBLANK(B483), "","Substation-482")</f>
        <v/>
      </c>
    </row>
    <row r="484" spans="1:1" x14ac:dyDescent="0.2">
      <c r="A484" t="str">
        <f>IF(ISBLANK(B484), "","Substation-483")</f>
        <v/>
      </c>
    </row>
    <row r="485" spans="1:1" x14ac:dyDescent="0.2">
      <c r="A485" t="str">
        <f>IF(ISBLANK(B485), "","Substation-484")</f>
        <v/>
      </c>
    </row>
    <row r="486" spans="1:1" x14ac:dyDescent="0.2">
      <c r="A486" t="str">
        <f>IF(ISBLANK(B486), "","Substation-485")</f>
        <v/>
      </c>
    </row>
    <row r="487" spans="1:1" x14ac:dyDescent="0.2">
      <c r="A487" t="str">
        <f>IF(ISBLANK(B487), "","Substation-486")</f>
        <v/>
      </c>
    </row>
    <row r="488" spans="1:1" x14ac:dyDescent="0.2">
      <c r="A488" t="str">
        <f>IF(ISBLANK(B488), "","Substation-487")</f>
        <v/>
      </c>
    </row>
    <row r="489" spans="1:1" x14ac:dyDescent="0.2">
      <c r="A489" t="str">
        <f>IF(ISBLANK(B489), "","Substation-488")</f>
        <v/>
      </c>
    </row>
    <row r="490" spans="1:1" x14ac:dyDescent="0.2">
      <c r="A490" t="str">
        <f>IF(ISBLANK(B490), "","Substation-489")</f>
        <v/>
      </c>
    </row>
    <row r="491" spans="1:1" x14ac:dyDescent="0.2">
      <c r="A491" t="str">
        <f>IF(ISBLANK(B491), "","Substation-490")</f>
        <v/>
      </c>
    </row>
    <row r="492" spans="1:1" x14ac:dyDescent="0.2">
      <c r="A492" t="str">
        <f>IF(ISBLANK(B492), "","Substation-491")</f>
        <v/>
      </c>
    </row>
    <row r="493" spans="1:1" x14ac:dyDescent="0.2">
      <c r="A493" t="str">
        <f>IF(ISBLANK(B493), "","Substation-492")</f>
        <v/>
      </c>
    </row>
    <row r="494" spans="1:1" x14ac:dyDescent="0.2">
      <c r="A494" t="str">
        <f>IF(ISBLANK(B494), "","Substation-493")</f>
        <v/>
      </c>
    </row>
    <row r="495" spans="1:1" x14ac:dyDescent="0.2">
      <c r="A495" t="str">
        <f>IF(ISBLANK(B495), "","Substation-494")</f>
        <v/>
      </c>
    </row>
    <row r="496" spans="1:1" x14ac:dyDescent="0.2">
      <c r="A496" t="str">
        <f>IF(ISBLANK(B496), "","Substation-495")</f>
        <v/>
      </c>
    </row>
    <row r="497" spans="1:1" x14ac:dyDescent="0.2">
      <c r="A497" t="str">
        <f>IF(ISBLANK(B497), "","Substation-496")</f>
        <v/>
      </c>
    </row>
    <row r="498" spans="1:1" x14ac:dyDescent="0.2">
      <c r="A498" t="str">
        <f>IF(ISBLANK(B498), "","Substation-497")</f>
        <v/>
      </c>
    </row>
    <row r="499" spans="1:1" x14ac:dyDescent="0.2">
      <c r="A499" t="str">
        <f>IF(ISBLANK(B499), "","Substation-498")</f>
        <v/>
      </c>
    </row>
    <row r="500" spans="1:1" x14ac:dyDescent="0.2">
      <c r="A500" t="str">
        <f>IF(ISBLANK(B500), "","Substation-499")</f>
        <v/>
      </c>
    </row>
    <row r="501" spans="1:1" x14ac:dyDescent="0.2">
      <c r="A501" t="str">
        <f>IF(ISBLANK(B501), "","Substation-500")</f>
        <v/>
      </c>
    </row>
    <row r="502" spans="1:1" x14ac:dyDescent="0.2">
      <c r="A502" t="str">
        <f>IF(ISBLANK(B502), "","Substation-501")</f>
        <v/>
      </c>
    </row>
    <row r="503" spans="1:1" x14ac:dyDescent="0.2">
      <c r="A503" t="str">
        <f>IF(ISBLANK(B503), "","Substation-502")</f>
        <v/>
      </c>
    </row>
    <row r="504" spans="1:1" x14ac:dyDescent="0.2">
      <c r="A504" t="str">
        <f>IF(ISBLANK(B504), "","Substation-503")</f>
        <v/>
      </c>
    </row>
    <row r="505" spans="1:1" x14ac:dyDescent="0.2">
      <c r="A505" t="str">
        <f>IF(ISBLANK(B505), "","Substation-504")</f>
        <v/>
      </c>
    </row>
    <row r="506" spans="1:1" x14ac:dyDescent="0.2">
      <c r="A506" t="str">
        <f>IF(ISBLANK(B506), "","Substation-505")</f>
        <v/>
      </c>
    </row>
    <row r="507" spans="1:1" x14ac:dyDescent="0.2">
      <c r="A507" t="str">
        <f>IF(ISBLANK(B507), "","Substation-506")</f>
        <v/>
      </c>
    </row>
    <row r="508" spans="1:1" x14ac:dyDescent="0.2">
      <c r="A508" t="str">
        <f>IF(ISBLANK(B508), "","Substation-507")</f>
        <v/>
      </c>
    </row>
    <row r="509" spans="1:1" x14ac:dyDescent="0.2">
      <c r="A509" t="str">
        <f>IF(ISBLANK(B509), "","Substation-508")</f>
        <v/>
      </c>
    </row>
    <row r="510" spans="1:1" x14ac:dyDescent="0.2">
      <c r="A510" t="str">
        <f>IF(ISBLANK(B510), "","Substation-509")</f>
        <v/>
      </c>
    </row>
    <row r="511" spans="1:1" x14ac:dyDescent="0.2">
      <c r="A511" t="str">
        <f>IF(ISBLANK(B511), "","Substation-510")</f>
        <v/>
      </c>
    </row>
    <row r="512" spans="1:1" x14ac:dyDescent="0.2">
      <c r="A512" t="str">
        <f>IF(ISBLANK(B512), "","Substation-511")</f>
        <v/>
      </c>
    </row>
    <row r="513" spans="1:1" x14ac:dyDescent="0.2">
      <c r="A513" t="str">
        <f>IF(ISBLANK(B513), "","Substation-512")</f>
        <v/>
      </c>
    </row>
    <row r="514" spans="1:1" x14ac:dyDescent="0.2">
      <c r="A514" t="str">
        <f>IF(ISBLANK(B514), "","Substation-513")</f>
        <v/>
      </c>
    </row>
    <row r="515" spans="1:1" x14ac:dyDescent="0.2">
      <c r="A515" t="str">
        <f>IF(ISBLANK(B515), "","Substation-514")</f>
        <v/>
      </c>
    </row>
    <row r="516" spans="1:1" x14ac:dyDescent="0.2">
      <c r="A516" t="str">
        <f>IF(ISBLANK(B516), "","Substation-515")</f>
        <v/>
      </c>
    </row>
    <row r="517" spans="1:1" x14ac:dyDescent="0.2">
      <c r="A517" t="str">
        <f>IF(ISBLANK(B517), "","Substation-516")</f>
        <v/>
      </c>
    </row>
    <row r="518" spans="1:1" x14ac:dyDescent="0.2">
      <c r="A518" t="str">
        <f>IF(ISBLANK(B518), "","Substation-517")</f>
        <v/>
      </c>
    </row>
    <row r="519" spans="1:1" x14ac:dyDescent="0.2">
      <c r="A519" t="str">
        <f>IF(ISBLANK(B519), "","Substation-518")</f>
        <v/>
      </c>
    </row>
    <row r="520" spans="1:1" x14ac:dyDescent="0.2">
      <c r="A520" t="str">
        <f>IF(ISBLANK(B520), "","Substation-519")</f>
        <v/>
      </c>
    </row>
    <row r="521" spans="1:1" x14ac:dyDescent="0.2">
      <c r="A521" t="str">
        <f>IF(ISBLANK(B521), "","Substation-520")</f>
        <v/>
      </c>
    </row>
    <row r="522" spans="1:1" x14ac:dyDescent="0.2">
      <c r="A522" t="str">
        <f>IF(ISBLANK(B522), "","Substation-521")</f>
        <v/>
      </c>
    </row>
    <row r="523" spans="1:1" x14ac:dyDescent="0.2">
      <c r="A523" t="str">
        <f>IF(ISBLANK(B523), "","Substation-522")</f>
        <v/>
      </c>
    </row>
    <row r="524" spans="1:1" x14ac:dyDescent="0.2">
      <c r="A524" t="str">
        <f>IF(ISBLANK(B524), "","Substation-523")</f>
        <v/>
      </c>
    </row>
    <row r="525" spans="1:1" x14ac:dyDescent="0.2">
      <c r="A525" t="str">
        <f>IF(ISBLANK(B525), "","Substation-524")</f>
        <v/>
      </c>
    </row>
    <row r="526" spans="1:1" x14ac:dyDescent="0.2">
      <c r="A526" t="str">
        <f>IF(ISBLANK(B526), "","Substation-525")</f>
        <v/>
      </c>
    </row>
    <row r="527" spans="1:1" x14ac:dyDescent="0.2">
      <c r="A527" t="str">
        <f>IF(ISBLANK(B527), "","Substation-526")</f>
        <v/>
      </c>
    </row>
    <row r="528" spans="1:1" x14ac:dyDescent="0.2">
      <c r="A528" t="str">
        <f>IF(ISBLANK(B528), "","Substation-527")</f>
        <v/>
      </c>
    </row>
    <row r="529" spans="1:1" x14ac:dyDescent="0.2">
      <c r="A529" t="str">
        <f>IF(ISBLANK(B529), "","Substation-528")</f>
        <v/>
      </c>
    </row>
    <row r="530" spans="1:1" x14ac:dyDescent="0.2">
      <c r="A530" t="str">
        <f>IF(ISBLANK(B530), "","Substation-529")</f>
        <v/>
      </c>
    </row>
    <row r="531" spans="1:1" x14ac:dyDescent="0.2">
      <c r="A531" t="str">
        <f>IF(ISBLANK(B531), "","Substation-530")</f>
        <v/>
      </c>
    </row>
    <row r="532" spans="1:1" x14ac:dyDescent="0.2">
      <c r="A532" t="str">
        <f>IF(ISBLANK(B532), "","Substation-531")</f>
        <v/>
      </c>
    </row>
    <row r="533" spans="1:1" x14ac:dyDescent="0.2">
      <c r="A533" t="str">
        <f>IF(ISBLANK(B533), "","Substation-532")</f>
        <v/>
      </c>
    </row>
    <row r="534" spans="1:1" x14ac:dyDescent="0.2">
      <c r="A534" t="str">
        <f>IF(ISBLANK(B534), "","Substation-533")</f>
        <v/>
      </c>
    </row>
    <row r="535" spans="1:1" x14ac:dyDescent="0.2">
      <c r="A535" t="str">
        <f>IF(ISBLANK(B535), "","Substation-534")</f>
        <v/>
      </c>
    </row>
    <row r="536" spans="1:1" x14ac:dyDescent="0.2">
      <c r="A536" t="str">
        <f>IF(ISBLANK(B536), "","Substation-535")</f>
        <v/>
      </c>
    </row>
    <row r="537" spans="1:1" x14ac:dyDescent="0.2">
      <c r="A537" t="str">
        <f>IF(ISBLANK(B537), "","Substation-536")</f>
        <v/>
      </c>
    </row>
    <row r="538" spans="1:1" x14ac:dyDescent="0.2">
      <c r="A538" t="str">
        <f>IF(ISBLANK(B538), "","Substation-537")</f>
        <v/>
      </c>
    </row>
    <row r="539" spans="1:1" x14ac:dyDescent="0.2">
      <c r="A539" t="str">
        <f>IF(ISBLANK(B539), "","Substation-538")</f>
        <v/>
      </c>
    </row>
    <row r="540" spans="1:1" x14ac:dyDescent="0.2">
      <c r="A540" t="str">
        <f>IF(ISBLANK(B540), "","Substation-539")</f>
        <v/>
      </c>
    </row>
    <row r="541" spans="1:1" x14ac:dyDescent="0.2">
      <c r="A541" t="str">
        <f>IF(ISBLANK(B541), "","Substation-540")</f>
        <v/>
      </c>
    </row>
    <row r="542" spans="1:1" x14ac:dyDescent="0.2">
      <c r="A542" t="str">
        <f>IF(ISBLANK(B542), "","Substation-541")</f>
        <v/>
      </c>
    </row>
    <row r="543" spans="1:1" x14ac:dyDescent="0.2">
      <c r="A543" t="str">
        <f>IF(ISBLANK(B543), "","Substation-542")</f>
        <v/>
      </c>
    </row>
    <row r="544" spans="1:1" x14ac:dyDescent="0.2">
      <c r="A544" t="str">
        <f>IF(ISBLANK(B544), "","Substation-543")</f>
        <v/>
      </c>
    </row>
    <row r="545" spans="1:1" x14ac:dyDescent="0.2">
      <c r="A545" t="str">
        <f>IF(ISBLANK(B545), "","Substation-544")</f>
        <v/>
      </c>
    </row>
    <row r="546" spans="1:1" x14ac:dyDescent="0.2">
      <c r="A546" t="str">
        <f>IF(ISBLANK(B546), "","Substation-545")</f>
        <v/>
      </c>
    </row>
    <row r="547" spans="1:1" x14ac:dyDescent="0.2">
      <c r="A547" t="str">
        <f>IF(ISBLANK(B547), "","Substation-546")</f>
        <v/>
      </c>
    </row>
    <row r="548" spans="1:1" x14ac:dyDescent="0.2">
      <c r="A548" t="str">
        <f>IF(ISBLANK(B548), "","Substation-547")</f>
        <v/>
      </c>
    </row>
    <row r="549" spans="1:1" x14ac:dyDescent="0.2">
      <c r="A549" t="str">
        <f>IF(ISBLANK(B549), "","Substation-548")</f>
        <v/>
      </c>
    </row>
    <row r="550" spans="1:1" x14ac:dyDescent="0.2">
      <c r="A550" t="str">
        <f>IF(ISBLANK(B550), "","Substation-549")</f>
        <v/>
      </c>
    </row>
    <row r="551" spans="1:1" x14ac:dyDescent="0.2">
      <c r="A551" t="str">
        <f>IF(ISBLANK(B551), "","Substation-550")</f>
        <v/>
      </c>
    </row>
    <row r="552" spans="1:1" x14ac:dyDescent="0.2">
      <c r="A552" t="str">
        <f>IF(ISBLANK(B552), "","Substation-551")</f>
        <v/>
      </c>
    </row>
    <row r="553" spans="1:1" x14ac:dyDescent="0.2">
      <c r="A553" t="str">
        <f>IF(ISBLANK(B553), "","Substation-552")</f>
        <v/>
      </c>
    </row>
    <row r="554" spans="1:1" x14ac:dyDescent="0.2">
      <c r="A554" t="str">
        <f>IF(ISBLANK(B554), "","Substation-553")</f>
        <v/>
      </c>
    </row>
    <row r="555" spans="1:1" x14ac:dyDescent="0.2">
      <c r="A555" t="str">
        <f>IF(ISBLANK(B555), "","Substation-554")</f>
        <v/>
      </c>
    </row>
    <row r="556" spans="1:1" x14ac:dyDescent="0.2">
      <c r="A556" t="str">
        <f>IF(ISBLANK(B556), "","Substation-555")</f>
        <v/>
      </c>
    </row>
    <row r="557" spans="1:1" x14ac:dyDescent="0.2">
      <c r="A557" t="str">
        <f>IF(ISBLANK(B557), "","Substation-556")</f>
        <v/>
      </c>
    </row>
    <row r="558" spans="1:1" x14ac:dyDescent="0.2">
      <c r="A558" t="str">
        <f>IF(ISBLANK(B558), "","Substation-557")</f>
        <v/>
      </c>
    </row>
    <row r="559" spans="1:1" x14ac:dyDescent="0.2">
      <c r="A559" t="str">
        <f>IF(ISBLANK(B559), "","Substation-558")</f>
        <v/>
      </c>
    </row>
    <row r="560" spans="1:1" x14ac:dyDescent="0.2">
      <c r="A560" t="str">
        <f>IF(ISBLANK(B560), "","Substation-559")</f>
        <v/>
      </c>
    </row>
    <row r="561" spans="1:1" x14ac:dyDescent="0.2">
      <c r="A561" t="str">
        <f>IF(ISBLANK(B561), "","Substation-560")</f>
        <v/>
      </c>
    </row>
    <row r="562" spans="1:1" x14ac:dyDescent="0.2">
      <c r="A562" t="str">
        <f>IF(ISBLANK(B562), "","Substation-561")</f>
        <v/>
      </c>
    </row>
    <row r="563" spans="1:1" x14ac:dyDescent="0.2">
      <c r="A563" t="str">
        <f>IF(ISBLANK(B563), "","Substation-562")</f>
        <v/>
      </c>
    </row>
    <row r="564" spans="1:1" x14ac:dyDescent="0.2">
      <c r="A564" t="str">
        <f>IF(ISBLANK(B564), "","Substation-563")</f>
        <v/>
      </c>
    </row>
    <row r="565" spans="1:1" x14ac:dyDescent="0.2">
      <c r="A565" t="str">
        <f>IF(ISBLANK(B565), "","Substation-564")</f>
        <v/>
      </c>
    </row>
    <row r="566" spans="1:1" x14ac:dyDescent="0.2">
      <c r="A566" t="str">
        <f>IF(ISBLANK(B566), "","Substation-565")</f>
        <v/>
      </c>
    </row>
    <row r="567" spans="1:1" x14ac:dyDescent="0.2">
      <c r="A567" t="str">
        <f>IF(ISBLANK(B567), "","Substation-566")</f>
        <v/>
      </c>
    </row>
    <row r="568" spans="1:1" x14ac:dyDescent="0.2">
      <c r="A568" t="str">
        <f>IF(ISBLANK(B568), "","Substation-567")</f>
        <v/>
      </c>
    </row>
    <row r="569" spans="1:1" x14ac:dyDescent="0.2">
      <c r="A569" t="str">
        <f>IF(ISBLANK(B569), "","Substation-568")</f>
        <v/>
      </c>
    </row>
    <row r="570" spans="1:1" x14ac:dyDescent="0.2">
      <c r="A570" t="str">
        <f>IF(ISBLANK(B570), "","Substation-569")</f>
        <v/>
      </c>
    </row>
    <row r="571" spans="1:1" x14ac:dyDescent="0.2">
      <c r="A571" t="str">
        <f>IF(ISBLANK(B571), "","Substation-570")</f>
        <v/>
      </c>
    </row>
    <row r="572" spans="1:1" x14ac:dyDescent="0.2">
      <c r="A572" t="str">
        <f>IF(ISBLANK(B572), "","Substation-571")</f>
        <v/>
      </c>
    </row>
    <row r="573" spans="1:1" x14ac:dyDescent="0.2">
      <c r="A573" t="str">
        <f>IF(ISBLANK(B573), "","Substation-572")</f>
        <v/>
      </c>
    </row>
    <row r="574" spans="1:1" x14ac:dyDescent="0.2">
      <c r="A574" t="str">
        <f>IF(ISBLANK(B574), "","Substation-573")</f>
        <v/>
      </c>
    </row>
    <row r="575" spans="1:1" x14ac:dyDescent="0.2">
      <c r="A575" t="str">
        <f>IF(ISBLANK(B575), "","Substation-574")</f>
        <v/>
      </c>
    </row>
    <row r="576" spans="1:1" x14ac:dyDescent="0.2">
      <c r="A576" t="str">
        <f>IF(ISBLANK(B576), "","Substation-575")</f>
        <v/>
      </c>
    </row>
    <row r="577" spans="1:1" x14ac:dyDescent="0.2">
      <c r="A577" t="str">
        <f>IF(ISBLANK(B577), "","Substation-576")</f>
        <v/>
      </c>
    </row>
    <row r="578" spans="1:1" x14ac:dyDescent="0.2">
      <c r="A578" t="str">
        <f>IF(ISBLANK(B578), "","Substation-577")</f>
        <v/>
      </c>
    </row>
    <row r="579" spans="1:1" x14ac:dyDescent="0.2">
      <c r="A579" t="str">
        <f>IF(ISBLANK(B579), "","Substation-578")</f>
        <v/>
      </c>
    </row>
    <row r="580" spans="1:1" x14ac:dyDescent="0.2">
      <c r="A580" t="str">
        <f>IF(ISBLANK(B580), "","Substation-579")</f>
        <v/>
      </c>
    </row>
    <row r="581" spans="1:1" x14ac:dyDescent="0.2">
      <c r="A581" t="str">
        <f>IF(ISBLANK(B581), "","Substation-580")</f>
        <v/>
      </c>
    </row>
    <row r="582" spans="1:1" x14ac:dyDescent="0.2">
      <c r="A582" t="str">
        <f>IF(ISBLANK(B582), "","Substation-581")</f>
        <v/>
      </c>
    </row>
    <row r="583" spans="1:1" x14ac:dyDescent="0.2">
      <c r="A583" t="str">
        <f>IF(ISBLANK(B583), "","Substation-582")</f>
        <v/>
      </c>
    </row>
    <row r="584" spans="1:1" x14ac:dyDescent="0.2">
      <c r="A584" t="str">
        <f>IF(ISBLANK(B584), "","Substation-583")</f>
        <v/>
      </c>
    </row>
    <row r="585" spans="1:1" x14ac:dyDescent="0.2">
      <c r="A585" t="str">
        <f>IF(ISBLANK(B585), "","Substation-584")</f>
        <v/>
      </c>
    </row>
    <row r="586" spans="1:1" x14ac:dyDescent="0.2">
      <c r="A586" t="str">
        <f>IF(ISBLANK(B586), "","Substation-585")</f>
        <v/>
      </c>
    </row>
    <row r="587" spans="1:1" x14ac:dyDescent="0.2">
      <c r="A587" t="str">
        <f>IF(ISBLANK(B587), "","Substation-586")</f>
        <v/>
      </c>
    </row>
    <row r="588" spans="1:1" x14ac:dyDescent="0.2">
      <c r="A588" t="str">
        <f>IF(ISBLANK(B588), "","Substation-587")</f>
        <v/>
      </c>
    </row>
    <row r="589" spans="1:1" x14ac:dyDescent="0.2">
      <c r="A589" t="str">
        <f>IF(ISBLANK(B589), "","Substation-588")</f>
        <v/>
      </c>
    </row>
    <row r="590" spans="1:1" x14ac:dyDescent="0.2">
      <c r="A590" t="str">
        <f>IF(ISBLANK(B590), "","Substation-589")</f>
        <v/>
      </c>
    </row>
    <row r="591" spans="1:1" x14ac:dyDescent="0.2">
      <c r="A591" t="str">
        <f>IF(ISBLANK(B591), "","Substation-590")</f>
        <v/>
      </c>
    </row>
    <row r="592" spans="1:1" x14ac:dyDescent="0.2">
      <c r="A592" t="str">
        <f>IF(ISBLANK(B592), "","Substation-591")</f>
        <v/>
      </c>
    </row>
    <row r="593" spans="1:1" x14ac:dyDescent="0.2">
      <c r="A593" t="str">
        <f>IF(ISBLANK(B593), "","Substation-592")</f>
        <v/>
      </c>
    </row>
    <row r="594" spans="1:1" x14ac:dyDescent="0.2">
      <c r="A594" t="str">
        <f>IF(ISBLANK(B594), "","Substation-593")</f>
        <v/>
      </c>
    </row>
    <row r="595" spans="1:1" x14ac:dyDescent="0.2">
      <c r="A595" t="str">
        <f>IF(ISBLANK(B595), "","Substation-594")</f>
        <v/>
      </c>
    </row>
    <row r="596" spans="1:1" x14ac:dyDescent="0.2">
      <c r="A596" t="str">
        <f>IF(ISBLANK(B596), "","Substation-595")</f>
        <v/>
      </c>
    </row>
    <row r="597" spans="1:1" x14ac:dyDescent="0.2">
      <c r="A597" t="str">
        <f>IF(ISBLANK(B597), "","Substation-596")</f>
        <v/>
      </c>
    </row>
    <row r="598" spans="1:1" x14ac:dyDescent="0.2">
      <c r="A598" t="str">
        <f>IF(ISBLANK(B598), "","Substation-597")</f>
        <v/>
      </c>
    </row>
    <row r="599" spans="1:1" x14ac:dyDescent="0.2">
      <c r="A599" t="str">
        <f>IF(ISBLANK(B599), "","Substation-598")</f>
        <v/>
      </c>
    </row>
    <row r="600" spans="1:1" x14ac:dyDescent="0.2">
      <c r="A600" t="str">
        <f>IF(ISBLANK(B600), "","Substation-599")</f>
        <v/>
      </c>
    </row>
    <row r="601" spans="1:1" x14ac:dyDescent="0.2">
      <c r="A601" t="str">
        <f>IF(ISBLANK(B601), "","Substation-600")</f>
        <v/>
      </c>
    </row>
    <row r="602" spans="1:1" x14ac:dyDescent="0.2">
      <c r="A602" t="str">
        <f>IF(ISBLANK(B602), "","Substation-601")</f>
        <v/>
      </c>
    </row>
    <row r="603" spans="1:1" x14ac:dyDescent="0.2">
      <c r="A603" t="str">
        <f>IF(ISBLANK(B603), "","Substation-602")</f>
        <v/>
      </c>
    </row>
    <row r="604" spans="1:1" x14ac:dyDescent="0.2">
      <c r="A604" t="str">
        <f>IF(ISBLANK(B604), "","Substation-603")</f>
        <v/>
      </c>
    </row>
    <row r="605" spans="1:1" x14ac:dyDescent="0.2">
      <c r="A605" t="str">
        <f>IF(ISBLANK(B605), "","Substation-604")</f>
        <v/>
      </c>
    </row>
    <row r="606" spans="1:1" x14ac:dyDescent="0.2">
      <c r="A606" t="str">
        <f>IF(ISBLANK(B606), "","Substation-605")</f>
        <v/>
      </c>
    </row>
    <row r="607" spans="1:1" x14ac:dyDescent="0.2">
      <c r="A607" t="str">
        <f>IF(ISBLANK(B607), "","Substation-606")</f>
        <v/>
      </c>
    </row>
    <row r="608" spans="1:1" x14ac:dyDescent="0.2">
      <c r="A608" t="str">
        <f>IF(ISBLANK(B608), "","Substation-607")</f>
        <v/>
      </c>
    </row>
    <row r="609" spans="1:1" x14ac:dyDescent="0.2">
      <c r="A609" t="str">
        <f>IF(ISBLANK(B609), "","Substation-608")</f>
        <v/>
      </c>
    </row>
    <row r="610" spans="1:1" x14ac:dyDescent="0.2">
      <c r="A610" t="str">
        <f>IF(ISBLANK(B610), "","Substation-609")</f>
        <v/>
      </c>
    </row>
    <row r="611" spans="1:1" x14ac:dyDescent="0.2">
      <c r="A611" t="str">
        <f>IF(ISBLANK(B611), "","Substation-610")</f>
        <v/>
      </c>
    </row>
    <row r="612" spans="1:1" x14ac:dyDescent="0.2">
      <c r="A612" t="str">
        <f>IF(ISBLANK(B612), "","Substation-611")</f>
        <v/>
      </c>
    </row>
    <row r="613" spans="1:1" x14ac:dyDescent="0.2">
      <c r="A613" t="str">
        <f>IF(ISBLANK(B613), "","Substation-612")</f>
        <v/>
      </c>
    </row>
    <row r="614" spans="1:1" x14ac:dyDescent="0.2">
      <c r="A614" t="str">
        <f>IF(ISBLANK(B614), "","Substation-613")</f>
        <v/>
      </c>
    </row>
    <row r="615" spans="1:1" x14ac:dyDescent="0.2">
      <c r="A615" t="str">
        <f>IF(ISBLANK(B615), "","Substation-614")</f>
        <v/>
      </c>
    </row>
    <row r="616" spans="1:1" x14ac:dyDescent="0.2">
      <c r="A616" t="str">
        <f>IF(ISBLANK(B616), "","Substation-615")</f>
        <v/>
      </c>
    </row>
    <row r="617" spans="1:1" x14ac:dyDescent="0.2">
      <c r="A617" t="str">
        <f>IF(ISBLANK(B617), "","Substation-616")</f>
        <v/>
      </c>
    </row>
    <row r="618" spans="1:1" x14ac:dyDescent="0.2">
      <c r="A618" t="str">
        <f>IF(ISBLANK(B618), "","Substation-617")</f>
        <v/>
      </c>
    </row>
    <row r="619" spans="1:1" x14ac:dyDescent="0.2">
      <c r="A619" t="str">
        <f>IF(ISBLANK(B619), "","Substation-618")</f>
        <v/>
      </c>
    </row>
    <row r="620" spans="1:1" x14ac:dyDescent="0.2">
      <c r="A620" t="str">
        <f>IF(ISBLANK(B620), "","Substation-619")</f>
        <v/>
      </c>
    </row>
    <row r="621" spans="1:1" x14ac:dyDescent="0.2">
      <c r="A621" t="str">
        <f>IF(ISBLANK(B621), "","Substation-620")</f>
        <v/>
      </c>
    </row>
    <row r="622" spans="1:1" x14ac:dyDescent="0.2">
      <c r="A622" t="str">
        <f>IF(ISBLANK(B622), "","Substation-621")</f>
        <v/>
      </c>
    </row>
    <row r="623" spans="1:1" x14ac:dyDescent="0.2">
      <c r="A623" t="str">
        <f>IF(ISBLANK(B623), "","Substation-622")</f>
        <v/>
      </c>
    </row>
    <row r="624" spans="1:1" x14ac:dyDescent="0.2">
      <c r="A624" t="str">
        <f>IF(ISBLANK(B624), "","Substation-623")</f>
        <v/>
      </c>
    </row>
    <row r="625" spans="1:1" x14ac:dyDescent="0.2">
      <c r="A625" t="str">
        <f>IF(ISBLANK(B625), "","Substation-624")</f>
        <v/>
      </c>
    </row>
    <row r="626" spans="1:1" x14ac:dyDescent="0.2">
      <c r="A626" t="str">
        <f>IF(ISBLANK(B626), "","Substation-625")</f>
        <v/>
      </c>
    </row>
    <row r="627" spans="1:1" x14ac:dyDescent="0.2">
      <c r="A627" t="str">
        <f>IF(ISBLANK(B627), "","Substation-626")</f>
        <v/>
      </c>
    </row>
    <row r="628" spans="1:1" x14ac:dyDescent="0.2">
      <c r="A628" t="str">
        <f>IF(ISBLANK(B628), "","Substation-627")</f>
        <v/>
      </c>
    </row>
    <row r="629" spans="1:1" x14ac:dyDescent="0.2">
      <c r="A629" t="str">
        <f>IF(ISBLANK(B629), "","Substation-628")</f>
        <v/>
      </c>
    </row>
    <row r="630" spans="1:1" x14ac:dyDescent="0.2">
      <c r="A630" t="str">
        <f>IF(ISBLANK(B630), "","Substation-629")</f>
        <v/>
      </c>
    </row>
    <row r="631" spans="1:1" x14ac:dyDescent="0.2">
      <c r="A631" t="str">
        <f>IF(ISBLANK(B631), "","Substation-630")</f>
        <v/>
      </c>
    </row>
    <row r="632" spans="1:1" x14ac:dyDescent="0.2">
      <c r="A632" t="str">
        <f>IF(ISBLANK(B632), "","Substation-631")</f>
        <v/>
      </c>
    </row>
    <row r="633" spans="1:1" x14ac:dyDescent="0.2">
      <c r="A633" t="str">
        <f>IF(ISBLANK(B633), "","Substation-632")</f>
        <v/>
      </c>
    </row>
    <row r="634" spans="1:1" x14ac:dyDescent="0.2">
      <c r="A634" t="str">
        <f>IF(ISBLANK(B634), "","Substation-633")</f>
        <v/>
      </c>
    </row>
    <row r="635" spans="1:1" x14ac:dyDescent="0.2">
      <c r="A635" t="str">
        <f>IF(ISBLANK(B635), "","Substation-634")</f>
        <v/>
      </c>
    </row>
    <row r="636" spans="1:1" x14ac:dyDescent="0.2">
      <c r="A636" t="str">
        <f>IF(ISBLANK(B636), "","Substation-635")</f>
        <v/>
      </c>
    </row>
    <row r="637" spans="1:1" x14ac:dyDescent="0.2">
      <c r="A637" t="str">
        <f>IF(ISBLANK(B637), "","Substation-636")</f>
        <v/>
      </c>
    </row>
    <row r="638" spans="1:1" x14ac:dyDescent="0.2">
      <c r="A638" t="str">
        <f>IF(ISBLANK(B638), "","Substation-637")</f>
        <v/>
      </c>
    </row>
    <row r="639" spans="1:1" x14ac:dyDescent="0.2">
      <c r="A639" t="str">
        <f>IF(ISBLANK(B639), "","Substation-638")</f>
        <v/>
      </c>
    </row>
    <row r="640" spans="1:1" x14ac:dyDescent="0.2">
      <c r="A640" t="str">
        <f>IF(ISBLANK(B640), "","Substation-639")</f>
        <v/>
      </c>
    </row>
    <row r="641" spans="1:1" x14ac:dyDescent="0.2">
      <c r="A641" t="str">
        <f>IF(ISBLANK(B641), "","Substation-640")</f>
        <v/>
      </c>
    </row>
    <row r="642" spans="1:1" x14ac:dyDescent="0.2">
      <c r="A642" t="str">
        <f>IF(ISBLANK(B642), "","Substation-641")</f>
        <v/>
      </c>
    </row>
    <row r="643" spans="1:1" x14ac:dyDescent="0.2">
      <c r="A643" t="str">
        <f>IF(ISBLANK(B643), "","Substation-642")</f>
        <v/>
      </c>
    </row>
    <row r="644" spans="1:1" x14ac:dyDescent="0.2">
      <c r="A644" t="str">
        <f>IF(ISBLANK(B644), "","Substation-643")</f>
        <v/>
      </c>
    </row>
    <row r="645" spans="1:1" x14ac:dyDescent="0.2">
      <c r="A645" t="str">
        <f>IF(ISBLANK(B645), "","Substation-644")</f>
        <v/>
      </c>
    </row>
    <row r="646" spans="1:1" x14ac:dyDescent="0.2">
      <c r="A646" t="str">
        <f>IF(ISBLANK(B646), "","Substation-645")</f>
        <v/>
      </c>
    </row>
    <row r="647" spans="1:1" x14ac:dyDescent="0.2">
      <c r="A647" t="str">
        <f>IF(ISBLANK(B647), "","Substation-646")</f>
        <v/>
      </c>
    </row>
    <row r="648" spans="1:1" x14ac:dyDescent="0.2">
      <c r="A648" t="str">
        <f>IF(ISBLANK(B648), "","Substation-647")</f>
        <v/>
      </c>
    </row>
    <row r="649" spans="1:1" x14ac:dyDescent="0.2">
      <c r="A649" t="str">
        <f>IF(ISBLANK(B649), "","Substation-648")</f>
        <v/>
      </c>
    </row>
    <row r="650" spans="1:1" x14ac:dyDescent="0.2">
      <c r="A650" t="str">
        <f>IF(ISBLANK(B650), "","Substation-649")</f>
        <v/>
      </c>
    </row>
    <row r="651" spans="1:1" x14ac:dyDescent="0.2">
      <c r="A651" t="str">
        <f>IF(ISBLANK(B651), "","Substation-650")</f>
        <v/>
      </c>
    </row>
    <row r="652" spans="1:1" x14ac:dyDescent="0.2">
      <c r="A652" t="str">
        <f>IF(ISBLANK(B652), "","Substation-651")</f>
        <v/>
      </c>
    </row>
    <row r="653" spans="1:1" x14ac:dyDescent="0.2">
      <c r="A653" t="str">
        <f>IF(ISBLANK(B653), "","Substation-652")</f>
        <v/>
      </c>
    </row>
    <row r="654" spans="1:1" x14ac:dyDescent="0.2">
      <c r="A654" t="str">
        <f>IF(ISBLANK(B654), "","Substation-653")</f>
        <v/>
      </c>
    </row>
    <row r="655" spans="1:1" x14ac:dyDescent="0.2">
      <c r="A655" t="str">
        <f>IF(ISBLANK(B655), "","Substation-654")</f>
        <v/>
      </c>
    </row>
    <row r="656" spans="1:1" x14ac:dyDescent="0.2">
      <c r="A656" t="str">
        <f>IF(ISBLANK(B656), "","Substation-655")</f>
        <v/>
      </c>
    </row>
    <row r="657" spans="1:1" x14ac:dyDescent="0.2">
      <c r="A657" t="str">
        <f>IF(ISBLANK(B657), "","Substation-656")</f>
        <v/>
      </c>
    </row>
    <row r="658" spans="1:1" x14ac:dyDescent="0.2">
      <c r="A658" t="str">
        <f>IF(ISBLANK(B658), "","Substation-657")</f>
        <v/>
      </c>
    </row>
    <row r="659" spans="1:1" x14ac:dyDescent="0.2">
      <c r="A659" t="str">
        <f>IF(ISBLANK(B659), "","Substation-658")</f>
        <v/>
      </c>
    </row>
    <row r="660" spans="1:1" x14ac:dyDescent="0.2">
      <c r="A660" t="str">
        <f>IF(ISBLANK(B660), "","Substation-659")</f>
        <v/>
      </c>
    </row>
    <row r="661" spans="1:1" x14ac:dyDescent="0.2">
      <c r="A661" t="str">
        <f>IF(ISBLANK(B661), "","Substation-660")</f>
        <v/>
      </c>
    </row>
    <row r="662" spans="1:1" x14ac:dyDescent="0.2">
      <c r="A662" t="str">
        <f>IF(ISBLANK(B662), "","Substation-661")</f>
        <v/>
      </c>
    </row>
    <row r="663" spans="1:1" x14ac:dyDescent="0.2">
      <c r="A663" t="str">
        <f>IF(ISBLANK(B663), "","Substation-662")</f>
        <v/>
      </c>
    </row>
    <row r="664" spans="1:1" x14ac:dyDescent="0.2">
      <c r="A664" t="str">
        <f>IF(ISBLANK(B664), "","Substation-663")</f>
        <v/>
      </c>
    </row>
    <row r="665" spans="1:1" x14ac:dyDescent="0.2">
      <c r="A665" t="str">
        <f>IF(ISBLANK(B665), "","Substation-664")</f>
        <v/>
      </c>
    </row>
    <row r="666" spans="1:1" x14ac:dyDescent="0.2">
      <c r="A666" t="str">
        <f>IF(ISBLANK(B666), "","Substation-665")</f>
        <v/>
      </c>
    </row>
    <row r="667" spans="1:1" x14ac:dyDescent="0.2">
      <c r="A667" t="str">
        <f>IF(ISBLANK(B667), "","Substation-666")</f>
        <v/>
      </c>
    </row>
    <row r="668" spans="1:1" x14ac:dyDescent="0.2">
      <c r="A668" t="str">
        <f>IF(ISBLANK(B668), "","Substation-667")</f>
        <v/>
      </c>
    </row>
    <row r="669" spans="1:1" x14ac:dyDescent="0.2">
      <c r="A669" t="str">
        <f>IF(ISBLANK(B669), "","Substation-668")</f>
        <v/>
      </c>
    </row>
    <row r="670" spans="1:1" x14ac:dyDescent="0.2">
      <c r="A670" t="str">
        <f>IF(ISBLANK(B670), "","Substation-669")</f>
        <v/>
      </c>
    </row>
    <row r="671" spans="1:1" x14ac:dyDescent="0.2">
      <c r="A671" t="str">
        <f>IF(ISBLANK(B671), "","Substation-670")</f>
        <v/>
      </c>
    </row>
    <row r="672" spans="1:1" x14ac:dyDescent="0.2">
      <c r="A672" t="str">
        <f>IF(ISBLANK(B672), "","Substation-671")</f>
        <v/>
      </c>
    </row>
    <row r="673" spans="1:1" x14ac:dyDescent="0.2">
      <c r="A673" t="str">
        <f>IF(ISBLANK(B673), "","Substation-672")</f>
        <v/>
      </c>
    </row>
    <row r="674" spans="1:1" x14ac:dyDescent="0.2">
      <c r="A674" t="str">
        <f>IF(ISBLANK(B674), "","Substation-673")</f>
        <v/>
      </c>
    </row>
    <row r="675" spans="1:1" x14ac:dyDescent="0.2">
      <c r="A675" t="str">
        <f>IF(ISBLANK(B675), "","Substation-674")</f>
        <v/>
      </c>
    </row>
    <row r="676" spans="1:1" x14ac:dyDescent="0.2">
      <c r="A676" t="str">
        <f>IF(ISBLANK(B676), "","Substation-675")</f>
        <v/>
      </c>
    </row>
    <row r="677" spans="1:1" x14ac:dyDescent="0.2">
      <c r="A677" t="str">
        <f>IF(ISBLANK(B677), "","Substation-676")</f>
        <v/>
      </c>
    </row>
    <row r="678" spans="1:1" x14ac:dyDescent="0.2">
      <c r="A678" t="str">
        <f>IF(ISBLANK(B678), "","Substation-677")</f>
        <v/>
      </c>
    </row>
    <row r="679" spans="1:1" x14ac:dyDescent="0.2">
      <c r="A679" t="str">
        <f>IF(ISBLANK(B679), "","Substation-678")</f>
        <v/>
      </c>
    </row>
    <row r="680" spans="1:1" x14ac:dyDescent="0.2">
      <c r="A680" t="str">
        <f>IF(ISBLANK(B680), "","Substation-679")</f>
        <v/>
      </c>
    </row>
    <row r="681" spans="1:1" x14ac:dyDescent="0.2">
      <c r="A681" t="str">
        <f>IF(ISBLANK(B681), "","Substation-680")</f>
        <v/>
      </c>
    </row>
    <row r="682" spans="1:1" x14ac:dyDescent="0.2">
      <c r="A682" t="str">
        <f>IF(ISBLANK(B682), "","Substation-681")</f>
        <v/>
      </c>
    </row>
    <row r="683" spans="1:1" x14ac:dyDescent="0.2">
      <c r="A683" t="str">
        <f>IF(ISBLANK(B683), "","Substation-682")</f>
        <v/>
      </c>
    </row>
    <row r="684" spans="1:1" x14ac:dyDescent="0.2">
      <c r="A684" t="str">
        <f>IF(ISBLANK(B684), "","Substation-683")</f>
        <v/>
      </c>
    </row>
    <row r="685" spans="1:1" x14ac:dyDescent="0.2">
      <c r="A685" t="str">
        <f>IF(ISBLANK(B685), "","Substation-684")</f>
        <v/>
      </c>
    </row>
    <row r="686" spans="1:1" x14ac:dyDescent="0.2">
      <c r="A686" t="str">
        <f>IF(ISBLANK(B686), "","Substation-685")</f>
        <v/>
      </c>
    </row>
    <row r="687" spans="1:1" x14ac:dyDescent="0.2">
      <c r="A687" t="str">
        <f>IF(ISBLANK(B687), "","Substation-686")</f>
        <v/>
      </c>
    </row>
    <row r="688" spans="1:1" x14ac:dyDescent="0.2">
      <c r="A688" t="str">
        <f>IF(ISBLANK(B688), "","Substation-687")</f>
        <v/>
      </c>
    </row>
    <row r="689" spans="1:1" x14ac:dyDescent="0.2">
      <c r="A689" t="str">
        <f>IF(ISBLANK(B689), "","Substation-688")</f>
        <v/>
      </c>
    </row>
    <row r="690" spans="1:1" x14ac:dyDescent="0.2">
      <c r="A690" t="str">
        <f>IF(ISBLANK(B690), "","Substation-689")</f>
        <v/>
      </c>
    </row>
    <row r="691" spans="1:1" x14ac:dyDescent="0.2">
      <c r="A691" t="str">
        <f>IF(ISBLANK(B691), "","Substation-690")</f>
        <v/>
      </c>
    </row>
    <row r="692" spans="1:1" x14ac:dyDescent="0.2">
      <c r="A692" t="str">
        <f>IF(ISBLANK(B692), "","Substation-691")</f>
        <v/>
      </c>
    </row>
    <row r="693" spans="1:1" x14ac:dyDescent="0.2">
      <c r="A693" t="str">
        <f>IF(ISBLANK(B693), "","Substation-692")</f>
        <v/>
      </c>
    </row>
    <row r="694" spans="1:1" x14ac:dyDescent="0.2">
      <c r="A694" t="str">
        <f>IF(ISBLANK(B694), "","Substation-693")</f>
        <v/>
      </c>
    </row>
    <row r="695" spans="1:1" x14ac:dyDescent="0.2">
      <c r="A695" t="str">
        <f>IF(ISBLANK(B695), "","Substation-694")</f>
        <v/>
      </c>
    </row>
    <row r="696" spans="1:1" x14ac:dyDescent="0.2">
      <c r="A696" t="str">
        <f>IF(ISBLANK(B696), "","Substation-695")</f>
        <v/>
      </c>
    </row>
    <row r="697" spans="1:1" x14ac:dyDescent="0.2">
      <c r="A697" t="str">
        <f>IF(ISBLANK(B697), "","Substation-696")</f>
        <v/>
      </c>
    </row>
    <row r="698" spans="1:1" x14ac:dyDescent="0.2">
      <c r="A698" t="str">
        <f>IF(ISBLANK(B698), "","Substation-697")</f>
        <v/>
      </c>
    </row>
    <row r="699" spans="1:1" x14ac:dyDescent="0.2">
      <c r="A699" t="str">
        <f>IF(ISBLANK(B699), "","Substation-698")</f>
        <v/>
      </c>
    </row>
    <row r="700" spans="1:1" x14ac:dyDescent="0.2">
      <c r="A700" t="str">
        <f>IF(ISBLANK(B700), "","Substation-699")</f>
        <v/>
      </c>
    </row>
    <row r="701" spans="1:1" x14ac:dyDescent="0.2">
      <c r="A701" t="str">
        <f>IF(ISBLANK(B701), "","Substation-700")</f>
        <v/>
      </c>
    </row>
    <row r="702" spans="1:1" x14ac:dyDescent="0.2">
      <c r="A702" t="str">
        <f>IF(ISBLANK(B702), "","Substation-701")</f>
        <v/>
      </c>
    </row>
    <row r="703" spans="1:1" x14ac:dyDescent="0.2">
      <c r="A703" t="str">
        <f>IF(ISBLANK(B703), "","Substation-702")</f>
        <v/>
      </c>
    </row>
    <row r="704" spans="1:1" x14ac:dyDescent="0.2">
      <c r="A704" t="str">
        <f>IF(ISBLANK(B704), "","Substation-703")</f>
        <v/>
      </c>
    </row>
    <row r="705" spans="1:1" x14ac:dyDescent="0.2">
      <c r="A705" t="str">
        <f>IF(ISBLANK(B705), "","Substation-704")</f>
        <v/>
      </c>
    </row>
    <row r="706" spans="1:1" x14ac:dyDescent="0.2">
      <c r="A706" t="str">
        <f>IF(ISBLANK(B706), "","Substation-705")</f>
        <v/>
      </c>
    </row>
    <row r="707" spans="1:1" x14ac:dyDescent="0.2">
      <c r="A707" t="str">
        <f>IF(ISBLANK(B707), "","Substation-706")</f>
        <v/>
      </c>
    </row>
    <row r="708" spans="1:1" x14ac:dyDescent="0.2">
      <c r="A708" t="str">
        <f>IF(ISBLANK(B708), "","Substation-707")</f>
        <v/>
      </c>
    </row>
    <row r="709" spans="1:1" x14ac:dyDescent="0.2">
      <c r="A709" t="str">
        <f>IF(ISBLANK(B709), "","Substation-708")</f>
        <v/>
      </c>
    </row>
    <row r="710" spans="1:1" x14ac:dyDescent="0.2">
      <c r="A710" t="str">
        <f>IF(ISBLANK(B710), "","Substation-709")</f>
        <v/>
      </c>
    </row>
    <row r="711" spans="1:1" x14ac:dyDescent="0.2">
      <c r="A711" t="str">
        <f>IF(ISBLANK(B711), "","Substation-710")</f>
        <v/>
      </c>
    </row>
    <row r="712" spans="1:1" x14ac:dyDescent="0.2">
      <c r="A712" t="str">
        <f>IF(ISBLANK(B712), "","Substation-711")</f>
        <v/>
      </c>
    </row>
    <row r="713" spans="1:1" x14ac:dyDescent="0.2">
      <c r="A713" t="str">
        <f>IF(ISBLANK(B713), "","Substation-712")</f>
        <v/>
      </c>
    </row>
    <row r="714" spans="1:1" x14ac:dyDescent="0.2">
      <c r="A714" t="str">
        <f>IF(ISBLANK(B714), "","Substation-713")</f>
        <v/>
      </c>
    </row>
    <row r="715" spans="1:1" x14ac:dyDescent="0.2">
      <c r="A715" t="str">
        <f>IF(ISBLANK(B715), "","Substation-714")</f>
        <v/>
      </c>
    </row>
    <row r="716" spans="1:1" x14ac:dyDescent="0.2">
      <c r="A716" t="str">
        <f>IF(ISBLANK(B716), "","Substation-715")</f>
        <v/>
      </c>
    </row>
    <row r="717" spans="1:1" x14ac:dyDescent="0.2">
      <c r="A717" t="str">
        <f>IF(ISBLANK(B717), "","Substation-716")</f>
        <v/>
      </c>
    </row>
    <row r="718" spans="1:1" x14ac:dyDescent="0.2">
      <c r="A718" t="str">
        <f>IF(ISBLANK(B718), "","Substation-717")</f>
        <v/>
      </c>
    </row>
    <row r="719" spans="1:1" x14ac:dyDescent="0.2">
      <c r="A719" t="str">
        <f>IF(ISBLANK(B719), "","Substation-718")</f>
        <v/>
      </c>
    </row>
    <row r="720" spans="1:1" x14ac:dyDescent="0.2">
      <c r="A720" t="str">
        <f>IF(ISBLANK(B720), "","Substation-719")</f>
        <v/>
      </c>
    </row>
    <row r="721" spans="1:1" x14ac:dyDescent="0.2">
      <c r="A721" t="str">
        <f>IF(ISBLANK(B721), "","Substation-720")</f>
        <v/>
      </c>
    </row>
    <row r="722" spans="1:1" x14ac:dyDescent="0.2">
      <c r="A722" t="str">
        <f>IF(ISBLANK(B722), "","Substation-721")</f>
        <v/>
      </c>
    </row>
    <row r="723" spans="1:1" x14ac:dyDescent="0.2">
      <c r="A723" t="str">
        <f>IF(ISBLANK(B723), "","Substation-722")</f>
        <v/>
      </c>
    </row>
    <row r="724" spans="1:1" x14ac:dyDescent="0.2">
      <c r="A724" t="str">
        <f>IF(ISBLANK(B724), "","Substation-723")</f>
        <v/>
      </c>
    </row>
    <row r="725" spans="1:1" x14ac:dyDescent="0.2">
      <c r="A725" t="str">
        <f>IF(ISBLANK(B725), "","Substation-724")</f>
        <v/>
      </c>
    </row>
    <row r="726" spans="1:1" x14ac:dyDescent="0.2">
      <c r="A726" t="str">
        <f>IF(ISBLANK(B726), "","Substation-725")</f>
        <v/>
      </c>
    </row>
    <row r="727" spans="1:1" x14ac:dyDescent="0.2">
      <c r="A727" t="str">
        <f>IF(ISBLANK(B727), "","Substation-726")</f>
        <v/>
      </c>
    </row>
    <row r="728" spans="1:1" x14ac:dyDescent="0.2">
      <c r="A728" t="str">
        <f>IF(ISBLANK(B728), "","Substation-727")</f>
        <v/>
      </c>
    </row>
    <row r="729" spans="1:1" x14ac:dyDescent="0.2">
      <c r="A729" t="str">
        <f>IF(ISBLANK(B729), "","Substation-728")</f>
        <v/>
      </c>
    </row>
    <row r="730" spans="1:1" x14ac:dyDescent="0.2">
      <c r="A730" t="str">
        <f>IF(ISBLANK(B730), "","Substation-729")</f>
        <v/>
      </c>
    </row>
    <row r="731" spans="1:1" x14ac:dyDescent="0.2">
      <c r="A731" t="str">
        <f>IF(ISBLANK(B731), "","Substation-730")</f>
        <v/>
      </c>
    </row>
    <row r="732" spans="1:1" x14ac:dyDescent="0.2">
      <c r="A732" t="str">
        <f>IF(ISBLANK(B732), "","Substation-731")</f>
        <v/>
      </c>
    </row>
    <row r="733" spans="1:1" x14ac:dyDescent="0.2">
      <c r="A733" t="str">
        <f>IF(ISBLANK(B733), "","Substation-732")</f>
        <v/>
      </c>
    </row>
    <row r="734" spans="1:1" x14ac:dyDescent="0.2">
      <c r="A734" t="str">
        <f>IF(ISBLANK(B734), "","Substation-733")</f>
        <v/>
      </c>
    </row>
    <row r="735" spans="1:1" x14ac:dyDescent="0.2">
      <c r="A735" t="str">
        <f>IF(ISBLANK(B735), "","Substation-734")</f>
        <v/>
      </c>
    </row>
    <row r="736" spans="1:1" x14ac:dyDescent="0.2">
      <c r="A736" t="str">
        <f>IF(ISBLANK(B736), "","Substation-735")</f>
        <v/>
      </c>
    </row>
    <row r="737" spans="1:1" x14ac:dyDescent="0.2">
      <c r="A737" t="str">
        <f>IF(ISBLANK(B737), "","Substation-736")</f>
        <v/>
      </c>
    </row>
    <row r="738" spans="1:1" x14ac:dyDescent="0.2">
      <c r="A738" t="str">
        <f>IF(ISBLANK(B738), "","Substation-737")</f>
        <v/>
      </c>
    </row>
    <row r="739" spans="1:1" x14ac:dyDescent="0.2">
      <c r="A739" t="str">
        <f>IF(ISBLANK(B739), "","Substation-738")</f>
        <v/>
      </c>
    </row>
    <row r="740" spans="1:1" x14ac:dyDescent="0.2">
      <c r="A740" t="str">
        <f>IF(ISBLANK(B740), "","Substation-739")</f>
        <v/>
      </c>
    </row>
    <row r="741" spans="1:1" x14ac:dyDescent="0.2">
      <c r="A741" t="str">
        <f>IF(ISBLANK(B741), "","Substation-740")</f>
        <v/>
      </c>
    </row>
    <row r="742" spans="1:1" x14ac:dyDescent="0.2">
      <c r="A742" t="str">
        <f>IF(ISBLANK(B742), "","Substation-741")</f>
        <v/>
      </c>
    </row>
    <row r="743" spans="1:1" x14ac:dyDescent="0.2">
      <c r="A743" t="str">
        <f>IF(ISBLANK(B743), "","Substation-742")</f>
        <v/>
      </c>
    </row>
    <row r="744" spans="1:1" x14ac:dyDescent="0.2">
      <c r="A744" t="str">
        <f>IF(ISBLANK(B744), "","Substation-743")</f>
        <v/>
      </c>
    </row>
    <row r="745" spans="1:1" x14ac:dyDescent="0.2">
      <c r="A745" t="str">
        <f>IF(ISBLANK(B745), "","Substation-744")</f>
        <v/>
      </c>
    </row>
    <row r="746" spans="1:1" x14ac:dyDescent="0.2">
      <c r="A746" t="str">
        <f>IF(ISBLANK(B746), "","Substation-745")</f>
        <v/>
      </c>
    </row>
    <row r="747" spans="1:1" x14ac:dyDescent="0.2">
      <c r="A747" t="str">
        <f>IF(ISBLANK(B747), "","Substation-746")</f>
        <v/>
      </c>
    </row>
    <row r="748" spans="1:1" x14ac:dyDescent="0.2">
      <c r="A748" t="str">
        <f>IF(ISBLANK(B748), "","Substation-747")</f>
        <v/>
      </c>
    </row>
    <row r="749" spans="1:1" x14ac:dyDescent="0.2">
      <c r="A749" t="str">
        <f>IF(ISBLANK(B749), "","Substation-748")</f>
        <v/>
      </c>
    </row>
    <row r="750" spans="1:1" x14ac:dyDescent="0.2">
      <c r="A750" t="str">
        <f>IF(ISBLANK(B750), "","Substation-749")</f>
        <v/>
      </c>
    </row>
    <row r="751" spans="1:1" x14ac:dyDescent="0.2">
      <c r="A751" t="str">
        <f>IF(ISBLANK(B751), "","Substation-750")</f>
        <v/>
      </c>
    </row>
    <row r="752" spans="1:1" x14ac:dyDescent="0.2">
      <c r="A752" t="str">
        <f>IF(ISBLANK(B752), "","Substation-751")</f>
        <v/>
      </c>
    </row>
    <row r="753" spans="1:1" x14ac:dyDescent="0.2">
      <c r="A753" t="str">
        <f>IF(ISBLANK(B753), "","Substation-752")</f>
        <v/>
      </c>
    </row>
    <row r="754" spans="1:1" x14ac:dyDescent="0.2">
      <c r="A754" t="str">
        <f>IF(ISBLANK(B754), "","Substation-753")</f>
        <v/>
      </c>
    </row>
    <row r="755" spans="1:1" x14ac:dyDescent="0.2">
      <c r="A755" t="str">
        <f>IF(ISBLANK(B755), "","Substation-754")</f>
        <v/>
      </c>
    </row>
    <row r="756" spans="1:1" x14ac:dyDescent="0.2">
      <c r="A756" t="str">
        <f>IF(ISBLANK(B756), "","Substation-755")</f>
        <v/>
      </c>
    </row>
    <row r="757" spans="1:1" x14ac:dyDescent="0.2">
      <c r="A757" t="str">
        <f>IF(ISBLANK(B757), "","Substation-756")</f>
        <v/>
      </c>
    </row>
    <row r="758" spans="1:1" x14ac:dyDescent="0.2">
      <c r="A758" t="str">
        <f>IF(ISBLANK(B758), "","Substation-757")</f>
        <v/>
      </c>
    </row>
    <row r="759" spans="1:1" x14ac:dyDescent="0.2">
      <c r="A759" t="str">
        <f>IF(ISBLANK(B759), "","Substation-758")</f>
        <v/>
      </c>
    </row>
    <row r="760" spans="1:1" x14ac:dyDescent="0.2">
      <c r="A760" t="str">
        <f>IF(ISBLANK(B760), "","Substation-759")</f>
        <v/>
      </c>
    </row>
    <row r="761" spans="1:1" x14ac:dyDescent="0.2">
      <c r="A761" t="str">
        <f>IF(ISBLANK(B761), "","Substation-760")</f>
        <v/>
      </c>
    </row>
    <row r="762" spans="1:1" x14ac:dyDescent="0.2">
      <c r="A762" t="str">
        <f>IF(ISBLANK(B762), "","Substation-761")</f>
        <v/>
      </c>
    </row>
    <row r="763" spans="1:1" x14ac:dyDescent="0.2">
      <c r="A763" t="str">
        <f>IF(ISBLANK(B763), "","Substation-762")</f>
        <v/>
      </c>
    </row>
    <row r="764" spans="1:1" x14ac:dyDescent="0.2">
      <c r="A764" t="str">
        <f>IF(ISBLANK(B764), "","Substation-763")</f>
        <v/>
      </c>
    </row>
    <row r="765" spans="1:1" x14ac:dyDescent="0.2">
      <c r="A765" t="str">
        <f>IF(ISBLANK(B765), "","Substation-764")</f>
        <v/>
      </c>
    </row>
    <row r="766" spans="1:1" x14ac:dyDescent="0.2">
      <c r="A766" t="str">
        <f>IF(ISBLANK(B766), "","Substation-765")</f>
        <v/>
      </c>
    </row>
    <row r="767" spans="1:1" x14ac:dyDescent="0.2">
      <c r="A767" t="str">
        <f>IF(ISBLANK(B767), "","Substation-766")</f>
        <v/>
      </c>
    </row>
    <row r="768" spans="1:1" x14ac:dyDescent="0.2">
      <c r="A768" t="str">
        <f>IF(ISBLANK(B768), "","Substation-767")</f>
        <v/>
      </c>
    </row>
    <row r="769" spans="1:1" x14ac:dyDescent="0.2">
      <c r="A769" t="str">
        <f>IF(ISBLANK(B769), "","Substation-768")</f>
        <v/>
      </c>
    </row>
    <row r="770" spans="1:1" x14ac:dyDescent="0.2">
      <c r="A770" t="str">
        <f>IF(ISBLANK(B770), "","Substation-769")</f>
        <v/>
      </c>
    </row>
    <row r="771" spans="1:1" x14ac:dyDescent="0.2">
      <c r="A771" t="str">
        <f>IF(ISBLANK(B771), "","Substation-770")</f>
        <v/>
      </c>
    </row>
    <row r="772" spans="1:1" x14ac:dyDescent="0.2">
      <c r="A772" t="str">
        <f>IF(ISBLANK(B772), "","Substation-771")</f>
        <v/>
      </c>
    </row>
    <row r="773" spans="1:1" x14ac:dyDescent="0.2">
      <c r="A773" t="str">
        <f>IF(ISBLANK(B773), "","Substation-772")</f>
        <v/>
      </c>
    </row>
    <row r="774" spans="1:1" x14ac:dyDescent="0.2">
      <c r="A774" t="str">
        <f>IF(ISBLANK(B774), "","Substation-773")</f>
        <v/>
      </c>
    </row>
    <row r="775" spans="1:1" x14ac:dyDescent="0.2">
      <c r="A775" t="str">
        <f>IF(ISBLANK(B775), "","Substation-774")</f>
        <v/>
      </c>
    </row>
    <row r="776" spans="1:1" x14ac:dyDescent="0.2">
      <c r="A776" t="str">
        <f>IF(ISBLANK(B776), "","Substation-775")</f>
        <v/>
      </c>
    </row>
    <row r="777" spans="1:1" x14ac:dyDescent="0.2">
      <c r="A777" t="str">
        <f>IF(ISBLANK(B777), "","Substation-776")</f>
        <v/>
      </c>
    </row>
    <row r="778" spans="1:1" x14ac:dyDescent="0.2">
      <c r="A778" t="str">
        <f>IF(ISBLANK(B778), "","Substation-777")</f>
        <v/>
      </c>
    </row>
    <row r="779" spans="1:1" x14ac:dyDescent="0.2">
      <c r="A779" t="str">
        <f>IF(ISBLANK(B779), "","Substation-778")</f>
        <v/>
      </c>
    </row>
    <row r="780" spans="1:1" x14ac:dyDescent="0.2">
      <c r="A780" t="str">
        <f>IF(ISBLANK(B780), "","Substation-779")</f>
        <v/>
      </c>
    </row>
    <row r="781" spans="1:1" x14ac:dyDescent="0.2">
      <c r="A781" t="str">
        <f>IF(ISBLANK(B781), "","Substation-780")</f>
        <v/>
      </c>
    </row>
    <row r="782" spans="1:1" x14ac:dyDescent="0.2">
      <c r="A782" t="str">
        <f>IF(ISBLANK(B782), "","Substation-781")</f>
        <v/>
      </c>
    </row>
    <row r="783" spans="1:1" x14ac:dyDescent="0.2">
      <c r="A783" t="str">
        <f>IF(ISBLANK(B783), "","Substation-782")</f>
        <v/>
      </c>
    </row>
    <row r="784" spans="1:1" x14ac:dyDescent="0.2">
      <c r="A784" t="str">
        <f>IF(ISBLANK(B784), "","Substation-783")</f>
        <v/>
      </c>
    </row>
    <row r="785" spans="1:1" x14ac:dyDescent="0.2">
      <c r="A785" t="str">
        <f>IF(ISBLANK(B785), "","Substation-784")</f>
        <v/>
      </c>
    </row>
    <row r="786" spans="1:1" x14ac:dyDescent="0.2">
      <c r="A786" t="str">
        <f>IF(ISBLANK(B786), "","Substation-785")</f>
        <v/>
      </c>
    </row>
    <row r="787" spans="1:1" x14ac:dyDescent="0.2">
      <c r="A787" t="str">
        <f>IF(ISBLANK(B787), "","Substation-786")</f>
        <v/>
      </c>
    </row>
    <row r="788" spans="1:1" x14ac:dyDescent="0.2">
      <c r="A788" t="str">
        <f>IF(ISBLANK(B788), "","Substation-787")</f>
        <v/>
      </c>
    </row>
    <row r="789" spans="1:1" x14ac:dyDescent="0.2">
      <c r="A789" t="str">
        <f>IF(ISBLANK(B789), "","Substation-788")</f>
        <v/>
      </c>
    </row>
    <row r="790" spans="1:1" x14ac:dyDescent="0.2">
      <c r="A790" t="str">
        <f>IF(ISBLANK(B790), "","Substation-789")</f>
        <v/>
      </c>
    </row>
    <row r="791" spans="1:1" x14ac:dyDescent="0.2">
      <c r="A791" t="str">
        <f>IF(ISBLANK(B791), "","Substation-790")</f>
        <v/>
      </c>
    </row>
    <row r="792" spans="1:1" x14ac:dyDescent="0.2">
      <c r="A792" t="str">
        <f>IF(ISBLANK(B792), "","Substation-791")</f>
        <v/>
      </c>
    </row>
    <row r="793" spans="1:1" x14ac:dyDescent="0.2">
      <c r="A793" t="str">
        <f>IF(ISBLANK(B793), "","Substation-792")</f>
        <v/>
      </c>
    </row>
    <row r="794" spans="1:1" x14ac:dyDescent="0.2">
      <c r="A794" t="str">
        <f>IF(ISBLANK(B794), "","Substation-793")</f>
        <v/>
      </c>
    </row>
    <row r="795" spans="1:1" x14ac:dyDescent="0.2">
      <c r="A795" t="str">
        <f>IF(ISBLANK(B795), "","Substation-794")</f>
        <v/>
      </c>
    </row>
    <row r="796" spans="1:1" x14ac:dyDescent="0.2">
      <c r="A796" t="str">
        <f>IF(ISBLANK(B796), "","Substation-795")</f>
        <v/>
      </c>
    </row>
    <row r="797" spans="1:1" x14ac:dyDescent="0.2">
      <c r="A797" t="str">
        <f>IF(ISBLANK(B797), "","Substation-796")</f>
        <v/>
      </c>
    </row>
    <row r="798" spans="1:1" x14ac:dyDescent="0.2">
      <c r="A798" t="str">
        <f>IF(ISBLANK(B798), "","Substation-797")</f>
        <v/>
      </c>
    </row>
    <row r="799" spans="1:1" x14ac:dyDescent="0.2">
      <c r="A799" t="str">
        <f>IF(ISBLANK(B799), "","Substation-798")</f>
        <v/>
      </c>
    </row>
    <row r="800" spans="1:1" x14ac:dyDescent="0.2">
      <c r="A800" t="str">
        <f>IF(ISBLANK(B800), "","Substation-799")</f>
        <v/>
      </c>
    </row>
    <row r="801" spans="1:1" x14ac:dyDescent="0.2">
      <c r="A801" t="str">
        <f>IF(ISBLANK(B801), "","Substation-800")</f>
        <v/>
      </c>
    </row>
    <row r="802" spans="1:1" x14ac:dyDescent="0.2">
      <c r="A802" t="str">
        <f>IF(ISBLANK(B802), "","Substation-801")</f>
        <v/>
      </c>
    </row>
    <row r="803" spans="1:1" x14ac:dyDescent="0.2">
      <c r="A803" t="str">
        <f>IF(ISBLANK(B803), "","Substation-802")</f>
        <v/>
      </c>
    </row>
    <row r="804" spans="1:1" x14ac:dyDescent="0.2">
      <c r="A804" t="str">
        <f>IF(ISBLANK(B804), "","Substation-803")</f>
        <v/>
      </c>
    </row>
    <row r="805" spans="1:1" x14ac:dyDescent="0.2">
      <c r="A805" t="str">
        <f>IF(ISBLANK(B805), "","Substation-804")</f>
        <v/>
      </c>
    </row>
    <row r="806" spans="1:1" x14ac:dyDescent="0.2">
      <c r="A806" t="str">
        <f>IF(ISBLANK(B806), "","Substation-805")</f>
        <v/>
      </c>
    </row>
    <row r="807" spans="1:1" x14ac:dyDescent="0.2">
      <c r="A807" t="str">
        <f>IF(ISBLANK(B807), "","Substation-806")</f>
        <v/>
      </c>
    </row>
    <row r="808" spans="1:1" x14ac:dyDescent="0.2">
      <c r="A808" t="str">
        <f>IF(ISBLANK(B808), "","Substation-807")</f>
        <v/>
      </c>
    </row>
    <row r="809" spans="1:1" x14ac:dyDescent="0.2">
      <c r="A809" t="str">
        <f>IF(ISBLANK(B809), "","Substation-808")</f>
        <v/>
      </c>
    </row>
    <row r="810" spans="1:1" x14ac:dyDescent="0.2">
      <c r="A810" t="str">
        <f>IF(ISBLANK(B810), "","Substation-809")</f>
        <v/>
      </c>
    </row>
    <row r="811" spans="1:1" x14ac:dyDescent="0.2">
      <c r="A811" t="str">
        <f>IF(ISBLANK(B811), "","Substation-810")</f>
        <v/>
      </c>
    </row>
    <row r="812" spans="1:1" x14ac:dyDescent="0.2">
      <c r="A812" t="str">
        <f>IF(ISBLANK(B812), "","Substation-811")</f>
        <v/>
      </c>
    </row>
    <row r="813" spans="1:1" x14ac:dyDescent="0.2">
      <c r="A813" t="str">
        <f>IF(ISBLANK(B813), "","Substation-812")</f>
        <v/>
      </c>
    </row>
    <row r="814" spans="1:1" x14ac:dyDescent="0.2">
      <c r="A814" t="str">
        <f>IF(ISBLANK(B814), "","Substation-813")</f>
        <v/>
      </c>
    </row>
    <row r="815" spans="1:1" x14ac:dyDescent="0.2">
      <c r="A815" t="str">
        <f>IF(ISBLANK(B815), "","Substation-814")</f>
        <v/>
      </c>
    </row>
    <row r="816" spans="1:1" x14ac:dyDescent="0.2">
      <c r="A816" t="str">
        <f>IF(ISBLANK(B816), "","Substation-815")</f>
        <v/>
      </c>
    </row>
    <row r="817" spans="1:1" x14ac:dyDescent="0.2">
      <c r="A817" t="str">
        <f>IF(ISBLANK(B817), "","Substation-816")</f>
        <v/>
      </c>
    </row>
    <row r="818" spans="1:1" x14ac:dyDescent="0.2">
      <c r="A818" t="str">
        <f>IF(ISBLANK(B818), "","Substation-817")</f>
        <v/>
      </c>
    </row>
    <row r="819" spans="1:1" x14ac:dyDescent="0.2">
      <c r="A819" t="str">
        <f>IF(ISBLANK(B819), "","Substation-818")</f>
        <v/>
      </c>
    </row>
    <row r="820" spans="1:1" x14ac:dyDescent="0.2">
      <c r="A820" t="str">
        <f>IF(ISBLANK(B820), "","Substation-819")</f>
        <v/>
      </c>
    </row>
    <row r="821" spans="1:1" x14ac:dyDescent="0.2">
      <c r="A821" t="str">
        <f>IF(ISBLANK(B821), "","Substation-820")</f>
        <v/>
      </c>
    </row>
    <row r="822" spans="1:1" x14ac:dyDescent="0.2">
      <c r="A822" t="str">
        <f>IF(ISBLANK(B822), "","Substation-821")</f>
        <v/>
      </c>
    </row>
    <row r="823" spans="1:1" x14ac:dyDescent="0.2">
      <c r="A823" t="str">
        <f>IF(ISBLANK(B823), "","Substation-822")</f>
        <v/>
      </c>
    </row>
    <row r="824" spans="1:1" x14ac:dyDescent="0.2">
      <c r="A824" t="str">
        <f>IF(ISBLANK(B824), "","Substation-823")</f>
        <v/>
      </c>
    </row>
    <row r="825" spans="1:1" x14ac:dyDescent="0.2">
      <c r="A825" t="str">
        <f>IF(ISBLANK(B825), "","Substation-824")</f>
        <v/>
      </c>
    </row>
    <row r="826" spans="1:1" x14ac:dyDescent="0.2">
      <c r="A826" t="str">
        <f>IF(ISBLANK(B826), "","Substation-825")</f>
        <v/>
      </c>
    </row>
    <row r="827" spans="1:1" x14ac:dyDescent="0.2">
      <c r="A827" t="str">
        <f>IF(ISBLANK(B827), "","Substation-826")</f>
        <v/>
      </c>
    </row>
    <row r="828" spans="1:1" x14ac:dyDescent="0.2">
      <c r="A828" t="str">
        <f>IF(ISBLANK(B828), "","Substation-827")</f>
        <v/>
      </c>
    </row>
    <row r="829" spans="1:1" x14ac:dyDescent="0.2">
      <c r="A829" t="str">
        <f>IF(ISBLANK(B829), "","Substation-828")</f>
        <v/>
      </c>
    </row>
    <row r="830" spans="1:1" x14ac:dyDescent="0.2">
      <c r="A830" t="str">
        <f>IF(ISBLANK(B830), "","Substation-829")</f>
        <v/>
      </c>
    </row>
    <row r="831" spans="1:1" x14ac:dyDescent="0.2">
      <c r="A831" t="str">
        <f>IF(ISBLANK(B831), "","Substation-830")</f>
        <v/>
      </c>
    </row>
    <row r="832" spans="1:1" x14ac:dyDescent="0.2">
      <c r="A832" t="str">
        <f>IF(ISBLANK(B832), "","Substation-831")</f>
        <v/>
      </c>
    </row>
    <row r="833" spans="1:1" x14ac:dyDescent="0.2">
      <c r="A833" t="str">
        <f>IF(ISBLANK(B833), "","Substation-832")</f>
        <v/>
      </c>
    </row>
    <row r="834" spans="1:1" x14ac:dyDescent="0.2">
      <c r="A834" t="str">
        <f>IF(ISBLANK(B834), "","Substation-833")</f>
        <v/>
      </c>
    </row>
    <row r="835" spans="1:1" x14ac:dyDescent="0.2">
      <c r="A835" t="str">
        <f>IF(ISBLANK(B835), "","Substation-834")</f>
        <v/>
      </c>
    </row>
    <row r="836" spans="1:1" x14ac:dyDescent="0.2">
      <c r="A836" t="str">
        <f>IF(ISBLANK(B836), "","Substation-835")</f>
        <v/>
      </c>
    </row>
    <row r="837" spans="1:1" x14ac:dyDescent="0.2">
      <c r="A837" t="str">
        <f>IF(ISBLANK(B837), "","Substation-836")</f>
        <v/>
      </c>
    </row>
    <row r="838" spans="1:1" x14ac:dyDescent="0.2">
      <c r="A838" t="str">
        <f>IF(ISBLANK(B838), "","Substation-837")</f>
        <v/>
      </c>
    </row>
    <row r="839" spans="1:1" x14ac:dyDescent="0.2">
      <c r="A839" t="str">
        <f>IF(ISBLANK(B839), "","Substation-838")</f>
        <v/>
      </c>
    </row>
    <row r="840" spans="1:1" x14ac:dyDescent="0.2">
      <c r="A840" t="str">
        <f>IF(ISBLANK(B840), "","Substation-839")</f>
        <v/>
      </c>
    </row>
    <row r="841" spans="1:1" x14ac:dyDescent="0.2">
      <c r="A841" t="str">
        <f>IF(ISBLANK(B841), "","Substation-840")</f>
        <v/>
      </c>
    </row>
    <row r="842" spans="1:1" x14ac:dyDescent="0.2">
      <c r="A842" t="str">
        <f>IF(ISBLANK(B842), "","Substation-841")</f>
        <v/>
      </c>
    </row>
    <row r="843" spans="1:1" x14ac:dyDescent="0.2">
      <c r="A843" t="str">
        <f>IF(ISBLANK(B843), "","Substation-842")</f>
        <v/>
      </c>
    </row>
    <row r="844" spans="1:1" x14ac:dyDescent="0.2">
      <c r="A844" t="str">
        <f>IF(ISBLANK(B844), "","Substation-843")</f>
        <v/>
      </c>
    </row>
    <row r="845" spans="1:1" x14ac:dyDescent="0.2">
      <c r="A845" t="str">
        <f>IF(ISBLANK(B845), "","Substation-844")</f>
        <v/>
      </c>
    </row>
    <row r="846" spans="1:1" x14ac:dyDescent="0.2">
      <c r="A846" t="str">
        <f>IF(ISBLANK(B846), "","Substation-845")</f>
        <v/>
      </c>
    </row>
    <row r="847" spans="1:1" x14ac:dyDescent="0.2">
      <c r="A847" t="str">
        <f>IF(ISBLANK(B847), "","Substation-846")</f>
        <v/>
      </c>
    </row>
    <row r="848" spans="1:1" x14ac:dyDescent="0.2">
      <c r="A848" t="str">
        <f>IF(ISBLANK(B848), "","Substation-847")</f>
        <v/>
      </c>
    </row>
    <row r="849" spans="1:1" x14ac:dyDescent="0.2">
      <c r="A849" t="str">
        <f>IF(ISBLANK(B849), "","Substation-848")</f>
        <v/>
      </c>
    </row>
    <row r="850" spans="1:1" x14ac:dyDescent="0.2">
      <c r="A850" t="str">
        <f>IF(ISBLANK(B850), "","Substation-849")</f>
        <v/>
      </c>
    </row>
    <row r="851" spans="1:1" x14ac:dyDescent="0.2">
      <c r="A851" t="str">
        <f>IF(ISBLANK(B851), "","Substation-850")</f>
        <v/>
      </c>
    </row>
    <row r="852" spans="1:1" x14ac:dyDescent="0.2">
      <c r="A852" t="str">
        <f>IF(ISBLANK(B852), "","Substation-851")</f>
        <v/>
      </c>
    </row>
    <row r="853" spans="1:1" x14ac:dyDescent="0.2">
      <c r="A853" t="str">
        <f>IF(ISBLANK(B853), "","Substation-852")</f>
        <v/>
      </c>
    </row>
    <row r="854" spans="1:1" x14ac:dyDescent="0.2">
      <c r="A854" t="str">
        <f>IF(ISBLANK(B854), "","Substation-853")</f>
        <v/>
      </c>
    </row>
    <row r="855" spans="1:1" x14ac:dyDescent="0.2">
      <c r="A855" t="str">
        <f>IF(ISBLANK(B855), "","Substation-854")</f>
        <v/>
      </c>
    </row>
    <row r="856" spans="1:1" x14ac:dyDescent="0.2">
      <c r="A856" t="str">
        <f>IF(ISBLANK(B856), "","Substation-855")</f>
        <v/>
      </c>
    </row>
    <row r="857" spans="1:1" x14ac:dyDescent="0.2">
      <c r="A857" t="str">
        <f>IF(ISBLANK(B857), "","Substation-856")</f>
        <v/>
      </c>
    </row>
    <row r="858" spans="1:1" x14ac:dyDescent="0.2">
      <c r="A858" t="str">
        <f>IF(ISBLANK(B858), "","Substation-857")</f>
        <v/>
      </c>
    </row>
    <row r="859" spans="1:1" x14ac:dyDescent="0.2">
      <c r="A859" t="str">
        <f>IF(ISBLANK(B859), "","Substation-858")</f>
        <v/>
      </c>
    </row>
    <row r="860" spans="1:1" x14ac:dyDescent="0.2">
      <c r="A860" t="str">
        <f>IF(ISBLANK(B860), "","Substation-859")</f>
        <v/>
      </c>
    </row>
    <row r="861" spans="1:1" x14ac:dyDescent="0.2">
      <c r="A861" t="str">
        <f>IF(ISBLANK(B861), "","Substation-860")</f>
        <v/>
      </c>
    </row>
    <row r="862" spans="1:1" x14ac:dyDescent="0.2">
      <c r="A862" t="str">
        <f>IF(ISBLANK(B862), "","Substation-861")</f>
        <v/>
      </c>
    </row>
    <row r="863" spans="1:1" x14ac:dyDescent="0.2">
      <c r="A863" t="str">
        <f>IF(ISBLANK(B863), "","Substation-862")</f>
        <v/>
      </c>
    </row>
    <row r="864" spans="1:1" x14ac:dyDescent="0.2">
      <c r="A864" t="str">
        <f>IF(ISBLANK(B864), "","Substation-863")</f>
        <v/>
      </c>
    </row>
    <row r="865" spans="1:1" x14ac:dyDescent="0.2">
      <c r="A865" t="str">
        <f>IF(ISBLANK(B865), "","Substation-864")</f>
        <v/>
      </c>
    </row>
    <row r="866" spans="1:1" x14ac:dyDescent="0.2">
      <c r="A866" t="str">
        <f>IF(ISBLANK(B866), "","Substation-865")</f>
        <v/>
      </c>
    </row>
    <row r="867" spans="1:1" x14ac:dyDescent="0.2">
      <c r="A867" t="str">
        <f>IF(ISBLANK(B867), "","Substation-866")</f>
        <v/>
      </c>
    </row>
    <row r="868" spans="1:1" x14ac:dyDescent="0.2">
      <c r="A868" t="str">
        <f>IF(ISBLANK(B868), "","Substation-867")</f>
        <v/>
      </c>
    </row>
    <row r="869" spans="1:1" x14ac:dyDescent="0.2">
      <c r="A869" t="str">
        <f>IF(ISBLANK(B869), "","Substation-868")</f>
        <v/>
      </c>
    </row>
    <row r="870" spans="1:1" x14ac:dyDescent="0.2">
      <c r="A870" t="str">
        <f>IF(ISBLANK(B870), "","Substation-869")</f>
        <v/>
      </c>
    </row>
    <row r="871" spans="1:1" x14ac:dyDescent="0.2">
      <c r="A871" t="str">
        <f>IF(ISBLANK(B871), "","Substation-870")</f>
        <v/>
      </c>
    </row>
    <row r="872" spans="1:1" x14ac:dyDescent="0.2">
      <c r="A872" t="str">
        <f>IF(ISBLANK(B872), "","Substation-871")</f>
        <v/>
      </c>
    </row>
    <row r="873" spans="1:1" x14ac:dyDescent="0.2">
      <c r="A873" t="str">
        <f>IF(ISBLANK(B873), "","Substation-872")</f>
        <v/>
      </c>
    </row>
    <row r="874" spans="1:1" x14ac:dyDescent="0.2">
      <c r="A874" t="str">
        <f>IF(ISBLANK(B874), "","Substation-873")</f>
        <v/>
      </c>
    </row>
    <row r="875" spans="1:1" x14ac:dyDescent="0.2">
      <c r="A875" t="str">
        <f>IF(ISBLANK(B875), "","Substation-874")</f>
        <v/>
      </c>
    </row>
    <row r="876" spans="1:1" x14ac:dyDescent="0.2">
      <c r="A876" t="str">
        <f>IF(ISBLANK(B876), "","Substation-875")</f>
        <v/>
      </c>
    </row>
    <row r="877" spans="1:1" x14ac:dyDescent="0.2">
      <c r="A877" t="str">
        <f>IF(ISBLANK(B877), "","Substation-876")</f>
        <v/>
      </c>
    </row>
    <row r="878" spans="1:1" x14ac:dyDescent="0.2">
      <c r="A878" t="str">
        <f>IF(ISBLANK(B878), "","Substation-877")</f>
        <v/>
      </c>
    </row>
    <row r="879" spans="1:1" x14ac:dyDescent="0.2">
      <c r="A879" t="str">
        <f>IF(ISBLANK(B879), "","Substation-878")</f>
        <v/>
      </c>
    </row>
    <row r="880" spans="1:1" x14ac:dyDescent="0.2">
      <c r="A880" t="str">
        <f>IF(ISBLANK(B880), "","Substation-879")</f>
        <v/>
      </c>
    </row>
    <row r="881" spans="1:1" x14ac:dyDescent="0.2">
      <c r="A881" t="str">
        <f>IF(ISBLANK(B881), "","Substation-880")</f>
        <v/>
      </c>
    </row>
    <row r="882" spans="1:1" x14ac:dyDescent="0.2">
      <c r="A882" t="str">
        <f>IF(ISBLANK(B882), "","Substation-881")</f>
        <v/>
      </c>
    </row>
    <row r="883" spans="1:1" x14ac:dyDescent="0.2">
      <c r="A883" t="str">
        <f>IF(ISBLANK(B883), "","Substation-882")</f>
        <v/>
      </c>
    </row>
    <row r="884" spans="1:1" x14ac:dyDescent="0.2">
      <c r="A884" t="str">
        <f>IF(ISBLANK(B884), "","Substation-883")</f>
        <v/>
      </c>
    </row>
    <row r="885" spans="1:1" x14ac:dyDescent="0.2">
      <c r="A885" t="str">
        <f>IF(ISBLANK(B885), "","Substation-884")</f>
        <v/>
      </c>
    </row>
    <row r="886" spans="1:1" x14ac:dyDescent="0.2">
      <c r="A886" t="str">
        <f>IF(ISBLANK(B886), "","Substation-885")</f>
        <v/>
      </c>
    </row>
    <row r="887" spans="1:1" x14ac:dyDescent="0.2">
      <c r="A887" t="str">
        <f>IF(ISBLANK(B887), "","Substation-886")</f>
        <v/>
      </c>
    </row>
    <row r="888" spans="1:1" x14ac:dyDescent="0.2">
      <c r="A888" t="str">
        <f>IF(ISBLANK(B888), "","Substation-887")</f>
        <v/>
      </c>
    </row>
    <row r="889" spans="1:1" x14ac:dyDescent="0.2">
      <c r="A889" t="str">
        <f>IF(ISBLANK(B889), "","Substation-888")</f>
        <v/>
      </c>
    </row>
    <row r="890" spans="1:1" x14ac:dyDescent="0.2">
      <c r="A890" t="str">
        <f>IF(ISBLANK(B890), "","Substation-889")</f>
        <v/>
      </c>
    </row>
    <row r="891" spans="1:1" x14ac:dyDescent="0.2">
      <c r="A891" t="str">
        <f>IF(ISBLANK(B891), "","Substation-890")</f>
        <v/>
      </c>
    </row>
    <row r="892" spans="1:1" x14ac:dyDescent="0.2">
      <c r="A892" t="str">
        <f>IF(ISBLANK(B892), "","Substation-891")</f>
        <v/>
      </c>
    </row>
    <row r="893" spans="1:1" x14ac:dyDescent="0.2">
      <c r="A893" t="str">
        <f>IF(ISBLANK(B893), "","Substation-892")</f>
        <v/>
      </c>
    </row>
    <row r="894" spans="1:1" x14ac:dyDescent="0.2">
      <c r="A894" t="str">
        <f>IF(ISBLANK(B894), "","Substation-893")</f>
        <v/>
      </c>
    </row>
    <row r="895" spans="1:1" x14ac:dyDescent="0.2">
      <c r="A895" t="str">
        <f>IF(ISBLANK(B895), "","Substation-894")</f>
        <v/>
      </c>
    </row>
    <row r="896" spans="1:1" x14ac:dyDescent="0.2">
      <c r="A896" t="str">
        <f>IF(ISBLANK(B896), "","Substation-895")</f>
        <v/>
      </c>
    </row>
    <row r="897" spans="1:1" x14ac:dyDescent="0.2">
      <c r="A897" t="str">
        <f>IF(ISBLANK(B897), "","Substation-896")</f>
        <v/>
      </c>
    </row>
    <row r="898" spans="1:1" x14ac:dyDescent="0.2">
      <c r="A898" t="str">
        <f>IF(ISBLANK(B898), "","Substation-897")</f>
        <v/>
      </c>
    </row>
    <row r="899" spans="1:1" x14ac:dyDescent="0.2">
      <c r="A899" t="str">
        <f>IF(ISBLANK(B899), "","Substation-898")</f>
        <v/>
      </c>
    </row>
    <row r="900" spans="1:1" x14ac:dyDescent="0.2">
      <c r="A900" t="str">
        <f>IF(ISBLANK(B900), "","Substation-899")</f>
        <v/>
      </c>
    </row>
    <row r="901" spans="1:1" x14ac:dyDescent="0.2">
      <c r="A901" t="str">
        <f>IF(ISBLANK(B901), "","Substation-900")</f>
        <v/>
      </c>
    </row>
    <row r="902" spans="1:1" x14ac:dyDescent="0.2">
      <c r="A902" t="str">
        <f>IF(ISBLANK(B902), "","Substation-901")</f>
        <v/>
      </c>
    </row>
    <row r="903" spans="1:1" x14ac:dyDescent="0.2">
      <c r="A903" t="str">
        <f>IF(ISBLANK(B903), "","Substation-902")</f>
        <v/>
      </c>
    </row>
    <row r="904" spans="1:1" x14ac:dyDescent="0.2">
      <c r="A904" t="str">
        <f>IF(ISBLANK(B904), "","Substation-903")</f>
        <v/>
      </c>
    </row>
    <row r="905" spans="1:1" x14ac:dyDescent="0.2">
      <c r="A905" t="str">
        <f>IF(ISBLANK(B905), "","Substation-904")</f>
        <v/>
      </c>
    </row>
    <row r="906" spans="1:1" x14ac:dyDescent="0.2">
      <c r="A906" t="str">
        <f>IF(ISBLANK(B906), "","Substation-905")</f>
        <v/>
      </c>
    </row>
    <row r="907" spans="1:1" x14ac:dyDescent="0.2">
      <c r="A907" t="str">
        <f>IF(ISBLANK(B907), "","Substation-906")</f>
        <v/>
      </c>
    </row>
    <row r="908" spans="1:1" x14ac:dyDescent="0.2">
      <c r="A908" t="str">
        <f>IF(ISBLANK(B908), "","Substation-907")</f>
        <v/>
      </c>
    </row>
    <row r="909" spans="1:1" x14ac:dyDescent="0.2">
      <c r="A909" t="str">
        <f>IF(ISBLANK(B909), "","Substation-908")</f>
        <v/>
      </c>
    </row>
    <row r="910" spans="1:1" x14ac:dyDescent="0.2">
      <c r="A910" t="str">
        <f>IF(ISBLANK(B910), "","Substation-909")</f>
        <v/>
      </c>
    </row>
    <row r="911" spans="1:1" x14ac:dyDescent="0.2">
      <c r="A911" t="str">
        <f>IF(ISBLANK(B911), "","Substation-910")</f>
        <v/>
      </c>
    </row>
    <row r="912" spans="1:1" x14ac:dyDescent="0.2">
      <c r="A912" t="str">
        <f>IF(ISBLANK(B912), "","Substation-911")</f>
        <v/>
      </c>
    </row>
    <row r="913" spans="1:1" x14ac:dyDescent="0.2">
      <c r="A913" t="str">
        <f>IF(ISBLANK(B913), "","Substation-912")</f>
        <v/>
      </c>
    </row>
    <row r="914" spans="1:1" x14ac:dyDescent="0.2">
      <c r="A914" t="str">
        <f>IF(ISBLANK(B914), "","Substation-913")</f>
        <v/>
      </c>
    </row>
    <row r="915" spans="1:1" x14ac:dyDescent="0.2">
      <c r="A915" t="str">
        <f>IF(ISBLANK(B915), "","Substation-914")</f>
        <v/>
      </c>
    </row>
    <row r="916" spans="1:1" x14ac:dyDescent="0.2">
      <c r="A916" t="str">
        <f>IF(ISBLANK(B916), "","Substation-915")</f>
        <v/>
      </c>
    </row>
    <row r="917" spans="1:1" x14ac:dyDescent="0.2">
      <c r="A917" t="str">
        <f>IF(ISBLANK(B917), "","Substation-916")</f>
        <v/>
      </c>
    </row>
    <row r="918" spans="1:1" x14ac:dyDescent="0.2">
      <c r="A918" t="str">
        <f>IF(ISBLANK(B918), "","Substation-917")</f>
        <v/>
      </c>
    </row>
    <row r="919" spans="1:1" x14ac:dyDescent="0.2">
      <c r="A919" t="str">
        <f>IF(ISBLANK(B919), "","Substation-918")</f>
        <v/>
      </c>
    </row>
    <row r="920" spans="1:1" x14ac:dyDescent="0.2">
      <c r="A920" t="str">
        <f>IF(ISBLANK(B920), "","Substation-919")</f>
        <v/>
      </c>
    </row>
    <row r="921" spans="1:1" x14ac:dyDescent="0.2">
      <c r="A921" t="str">
        <f>IF(ISBLANK(B921), "","Substation-920")</f>
        <v/>
      </c>
    </row>
    <row r="922" spans="1:1" x14ac:dyDescent="0.2">
      <c r="A922" t="str">
        <f>IF(ISBLANK(B922), "","Substation-921")</f>
        <v/>
      </c>
    </row>
    <row r="923" spans="1:1" x14ac:dyDescent="0.2">
      <c r="A923" t="str">
        <f>IF(ISBLANK(B923), "","Substation-922")</f>
        <v/>
      </c>
    </row>
    <row r="924" spans="1:1" x14ac:dyDescent="0.2">
      <c r="A924" t="str">
        <f>IF(ISBLANK(B924), "","Substation-923")</f>
        <v/>
      </c>
    </row>
    <row r="925" spans="1:1" x14ac:dyDescent="0.2">
      <c r="A925" t="str">
        <f>IF(ISBLANK(B925), "","Substation-924")</f>
        <v/>
      </c>
    </row>
    <row r="926" spans="1:1" x14ac:dyDescent="0.2">
      <c r="A926" t="str">
        <f>IF(ISBLANK(B926), "","Substation-925")</f>
        <v/>
      </c>
    </row>
    <row r="927" spans="1:1" x14ac:dyDescent="0.2">
      <c r="A927" t="str">
        <f>IF(ISBLANK(B927), "","Substation-926")</f>
        <v/>
      </c>
    </row>
    <row r="928" spans="1:1" x14ac:dyDescent="0.2">
      <c r="A928" t="str">
        <f>IF(ISBLANK(B928), "","Substation-927")</f>
        <v/>
      </c>
    </row>
    <row r="929" spans="1:1" x14ac:dyDescent="0.2">
      <c r="A929" t="str">
        <f>IF(ISBLANK(B929), "","Substation-928")</f>
        <v/>
      </c>
    </row>
    <row r="930" spans="1:1" x14ac:dyDescent="0.2">
      <c r="A930" t="str">
        <f>IF(ISBLANK(B930), "","Substation-929")</f>
        <v/>
      </c>
    </row>
    <row r="931" spans="1:1" x14ac:dyDescent="0.2">
      <c r="A931" t="str">
        <f>IF(ISBLANK(B931), "","Substation-930")</f>
        <v/>
      </c>
    </row>
    <row r="932" spans="1:1" x14ac:dyDescent="0.2">
      <c r="A932" t="str">
        <f>IF(ISBLANK(B932), "","Substation-931")</f>
        <v/>
      </c>
    </row>
    <row r="933" spans="1:1" x14ac:dyDescent="0.2">
      <c r="A933" t="str">
        <f>IF(ISBLANK(B933), "","Substation-932")</f>
        <v/>
      </c>
    </row>
    <row r="934" spans="1:1" x14ac:dyDescent="0.2">
      <c r="A934" t="str">
        <f>IF(ISBLANK(B934), "","Substation-933")</f>
        <v/>
      </c>
    </row>
    <row r="935" spans="1:1" x14ac:dyDescent="0.2">
      <c r="A935" t="str">
        <f>IF(ISBLANK(B935), "","Substation-934")</f>
        <v/>
      </c>
    </row>
    <row r="936" spans="1:1" x14ac:dyDescent="0.2">
      <c r="A936" t="str">
        <f>IF(ISBLANK(B936), "","Substation-935")</f>
        <v/>
      </c>
    </row>
    <row r="937" spans="1:1" x14ac:dyDescent="0.2">
      <c r="A937" t="str">
        <f>IF(ISBLANK(B937), "","Substation-936")</f>
        <v/>
      </c>
    </row>
    <row r="938" spans="1:1" x14ac:dyDescent="0.2">
      <c r="A938" t="str">
        <f>IF(ISBLANK(B938), "","Substation-937")</f>
        <v/>
      </c>
    </row>
    <row r="939" spans="1:1" x14ac:dyDescent="0.2">
      <c r="A939" t="str">
        <f>IF(ISBLANK(B939), "","Substation-938")</f>
        <v/>
      </c>
    </row>
    <row r="940" spans="1:1" x14ac:dyDescent="0.2">
      <c r="A940" t="str">
        <f>IF(ISBLANK(B940), "","Substation-939")</f>
        <v/>
      </c>
    </row>
    <row r="941" spans="1:1" x14ac:dyDescent="0.2">
      <c r="A941" t="str">
        <f>IF(ISBLANK(B941), "","Substation-940")</f>
        <v/>
      </c>
    </row>
    <row r="942" spans="1:1" x14ac:dyDescent="0.2">
      <c r="A942" t="str">
        <f>IF(ISBLANK(B942), "","Substation-941")</f>
        <v/>
      </c>
    </row>
    <row r="943" spans="1:1" x14ac:dyDescent="0.2">
      <c r="A943" t="str">
        <f>IF(ISBLANK(B943), "","Substation-942")</f>
        <v/>
      </c>
    </row>
    <row r="944" spans="1:1" x14ac:dyDescent="0.2">
      <c r="A944" t="str">
        <f>IF(ISBLANK(B944), "","Substation-943")</f>
        <v/>
      </c>
    </row>
    <row r="945" spans="1:1" x14ac:dyDescent="0.2">
      <c r="A945" t="str">
        <f>IF(ISBLANK(B945), "","Substation-944")</f>
        <v/>
      </c>
    </row>
    <row r="946" spans="1:1" x14ac:dyDescent="0.2">
      <c r="A946" t="str">
        <f>IF(ISBLANK(B946), "","Substation-945")</f>
        <v/>
      </c>
    </row>
    <row r="947" spans="1:1" x14ac:dyDescent="0.2">
      <c r="A947" t="str">
        <f>IF(ISBLANK(B947), "","Substation-946")</f>
        <v/>
      </c>
    </row>
    <row r="948" spans="1:1" x14ac:dyDescent="0.2">
      <c r="A948" t="str">
        <f>IF(ISBLANK(B948), "","Substation-947")</f>
        <v/>
      </c>
    </row>
    <row r="949" spans="1:1" x14ac:dyDescent="0.2">
      <c r="A949" t="str">
        <f>IF(ISBLANK(B949), "","Substation-948")</f>
        <v/>
      </c>
    </row>
    <row r="950" spans="1:1" x14ac:dyDescent="0.2">
      <c r="A950" t="str">
        <f>IF(ISBLANK(B950), "","Substation-949")</f>
        <v/>
      </c>
    </row>
    <row r="951" spans="1:1" x14ac:dyDescent="0.2">
      <c r="A951" t="str">
        <f>IF(ISBLANK(B951), "","Substation-950")</f>
        <v/>
      </c>
    </row>
    <row r="952" spans="1:1" x14ac:dyDescent="0.2">
      <c r="A952" t="str">
        <f>IF(ISBLANK(B952), "","Substation-951")</f>
        <v/>
      </c>
    </row>
    <row r="953" spans="1:1" x14ac:dyDescent="0.2">
      <c r="A953" t="str">
        <f>IF(ISBLANK(B953), "","Substation-952")</f>
        <v/>
      </c>
    </row>
    <row r="954" spans="1:1" x14ac:dyDescent="0.2">
      <c r="A954" t="str">
        <f>IF(ISBLANK(B954), "","Substation-953")</f>
        <v/>
      </c>
    </row>
    <row r="955" spans="1:1" x14ac:dyDescent="0.2">
      <c r="A955" t="str">
        <f>IF(ISBLANK(B955), "","Substation-954")</f>
        <v/>
      </c>
    </row>
    <row r="956" spans="1:1" x14ac:dyDescent="0.2">
      <c r="A956" t="str">
        <f>IF(ISBLANK(B956), "","Substation-955")</f>
        <v/>
      </c>
    </row>
    <row r="957" spans="1:1" x14ac:dyDescent="0.2">
      <c r="A957" t="str">
        <f>IF(ISBLANK(B957), "","Substation-956")</f>
        <v/>
      </c>
    </row>
    <row r="958" spans="1:1" x14ac:dyDescent="0.2">
      <c r="A958" t="str">
        <f>IF(ISBLANK(B958), "","Substation-957")</f>
        <v/>
      </c>
    </row>
    <row r="959" spans="1:1" x14ac:dyDescent="0.2">
      <c r="A959" t="str">
        <f>IF(ISBLANK(B959), "","Substation-958")</f>
        <v/>
      </c>
    </row>
    <row r="960" spans="1:1" x14ac:dyDescent="0.2">
      <c r="A960" t="str">
        <f>IF(ISBLANK(B960), "","Substation-959")</f>
        <v/>
      </c>
    </row>
    <row r="961" spans="1:1" x14ac:dyDescent="0.2">
      <c r="A961" t="str">
        <f>IF(ISBLANK(B961), "","Substation-960")</f>
        <v/>
      </c>
    </row>
    <row r="962" spans="1:1" x14ac:dyDescent="0.2">
      <c r="A962" t="str">
        <f>IF(ISBLANK(B962), "","Substation-961")</f>
        <v/>
      </c>
    </row>
    <row r="963" spans="1:1" x14ac:dyDescent="0.2">
      <c r="A963" t="str">
        <f>IF(ISBLANK(B963), "","Substation-962")</f>
        <v/>
      </c>
    </row>
    <row r="964" spans="1:1" x14ac:dyDescent="0.2">
      <c r="A964" t="str">
        <f>IF(ISBLANK(B964), "","Substation-963")</f>
        <v/>
      </c>
    </row>
    <row r="965" spans="1:1" x14ac:dyDescent="0.2">
      <c r="A965" t="str">
        <f>IF(ISBLANK(B965), "","Substation-964")</f>
        <v/>
      </c>
    </row>
    <row r="966" spans="1:1" x14ac:dyDescent="0.2">
      <c r="A966" t="str">
        <f>IF(ISBLANK(B966), "","Substation-965")</f>
        <v/>
      </c>
    </row>
    <row r="967" spans="1:1" x14ac:dyDescent="0.2">
      <c r="A967" t="str">
        <f>IF(ISBLANK(B967), "","Substation-966")</f>
        <v/>
      </c>
    </row>
    <row r="968" spans="1:1" x14ac:dyDescent="0.2">
      <c r="A968" t="str">
        <f>IF(ISBLANK(B968), "","Substation-967")</f>
        <v/>
      </c>
    </row>
    <row r="969" spans="1:1" x14ac:dyDescent="0.2">
      <c r="A969" t="str">
        <f>IF(ISBLANK(B969), "","Substation-968")</f>
        <v/>
      </c>
    </row>
    <row r="970" spans="1:1" x14ac:dyDescent="0.2">
      <c r="A970" t="str">
        <f>IF(ISBLANK(B970), "","Substation-969")</f>
        <v/>
      </c>
    </row>
    <row r="971" spans="1:1" x14ac:dyDescent="0.2">
      <c r="A971" t="str">
        <f>IF(ISBLANK(B971), "","Substation-970")</f>
        <v/>
      </c>
    </row>
    <row r="972" spans="1:1" x14ac:dyDescent="0.2">
      <c r="A972" t="str">
        <f>IF(ISBLANK(B972), "","Substation-971")</f>
        <v/>
      </c>
    </row>
    <row r="973" spans="1:1" x14ac:dyDescent="0.2">
      <c r="A973" t="str">
        <f>IF(ISBLANK(B973), "","Substation-972")</f>
        <v/>
      </c>
    </row>
    <row r="974" spans="1:1" x14ac:dyDescent="0.2">
      <c r="A974" t="str">
        <f>IF(ISBLANK(B974), "","Substation-973")</f>
        <v/>
      </c>
    </row>
    <row r="975" spans="1:1" x14ac:dyDescent="0.2">
      <c r="A975" t="str">
        <f>IF(ISBLANK(B975), "","Substation-974")</f>
        <v/>
      </c>
    </row>
    <row r="976" spans="1:1" x14ac:dyDescent="0.2">
      <c r="A976" t="str">
        <f>IF(ISBLANK(B976), "","Substation-975")</f>
        <v/>
      </c>
    </row>
    <row r="977" spans="1:1" x14ac:dyDescent="0.2">
      <c r="A977" t="str">
        <f>IF(ISBLANK(B977), "","Substation-976")</f>
        <v/>
      </c>
    </row>
    <row r="978" spans="1:1" x14ac:dyDescent="0.2">
      <c r="A978" t="str">
        <f>IF(ISBLANK(B978), "","Substation-977")</f>
        <v/>
      </c>
    </row>
    <row r="979" spans="1:1" x14ac:dyDescent="0.2">
      <c r="A979" t="str">
        <f>IF(ISBLANK(B979), "","Substation-978")</f>
        <v/>
      </c>
    </row>
    <row r="980" spans="1:1" x14ac:dyDescent="0.2">
      <c r="A980" t="str">
        <f>IF(ISBLANK(B980), "","Substation-979")</f>
        <v/>
      </c>
    </row>
    <row r="981" spans="1:1" x14ac:dyDescent="0.2">
      <c r="A981" t="str">
        <f>IF(ISBLANK(B981), "","Substation-980")</f>
        <v/>
      </c>
    </row>
    <row r="982" spans="1:1" x14ac:dyDescent="0.2">
      <c r="A982" t="str">
        <f>IF(ISBLANK(B982), "","Substation-981")</f>
        <v/>
      </c>
    </row>
    <row r="983" spans="1:1" x14ac:dyDescent="0.2">
      <c r="A983" t="str">
        <f>IF(ISBLANK(B983), "","Substation-982")</f>
        <v/>
      </c>
    </row>
    <row r="984" spans="1:1" x14ac:dyDescent="0.2">
      <c r="A984" t="str">
        <f>IF(ISBLANK(B984), "","Substation-983")</f>
        <v/>
      </c>
    </row>
    <row r="985" spans="1:1" x14ac:dyDescent="0.2">
      <c r="A985" t="str">
        <f>IF(ISBLANK(B985), "","Substation-984")</f>
        <v/>
      </c>
    </row>
    <row r="986" spans="1:1" x14ac:dyDescent="0.2">
      <c r="A986" t="str">
        <f>IF(ISBLANK(B986), "","Substation-985")</f>
        <v/>
      </c>
    </row>
    <row r="987" spans="1:1" x14ac:dyDescent="0.2">
      <c r="A987" t="str">
        <f>IF(ISBLANK(B987), "","Substation-986")</f>
        <v/>
      </c>
    </row>
    <row r="988" spans="1:1" x14ac:dyDescent="0.2">
      <c r="A988" t="str">
        <f>IF(ISBLANK(B988), "","Substation-987")</f>
        <v/>
      </c>
    </row>
    <row r="989" spans="1:1" x14ac:dyDescent="0.2">
      <c r="A989" t="str">
        <f>IF(ISBLANK(B989), "","Substation-988")</f>
        <v/>
      </c>
    </row>
    <row r="990" spans="1:1" x14ac:dyDescent="0.2">
      <c r="A990" t="str">
        <f>IF(ISBLANK(B990), "","Substation-989")</f>
        <v/>
      </c>
    </row>
    <row r="991" spans="1:1" x14ac:dyDescent="0.2">
      <c r="A991" t="str">
        <f>IF(ISBLANK(B991), "","Substation-990")</f>
        <v/>
      </c>
    </row>
    <row r="992" spans="1:1" x14ac:dyDescent="0.2">
      <c r="A992" t="str">
        <f>IF(ISBLANK(B992), "","Substation-991")</f>
        <v/>
      </c>
    </row>
    <row r="993" spans="1:1" x14ac:dyDescent="0.2">
      <c r="A993" t="str">
        <f>IF(ISBLANK(B993), "","Substation-992")</f>
        <v/>
      </c>
    </row>
    <row r="994" spans="1:1" x14ac:dyDescent="0.2">
      <c r="A994" t="str">
        <f>IF(ISBLANK(B994), "","Substation-993")</f>
        <v/>
      </c>
    </row>
    <row r="995" spans="1:1" x14ac:dyDescent="0.2">
      <c r="A995" t="str">
        <f>IF(ISBLANK(B995), "","Substation-994")</f>
        <v/>
      </c>
    </row>
    <row r="996" spans="1:1" x14ac:dyDescent="0.2">
      <c r="A996" t="str">
        <f>IF(ISBLANK(B996), "","Substation-995")</f>
        <v/>
      </c>
    </row>
    <row r="997" spans="1:1" x14ac:dyDescent="0.2">
      <c r="A997" t="str">
        <f>IF(ISBLANK(B997), "","Substation-996")</f>
        <v/>
      </c>
    </row>
    <row r="998" spans="1:1" x14ac:dyDescent="0.2">
      <c r="A998" t="str">
        <f>IF(ISBLANK(B998), "","Substation-997")</f>
        <v/>
      </c>
    </row>
    <row r="999" spans="1:1" x14ac:dyDescent="0.2">
      <c r="A999" t="str">
        <f>IF(ISBLANK(B999), "","Substation-998")</f>
        <v/>
      </c>
    </row>
    <row r="1000" spans="1:1" x14ac:dyDescent="0.2">
      <c r="A1000" t="str">
        <f>IF(ISBLANK(B1000), "","Substation-999")</f>
        <v/>
      </c>
    </row>
    <row r="1001" spans="1:1" x14ac:dyDescent="0.2">
      <c r="A1001" t="str">
        <f>IF(ISBLANK(B1001), "","Substation-1000")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tabSelected="1" zoomScale="150" zoomScaleNormal="150" workbookViewId="0">
      <selection activeCell="L20" sqref="L20"/>
    </sheetView>
  </sheetViews>
  <sheetFormatPr baseColWidth="10" defaultColWidth="8.83203125" defaultRowHeight="15" x14ac:dyDescent="0.2"/>
  <cols>
    <col min="1" max="1" width="18" customWidth="1"/>
    <col min="2" max="2" width="10.83203125" customWidth="1"/>
    <col min="3" max="3" width="16.83203125" customWidth="1"/>
    <col min="4" max="4" width="18" customWidth="1"/>
  </cols>
  <sheetData>
    <row r="1" spans="1:4" ht="21" x14ac:dyDescent="0.2">
      <c r="A1" s="1" t="s">
        <v>0</v>
      </c>
      <c r="B1" s="2" t="s">
        <v>1</v>
      </c>
      <c r="C1" s="2" t="s">
        <v>4</v>
      </c>
      <c r="D1" s="2" t="s">
        <v>5</v>
      </c>
    </row>
    <row r="2" spans="1:4" x14ac:dyDescent="0.2">
      <c r="A2" t="str">
        <f>IF(ISBLANK(B2), "","Terminal-1")</f>
        <v>Terminal-1</v>
      </c>
      <c r="B2" t="s">
        <v>16</v>
      </c>
      <c r="C2" t="s">
        <v>18</v>
      </c>
      <c r="D2" t="s">
        <v>19</v>
      </c>
    </row>
    <row r="3" spans="1:4" x14ac:dyDescent="0.2">
      <c r="A3" t="str">
        <f>IF(ISBLANK(B3), "","Terminal-2")</f>
        <v>Terminal-2</v>
      </c>
      <c r="B3" t="s">
        <v>17</v>
      </c>
      <c r="C3" t="s">
        <v>20</v>
      </c>
      <c r="D3" t="s">
        <v>21</v>
      </c>
    </row>
    <row r="4" spans="1:4" x14ac:dyDescent="0.2">
      <c r="A4" t="str">
        <f>IF(ISBLANK(B4), "","Terminal-3")</f>
        <v/>
      </c>
    </row>
    <row r="5" spans="1:4" x14ac:dyDescent="0.2">
      <c r="A5" t="str">
        <f>IF(ISBLANK(B5), "","Terminal-4")</f>
        <v/>
      </c>
    </row>
    <row r="6" spans="1:4" x14ac:dyDescent="0.2">
      <c r="A6" t="str">
        <f>IF(ISBLANK(B6), "","Terminal-5")</f>
        <v/>
      </c>
    </row>
    <row r="7" spans="1:4" x14ac:dyDescent="0.2">
      <c r="A7" t="str">
        <f>IF(ISBLANK(B7), "","Terminal-6")</f>
        <v/>
      </c>
    </row>
    <row r="8" spans="1:4" x14ac:dyDescent="0.2">
      <c r="A8" t="str">
        <f>IF(ISBLANK(B8), "","Terminal-7")</f>
        <v/>
      </c>
    </row>
    <row r="9" spans="1:4" x14ac:dyDescent="0.2">
      <c r="A9" t="str">
        <f>IF(ISBLANK(B9), "","Terminal-8")</f>
        <v/>
      </c>
    </row>
    <row r="10" spans="1:4" x14ac:dyDescent="0.2">
      <c r="A10" t="str">
        <f>IF(ISBLANK(B10), "","Terminal-9")</f>
        <v/>
      </c>
    </row>
    <row r="11" spans="1:4" x14ac:dyDescent="0.2">
      <c r="A11" t="str">
        <f>IF(ISBLANK(B11), "","Terminal-10")</f>
        <v/>
      </c>
    </row>
    <row r="12" spans="1:4" x14ac:dyDescent="0.2">
      <c r="A12" t="str">
        <f>IF(ISBLANK(B12), "","Terminal-11")</f>
        <v/>
      </c>
    </row>
    <row r="13" spans="1:4" x14ac:dyDescent="0.2">
      <c r="A13" t="str">
        <f>IF(ISBLANK(B13), "","Terminal-12")</f>
        <v/>
      </c>
    </row>
    <row r="14" spans="1:4" x14ac:dyDescent="0.2">
      <c r="A14" t="str">
        <f>IF(ISBLANK(B14), "","Terminal-13")</f>
        <v/>
      </c>
    </row>
    <row r="15" spans="1:4" x14ac:dyDescent="0.2">
      <c r="A15" t="str">
        <f>IF(ISBLANK(B15), "","Terminal-14")</f>
        <v/>
      </c>
    </row>
    <row r="16" spans="1:4" x14ac:dyDescent="0.2">
      <c r="A16" t="str">
        <f>IF(ISBLANK(B16), "","Terminal-15")</f>
        <v/>
      </c>
    </row>
    <row r="17" spans="1:1" x14ac:dyDescent="0.2">
      <c r="A17" t="str">
        <f>IF(ISBLANK(B17), "","Terminal-16")</f>
        <v/>
      </c>
    </row>
    <row r="18" spans="1:1" x14ac:dyDescent="0.2">
      <c r="A18" t="str">
        <f>IF(ISBLANK(B18), "","Terminal-17")</f>
        <v/>
      </c>
    </row>
    <row r="19" spans="1:1" x14ac:dyDescent="0.2">
      <c r="A19" t="str">
        <f>IF(ISBLANK(B19), "","Terminal-18")</f>
        <v/>
      </c>
    </row>
    <row r="20" spans="1:1" x14ac:dyDescent="0.2">
      <c r="A20" t="str">
        <f>IF(ISBLANK(B20), "","Terminal-19")</f>
        <v/>
      </c>
    </row>
    <row r="21" spans="1:1" x14ac:dyDescent="0.2">
      <c r="A21" t="str">
        <f>IF(ISBLANK(B21), "","Terminal-20")</f>
        <v/>
      </c>
    </row>
    <row r="22" spans="1:1" x14ac:dyDescent="0.2">
      <c r="A22" t="str">
        <f>IF(ISBLANK(B22), "","Terminal-21")</f>
        <v/>
      </c>
    </row>
    <row r="23" spans="1:1" x14ac:dyDescent="0.2">
      <c r="A23" t="str">
        <f>IF(ISBLANK(B23), "","Terminal-22")</f>
        <v/>
      </c>
    </row>
    <row r="24" spans="1:1" x14ac:dyDescent="0.2">
      <c r="A24" t="str">
        <f>IF(ISBLANK(B24), "","Terminal-23")</f>
        <v/>
      </c>
    </row>
    <row r="25" spans="1:1" x14ac:dyDescent="0.2">
      <c r="A25" t="str">
        <f>IF(ISBLANK(B25), "","Terminal-24")</f>
        <v/>
      </c>
    </row>
    <row r="26" spans="1:1" x14ac:dyDescent="0.2">
      <c r="A26" t="str">
        <f>IF(ISBLANK(B26), "","Terminal-25")</f>
        <v/>
      </c>
    </row>
    <row r="27" spans="1:1" x14ac:dyDescent="0.2">
      <c r="A27" t="str">
        <f>IF(ISBLANK(B27), "","Terminal-26")</f>
        <v/>
      </c>
    </row>
    <row r="28" spans="1:1" x14ac:dyDescent="0.2">
      <c r="A28" t="str">
        <f>IF(ISBLANK(B28), "","Terminal-27")</f>
        <v/>
      </c>
    </row>
    <row r="29" spans="1:1" x14ac:dyDescent="0.2">
      <c r="A29" t="str">
        <f>IF(ISBLANK(B29), "","Terminal-28")</f>
        <v/>
      </c>
    </row>
    <row r="30" spans="1:1" x14ac:dyDescent="0.2">
      <c r="A30" t="str">
        <f>IF(ISBLANK(B30), "","Terminal-29")</f>
        <v/>
      </c>
    </row>
    <row r="31" spans="1:1" x14ac:dyDescent="0.2">
      <c r="A31" t="str">
        <f>IF(ISBLANK(B31), "","Terminal-30")</f>
        <v/>
      </c>
    </row>
    <row r="32" spans="1:1" x14ac:dyDescent="0.2">
      <c r="A32" t="str">
        <f>IF(ISBLANK(B32), "","Terminal-31")</f>
        <v/>
      </c>
    </row>
    <row r="33" spans="1:1" x14ac:dyDescent="0.2">
      <c r="A33" t="str">
        <f>IF(ISBLANK(B33), "","Terminal-32")</f>
        <v/>
      </c>
    </row>
    <row r="34" spans="1:1" x14ac:dyDescent="0.2">
      <c r="A34" t="str">
        <f>IF(ISBLANK(B34), "","Terminal-33")</f>
        <v/>
      </c>
    </row>
    <row r="35" spans="1:1" x14ac:dyDescent="0.2">
      <c r="A35" t="str">
        <f>IF(ISBLANK(B35), "","Terminal-34")</f>
        <v/>
      </c>
    </row>
    <row r="36" spans="1:1" x14ac:dyDescent="0.2">
      <c r="A36" t="str">
        <f>IF(ISBLANK(B36), "","Terminal-35")</f>
        <v/>
      </c>
    </row>
    <row r="37" spans="1:1" x14ac:dyDescent="0.2">
      <c r="A37" t="str">
        <f>IF(ISBLANK(B37), "","Terminal-36")</f>
        <v/>
      </c>
    </row>
    <row r="38" spans="1:1" x14ac:dyDescent="0.2">
      <c r="A38" t="str">
        <f>IF(ISBLANK(B38), "","Terminal-37")</f>
        <v/>
      </c>
    </row>
    <row r="39" spans="1:1" x14ac:dyDescent="0.2">
      <c r="A39" t="str">
        <f>IF(ISBLANK(B39), "","Terminal-38")</f>
        <v/>
      </c>
    </row>
    <row r="40" spans="1:1" x14ac:dyDescent="0.2">
      <c r="A40" t="str">
        <f>IF(ISBLANK(B40), "","Terminal-39")</f>
        <v/>
      </c>
    </row>
    <row r="41" spans="1:1" x14ac:dyDescent="0.2">
      <c r="A41" t="str">
        <f>IF(ISBLANK(B41), "","Terminal-40")</f>
        <v/>
      </c>
    </row>
    <row r="42" spans="1:1" x14ac:dyDescent="0.2">
      <c r="A42" t="str">
        <f>IF(ISBLANK(B42), "","Terminal-41")</f>
        <v/>
      </c>
    </row>
    <row r="43" spans="1:1" x14ac:dyDescent="0.2">
      <c r="A43" t="str">
        <f>IF(ISBLANK(B43), "","Terminal-42")</f>
        <v/>
      </c>
    </row>
    <row r="44" spans="1:1" x14ac:dyDescent="0.2">
      <c r="A44" t="str">
        <f>IF(ISBLANK(B44), "","Terminal-43")</f>
        <v/>
      </c>
    </row>
    <row r="45" spans="1:1" x14ac:dyDescent="0.2">
      <c r="A45" t="str">
        <f>IF(ISBLANK(B45), "","Terminal-44")</f>
        <v/>
      </c>
    </row>
    <row r="46" spans="1:1" x14ac:dyDescent="0.2">
      <c r="A46" t="str">
        <f>IF(ISBLANK(B46), "","Terminal-45")</f>
        <v/>
      </c>
    </row>
    <row r="47" spans="1:1" x14ac:dyDescent="0.2">
      <c r="A47" t="str">
        <f>IF(ISBLANK(B47), "","Terminal-46")</f>
        <v/>
      </c>
    </row>
    <row r="48" spans="1:1" x14ac:dyDescent="0.2">
      <c r="A48" t="str">
        <f>IF(ISBLANK(B48), "","Terminal-47")</f>
        <v/>
      </c>
    </row>
    <row r="49" spans="1:1" x14ac:dyDescent="0.2">
      <c r="A49" t="str">
        <f>IF(ISBLANK(B49), "","Terminal-48")</f>
        <v/>
      </c>
    </row>
    <row r="50" spans="1:1" x14ac:dyDescent="0.2">
      <c r="A50" t="str">
        <f>IF(ISBLANK(B50), "","Terminal-49")</f>
        <v/>
      </c>
    </row>
    <row r="51" spans="1:1" x14ac:dyDescent="0.2">
      <c r="A51" t="str">
        <f>IF(ISBLANK(B51), "","Terminal-50")</f>
        <v/>
      </c>
    </row>
    <row r="52" spans="1:1" x14ac:dyDescent="0.2">
      <c r="A52" t="str">
        <f>IF(ISBLANK(B52), "","Terminal-51")</f>
        <v/>
      </c>
    </row>
    <row r="53" spans="1:1" x14ac:dyDescent="0.2">
      <c r="A53" t="str">
        <f>IF(ISBLANK(B53), "","Terminal-52")</f>
        <v/>
      </c>
    </row>
    <row r="54" spans="1:1" x14ac:dyDescent="0.2">
      <c r="A54" t="str">
        <f>IF(ISBLANK(B54), "","Terminal-53")</f>
        <v/>
      </c>
    </row>
    <row r="55" spans="1:1" x14ac:dyDescent="0.2">
      <c r="A55" t="str">
        <f>IF(ISBLANK(B55), "","Terminal-54")</f>
        <v/>
      </c>
    </row>
    <row r="56" spans="1:1" x14ac:dyDescent="0.2">
      <c r="A56" t="str">
        <f>IF(ISBLANK(B56), "","Terminal-55")</f>
        <v/>
      </c>
    </row>
    <row r="57" spans="1:1" x14ac:dyDescent="0.2">
      <c r="A57" t="str">
        <f>IF(ISBLANK(B57), "","Terminal-56")</f>
        <v/>
      </c>
    </row>
    <row r="58" spans="1:1" x14ac:dyDescent="0.2">
      <c r="A58" t="str">
        <f>IF(ISBLANK(B58), "","Terminal-57")</f>
        <v/>
      </c>
    </row>
    <row r="59" spans="1:1" x14ac:dyDescent="0.2">
      <c r="A59" t="str">
        <f>IF(ISBLANK(B59), "","Terminal-58")</f>
        <v/>
      </c>
    </row>
    <row r="60" spans="1:1" x14ac:dyDescent="0.2">
      <c r="A60" t="str">
        <f>IF(ISBLANK(B60), "","Terminal-59")</f>
        <v/>
      </c>
    </row>
    <row r="61" spans="1:1" x14ac:dyDescent="0.2">
      <c r="A61" t="str">
        <f>IF(ISBLANK(B61), "","Terminal-60")</f>
        <v/>
      </c>
    </row>
    <row r="62" spans="1:1" x14ac:dyDescent="0.2">
      <c r="A62" t="str">
        <f>IF(ISBLANK(B62), "","Terminal-61")</f>
        <v/>
      </c>
    </row>
    <row r="63" spans="1:1" x14ac:dyDescent="0.2">
      <c r="A63" t="str">
        <f>IF(ISBLANK(B63), "","Terminal-62")</f>
        <v/>
      </c>
    </row>
    <row r="64" spans="1:1" x14ac:dyDescent="0.2">
      <c r="A64" t="str">
        <f>IF(ISBLANK(B64), "","Terminal-63")</f>
        <v/>
      </c>
    </row>
    <row r="65" spans="1:1" x14ac:dyDescent="0.2">
      <c r="A65" t="str">
        <f>IF(ISBLANK(B65), "","Terminal-64")</f>
        <v/>
      </c>
    </row>
    <row r="66" spans="1:1" x14ac:dyDescent="0.2">
      <c r="A66" t="str">
        <f>IF(ISBLANK(B66), "","Terminal-65")</f>
        <v/>
      </c>
    </row>
    <row r="67" spans="1:1" x14ac:dyDescent="0.2">
      <c r="A67" t="str">
        <f>IF(ISBLANK(B67), "","Terminal-66")</f>
        <v/>
      </c>
    </row>
    <row r="68" spans="1:1" x14ac:dyDescent="0.2">
      <c r="A68" t="str">
        <f>IF(ISBLANK(B68), "","Terminal-67")</f>
        <v/>
      </c>
    </row>
    <row r="69" spans="1:1" x14ac:dyDescent="0.2">
      <c r="A69" t="str">
        <f>IF(ISBLANK(B69), "","Terminal-68")</f>
        <v/>
      </c>
    </row>
    <row r="70" spans="1:1" x14ac:dyDescent="0.2">
      <c r="A70" t="str">
        <f>IF(ISBLANK(B70), "","Terminal-69")</f>
        <v/>
      </c>
    </row>
    <row r="71" spans="1:1" x14ac:dyDescent="0.2">
      <c r="A71" t="str">
        <f>IF(ISBLANK(B71), "","Terminal-70")</f>
        <v/>
      </c>
    </row>
    <row r="72" spans="1:1" x14ac:dyDescent="0.2">
      <c r="A72" t="str">
        <f>IF(ISBLANK(B72), "","Terminal-71")</f>
        <v/>
      </c>
    </row>
    <row r="73" spans="1:1" x14ac:dyDescent="0.2">
      <c r="A73" t="str">
        <f>IF(ISBLANK(B73), "","Terminal-72")</f>
        <v/>
      </c>
    </row>
    <row r="74" spans="1:1" x14ac:dyDescent="0.2">
      <c r="A74" t="str">
        <f>IF(ISBLANK(B74), "","Terminal-73")</f>
        <v/>
      </c>
    </row>
    <row r="75" spans="1:1" x14ac:dyDescent="0.2">
      <c r="A75" t="str">
        <f>IF(ISBLANK(B75), "","Terminal-74")</f>
        <v/>
      </c>
    </row>
    <row r="76" spans="1:1" x14ac:dyDescent="0.2">
      <c r="A76" t="str">
        <f>IF(ISBLANK(B76), "","Terminal-75")</f>
        <v/>
      </c>
    </row>
    <row r="77" spans="1:1" x14ac:dyDescent="0.2">
      <c r="A77" t="str">
        <f>IF(ISBLANK(B77), "","Terminal-76")</f>
        <v/>
      </c>
    </row>
    <row r="78" spans="1:1" x14ac:dyDescent="0.2">
      <c r="A78" t="str">
        <f>IF(ISBLANK(B78), "","Terminal-77")</f>
        <v/>
      </c>
    </row>
    <row r="79" spans="1:1" x14ac:dyDescent="0.2">
      <c r="A79" t="str">
        <f>IF(ISBLANK(B79), "","Terminal-78")</f>
        <v/>
      </c>
    </row>
    <row r="80" spans="1:1" x14ac:dyDescent="0.2">
      <c r="A80" t="str">
        <f>IF(ISBLANK(B80), "","Terminal-79")</f>
        <v/>
      </c>
    </row>
    <row r="81" spans="1:1" x14ac:dyDescent="0.2">
      <c r="A81" t="str">
        <f>IF(ISBLANK(B81), "","Terminal-80")</f>
        <v/>
      </c>
    </row>
    <row r="82" spans="1:1" x14ac:dyDescent="0.2">
      <c r="A82" t="str">
        <f>IF(ISBLANK(B82), "","Terminal-81")</f>
        <v/>
      </c>
    </row>
    <row r="83" spans="1:1" x14ac:dyDescent="0.2">
      <c r="A83" t="str">
        <f>IF(ISBLANK(B83), "","Terminal-82")</f>
        <v/>
      </c>
    </row>
    <row r="84" spans="1:1" x14ac:dyDescent="0.2">
      <c r="A84" t="str">
        <f>IF(ISBLANK(B84), "","Terminal-83")</f>
        <v/>
      </c>
    </row>
    <row r="85" spans="1:1" x14ac:dyDescent="0.2">
      <c r="A85" t="str">
        <f>IF(ISBLANK(B85), "","Terminal-84")</f>
        <v/>
      </c>
    </row>
    <row r="86" spans="1:1" x14ac:dyDescent="0.2">
      <c r="A86" t="str">
        <f>IF(ISBLANK(B86), "","Terminal-85")</f>
        <v/>
      </c>
    </row>
    <row r="87" spans="1:1" x14ac:dyDescent="0.2">
      <c r="A87" t="str">
        <f>IF(ISBLANK(B87), "","Terminal-86")</f>
        <v/>
      </c>
    </row>
    <row r="88" spans="1:1" x14ac:dyDescent="0.2">
      <c r="A88" t="str">
        <f>IF(ISBLANK(B88), "","Terminal-87")</f>
        <v/>
      </c>
    </row>
    <row r="89" spans="1:1" x14ac:dyDescent="0.2">
      <c r="A89" t="str">
        <f>IF(ISBLANK(B89), "","Terminal-88")</f>
        <v/>
      </c>
    </row>
    <row r="90" spans="1:1" x14ac:dyDescent="0.2">
      <c r="A90" t="str">
        <f>IF(ISBLANK(B90), "","Terminal-89")</f>
        <v/>
      </c>
    </row>
    <row r="91" spans="1:1" x14ac:dyDescent="0.2">
      <c r="A91" t="str">
        <f>IF(ISBLANK(B91), "","Terminal-90")</f>
        <v/>
      </c>
    </row>
    <row r="92" spans="1:1" x14ac:dyDescent="0.2">
      <c r="A92" t="str">
        <f>IF(ISBLANK(B92), "","Terminal-91")</f>
        <v/>
      </c>
    </row>
    <row r="93" spans="1:1" x14ac:dyDescent="0.2">
      <c r="A93" t="str">
        <f>IF(ISBLANK(B93), "","Terminal-92")</f>
        <v/>
      </c>
    </row>
    <row r="94" spans="1:1" x14ac:dyDescent="0.2">
      <c r="A94" t="str">
        <f>IF(ISBLANK(B94), "","Terminal-93")</f>
        <v/>
      </c>
    </row>
    <row r="95" spans="1:1" x14ac:dyDescent="0.2">
      <c r="A95" t="str">
        <f>IF(ISBLANK(B95), "","Terminal-94")</f>
        <v/>
      </c>
    </row>
    <row r="96" spans="1:1" x14ac:dyDescent="0.2">
      <c r="A96" t="str">
        <f>IF(ISBLANK(B96), "","Terminal-95")</f>
        <v/>
      </c>
    </row>
    <row r="97" spans="1:1" x14ac:dyDescent="0.2">
      <c r="A97" t="str">
        <f>IF(ISBLANK(B97), "","Terminal-96")</f>
        <v/>
      </c>
    </row>
    <row r="98" spans="1:1" x14ac:dyDescent="0.2">
      <c r="A98" t="str">
        <f>IF(ISBLANK(B98), "","Terminal-97")</f>
        <v/>
      </c>
    </row>
    <row r="99" spans="1:1" x14ac:dyDescent="0.2">
      <c r="A99" t="str">
        <f>IF(ISBLANK(B99), "","Terminal-98")</f>
        <v/>
      </c>
    </row>
    <row r="100" spans="1:1" x14ac:dyDescent="0.2">
      <c r="A100" t="str">
        <f>IF(ISBLANK(B100), "","Terminal-99")</f>
        <v/>
      </c>
    </row>
    <row r="101" spans="1:1" x14ac:dyDescent="0.2">
      <c r="A101" t="str">
        <f>IF(ISBLANK(B101), "","Terminal-100")</f>
        <v/>
      </c>
    </row>
    <row r="102" spans="1:1" x14ac:dyDescent="0.2">
      <c r="A102" t="str">
        <f>IF(ISBLANK(B102), "","Terminal-101")</f>
        <v/>
      </c>
    </row>
    <row r="103" spans="1:1" x14ac:dyDescent="0.2">
      <c r="A103" t="str">
        <f>IF(ISBLANK(B103), "","Terminal-102")</f>
        <v/>
      </c>
    </row>
    <row r="104" spans="1:1" x14ac:dyDescent="0.2">
      <c r="A104" t="str">
        <f>IF(ISBLANK(B104), "","Terminal-103")</f>
        <v/>
      </c>
    </row>
    <row r="105" spans="1:1" x14ac:dyDescent="0.2">
      <c r="A105" t="str">
        <f>IF(ISBLANK(B105), "","Terminal-104")</f>
        <v/>
      </c>
    </row>
    <row r="106" spans="1:1" x14ac:dyDescent="0.2">
      <c r="A106" t="str">
        <f>IF(ISBLANK(B106), "","Terminal-105")</f>
        <v/>
      </c>
    </row>
    <row r="107" spans="1:1" x14ac:dyDescent="0.2">
      <c r="A107" t="str">
        <f>IF(ISBLANK(B107), "","Terminal-106")</f>
        <v/>
      </c>
    </row>
    <row r="108" spans="1:1" x14ac:dyDescent="0.2">
      <c r="A108" t="str">
        <f>IF(ISBLANK(B108), "","Terminal-107")</f>
        <v/>
      </c>
    </row>
    <row r="109" spans="1:1" x14ac:dyDescent="0.2">
      <c r="A109" t="str">
        <f>IF(ISBLANK(B109), "","Terminal-108")</f>
        <v/>
      </c>
    </row>
    <row r="110" spans="1:1" x14ac:dyDescent="0.2">
      <c r="A110" t="str">
        <f>IF(ISBLANK(B110), "","Terminal-109")</f>
        <v/>
      </c>
    </row>
    <row r="111" spans="1:1" x14ac:dyDescent="0.2">
      <c r="A111" t="str">
        <f>IF(ISBLANK(B111), "","Terminal-110")</f>
        <v/>
      </c>
    </row>
    <row r="112" spans="1:1" x14ac:dyDescent="0.2">
      <c r="A112" t="str">
        <f>IF(ISBLANK(B112), "","Terminal-111")</f>
        <v/>
      </c>
    </row>
    <row r="113" spans="1:1" x14ac:dyDescent="0.2">
      <c r="A113" t="str">
        <f>IF(ISBLANK(B113), "","Terminal-112")</f>
        <v/>
      </c>
    </row>
    <row r="114" spans="1:1" x14ac:dyDescent="0.2">
      <c r="A114" t="str">
        <f>IF(ISBLANK(B114), "","Terminal-113")</f>
        <v/>
      </c>
    </row>
    <row r="115" spans="1:1" x14ac:dyDescent="0.2">
      <c r="A115" t="str">
        <f>IF(ISBLANK(B115), "","Terminal-114")</f>
        <v/>
      </c>
    </row>
    <row r="116" spans="1:1" x14ac:dyDescent="0.2">
      <c r="A116" t="str">
        <f>IF(ISBLANK(B116), "","Terminal-115")</f>
        <v/>
      </c>
    </row>
    <row r="117" spans="1:1" x14ac:dyDescent="0.2">
      <c r="A117" t="str">
        <f>IF(ISBLANK(B117), "","Terminal-116")</f>
        <v/>
      </c>
    </row>
    <row r="118" spans="1:1" x14ac:dyDescent="0.2">
      <c r="A118" t="str">
        <f>IF(ISBLANK(B118), "","Terminal-117")</f>
        <v/>
      </c>
    </row>
    <row r="119" spans="1:1" x14ac:dyDescent="0.2">
      <c r="A119" t="str">
        <f>IF(ISBLANK(B119), "","Terminal-118")</f>
        <v/>
      </c>
    </row>
    <row r="120" spans="1:1" x14ac:dyDescent="0.2">
      <c r="A120" t="str">
        <f>IF(ISBLANK(B120), "","Terminal-119")</f>
        <v/>
      </c>
    </row>
    <row r="121" spans="1:1" x14ac:dyDescent="0.2">
      <c r="A121" t="str">
        <f>IF(ISBLANK(B121), "","Terminal-120")</f>
        <v/>
      </c>
    </row>
    <row r="122" spans="1:1" x14ac:dyDescent="0.2">
      <c r="A122" t="str">
        <f>IF(ISBLANK(B122), "","Terminal-121")</f>
        <v/>
      </c>
    </row>
    <row r="123" spans="1:1" x14ac:dyDescent="0.2">
      <c r="A123" t="str">
        <f>IF(ISBLANK(B123), "","Terminal-122")</f>
        <v/>
      </c>
    </row>
    <row r="124" spans="1:1" x14ac:dyDescent="0.2">
      <c r="A124" t="str">
        <f>IF(ISBLANK(B124), "","Terminal-123")</f>
        <v/>
      </c>
    </row>
    <row r="125" spans="1:1" x14ac:dyDescent="0.2">
      <c r="A125" t="str">
        <f>IF(ISBLANK(B125), "","Terminal-124")</f>
        <v/>
      </c>
    </row>
    <row r="126" spans="1:1" x14ac:dyDescent="0.2">
      <c r="A126" t="str">
        <f>IF(ISBLANK(B126), "","Terminal-125")</f>
        <v/>
      </c>
    </row>
    <row r="127" spans="1:1" x14ac:dyDescent="0.2">
      <c r="A127" t="str">
        <f>IF(ISBLANK(B127), "","Terminal-126")</f>
        <v/>
      </c>
    </row>
    <row r="128" spans="1:1" x14ac:dyDescent="0.2">
      <c r="A128" t="str">
        <f>IF(ISBLANK(B128), "","Terminal-127")</f>
        <v/>
      </c>
    </row>
    <row r="129" spans="1:1" x14ac:dyDescent="0.2">
      <c r="A129" t="str">
        <f>IF(ISBLANK(B129), "","Terminal-128")</f>
        <v/>
      </c>
    </row>
    <row r="130" spans="1:1" x14ac:dyDescent="0.2">
      <c r="A130" t="str">
        <f>IF(ISBLANK(B130), "","Terminal-129")</f>
        <v/>
      </c>
    </row>
    <row r="131" spans="1:1" x14ac:dyDescent="0.2">
      <c r="A131" t="str">
        <f>IF(ISBLANK(B131), "","Terminal-130")</f>
        <v/>
      </c>
    </row>
    <row r="132" spans="1:1" x14ac:dyDescent="0.2">
      <c r="A132" t="str">
        <f>IF(ISBLANK(B132), "","Terminal-131")</f>
        <v/>
      </c>
    </row>
    <row r="133" spans="1:1" x14ac:dyDescent="0.2">
      <c r="A133" t="str">
        <f>IF(ISBLANK(B133), "","Terminal-132")</f>
        <v/>
      </c>
    </row>
    <row r="134" spans="1:1" x14ac:dyDescent="0.2">
      <c r="A134" t="str">
        <f>IF(ISBLANK(B134), "","Terminal-133")</f>
        <v/>
      </c>
    </row>
    <row r="135" spans="1:1" x14ac:dyDescent="0.2">
      <c r="A135" t="str">
        <f>IF(ISBLANK(B135), "","Terminal-134")</f>
        <v/>
      </c>
    </row>
    <row r="136" spans="1:1" x14ac:dyDescent="0.2">
      <c r="A136" t="str">
        <f>IF(ISBLANK(B136), "","Terminal-135")</f>
        <v/>
      </c>
    </row>
    <row r="137" spans="1:1" x14ac:dyDescent="0.2">
      <c r="A137" t="str">
        <f>IF(ISBLANK(B137), "","Terminal-136")</f>
        <v/>
      </c>
    </row>
    <row r="138" spans="1:1" x14ac:dyDescent="0.2">
      <c r="A138" t="str">
        <f>IF(ISBLANK(B138), "","Terminal-137")</f>
        <v/>
      </c>
    </row>
    <row r="139" spans="1:1" x14ac:dyDescent="0.2">
      <c r="A139" t="str">
        <f>IF(ISBLANK(B139), "","Terminal-138")</f>
        <v/>
      </c>
    </row>
    <row r="140" spans="1:1" x14ac:dyDescent="0.2">
      <c r="A140" t="str">
        <f>IF(ISBLANK(B140), "","Terminal-139")</f>
        <v/>
      </c>
    </row>
    <row r="141" spans="1:1" x14ac:dyDescent="0.2">
      <c r="A141" t="str">
        <f>IF(ISBLANK(B141), "","Terminal-140")</f>
        <v/>
      </c>
    </row>
    <row r="142" spans="1:1" x14ac:dyDescent="0.2">
      <c r="A142" t="str">
        <f>IF(ISBLANK(B142), "","Terminal-141")</f>
        <v/>
      </c>
    </row>
    <row r="143" spans="1:1" x14ac:dyDescent="0.2">
      <c r="A143" t="str">
        <f>IF(ISBLANK(B143), "","Terminal-142")</f>
        <v/>
      </c>
    </row>
    <row r="144" spans="1:1" x14ac:dyDescent="0.2">
      <c r="A144" t="str">
        <f>IF(ISBLANK(B144), "","Terminal-143")</f>
        <v/>
      </c>
    </row>
    <row r="145" spans="1:1" x14ac:dyDescent="0.2">
      <c r="A145" t="str">
        <f>IF(ISBLANK(B145), "","Terminal-144")</f>
        <v/>
      </c>
    </row>
    <row r="146" spans="1:1" x14ac:dyDescent="0.2">
      <c r="A146" t="str">
        <f>IF(ISBLANK(B146), "","Terminal-145")</f>
        <v/>
      </c>
    </row>
    <row r="147" spans="1:1" x14ac:dyDescent="0.2">
      <c r="A147" t="str">
        <f>IF(ISBLANK(B147), "","Terminal-146")</f>
        <v/>
      </c>
    </row>
    <row r="148" spans="1:1" x14ac:dyDescent="0.2">
      <c r="A148" t="str">
        <f>IF(ISBLANK(B148), "","Terminal-147")</f>
        <v/>
      </c>
    </row>
    <row r="149" spans="1:1" x14ac:dyDescent="0.2">
      <c r="A149" t="str">
        <f>IF(ISBLANK(B149), "","Terminal-148")</f>
        <v/>
      </c>
    </row>
    <row r="150" spans="1:1" x14ac:dyDescent="0.2">
      <c r="A150" t="str">
        <f>IF(ISBLANK(B150), "","Terminal-149")</f>
        <v/>
      </c>
    </row>
    <row r="151" spans="1:1" x14ac:dyDescent="0.2">
      <c r="A151" t="str">
        <f>IF(ISBLANK(B151), "","Terminal-150")</f>
        <v/>
      </c>
    </row>
    <row r="152" spans="1:1" x14ac:dyDescent="0.2">
      <c r="A152" t="str">
        <f>IF(ISBLANK(B152), "","Terminal-151")</f>
        <v/>
      </c>
    </row>
    <row r="153" spans="1:1" x14ac:dyDescent="0.2">
      <c r="A153" t="str">
        <f>IF(ISBLANK(B153), "","Terminal-152")</f>
        <v/>
      </c>
    </row>
    <row r="154" spans="1:1" x14ac:dyDescent="0.2">
      <c r="A154" t="str">
        <f>IF(ISBLANK(B154), "","Terminal-153")</f>
        <v/>
      </c>
    </row>
    <row r="155" spans="1:1" x14ac:dyDescent="0.2">
      <c r="A155" t="str">
        <f>IF(ISBLANK(B155), "","Terminal-154")</f>
        <v/>
      </c>
    </row>
    <row r="156" spans="1:1" x14ac:dyDescent="0.2">
      <c r="A156" t="str">
        <f>IF(ISBLANK(B156), "","Terminal-155")</f>
        <v/>
      </c>
    </row>
    <row r="157" spans="1:1" x14ac:dyDescent="0.2">
      <c r="A157" t="str">
        <f>IF(ISBLANK(B157), "","Terminal-156")</f>
        <v/>
      </c>
    </row>
    <row r="158" spans="1:1" x14ac:dyDescent="0.2">
      <c r="A158" t="str">
        <f>IF(ISBLANK(B158), "","Terminal-157")</f>
        <v/>
      </c>
    </row>
    <row r="159" spans="1:1" x14ac:dyDescent="0.2">
      <c r="A159" t="str">
        <f>IF(ISBLANK(B159), "","Terminal-158")</f>
        <v/>
      </c>
    </row>
    <row r="160" spans="1:1" x14ac:dyDescent="0.2">
      <c r="A160" t="str">
        <f>IF(ISBLANK(B160), "","Terminal-159")</f>
        <v/>
      </c>
    </row>
    <row r="161" spans="1:1" x14ac:dyDescent="0.2">
      <c r="A161" t="str">
        <f>IF(ISBLANK(B161), "","Terminal-160")</f>
        <v/>
      </c>
    </row>
    <row r="162" spans="1:1" x14ac:dyDescent="0.2">
      <c r="A162" t="str">
        <f>IF(ISBLANK(B162), "","Terminal-161")</f>
        <v/>
      </c>
    </row>
    <row r="163" spans="1:1" x14ac:dyDescent="0.2">
      <c r="A163" t="str">
        <f>IF(ISBLANK(B163), "","Terminal-162")</f>
        <v/>
      </c>
    </row>
    <row r="164" spans="1:1" x14ac:dyDescent="0.2">
      <c r="A164" t="str">
        <f>IF(ISBLANK(B164), "","Terminal-163")</f>
        <v/>
      </c>
    </row>
    <row r="165" spans="1:1" x14ac:dyDescent="0.2">
      <c r="A165" t="str">
        <f>IF(ISBLANK(B165), "","Terminal-164")</f>
        <v/>
      </c>
    </row>
    <row r="166" spans="1:1" x14ac:dyDescent="0.2">
      <c r="A166" t="str">
        <f>IF(ISBLANK(B166), "","Terminal-165")</f>
        <v/>
      </c>
    </row>
    <row r="167" spans="1:1" x14ac:dyDescent="0.2">
      <c r="A167" t="str">
        <f>IF(ISBLANK(B167), "","Terminal-166")</f>
        <v/>
      </c>
    </row>
    <row r="168" spans="1:1" x14ac:dyDescent="0.2">
      <c r="A168" t="str">
        <f>IF(ISBLANK(B168), "","Terminal-167")</f>
        <v/>
      </c>
    </row>
    <row r="169" spans="1:1" x14ac:dyDescent="0.2">
      <c r="A169" t="str">
        <f>IF(ISBLANK(B169), "","Terminal-168")</f>
        <v/>
      </c>
    </row>
    <row r="170" spans="1:1" x14ac:dyDescent="0.2">
      <c r="A170" t="str">
        <f>IF(ISBLANK(B170), "","Terminal-169")</f>
        <v/>
      </c>
    </row>
    <row r="171" spans="1:1" x14ac:dyDescent="0.2">
      <c r="A171" t="str">
        <f>IF(ISBLANK(B171), "","Terminal-170")</f>
        <v/>
      </c>
    </row>
    <row r="172" spans="1:1" x14ac:dyDescent="0.2">
      <c r="A172" t="str">
        <f>IF(ISBLANK(B172), "","Terminal-171")</f>
        <v/>
      </c>
    </row>
    <row r="173" spans="1:1" x14ac:dyDescent="0.2">
      <c r="A173" t="str">
        <f>IF(ISBLANK(B173), "","Terminal-172")</f>
        <v/>
      </c>
    </row>
    <row r="174" spans="1:1" x14ac:dyDescent="0.2">
      <c r="A174" t="str">
        <f>IF(ISBLANK(B174), "","Terminal-173")</f>
        <v/>
      </c>
    </row>
    <row r="175" spans="1:1" x14ac:dyDescent="0.2">
      <c r="A175" t="str">
        <f>IF(ISBLANK(B175), "","Terminal-174")</f>
        <v/>
      </c>
    </row>
    <row r="176" spans="1:1" x14ac:dyDescent="0.2">
      <c r="A176" t="str">
        <f>IF(ISBLANK(B176), "","Terminal-175")</f>
        <v/>
      </c>
    </row>
    <row r="177" spans="1:1" x14ac:dyDescent="0.2">
      <c r="A177" t="str">
        <f>IF(ISBLANK(B177), "","Terminal-176")</f>
        <v/>
      </c>
    </row>
    <row r="178" spans="1:1" x14ac:dyDescent="0.2">
      <c r="A178" t="str">
        <f>IF(ISBLANK(B178), "","Terminal-177")</f>
        <v/>
      </c>
    </row>
    <row r="179" spans="1:1" x14ac:dyDescent="0.2">
      <c r="A179" t="str">
        <f>IF(ISBLANK(B179), "","Terminal-178")</f>
        <v/>
      </c>
    </row>
    <row r="180" spans="1:1" x14ac:dyDescent="0.2">
      <c r="A180" t="str">
        <f>IF(ISBLANK(B180), "","Terminal-179")</f>
        <v/>
      </c>
    </row>
    <row r="181" spans="1:1" x14ac:dyDescent="0.2">
      <c r="A181" t="str">
        <f>IF(ISBLANK(B181), "","Terminal-180")</f>
        <v/>
      </c>
    </row>
    <row r="182" spans="1:1" x14ac:dyDescent="0.2">
      <c r="A182" t="str">
        <f>IF(ISBLANK(B182), "","Terminal-181")</f>
        <v/>
      </c>
    </row>
    <row r="183" spans="1:1" x14ac:dyDescent="0.2">
      <c r="A183" t="str">
        <f>IF(ISBLANK(B183), "","Terminal-182")</f>
        <v/>
      </c>
    </row>
    <row r="184" spans="1:1" x14ac:dyDescent="0.2">
      <c r="A184" t="str">
        <f>IF(ISBLANK(B184), "","Terminal-183")</f>
        <v/>
      </c>
    </row>
    <row r="185" spans="1:1" x14ac:dyDescent="0.2">
      <c r="A185" t="str">
        <f>IF(ISBLANK(B185), "","Terminal-184")</f>
        <v/>
      </c>
    </row>
    <row r="186" spans="1:1" x14ac:dyDescent="0.2">
      <c r="A186" t="str">
        <f>IF(ISBLANK(B186), "","Terminal-185")</f>
        <v/>
      </c>
    </row>
    <row r="187" spans="1:1" x14ac:dyDescent="0.2">
      <c r="A187" t="str">
        <f>IF(ISBLANK(B187), "","Terminal-186")</f>
        <v/>
      </c>
    </row>
    <row r="188" spans="1:1" x14ac:dyDescent="0.2">
      <c r="A188" t="str">
        <f>IF(ISBLANK(B188), "","Terminal-187")</f>
        <v/>
      </c>
    </row>
    <row r="189" spans="1:1" x14ac:dyDescent="0.2">
      <c r="A189" t="str">
        <f>IF(ISBLANK(B189), "","Terminal-188")</f>
        <v/>
      </c>
    </row>
    <row r="190" spans="1:1" x14ac:dyDescent="0.2">
      <c r="A190" t="str">
        <f>IF(ISBLANK(B190), "","Terminal-189")</f>
        <v/>
      </c>
    </row>
    <row r="191" spans="1:1" x14ac:dyDescent="0.2">
      <c r="A191" t="str">
        <f>IF(ISBLANK(B191), "","Terminal-190")</f>
        <v/>
      </c>
    </row>
    <row r="192" spans="1:1" x14ac:dyDescent="0.2">
      <c r="A192" t="str">
        <f>IF(ISBLANK(B192), "","Terminal-191")</f>
        <v/>
      </c>
    </row>
    <row r="193" spans="1:1" x14ac:dyDescent="0.2">
      <c r="A193" t="str">
        <f>IF(ISBLANK(B193), "","Terminal-192")</f>
        <v/>
      </c>
    </row>
    <row r="194" spans="1:1" x14ac:dyDescent="0.2">
      <c r="A194" t="str">
        <f>IF(ISBLANK(B194), "","Terminal-193")</f>
        <v/>
      </c>
    </row>
    <row r="195" spans="1:1" x14ac:dyDescent="0.2">
      <c r="A195" t="str">
        <f>IF(ISBLANK(B195), "","Terminal-194")</f>
        <v/>
      </c>
    </row>
    <row r="196" spans="1:1" x14ac:dyDescent="0.2">
      <c r="A196" t="str">
        <f>IF(ISBLANK(B196), "","Terminal-195")</f>
        <v/>
      </c>
    </row>
    <row r="197" spans="1:1" x14ac:dyDescent="0.2">
      <c r="A197" t="str">
        <f>IF(ISBLANK(B197), "","Terminal-196")</f>
        <v/>
      </c>
    </row>
    <row r="198" spans="1:1" x14ac:dyDescent="0.2">
      <c r="A198" t="str">
        <f>IF(ISBLANK(B198), "","Terminal-197")</f>
        <v/>
      </c>
    </row>
    <row r="199" spans="1:1" x14ac:dyDescent="0.2">
      <c r="A199" t="str">
        <f>IF(ISBLANK(B199), "","Terminal-198")</f>
        <v/>
      </c>
    </row>
    <row r="200" spans="1:1" x14ac:dyDescent="0.2">
      <c r="A200" t="str">
        <f>IF(ISBLANK(B200), "","Terminal-199")</f>
        <v/>
      </c>
    </row>
    <row r="201" spans="1:1" x14ac:dyDescent="0.2">
      <c r="A201" t="str">
        <f>IF(ISBLANK(B201), "","Terminal-200")</f>
        <v/>
      </c>
    </row>
    <row r="202" spans="1:1" x14ac:dyDescent="0.2">
      <c r="A202" t="str">
        <f>IF(ISBLANK(B202), "","Terminal-201")</f>
        <v/>
      </c>
    </row>
    <row r="203" spans="1:1" x14ac:dyDescent="0.2">
      <c r="A203" t="str">
        <f>IF(ISBLANK(B203), "","Terminal-202")</f>
        <v/>
      </c>
    </row>
    <row r="204" spans="1:1" x14ac:dyDescent="0.2">
      <c r="A204" t="str">
        <f>IF(ISBLANK(B204), "","Terminal-203")</f>
        <v/>
      </c>
    </row>
    <row r="205" spans="1:1" x14ac:dyDescent="0.2">
      <c r="A205" t="str">
        <f>IF(ISBLANK(B205), "","Terminal-204")</f>
        <v/>
      </c>
    </row>
    <row r="206" spans="1:1" x14ac:dyDescent="0.2">
      <c r="A206" t="str">
        <f>IF(ISBLANK(B206), "","Terminal-205")</f>
        <v/>
      </c>
    </row>
    <row r="207" spans="1:1" x14ac:dyDescent="0.2">
      <c r="A207" t="str">
        <f>IF(ISBLANK(B207), "","Terminal-206")</f>
        <v/>
      </c>
    </row>
    <row r="208" spans="1:1" x14ac:dyDescent="0.2">
      <c r="A208" t="str">
        <f>IF(ISBLANK(B208), "","Terminal-207")</f>
        <v/>
      </c>
    </row>
    <row r="209" spans="1:1" x14ac:dyDescent="0.2">
      <c r="A209" t="str">
        <f>IF(ISBLANK(B209), "","Terminal-208")</f>
        <v/>
      </c>
    </row>
    <row r="210" spans="1:1" x14ac:dyDescent="0.2">
      <c r="A210" t="str">
        <f>IF(ISBLANK(B210), "","Terminal-209")</f>
        <v/>
      </c>
    </row>
    <row r="211" spans="1:1" x14ac:dyDescent="0.2">
      <c r="A211" t="str">
        <f>IF(ISBLANK(B211), "","Terminal-210")</f>
        <v/>
      </c>
    </row>
    <row r="212" spans="1:1" x14ac:dyDescent="0.2">
      <c r="A212" t="str">
        <f>IF(ISBLANK(B212), "","Terminal-211")</f>
        <v/>
      </c>
    </row>
    <row r="213" spans="1:1" x14ac:dyDescent="0.2">
      <c r="A213" t="str">
        <f>IF(ISBLANK(B213), "","Terminal-212")</f>
        <v/>
      </c>
    </row>
    <row r="214" spans="1:1" x14ac:dyDescent="0.2">
      <c r="A214" t="str">
        <f>IF(ISBLANK(B214), "","Terminal-213")</f>
        <v/>
      </c>
    </row>
    <row r="215" spans="1:1" x14ac:dyDescent="0.2">
      <c r="A215" t="str">
        <f>IF(ISBLANK(B215), "","Terminal-214")</f>
        <v/>
      </c>
    </row>
    <row r="216" spans="1:1" x14ac:dyDescent="0.2">
      <c r="A216" t="str">
        <f>IF(ISBLANK(B216), "","Terminal-215")</f>
        <v/>
      </c>
    </row>
    <row r="217" spans="1:1" x14ac:dyDescent="0.2">
      <c r="A217" t="str">
        <f>IF(ISBLANK(B217), "","Terminal-216")</f>
        <v/>
      </c>
    </row>
    <row r="218" spans="1:1" x14ac:dyDescent="0.2">
      <c r="A218" t="str">
        <f>IF(ISBLANK(B218), "","Terminal-217")</f>
        <v/>
      </c>
    </row>
    <row r="219" spans="1:1" x14ac:dyDescent="0.2">
      <c r="A219" t="str">
        <f>IF(ISBLANK(B219), "","Terminal-218")</f>
        <v/>
      </c>
    </row>
    <row r="220" spans="1:1" x14ac:dyDescent="0.2">
      <c r="A220" t="str">
        <f>IF(ISBLANK(B220), "","Terminal-219")</f>
        <v/>
      </c>
    </row>
    <row r="221" spans="1:1" x14ac:dyDescent="0.2">
      <c r="A221" t="str">
        <f>IF(ISBLANK(B221), "","Terminal-220")</f>
        <v/>
      </c>
    </row>
    <row r="222" spans="1:1" x14ac:dyDescent="0.2">
      <c r="A222" t="str">
        <f>IF(ISBLANK(B222), "","Terminal-221")</f>
        <v/>
      </c>
    </row>
    <row r="223" spans="1:1" x14ac:dyDescent="0.2">
      <c r="A223" t="str">
        <f>IF(ISBLANK(B223), "","Terminal-222")</f>
        <v/>
      </c>
    </row>
    <row r="224" spans="1:1" x14ac:dyDescent="0.2">
      <c r="A224" t="str">
        <f>IF(ISBLANK(B224), "","Terminal-223")</f>
        <v/>
      </c>
    </row>
    <row r="225" spans="1:1" x14ac:dyDescent="0.2">
      <c r="A225" t="str">
        <f>IF(ISBLANK(B225), "","Terminal-224")</f>
        <v/>
      </c>
    </row>
    <row r="226" spans="1:1" x14ac:dyDescent="0.2">
      <c r="A226" t="str">
        <f>IF(ISBLANK(B226), "","Terminal-225")</f>
        <v/>
      </c>
    </row>
    <row r="227" spans="1:1" x14ac:dyDescent="0.2">
      <c r="A227" t="str">
        <f>IF(ISBLANK(B227), "","Terminal-226")</f>
        <v/>
      </c>
    </row>
    <row r="228" spans="1:1" x14ac:dyDescent="0.2">
      <c r="A228" t="str">
        <f>IF(ISBLANK(B228), "","Terminal-227")</f>
        <v/>
      </c>
    </row>
    <row r="229" spans="1:1" x14ac:dyDescent="0.2">
      <c r="A229" t="str">
        <f>IF(ISBLANK(B229), "","Terminal-228")</f>
        <v/>
      </c>
    </row>
    <row r="230" spans="1:1" x14ac:dyDescent="0.2">
      <c r="A230" t="str">
        <f>IF(ISBLANK(B230), "","Terminal-229")</f>
        <v/>
      </c>
    </row>
    <row r="231" spans="1:1" x14ac:dyDescent="0.2">
      <c r="A231" t="str">
        <f>IF(ISBLANK(B231), "","Terminal-230")</f>
        <v/>
      </c>
    </row>
    <row r="232" spans="1:1" x14ac:dyDescent="0.2">
      <c r="A232" t="str">
        <f>IF(ISBLANK(B232), "","Terminal-231")</f>
        <v/>
      </c>
    </row>
    <row r="233" spans="1:1" x14ac:dyDescent="0.2">
      <c r="A233" t="str">
        <f>IF(ISBLANK(B233), "","Terminal-232")</f>
        <v/>
      </c>
    </row>
    <row r="234" spans="1:1" x14ac:dyDescent="0.2">
      <c r="A234" t="str">
        <f>IF(ISBLANK(B234), "","Terminal-233")</f>
        <v/>
      </c>
    </row>
    <row r="235" spans="1:1" x14ac:dyDescent="0.2">
      <c r="A235" t="str">
        <f>IF(ISBLANK(B235), "","Terminal-234")</f>
        <v/>
      </c>
    </row>
    <row r="236" spans="1:1" x14ac:dyDescent="0.2">
      <c r="A236" t="str">
        <f>IF(ISBLANK(B236), "","Terminal-235")</f>
        <v/>
      </c>
    </row>
    <row r="237" spans="1:1" x14ac:dyDescent="0.2">
      <c r="A237" t="str">
        <f>IF(ISBLANK(B237), "","Terminal-236")</f>
        <v/>
      </c>
    </row>
    <row r="238" spans="1:1" x14ac:dyDescent="0.2">
      <c r="A238" t="str">
        <f>IF(ISBLANK(B238), "","Terminal-237")</f>
        <v/>
      </c>
    </row>
    <row r="239" spans="1:1" x14ac:dyDescent="0.2">
      <c r="A239" t="str">
        <f>IF(ISBLANK(B239), "","Terminal-238")</f>
        <v/>
      </c>
    </row>
    <row r="240" spans="1:1" x14ac:dyDescent="0.2">
      <c r="A240" t="str">
        <f>IF(ISBLANK(B240), "","Terminal-239")</f>
        <v/>
      </c>
    </row>
    <row r="241" spans="1:1" x14ac:dyDescent="0.2">
      <c r="A241" t="str">
        <f>IF(ISBLANK(B241), "","Terminal-240")</f>
        <v/>
      </c>
    </row>
    <row r="242" spans="1:1" x14ac:dyDescent="0.2">
      <c r="A242" t="str">
        <f>IF(ISBLANK(B242), "","Terminal-241")</f>
        <v/>
      </c>
    </row>
    <row r="243" spans="1:1" x14ac:dyDescent="0.2">
      <c r="A243" t="str">
        <f>IF(ISBLANK(B243), "","Terminal-242")</f>
        <v/>
      </c>
    </row>
    <row r="244" spans="1:1" x14ac:dyDescent="0.2">
      <c r="A244" t="str">
        <f>IF(ISBLANK(B244), "","Terminal-243")</f>
        <v/>
      </c>
    </row>
    <row r="245" spans="1:1" x14ac:dyDescent="0.2">
      <c r="A245" t="str">
        <f>IF(ISBLANK(B245), "","Terminal-244")</f>
        <v/>
      </c>
    </row>
    <row r="246" spans="1:1" x14ac:dyDescent="0.2">
      <c r="A246" t="str">
        <f>IF(ISBLANK(B246), "","Terminal-245")</f>
        <v/>
      </c>
    </row>
    <row r="247" spans="1:1" x14ac:dyDescent="0.2">
      <c r="A247" t="str">
        <f>IF(ISBLANK(B247), "","Terminal-246")</f>
        <v/>
      </c>
    </row>
    <row r="248" spans="1:1" x14ac:dyDescent="0.2">
      <c r="A248" t="str">
        <f>IF(ISBLANK(B248), "","Terminal-247")</f>
        <v/>
      </c>
    </row>
    <row r="249" spans="1:1" x14ac:dyDescent="0.2">
      <c r="A249" t="str">
        <f>IF(ISBLANK(B249), "","Terminal-248")</f>
        <v/>
      </c>
    </row>
    <row r="250" spans="1:1" x14ac:dyDescent="0.2">
      <c r="A250" t="str">
        <f>IF(ISBLANK(B250), "","Terminal-249")</f>
        <v/>
      </c>
    </row>
    <row r="251" spans="1:1" x14ac:dyDescent="0.2">
      <c r="A251" t="str">
        <f>IF(ISBLANK(B251), "","Terminal-250")</f>
        <v/>
      </c>
    </row>
    <row r="252" spans="1:1" x14ac:dyDescent="0.2">
      <c r="A252" t="str">
        <f>IF(ISBLANK(B252), "","Terminal-251")</f>
        <v/>
      </c>
    </row>
    <row r="253" spans="1:1" x14ac:dyDescent="0.2">
      <c r="A253" t="str">
        <f>IF(ISBLANK(B253), "","Terminal-252")</f>
        <v/>
      </c>
    </row>
    <row r="254" spans="1:1" x14ac:dyDescent="0.2">
      <c r="A254" t="str">
        <f>IF(ISBLANK(B254), "","Terminal-253")</f>
        <v/>
      </c>
    </row>
    <row r="255" spans="1:1" x14ac:dyDescent="0.2">
      <c r="A255" t="str">
        <f>IF(ISBLANK(B255), "","Terminal-254")</f>
        <v/>
      </c>
    </row>
    <row r="256" spans="1:1" x14ac:dyDescent="0.2">
      <c r="A256" t="str">
        <f>IF(ISBLANK(B256), "","Terminal-255")</f>
        <v/>
      </c>
    </row>
    <row r="257" spans="1:1" x14ac:dyDescent="0.2">
      <c r="A257" t="str">
        <f>IF(ISBLANK(B257), "","Terminal-256")</f>
        <v/>
      </c>
    </row>
    <row r="258" spans="1:1" x14ac:dyDescent="0.2">
      <c r="A258" t="str">
        <f>IF(ISBLANK(B258), "","Terminal-257")</f>
        <v/>
      </c>
    </row>
    <row r="259" spans="1:1" x14ac:dyDescent="0.2">
      <c r="A259" t="str">
        <f>IF(ISBLANK(B259), "","Terminal-258")</f>
        <v/>
      </c>
    </row>
    <row r="260" spans="1:1" x14ac:dyDescent="0.2">
      <c r="A260" t="str">
        <f>IF(ISBLANK(B260), "","Terminal-259")</f>
        <v/>
      </c>
    </row>
    <row r="261" spans="1:1" x14ac:dyDescent="0.2">
      <c r="A261" t="str">
        <f>IF(ISBLANK(B261), "","Terminal-260")</f>
        <v/>
      </c>
    </row>
    <row r="262" spans="1:1" x14ac:dyDescent="0.2">
      <c r="A262" t="str">
        <f>IF(ISBLANK(B262), "","Terminal-261")</f>
        <v/>
      </c>
    </row>
    <row r="263" spans="1:1" x14ac:dyDescent="0.2">
      <c r="A263" t="str">
        <f>IF(ISBLANK(B263), "","Terminal-262")</f>
        <v/>
      </c>
    </row>
    <row r="264" spans="1:1" x14ac:dyDescent="0.2">
      <c r="A264" t="str">
        <f>IF(ISBLANK(B264), "","Terminal-263")</f>
        <v/>
      </c>
    </row>
    <row r="265" spans="1:1" x14ac:dyDescent="0.2">
      <c r="A265" t="str">
        <f>IF(ISBLANK(B265), "","Terminal-264")</f>
        <v/>
      </c>
    </row>
    <row r="266" spans="1:1" x14ac:dyDescent="0.2">
      <c r="A266" t="str">
        <f>IF(ISBLANK(B266), "","Terminal-265")</f>
        <v/>
      </c>
    </row>
    <row r="267" spans="1:1" x14ac:dyDescent="0.2">
      <c r="A267" t="str">
        <f>IF(ISBLANK(B267), "","Terminal-266")</f>
        <v/>
      </c>
    </row>
    <row r="268" spans="1:1" x14ac:dyDescent="0.2">
      <c r="A268" t="str">
        <f>IF(ISBLANK(B268), "","Terminal-267")</f>
        <v/>
      </c>
    </row>
    <row r="269" spans="1:1" x14ac:dyDescent="0.2">
      <c r="A269" t="str">
        <f>IF(ISBLANK(B269), "","Terminal-268")</f>
        <v/>
      </c>
    </row>
    <row r="270" spans="1:1" x14ac:dyDescent="0.2">
      <c r="A270" t="str">
        <f>IF(ISBLANK(B270), "","Terminal-269")</f>
        <v/>
      </c>
    </row>
    <row r="271" spans="1:1" x14ac:dyDescent="0.2">
      <c r="A271" t="str">
        <f>IF(ISBLANK(B271), "","Terminal-270")</f>
        <v/>
      </c>
    </row>
    <row r="272" spans="1:1" x14ac:dyDescent="0.2">
      <c r="A272" t="str">
        <f>IF(ISBLANK(B272), "","Terminal-271")</f>
        <v/>
      </c>
    </row>
    <row r="273" spans="1:1" x14ac:dyDescent="0.2">
      <c r="A273" t="str">
        <f>IF(ISBLANK(B273), "","Terminal-272")</f>
        <v/>
      </c>
    </row>
    <row r="274" spans="1:1" x14ac:dyDescent="0.2">
      <c r="A274" t="str">
        <f>IF(ISBLANK(B274), "","Terminal-273")</f>
        <v/>
      </c>
    </row>
    <row r="275" spans="1:1" x14ac:dyDescent="0.2">
      <c r="A275" t="str">
        <f>IF(ISBLANK(B275), "","Terminal-274")</f>
        <v/>
      </c>
    </row>
    <row r="276" spans="1:1" x14ac:dyDescent="0.2">
      <c r="A276" t="str">
        <f>IF(ISBLANK(B276), "","Terminal-275")</f>
        <v/>
      </c>
    </row>
    <row r="277" spans="1:1" x14ac:dyDescent="0.2">
      <c r="A277" t="str">
        <f>IF(ISBLANK(B277), "","Terminal-276")</f>
        <v/>
      </c>
    </row>
    <row r="278" spans="1:1" x14ac:dyDescent="0.2">
      <c r="A278" t="str">
        <f>IF(ISBLANK(B278), "","Terminal-277")</f>
        <v/>
      </c>
    </row>
    <row r="279" spans="1:1" x14ac:dyDescent="0.2">
      <c r="A279" t="str">
        <f>IF(ISBLANK(B279), "","Terminal-278")</f>
        <v/>
      </c>
    </row>
    <row r="280" spans="1:1" x14ac:dyDescent="0.2">
      <c r="A280" t="str">
        <f>IF(ISBLANK(B280), "","Terminal-279")</f>
        <v/>
      </c>
    </row>
    <row r="281" spans="1:1" x14ac:dyDescent="0.2">
      <c r="A281" t="str">
        <f>IF(ISBLANK(B281), "","Terminal-280")</f>
        <v/>
      </c>
    </row>
    <row r="282" spans="1:1" x14ac:dyDescent="0.2">
      <c r="A282" t="str">
        <f>IF(ISBLANK(B282), "","Terminal-281")</f>
        <v/>
      </c>
    </row>
    <row r="283" spans="1:1" x14ac:dyDescent="0.2">
      <c r="A283" t="str">
        <f>IF(ISBLANK(B283), "","Terminal-282")</f>
        <v/>
      </c>
    </row>
    <row r="284" spans="1:1" x14ac:dyDescent="0.2">
      <c r="A284" t="str">
        <f>IF(ISBLANK(B284), "","Terminal-283")</f>
        <v/>
      </c>
    </row>
    <row r="285" spans="1:1" x14ac:dyDescent="0.2">
      <c r="A285" t="str">
        <f>IF(ISBLANK(B285), "","Terminal-284")</f>
        <v/>
      </c>
    </row>
    <row r="286" spans="1:1" x14ac:dyDescent="0.2">
      <c r="A286" t="str">
        <f>IF(ISBLANK(B286), "","Terminal-285")</f>
        <v/>
      </c>
    </row>
    <row r="287" spans="1:1" x14ac:dyDescent="0.2">
      <c r="A287" t="str">
        <f>IF(ISBLANK(B287), "","Terminal-286")</f>
        <v/>
      </c>
    </row>
    <row r="288" spans="1:1" x14ac:dyDescent="0.2">
      <c r="A288" t="str">
        <f>IF(ISBLANK(B288), "","Terminal-287")</f>
        <v/>
      </c>
    </row>
    <row r="289" spans="1:1" x14ac:dyDescent="0.2">
      <c r="A289" t="str">
        <f>IF(ISBLANK(B289), "","Terminal-288")</f>
        <v/>
      </c>
    </row>
    <row r="290" spans="1:1" x14ac:dyDescent="0.2">
      <c r="A290" t="str">
        <f>IF(ISBLANK(B290), "","Terminal-289")</f>
        <v/>
      </c>
    </row>
    <row r="291" spans="1:1" x14ac:dyDescent="0.2">
      <c r="A291" t="str">
        <f>IF(ISBLANK(B291), "","Terminal-290")</f>
        <v/>
      </c>
    </row>
    <row r="292" spans="1:1" x14ac:dyDescent="0.2">
      <c r="A292" t="str">
        <f>IF(ISBLANK(B292), "","Terminal-291")</f>
        <v/>
      </c>
    </row>
    <row r="293" spans="1:1" x14ac:dyDescent="0.2">
      <c r="A293" t="str">
        <f>IF(ISBLANK(B293), "","Terminal-292")</f>
        <v/>
      </c>
    </row>
    <row r="294" spans="1:1" x14ac:dyDescent="0.2">
      <c r="A294" t="str">
        <f>IF(ISBLANK(B294), "","Terminal-293")</f>
        <v/>
      </c>
    </row>
    <row r="295" spans="1:1" x14ac:dyDescent="0.2">
      <c r="A295" t="str">
        <f>IF(ISBLANK(B295), "","Terminal-294")</f>
        <v/>
      </c>
    </row>
    <row r="296" spans="1:1" x14ac:dyDescent="0.2">
      <c r="A296" t="str">
        <f>IF(ISBLANK(B296), "","Terminal-295")</f>
        <v/>
      </c>
    </row>
    <row r="297" spans="1:1" x14ac:dyDescent="0.2">
      <c r="A297" t="str">
        <f>IF(ISBLANK(B297), "","Terminal-296")</f>
        <v/>
      </c>
    </row>
    <row r="298" spans="1:1" x14ac:dyDescent="0.2">
      <c r="A298" t="str">
        <f>IF(ISBLANK(B298), "","Terminal-297")</f>
        <v/>
      </c>
    </row>
    <row r="299" spans="1:1" x14ac:dyDescent="0.2">
      <c r="A299" t="str">
        <f>IF(ISBLANK(B299), "","Terminal-298")</f>
        <v/>
      </c>
    </row>
    <row r="300" spans="1:1" x14ac:dyDescent="0.2">
      <c r="A300" t="str">
        <f>IF(ISBLANK(B300), "","Terminal-299")</f>
        <v/>
      </c>
    </row>
    <row r="301" spans="1:1" x14ac:dyDescent="0.2">
      <c r="A301" t="str">
        <f>IF(ISBLANK(B301), "","Terminal-300")</f>
        <v/>
      </c>
    </row>
    <row r="302" spans="1:1" x14ac:dyDescent="0.2">
      <c r="A302" t="str">
        <f>IF(ISBLANK(B302), "","Terminal-301")</f>
        <v/>
      </c>
    </row>
    <row r="303" spans="1:1" x14ac:dyDescent="0.2">
      <c r="A303" t="str">
        <f>IF(ISBLANK(B303), "","Terminal-302")</f>
        <v/>
      </c>
    </row>
    <row r="304" spans="1:1" x14ac:dyDescent="0.2">
      <c r="A304" t="str">
        <f>IF(ISBLANK(B304), "","Terminal-303")</f>
        <v/>
      </c>
    </row>
    <row r="305" spans="1:1" x14ac:dyDescent="0.2">
      <c r="A305" t="str">
        <f>IF(ISBLANK(B305), "","Terminal-304")</f>
        <v/>
      </c>
    </row>
    <row r="306" spans="1:1" x14ac:dyDescent="0.2">
      <c r="A306" t="str">
        <f>IF(ISBLANK(B306), "","Terminal-305")</f>
        <v/>
      </c>
    </row>
    <row r="307" spans="1:1" x14ac:dyDescent="0.2">
      <c r="A307" t="str">
        <f>IF(ISBLANK(B307), "","Terminal-306")</f>
        <v/>
      </c>
    </row>
    <row r="308" spans="1:1" x14ac:dyDescent="0.2">
      <c r="A308" t="str">
        <f>IF(ISBLANK(B308), "","Terminal-307")</f>
        <v/>
      </c>
    </row>
    <row r="309" spans="1:1" x14ac:dyDescent="0.2">
      <c r="A309" t="str">
        <f>IF(ISBLANK(B309), "","Terminal-308")</f>
        <v/>
      </c>
    </row>
    <row r="310" spans="1:1" x14ac:dyDescent="0.2">
      <c r="A310" t="str">
        <f>IF(ISBLANK(B310), "","Terminal-309")</f>
        <v/>
      </c>
    </row>
    <row r="311" spans="1:1" x14ac:dyDescent="0.2">
      <c r="A311" t="str">
        <f>IF(ISBLANK(B311), "","Terminal-310")</f>
        <v/>
      </c>
    </row>
    <row r="312" spans="1:1" x14ac:dyDescent="0.2">
      <c r="A312" t="str">
        <f>IF(ISBLANK(B312), "","Terminal-311")</f>
        <v/>
      </c>
    </row>
    <row r="313" spans="1:1" x14ac:dyDescent="0.2">
      <c r="A313" t="str">
        <f>IF(ISBLANK(B313), "","Terminal-312")</f>
        <v/>
      </c>
    </row>
    <row r="314" spans="1:1" x14ac:dyDescent="0.2">
      <c r="A314" t="str">
        <f>IF(ISBLANK(B314), "","Terminal-313")</f>
        <v/>
      </c>
    </row>
    <row r="315" spans="1:1" x14ac:dyDescent="0.2">
      <c r="A315" t="str">
        <f>IF(ISBLANK(B315), "","Terminal-314")</f>
        <v/>
      </c>
    </row>
    <row r="316" spans="1:1" x14ac:dyDescent="0.2">
      <c r="A316" t="str">
        <f>IF(ISBLANK(B316), "","Terminal-315")</f>
        <v/>
      </c>
    </row>
    <row r="317" spans="1:1" x14ac:dyDescent="0.2">
      <c r="A317" t="str">
        <f>IF(ISBLANK(B317), "","Terminal-316")</f>
        <v/>
      </c>
    </row>
    <row r="318" spans="1:1" x14ac:dyDescent="0.2">
      <c r="A318" t="str">
        <f>IF(ISBLANK(B318), "","Terminal-317")</f>
        <v/>
      </c>
    </row>
    <row r="319" spans="1:1" x14ac:dyDescent="0.2">
      <c r="A319" t="str">
        <f>IF(ISBLANK(B319), "","Terminal-318")</f>
        <v/>
      </c>
    </row>
    <row r="320" spans="1:1" x14ac:dyDescent="0.2">
      <c r="A320" t="str">
        <f>IF(ISBLANK(B320), "","Terminal-319")</f>
        <v/>
      </c>
    </row>
    <row r="321" spans="1:1" x14ac:dyDescent="0.2">
      <c r="A321" t="str">
        <f>IF(ISBLANK(B321), "","Terminal-320")</f>
        <v/>
      </c>
    </row>
    <row r="322" spans="1:1" x14ac:dyDescent="0.2">
      <c r="A322" t="str">
        <f>IF(ISBLANK(B322), "","Terminal-321")</f>
        <v/>
      </c>
    </row>
    <row r="323" spans="1:1" x14ac:dyDescent="0.2">
      <c r="A323" t="str">
        <f>IF(ISBLANK(B323), "","Terminal-322")</f>
        <v/>
      </c>
    </row>
    <row r="324" spans="1:1" x14ac:dyDescent="0.2">
      <c r="A324" t="str">
        <f>IF(ISBLANK(B324), "","Terminal-323")</f>
        <v/>
      </c>
    </row>
    <row r="325" spans="1:1" x14ac:dyDescent="0.2">
      <c r="A325" t="str">
        <f>IF(ISBLANK(B325), "","Terminal-324")</f>
        <v/>
      </c>
    </row>
    <row r="326" spans="1:1" x14ac:dyDescent="0.2">
      <c r="A326" t="str">
        <f>IF(ISBLANK(B326), "","Terminal-325")</f>
        <v/>
      </c>
    </row>
    <row r="327" spans="1:1" x14ac:dyDescent="0.2">
      <c r="A327" t="str">
        <f>IF(ISBLANK(B327), "","Terminal-326")</f>
        <v/>
      </c>
    </row>
    <row r="328" spans="1:1" x14ac:dyDescent="0.2">
      <c r="A328" t="str">
        <f>IF(ISBLANK(B328), "","Terminal-327")</f>
        <v/>
      </c>
    </row>
    <row r="329" spans="1:1" x14ac:dyDescent="0.2">
      <c r="A329" t="str">
        <f>IF(ISBLANK(B329), "","Terminal-328")</f>
        <v/>
      </c>
    </row>
    <row r="330" spans="1:1" x14ac:dyDescent="0.2">
      <c r="A330" t="str">
        <f>IF(ISBLANK(B330), "","Terminal-329")</f>
        <v/>
      </c>
    </row>
    <row r="331" spans="1:1" x14ac:dyDescent="0.2">
      <c r="A331" t="str">
        <f>IF(ISBLANK(B331), "","Terminal-330")</f>
        <v/>
      </c>
    </row>
    <row r="332" spans="1:1" x14ac:dyDescent="0.2">
      <c r="A332" t="str">
        <f>IF(ISBLANK(B332), "","Terminal-331")</f>
        <v/>
      </c>
    </row>
    <row r="333" spans="1:1" x14ac:dyDescent="0.2">
      <c r="A333" t="str">
        <f>IF(ISBLANK(B333), "","Terminal-332")</f>
        <v/>
      </c>
    </row>
    <row r="334" spans="1:1" x14ac:dyDescent="0.2">
      <c r="A334" t="str">
        <f>IF(ISBLANK(B334), "","Terminal-333")</f>
        <v/>
      </c>
    </row>
    <row r="335" spans="1:1" x14ac:dyDescent="0.2">
      <c r="A335" t="str">
        <f>IF(ISBLANK(B335), "","Terminal-334")</f>
        <v/>
      </c>
    </row>
    <row r="336" spans="1:1" x14ac:dyDescent="0.2">
      <c r="A336" t="str">
        <f>IF(ISBLANK(B336), "","Terminal-335")</f>
        <v/>
      </c>
    </row>
    <row r="337" spans="1:1" x14ac:dyDescent="0.2">
      <c r="A337" t="str">
        <f>IF(ISBLANK(B337), "","Terminal-336")</f>
        <v/>
      </c>
    </row>
    <row r="338" spans="1:1" x14ac:dyDescent="0.2">
      <c r="A338" t="str">
        <f>IF(ISBLANK(B338), "","Terminal-337")</f>
        <v/>
      </c>
    </row>
    <row r="339" spans="1:1" x14ac:dyDescent="0.2">
      <c r="A339" t="str">
        <f>IF(ISBLANK(B339), "","Terminal-338")</f>
        <v/>
      </c>
    </row>
    <row r="340" spans="1:1" x14ac:dyDescent="0.2">
      <c r="A340" t="str">
        <f>IF(ISBLANK(B340), "","Terminal-339")</f>
        <v/>
      </c>
    </row>
    <row r="341" spans="1:1" x14ac:dyDescent="0.2">
      <c r="A341" t="str">
        <f>IF(ISBLANK(B341), "","Terminal-340")</f>
        <v/>
      </c>
    </row>
    <row r="342" spans="1:1" x14ac:dyDescent="0.2">
      <c r="A342" t="str">
        <f>IF(ISBLANK(B342), "","Terminal-341")</f>
        <v/>
      </c>
    </row>
    <row r="343" spans="1:1" x14ac:dyDescent="0.2">
      <c r="A343" t="str">
        <f>IF(ISBLANK(B343), "","Terminal-342")</f>
        <v/>
      </c>
    </row>
    <row r="344" spans="1:1" x14ac:dyDescent="0.2">
      <c r="A344" t="str">
        <f>IF(ISBLANK(B344), "","Terminal-343")</f>
        <v/>
      </c>
    </row>
    <row r="345" spans="1:1" x14ac:dyDescent="0.2">
      <c r="A345" t="str">
        <f>IF(ISBLANK(B345), "","Terminal-344")</f>
        <v/>
      </c>
    </row>
    <row r="346" spans="1:1" x14ac:dyDescent="0.2">
      <c r="A346" t="str">
        <f>IF(ISBLANK(B346), "","Terminal-345")</f>
        <v/>
      </c>
    </row>
    <row r="347" spans="1:1" x14ac:dyDescent="0.2">
      <c r="A347" t="str">
        <f>IF(ISBLANK(B347), "","Terminal-346")</f>
        <v/>
      </c>
    </row>
    <row r="348" spans="1:1" x14ac:dyDescent="0.2">
      <c r="A348" t="str">
        <f>IF(ISBLANK(B348), "","Terminal-347")</f>
        <v/>
      </c>
    </row>
    <row r="349" spans="1:1" x14ac:dyDescent="0.2">
      <c r="A349" t="str">
        <f>IF(ISBLANK(B349), "","Terminal-348")</f>
        <v/>
      </c>
    </row>
    <row r="350" spans="1:1" x14ac:dyDescent="0.2">
      <c r="A350" t="str">
        <f>IF(ISBLANK(B350), "","Terminal-349")</f>
        <v/>
      </c>
    </row>
    <row r="351" spans="1:1" x14ac:dyDescent="0.2">
      <c r="A351" t="str">
        <f>IF(ISBLANK(B351), "","Terminal-350")</f>
        <v/>
      </c>
    </row>
    <row r="352" spans="1:1" x14ac:dyDescent="0.2">
      <c r="A352" t="str">
        <f>IF(ISBLANK(B352), "","Terminal-351")</f>
        <v/>
      </c>
    </row>
    <row r="353" spans="1:1" x14ac:dyDescent="0.2">
      <c r="A353" t="str">
        <f>IF(ISBLANK(B353), "","Terminal-352")</f>
        <v/>
      </c>
    </row>
    <row r="354" spans="1:1" x14ac:dyDescent="0.2">
      <c r="A354" t="str">
        <f>IF(ISBLANK(B354), "","Terminal-353")</f>
        <v/>
      </c>
    </row>
    <row r="355" spans="1:1" x14ac:dyDescent="0.2">
      <c r="A355" t="str">
        <f>IF(ISBLANK(B355), "","Terminal-354")</f>
        <v/>
      </c>
    </row>
    <row r="356" spans="1:1" x14ac:dyDescent="0.2">
      <c r="A356" t="str">
        <f>IF(ISBLANK(B356), "","Terminal-355")</f>
        <v/>
      </c>
    </row>
    <row r="357" spans="1:1" x14ac:dyDescent="0.2">
      <c r="A357" t="str">
        <f>IF(ISBLANK(B357), "","Terminal-356")</f>
        <v/>
      </c>
    </row>
    <row r="358" spans="1:1" x14ac:dyDescent="0.2">
      <c r="A358" t="str">
        <f>IF(ISBLANK(B358), "","Terminal-357")</f>
        <v/>
      </c>
    </row>
    <row r="359" spans="1:1" x14ac:dyDescent="0.2">
      <c r="A359" t="str">
        <f>IF(ISBLANK(B359), "","Terminal-358")</f>
        <v/>
      </c>
    </row>
    <row r="360" spans="1:1" x14ac:dyDescent="0.2">
      <c r="A360" t="str">
        <f>IF(ISBLANK(B360), "","Terminal-359")</f>
        <v/>
      </c>
    </row>
    <row r="361" spans="1:1" x14ac:dyDescent="0.2">
      <c r="A361" t="str">
        <f>IF(ISBLANK(B361), "","Terminal-360")</f>
        <v/>
      </c>
    </row>
    <row r="362" spans="1:1" x14ac:dyDescent="0.2">
      <c r="A362" t="str">
        <f>IF(ISBLANK(B362), "","Terminal-361")</f>
        <v/>
      </c>
    </row>
    <row r="363" spans="1:1" x14ac:dyDescent="0.2">
      <c r="A363" t="str">
        <f>IF(ISBLANK(B363), "","Terminal-362")</f>
        <v/>
      </c>
    </row>
    <row r="364" spans="1:1" x14ac:dyDescent="0.2">
      <c r="A364" t="str">
        <f>IF(ISBLANK(B364), "","Terminal-363")</f>
        <v/>
      </c>
    </row>
    <row r="365" spans="1:1" x14ac:dyDescent="0.2">
      <c r="A365" t="str">
        <f>IF(ISBLANK(B365), "","Terminal-364")</f>
        <v/>
      </c>
    </row>
    <row r="366" spans="1:1" x14ac:dyDescent="0.2">
      <c r="A366" t="str">
        <f>IF(ISBLANK(B366), "","Terminal-365")</f>
        <v/>
      </c>
    </row>
    <row r="367" spans="1:1" x14ac:dyDescent="0.2">
      <c r="A367" t="str">
        <f>IF(ISBLANK(B367), "","Terminal-366")</f>
        <v/>
      </c>
    </row>
    <row r="368" spans="1:1" x14ac:dyDescent="0.2">
      <c r="A368" t="str">
        <f>IF(ISBLANK(B368), "","Terminal-367")</f>
        <v/>
      </c>
    </row>
    <row r="369" spans="1:1" x14ac:dyDescent="0.2">
      <c r="A369" t="str">
        <f>IF(ISBLANK(B369), "","Terminal-368")</f>
        <v/>
      </c>
    </row>
    <row r="370" spans="1:1" x14ac:dyDescent="0.2">
      <c r="A370" t="str">
        <f>IF(ISBLANK(B370), "","Terminal-369")</f>
        <v/>
      </c>
    </row>
    <row r="371" spans="1:1" x14ac:dyDescent="0.2">
      <c r="A371" t="str">
        <f>IF(ISBLANK(B371), "","Terminal-370")</f>
        <v/>
      </c>
    </row>
    <row r="372" spans="1:1" x14ac:dyDescent="0.2">
      <c r="A372" t="str">
        <f>IF(ISBLANK(B372), "","Terminal-371")</f>
        <v/>
      </c>
    </row>
    <row r="373" spans="1:1" x14ac:dyDescent="0.2">
      <c r="A373" t="str">
        <f>IF(ISBLANK(B373), "","Terminal-372")</f>
        <v/>
      </c>
    </row>
    <row r="374" spans="1:1" x14ac:dyDescent="0.2">
      <c r="A374" t="str">
        <f>IF(ISBLANK(B374), "","Terminal-373")</f>
        <v/>
      </c>
    </row>
    <row r="375" spans="1:1" x14ac:dyDescent="0.2">
      <c r="A375" t="str">
        <f>IF(ISBLANK(B375), "","Terminal-374")</f>
        <v/>
      </c>
    </row>
    <row r="376" spans="1:1" x14ac:dyDescent="0.2">
      <c r="A376" t="str">
        <f>IF(ISBLANK(B376), "","Terminal-375")</f>
        <v/>
      </c>
    </row>
    <row r="377" spans="1:1" x14ac:dyDescent="0.2">
      <c r="A377" t="str">
        <f>IF(ISBLANK(B377), "","Terminal-376")</f>
        <v/>
      </c>
    </row>
    <row r="378" spans="1:1" x14ac:dyDescent="0.2">
      <c r="A378" t="str">
        <f>IF(ISBLANK(B378), "","Terminal-377")</f>
        <v/>
      </c>
    </row>
    <row r="379" spans="1:1" x14ac:dyDescent="0.2">
      <c r="A379" t="str">
        <f>IF(ISBLANK(B379), "","Terminal-378")</f>
        <v/>
      </c>
    </row>
    <row r="380" spans="1:1" x14ac:dyDescent="0.2">
      <c r="A380" t="str">
        <f>IF(ISBLANK(B380), "","Terminal-379")</f>
        <v/>
      </c>
    </row>
    <row r="381" spans="1:1" x14ac:dyDescent="0.2">
      <c r="A381" t="str">
        <f>IF(ISBLANK(B381), "","Terminal-380")</f>
        <v/>
      </c>
    </row>
    <row r="382" spans="1:1" x14ac:dyDescent="0.2">
      <c r="A382" t="str">
        <f>IF(ISBLANK(B382), "","Terminal-381")</f>
        <v/>
      </c>
    </row>
    <row r="383" spans="1:1" x14ac:dyDescent="0.2">
      <c r="A383" t="str">
        <f>IF(ISBLANK(B383), "","Terminal-382")</f>
        <v/>
      </c>
    </row>
    <row r="384" spans="1:1" x14ac:dyDescent="0.2">
      <c r="A384" t="str">
        <f>IF(ISBLANK(B384), "","Terminal-383")</f>
        <v/>
      </c>
    </row>
    <row r="385" spans="1:1" x14ac:dyDescent="0.2">
      <c r="A385" t="str">
        <f>IF(ISBLANK(B385), "","Terminal-384")</f>
        <v/>
      </c>
    </row>
    <row r="386" spans="1:1" x14ac:dyDescent="0.2">
      <c r="A386" t="str">
        <f>IF(ISBLANK(B386), "","Terminal-385")</f>
        <v/>
      </c>
    </row>
    <row r="387" spans="1:1" x14ac:dyDescent="0.2">
      <c r="A387" t="str">
        <f>IF(ISBLANK(B387), "","Terminal-386")</f>
        <v/>
      </c>
    </row>
    <row r="388" spans="1:1" x14ac:dyDescent="0.2">
      <c r="A388" t="str">
        <f>IF(ISBLANK(B388), "","Terminal-387")</f>
        <v/>
      </c>
    </row>
    <row r="389" spans="1:1" x14ac:dyDescent="0.2">
      <c r="A389" t="str">
        <f>IF(ISBLANK(B389), "","Terminal-388")</f>
        <v/>
      </c>
    </row>
    <row r="390" spans="1:1" x14ac:dyDescent="0.2">
      <c r="A390" t="str">
        <f>IF(ISBLANK(B390), "","Terminal-389")</f>
        <v/>
      </c>
    </row>
    <row r="391" spans="1:1" x14ac:dyDescent="0.2">
      <c r="A391" t="str">
        <f>IF(ISBLANK(B391), "","Terminal-390")</f>
        <v/>
      </c>
    </row>
    <row r="392" spans="1:1" x14ac:dyDescent="0.2">
      <c r="A392" t="str">
        <f>IF(ISBLANK(B392), "","Terminal-391")</f>
        <v/>
      </c>
    </row>
    <row r="393" spans="1:1" x14ac:dyDescent="0.2">
      <c r="A393" t="str">
        <f>IF(ISBLANK(B393), "","Terminal-392")</f>
        <v/>
      </c>
    </row>
    <row r="394" spans="1:1" x14ac:dyDescent="0.2">
      <c r="A394" t="str">
        <f>IF(ISBLANK(B394), "","Terminal-393")</f>
        <v/>
      </c>
    </row>
    <row r="395" spans="1:1" x14ac:dyDescent="0.2">
      <c r="A395" t="str">
        <f>IF(ISBLANK(B395), "","Terminal-394")</f>
        <v/>
      </c>
    </row>
    <row r="396" spans="1:1" x14ac:dyDescent="0.2">
      <c r="A396" t="str">
        <f>IF(ISBLANK(B396), "","Terminal-395")</f>
        <v/>
      </c>
    </row>
    <row r="397" spans="1:1" x14ac:dyDescent="0.2">
      <c r="A397" t="str">
        <f>IF(ISBLANK(B397), "","Terminal-396")</f>
        <v/>
      </c>
    </row>
    <row r="398" spans="1:1" x14ac:dyDescent="0.2">
      <c r="A398" t="str">
        <f>IF(ISBLANK(B398), "","Terminal-397")</f>
        <v/>
      </c>
    </row>
    <row r="399" spans="1:1" x14ac:dyDescent="0.2">
      <c r="A399" t="str">
        <f>IF(ISBLANK(B399), "","Terminal-398")</f>
        <v/>
      </c>
    </row>
    <row r="400" spans="1:1" x14ac:dyDescent="0.2">
      <c r="A400" t="str">
        <f>IF(ISBLANK(B400), "","Terminal-399")</f>
        <v/>
      </c>
    </row>
    <row r="401" spans="1:1" x14ac:dyDescent="0.2">
      <c r="A401" t="str">
        <f>IF(ISBLANK(B401), "","Terminal-400")</f>
        <v/>
      </c>
    </row>
    <row r="402" spans="1:1" x14ac:dyDescent="0.2">
      <c r="A402" t="str">
        <f>IF(ISBLANK(B402), "","Terminal-401")</f>
        <v/>
      </c>
    </row>
    <row r="403" spans="1:1" x14ac:dyDescent="0.2">
      <c r="A403" t="str">
        <f>IF(ISBLANK(B403), "","Terminal-402")</f>
        <v/>
      </c>
    </row>
    <row r="404" spans="1:1" x14ac:dyDescent="0.2">
      <c r="A404" t="str">
        <f>IF(ISBLANK(B404), "","Terminal-403")</f>
        <v/>
      </c>
    </row>
    <row r="405" spans="1:1" x14ac:dyDescent="0.2">
      <c r="A405" t="str">
        <f>IF(ISBLANK(B405), "","Terminal-404")</f>
        <v/>
      </c>
    </row>
    <row r="406" spans="1:1" x14ac:dyDescent="0.2">
      <c r="A406" t="str">
        <f>IF(ISBLANK(B406), "","Terminal-405")</f>
        <v/>
      </c>
    </row>
    <row r="407" spans="1:1" x14ac:dyDescent="0.2">
      <c r="A407" t="str">
        <f>IF(ISBLANK(B407), "","Terminal-406")</f>
        <v/>
      </c>
    </row>
    <row r="408" spans="1:1" x14ac:dyDescent="0.2">
      <c r="A408" t="str">
        <f>IF(ISBLANK(B408), "","Terminal-407")</f>
        <v/>
      </c>
    </row>
    <row r="409" spans="1:1" x14ac:dyDescent="0.2">
      <c r="A409" t="str">
        <f>IF(ISBLANK(B409), "","Terminal-408")</f>
        <v/>
      </c>
    </row>
    <row r="410" spans="1:1" x14ac:dyDescent="0.2">
      <c r="A410" t="str">
        <f>IF(ISBLANK(B410), "","Terminal-409")</f>
        <v/>
      </c>
    </row>
    <row r="411" spans="1:1" x14ac:dyDescent="0.2">
      <c r="A411" t="str">
        <f>IF(ISBLANK(B411), "","Terminal-410")</f>
        <v/>
      </c>
    </row>
    <row r="412" spans="1:1" x14ac:dyDescent="0.2">
      <c r="A412" t="str">
        <f>IF(ISBLANK(B412), "","Terminal-411")</f>
        <v/>
      </c>
    </row>
    <row r="413" spans="1:1" x14ac:dyDescent="0.2">
      <c r="A413" t="str">
        <f>IF(ISBLANK(B413), "","Terminal-412")</f>
        <v/>
      </c>
    </row>
    <row r="414" spans="1:1" x14ac:dyDescent="0.2">
      <c r="A414" t="str">
        <f>IF(ISBLANK(B414), "","Terminal-413")</f>
        <v/>
      </c>
    </row>
    <row r="415" spans="1:1" x14ac:dyDescent="0.2">
      <c r="A415" t="str">
        <f>IF(ISBLANK(B415), "","Terminal-414")</f>
        <v/>
      </c>
    </row>
    <row r="416" spans="1:1" x14ac:dyDescent="0.2">
      <c r="A416" t="str">
        <f>IF(ISBLANK(B416), "","Terminal-415")</f>
        <v/>
      </c>
    </row>
    <row r="417" spans="1:1" x14ac:dyDescent="0.2">
      <c r="A417" t="str">
        <f>IF(ISBLANK(B417), "","Terminal-416")</f>
        <v/>
      </c>
    </row>
    <row r="418" spans="1:1" x14ac:dyDescent="0.2">
      <c r="A418" t="str">
        <f>IF(ISBLANK(B418), "","Terminal-417")</f>
        <v/>
      </c>
    </row>
    <row r="419" spans="1:1" x14ac:dyDescent="0.2">
      <c r="A419" t="str">
        <f>IF(ISBLANK(B419), "","Terminal-418")</f>
        <v/>
      </c>
    </row>
    <row r="420" spans="1:1" x14ac:dyDescent="0.2">
      <c r="A420" t="str">
        <f>IF(ISBLANK(B420), "","Terminal-419")</f>
        <v/>
      </c>
    </row>
    <row r="421" spans="1:1" x14ac:dyDescent="0.2">
      <c r="A421" t="str">
        <f>IF(ISBLANK(B421), "","Terminal-420")</f>
        <v/>
      </c>
    </row>
    <row r="422" spans="1:1" x14ac:dyDescent="0.2">
      <c r="A422" t="str">
        <f>IF(ISBLANK(B422), "","Terminal-421")</f>
        <v/>
      </c>
    </row>
    <row r="423" spans="1:1" x14ac:dyDescent="0.2">
      <c r="A423" t="str">
        <f>IF(ISBLANK(B423), "","Terminal-422")</f>
        <v/>
      </c>
    </row>
    <row r="424" spans="1:1" x14ac:dyDescent="0.2">
      <c r="A424" t="str">
        <f>IF(ISBLANK(B424), "","Terminal-423")</f>
        <v/>
      </c>
    </row>
    <row r="425" spans="1:1" x14ac:dyDescent="0.2">
      <c r="A425" t="str">
        <f>IF(ISBLANK(B425), "","Terminal-424")</f>
        <v/>
      </c>
    </row>
    <row r="426" spans="1:1" x14ac:dyDescent="0.2">
      <c r="A426" t="str">
        <f>IF(ISBLANK(B426), "","Terminal-425")</f>
        <v/>
      </c>
    </row>
    <row r="427" spans="1:1" x14ac:dyDescent="0.2">
      <c r="A427" t="str">
        <f>IF(ISBLANK(B427), "","Terminal-426")</f>
        <v/>
      </c>
    </row>
    <row r="428" spans="1:1" x14ac:dyDescent="0.2">
      <c r="A428" t="str">
        <f>IF(ISBLANK(B428), "","Terminal-427")</f>
        <v/>
      </c>
    </row>
    <row r="429" spans="1:1" x14ac:dyDescent="0.2">
      <c r="A429" t="str">
        <f>IF(ISBLANK(B429), "","Terminal-428")</f>
        <v/>
      </c>
    </row>
    <row r="430" spans="1:1" x14ac:dyDescent="0.2">
      <c r="A430" t="str">
        <f>IF(ISBLANK(B430), "","Terminal-429")</f>
        <v/>
      </c>
    </row>
    <row r="431" spans="1:1" x14ac:dyDescent="0.2">
      <c r="A431" t="str">
        <f>IF(ISBLANK(B431), "","Terminal-430")</f>
        <v/>
      </c>
    </row>
    <row r="432" spans="1:1" x14ac:dyDescent="0.2">
      <c r="A432" t="str">
        <f>IF(ISBLANK(B432), "","Terminal-431")</f>
        <v/>
      </c>
    </row>
    <row r="433" spans="1:1" x14ac:dyDescent="0.2">
      <c r="A433" t="str">
        <f>IF(ISBLANK(B433), "","Terminal-432")</f>
        <v/>
      </c>
    </row>
    <row r="434" spans="1:1" x14ac:dyDescent="0.2">
      <c r="A434" t="str">
        <f>IF(ISBLANK(B434), "","Terminal-433")</f>
        <v/>
      </c>
    </row>
    <row r="435" spans="1:1" x14ac:dyDescent="0.2">
      <c r="A435" t="str">
        <f>IF(ISBLANK(B435), "","Terminal-434")</f>
        <v/>
      </c>
    </row>
    <row r="436" spans="1:1" x14ac:dyDescent="0.2">
      <c r="A436" t="str">
        <f>IF(ISBLANK(B436), "","Terminal-435")</f>
        <v/>
      </c>
    </row>
    <row r="437" spans="1:1" x14ac:dyDescent="0.2">
      <c r="A437" t="str">
        <f>IF(ISBLANK(B437), "","Terminal-436")</f>
        <v/>
      </c>
    </row>
    <row r="438" spans="1:1" x14ac:dyDescent="0.2">
      <c r="A438" t="str">
        <f>IF(ISBLANK(B438), "","Terminal-437")</f>
        <v/>
      </c>
    </row>
    <row r="439" spans="1:1" x14ac:dyDescent="0.2">
      <c r="A439" t="str">
        <f>IF(ISBLANK(B439), "","Terminal-438")</f>
        <v/>
      </c>
    </row>
    <row r="440" spans="1:1" x14ac:dyDescent="0.2">
      <c r="A440" t="str">
        <f>IF(ISBLANK(B440), "","Terminal-439")</f>
        <v/>
      </c>
    </row>
    <row r="441" spans="1:1" x14ac:dyDescent="0.2">
      <c r="A441" t="str">
        <f>IF(ISBLANK(B441), "","Terminal-440")</f>
        <v/>
      </c>
    </row>
    <row r="442" spans="1:1" x14ac:dyDescent="0.2">
      <c r="A442" t="str">
        <f>IF(ISBLANK(B442), "","Terminal-441")</f>
        <v/>
      </c>
    </row>
    <row r="443" spans="1:1" x14ac:dyDescent="0.2">
      <c r="A443" t="str">
        <f>IF(ISBLANK(B443), "","Terminal-442")</f>
        <v/>
      </c>
    </row>
    <row r="444" spans="1:1" x14ac:dyDescent="0.2">
      <c r="A444" t="str">
        <f>IF(ISBLANK(B444), "","Terminal-443")</f>
        <v/>
      </c>
    </row>
    <row r="445" spans="1:1" x14ac:dyDescent="0.2">
      <c r="A445" t="str">
        <f>IF(ISBLANK(B445), "","Terminal-444")</f>
        <v/>
      </c>
    </row>
    <row r="446" spans="1:1" x14ac:dyDescent="0.2">
      <c r="A446" t="str">
        <f>IF(ISBLANK(B446), "","Terminal-445")</f>
        <v/>
      </c>
    </row>
    <row r="447" spans="1:1" x14ac:dyDescent="0.2">
      <c r="A447" t="str">
        <f>IF(ISBLANK(B447), "","Terminal-446")</f>
        <v/>
      </c>
    </row>
    <row r="448" spans="1:1" x14ac:dyDescent="0.2">
      <c r="A448" t="str">
        <f>IF(ISBLANK(B448), "","Terminal-447")</f>
        <v/>
      </c>
    </row>
    <row r="449" spans="1:1" x14ac:dyDescent="0.2">
      <c r="A449" t="str">
        <f>IF(ISBLANK(B449), "","Terminal-448")</f>
        <v/>
      </c>
    </row>
    <row r="450" spans="1:1" x14ac:dyDescent="0.2">
      <c r="A450" t="str">
        <f>IF(ISBLANK(B450), "","Terminal-449")</f>
        <v/>
      </c>
    </row>
    <row r="451" spans="1:1" x14ac:dyDescent="0.2">
      <c r="A451" t="str">
        <f>IF(ISBLANK(B451), "","Terminal-450")</f>
        <v/>
      </c>
    </row>
    <row r="452" spans="1:1" x14ac:dyDescent="0.2">
      <c r="A452" t="str">
        <f>IF(ISBLANK(B452), "","Terminal-451")</f>
        <v/>
      </c>
    </row>
    <row r="453" spans="1:1" x14ac:dyDescent="0.2">
      <c r="A453" t="str">
        <f>IF(ISBLANK(B453), "","Terminal-452")</f>
        <v/>
      </c>
    </row>
    <row r="454" spans="1:1" x14ac:dyDescent="0.2">
      <c r="A454" t="str">
        <f>IF(ISBLANK(B454), "","Terminal-453")</f>
        <v/>
      </c>
    </row>
    <row r="455" spans="1:1" x14ac:dyDescent="0.2">
      <c r="A455" t="str">
        <f>IF(ISBLANK(B455), "","Terminal-454")</f>
        <v/>
      </c>
    </row>
    <row r="456" spans="1:1" x14ac:dyDescent="0.2">
      <c r="A456" t="str">
        <f>IF(ISBLANK(B456), "","Terminal-455")</f>
        <v/>
      </c>
    </row>
    <row r="457" spans="1:1" x14ac:dyDescent="0.2">
      <c r="A457" t="str">
        <f>IF(ISBLANK(B457), "","Terminal-456")</f>
        <v/>
      </c>
    </row>
    <row r="458" spans="1:1" x14ac:dyDescent="0.2">
      <c r="A458" t="str">
        <f>IF(ISBLANK(B458), "","Terminal-457")</f>
        <v/>
      </c>
    </row>
    <row r="459" spans="1:1" x14ac:dyDescent="0.2">
      <c r="A459" t="str">
        <f>IF(ISBLANK(B459), "","Terminal-458")</f>
        <v/>
      </c>
    </row>
    <row r="460" spans="1:1" x14ac:dyDescent="0.2">
      <c r="A460" t="str">
        <f>IF(ISBLANK(B460), "","Terminal-459")</f>
        <v/>
      </c>
    </row>
    <row r="461" spans="1:1" x14ac:dyDescent="0.2">
      <c r="A461" t="str">
        <f>IF(ISBLANK(B461), "","Terminal-460")</f>
        <v/>
      </c>
    </row>
    <row r="462" spans="1:1" x14ac:dyDescent="0.2">
      <c r="A462" t="str">
        <f>IF(ISBLANK(B462), "","Terminal-461")</f>
        <v/>
      </c>
    </row>
    <row r="463" spans="1:1" x14ac:dyDescent="0.2">
      <c r="A463" t="str">
        <f>IF(ISBLANK(B463), "","Terminal-462")</f>
        <v/>
      </c>
    </row>
    <row r="464" spans="1:1" x14ac:dyDescent="0.2">
      <c r="A464" t="str">
        <f>IF(ISBLANK(B464), "","Terminal-463")</f>
        <v/>
      </c>
    </row>
    <row r="465" spans="1:1" x14ac:dyDescent="0.2">
      <c r="A465" t="str">
        <f>IF(ISBLANK(B465), "","Terminal-464")</f>
        <v/>
      </c>
    </row>
    <row r="466" spans="1:1" x14ac:dyDescent="0.2">
      <c r="A466" t="str">
        <f>IF(ISBLANK(B466), "","Terminal-465")</f>
        <v/>
      </c>
    </row>
    <row r="467" spans="1:1" x14ac:dyDescent="0.2">
      <c r="A467" t="str">
        <f>IF(ISBLANK(B467), "","Terminal-466")</f>
        <v/>
      </c>
    </row>
    <row r="468" spans="1:1" x14ac:dyDescent="0.2">
      <c r="A468" t="str">
        <f>IF(ISBLANK(B468), "","Terminal-467")</f>
        <v/>
      </c>
    </row>
    <row r="469" spans="1:1" x14ac:dyDescent="0.2">
      <c r="A469" t="str">
        <f>IF(ISBLANK(B469), "","Terminal-468")</f>
        <v/>
      </c>
    </row>
    <row r="470" spans="1:1" x14ac:dyDescent="0.2">
      <c r="A470" t="str">
        <f>IF(ISBLANK(B470), "","Terminal-469")</f>
        <v/>
      </c>
    </row>
    <row r="471" spans="1:1" x14ac:dyDescent="0.2">
      <c r="A471" t="str">
        <f>IF(ISBLANK(B471), "","Terminal-470")</f>
        <v/>
      </c>
    </row>
    <row r="472" spans="1:1" x14ac:dyDescent="0.2">
      <c r="A472" t="str">
        <f>IF(ISBLANK(B472), "","Terminal-471")</f>
        <v/>
      </c>
    </row>
    <row r="473" spans="1:1" x14ac:dyDescent="0.2">
      <c r="A473" t="str">
        <f>IF(ISBLANK(B473), "","Terminal-472")</f>
        <v/>
      </c>
    </row>
    <row r="474" spans="1:1" x14ac:dyDescent="0.2">
      <c r="A474" t="str">
        <f>IF(ISBLANK(B474), "","Terminal-473")</f>
        <v/>
      </c>
    </row>
    <row r="475" spans="1:1" x14ac:dyDescent="0.2">
      <c r="A475" t="str">
        <f>IF(ISBLANK(B475), "","Terminal-474")</f>
        <v/>
      </c>
    </row>
    <row r="476" spans="1:1" x14ac:dyDescent="0.2">
      <c r="A476" t="str">
        <f>IF(ISBLANK(B476), "","Terminal-475")</f>
        <v/>
      </c>
    </row>
    <row r="477" spans="1:1" x14ac:dyDescent="0.2">
      <c r="A477" t="str">
        <f>IF(ISBLANK(B477), "","Terminal-476")</f>
        <v/>
      </c>
    </row>
    <row r="478" spans="1:1" x14ac:dyDescent="0.2">
      <c r="A478" t="str">
        <f>IF(ISBLANK(B478), "","Terminal-477")</f>
        <v/>
      </c>
    </row>
    <row r="479" spans="1:1" x14ac:dyDescent="0.2">
      <c r="A479" t="str">
        <f>IF(ISBLANK(B479), "","Terminal-478")</f>
        <v/>
      </c>
    </row>
    <row r="480" spans="1:1" x14ac:dyDescent="0.2">
      <c r="A480" t="str">
        <f>IF(ISBLANK(B480), "","Terminal-479")</f>
        <v/>
      </c>
    </row>
    <row r="481" spans="1:1" x14ac:dyDescent="0.2">
      <c r="A481" t="str">
        <f>IF(ISBLANK(B481), "","Terminal-480")</f>
        <v/>
      </c>
    </row>
    <row r="482" spans="1:1" x14ac:dyDescent="0.2">
      <c r="A482" t="str">
        <f>IF(ISBLANK(B482), "","Terminal-481")</f>
        <v/>
      </c>
    </row>
    <row r="483" spans="1:1" x14ac:dyDescent="0.2">
      <c r="A483" t="str">
        <f>IF(ISBLANK(B483), "","Terminal-482")</f>
        <v/>
      </c>
    </row>
    <row r="484" spans="1:1" x14ac:dyDescent="0.2">
      <c r="A484" t="str">
        <f>IF(ISBLANK(B484), "","Terminal-483")</f>
        <v/>
      </c>
    </row>
    <row r="485" spans="1:1" x14ac:dyDescent="0.2">
      <c r="A485" t="str">
        <f>IF(ISBLANK(B485), "","Terminal-484")</f>
        <v/>
      </c>
    </row>
    <row r="486" spans="1:1" x14ac:dyDescent="0.2">
      <c r="A486" t="str">
        <f>IF(ISBLANK(B486), "","Terminal-485")</f>
        <v/>
      </c>
    </row>
    <row r="487" spans="1:1" x14ac:dyDescent="0.2">
      <c r="A487" t="str">
        <f>IF(ISBLANK(B487), "","Terminal-486")</f>
        <v/>
      </c>
    </row>
    <row r="488" spans="1:1" x14ac:dyDescent="0.2">
      <c r="A488" t="str">
        <f>IF(ISBLANK(B488), "","Terminal-487")</f>
        <v/>
      </c>
    </row>
    <row r="489" spans="1:1" x14ac:dyDescent="0.2">
      <c r="A489" t="str">
        <f>IF(ISBLANK(B489), "","Terminal-488")</f>
        <v/>
      </c>
    </row>
    <row r="490" spans="1:1" x14ac:dyDescent="0.2">
      <c r="A490" t="str">
        <f>IF(ISBLANK(B490), "","Terminal-489")</f>
        <v/>
      </c>
    </row>
    <row r="491" spans="1:1" x14ac:dyDescent="0.2">
      <c r="A491" t="str">
        <f>IF(ISBLANK(B491), "","Terminal-490")</f>
        <v/>
      </c>
    </row>
    <row r="492" spans="1:1" x14ac:dyDescent="0.2">
      <c r="A492" t="str">
        <f>IF(ISBLANK(B492), "","Terminal-491")</f>
        <v/>
      </c>
    </row>
    <row r="493" spans="1:1" x14ac:dyDescent="0.2">
      <c r="A493" t="str">
        <f>IF(ISBLANK(B493), "","Terminal-492")</f>
        <v/>
      </c>
    </row>
    <row r="494" spans="1:1" x14ac:dyDescent="0.2">
      <c r="A494" t="str">
        <f>IF(ISBLANK(B494), "","Terminal-493")</f>
        <v/>
      </c>
    </row>
    <row r="495" spans="1:1" x14ac:dyDescent="0.2">
      <c r="A495" t="str">
        <f>IF(ISBLANK(B495), "","Terminal-494")</f>
        <v/>
      </c>
    </row>
    <row r="496" spans="1:1" x14ac:dyDescent="0.2">
      <c r="A496" t="str">
        <f>IF(ISBLANK(B496), "","Terminal-495")</f>
        <v/>
      </c>
    </row>
    <row r="497" spans="1:1" x14ac:dyDescent="0.2">
      <c r="A497" t="str">
        <f>IF(ISBLANK(B497), "","Terminal-496")</f>
        <v/>
      </c>
    </row>
    <row r="498" spans="1:1" x14ac:dyDescent="0.2">
      <c r="A498" t="str">
        <f>IF(ISBLANK(B498), "","Terminal-497")</f>
        <v/>
      </c>
    </row>
    <row r="499" spans="1:1" x14ac:dyDescent="0.2">
      <c r="A499" t="str">
        <f>IF(ISBLANK(B499), "","Terminal-498")</f>
        <v/>
      </c>
    </row>
    <row r="500" spans="1:1" x14ac:dyDescent="0.2">
      <c r="A500" t="str">
        <f>IF(ISBLANK(B500), "","Terminal-499")</f>
        <v/>
      </c>
    </row>
    <row r="501" spans="1:1" x14ac:dyDescent="0.2">
      <c r="A501" t="str">
        <f>IF(ISBLANK(B501), "","Terminal-500")</f>
        <v/>
      </c>
    </row>
    <row r="502" spans="1:1" x14ac:dyDescent="0.2">
      <c r="A502" t="str">
        <f>IF(ISBLANK(B502), "","Terminal-501")</f>
        <v/>
      </c>
    </row>
    <row r="503" spans="1:1" x14ac:dyDescent="0.2">
      <c r="A503" t="str">
        <f>IF(ISBLANK(B503), "","Terminal-502")</f>
        <v/>
      </c>
    </row>
    <row r="504" spans="1:1" x14ac:dyDescent="0.2">
      <c r="A504" t="str">
        <f>IF(ISBLANK(B504), "","Terminal-503")</f>
        <v/>
      </c>
    </row>
    <row r="505" spans="1:1" x14ac:dyDescent="0.2">
      <c r="A505" t="str">
        <f>IF(ISBLANK(B505), "","Terminal-504")</f>
        <v/>
      </c>
    </row>
    <row r="506" spans="1:1" x14ac:dyDescent="0.2">
      <c r="A506" t="str">
        <f>IF(ISBLANK(B506), "","Terminal-505")</f>
        <v/>
      </c>
    </row>
    <row r="507" spans="1:1" x14ac:dyDescent="0.2">
      <c r="A507" t="str">
        <f>IF(ISBLANK(B507), "","Terminal-506")</f>
        <v/>
      </c>
    </row>
    <row r="508" spans="1:1" x14ac:dyDescent="0.2">
      <c r="A508" t="str">
        <f>IF(ISBLANK(B508), "","Terminal-507")</f>
        <v/>
      </c>
    </row>
    <row r="509" spans="1:1" x14ac:dyDescent="0.2">
      <c r="A509" t="str">
        <f>IF(ISBLANK(B509), "","Terminal-508")</f>
        <v/>
      </c>
    </row>
    <row r="510" spans="1:1" x14ac:dyDescent="0.2">
      <c r="A510" t="str">
        <f>IF(ISBLANK(B510), "","Terminal-509")</f>
        <v/>
      </c>
    </row>
    <row r="511" spans="1:1" x14ac:dyDescent="0.2">
      <c r="A511" t="str">
        <f>IF(ISBLANK(B511), "","Terminal-510")</f>
        <v/>
      </c>
    </row>
    <row r="512" spans="1:1" x14ac:dyDescent="0.2">
      <c r="A512" t="str">
        <f>IF(ISBLANK(B512), "","Terminal-511")</f>
        <v/>
      </c>
    </row>
    <row r="513" spans="1:1" x14ac:dyDescent="0.2">
      <c r="A513" t="str">
        <f>IF(ISBLANK(B513), "","Terminal-512")</f>
        <v/>
      </c>
    </row>
    <row r="514" spans="1:1" x14ac:dyDescent="0.2">
      <c r="A514" t="str">
        <f>IF(ISBLANK(B514), "","Terminal-513")</f>
        <v/>
      </c>
    </row>
    <row r="515" spans="1:1" x14ac:dyDescent="0.2">
      <c r="A515" t="str">
        <f>IF(ISBLANK(B515), "","Terminal-514")</f>
        <v/>
      </c>
    </row>
    <row r="516" spans="1:1" x14ac:dyDescent="0.2">
      <c r="A516" t="str">
        <f>IF(ISBLANK(B516), "","Terminal-515")</f>
        <v/>
      </c>
    </row>
    <row r="517" spans="1:1" x14ac:dyDescent="0.2">
      <c r="A517" t="str">
        <f>IF(ISBLANK(B517), "","Terminal-516")</f>
        <v/>
      </c>
    </row>
    <row r="518" spans="1:1" x14ac:dyDescent="0.2">
      <c r="A518" t="str">
        <f>IF(ISBLANK(B518), "","Terminal-517")</f>
        <v/>
      </c>
    </row>
    <row r="519" spans="1:1" x14ac:dyDescent="0.2">
      <c r="A519" t="str">
        <f>IF(ISBLANK(B519), "","Terminal-518")</f>
        <v/>
      </c>
    </row>
    <row r="520" spans="1:1" x14ac:dyDescent="0.2">
      <c r="A520" t="str">
        <f>IF(ISBLANK(B520), "","Terminal-519")</f>
        <v/>
      </c>
    </row>
    <row r="521" spans="1:1" x14ac:dyDescent="0.2">
      <c r="A521" t="str">
        <f>IF(ISBLANK(B521), "","Terminal-520")</f>
        <v/>
      </c>
    </row>
    <row r="522" spans="1:1" x14ac:dyDescent="0.2">
      <c r="A522" t="str">
        <f>IF(ISBLANK(B522), "","Terminal-521")</f>
        <v/>
      </c>
    </row>
    <row r="523" spans="1:1" x14ac:dyDescent="0.2">
      <c r="A523" t="str">
        <f>IF(ISBLANK(B523), "","Terminal-522")</f>
        <v/>
      </c>
    </row>
    <row r="524" spans="1:1" x14ac:dyDescent="0.2">
      <c r="A524" t="str">
        <f>IF(ISBLANK(B524), "","Terminal-523")</f>
        <v/>
      </c>
    </row>
    <row r="525" spans="1:1" x14ac:dyDescent="0.2">
      <c r="A525" t="str">
        <f>IF(ISBLANK(B525), "","Terminal-524")</f>
        <v/>
      </c>
    </row>
    <row r="526" spans="1:1" x14ac:dyDescent="0.2">
      <c r="A526" t="str">
        <f>IF(ISBLANK(B526), "","Terminal-525")</f>
        <v/>
      </c>
    </row>
    <row r="527" spans="1:1" x14ac:dyDescent="0.2">
      <c r="A527" t="str">
        <f>IF(ISBLANK(B527), "","Terminal-526")</f>
        <v/>
      </c>
    </row>
    <row r="528" spans="1:1" x14ac:dyDescent="0.2">
      <c r="A528" t="str">
        <f>IF(ISBLANK(B528), "","Terminal-527")</f>
        <v/>
      </c>
    </row>
    <row r="529" spans="1:1" x14ac:dyDescent="0.2">
      <c r="A529" t="str">
        <f>IF(ISBLANK(B529), "","Terminal-528")</f>
        <v/>
      </c>
    </row>
    <row r="530" spans="1:1" x14ac:dyDescent="0.2">
      <c r="A530" t="str">
        <f>IF(ISBLANK(B530), "","Terminal-529")</f>
        <v/>
      </c>
    </row>
    <row r="531" spans="1:1" x14ac:dyDescent="0.2">
      <c r="A531" t="str">
        <f>IF(ISBLANK(B531), "","Terminal-530")</f>
        <v/>
      </c>
    </row>
    <row r="532" spans="1:1" x14ac:dyDescent="0.2">
      <c r="A532" t="str">
        <f>IF(ISBLANK(B532), "","Terminal-531")</f>
        <v/>
      </c>
    </row>
    <row r="533" spans="1:1" x14ac:dyDescent="0.2">
      <c r="A533" t="str">
        <f>IF(ISBLANK(B533), "","Terminal-532")</f>
        <v/>
      </c>
    </row>
    <row r="534" spans="1:1" x14ac:dyDescent="0.2">
      <c r="A534" t="str">
        <f>IF(ISBLANK(B534), "","Terminal-533")</f>
        <v/>
      </c>
    </row>
    <row r="535" spans="1:1" x14ac:dyDescent="0.2">
      <c r="A535" t="str">
        <f>IF(ISBLANK(B535), "","Terminal-534")</f>
        <v/>
      </c>
    </row>
    <row r="536" spans="1:1" x14ac:dyDescent="0.2">
      <c r="A536" t="str">
        <f>IF(ISBLANK(B536), "","Terminal-535")</f>
        <v/>
      </c>
    </row>
    <row r="537" spans="1:1" x14ac:dyDescent="0.2">
      <c r="A537" t="str">
        <f>IF(ISBLANK(B537), "","Terminal-536")</f>
        <v/>
      </c>
    </row>
    <row r="538" spans="1:1" x14ac:dyDescent="0.2">
      <c r="A538" t="str">
        <f>IF(ISBLANK(B538), "","Terminal-537")</f>
        <v/>
      </c>
    </row>
    <row r="539" spans="1:1" x14ac:dyDescent="0.2">
      <c r="A539" t="str">
        <f>IF(ISBLANK(B539), "","Terminal-538")</f>
        <v/>
      </c>
    </row>
    <row r="540" spans="1:1" x14ac:dyDescent="0.2">
      <c r="A540" t="str">
        <f>IF(ISBLANK(B540), "","Terminal-539")</f>
        <v/>
      </c>
    </row>
    <row r="541" spans="1:1" x14ac:dyDescent="0.2">
      <c r="A541" t="str">
        <f>IF(ISBLANK(B541), "","Terminal-540")</f>
        <v/>
      </c>
    </row>
    <row r="542" spans="1:1" x14ac:dyDescent="0.2">
      <c r="A542" t="str">
        <f>IF(ISBLANK(B542), "","Terminal-541")</f>
        <v/>
      </c>
    </row>
    <row r="543" spans="1:1" x14ac:dyDescent="0.2">
      <c r="A543" t="str">
        <f>IF(ISBLANK(B543), "","Terminal-542")</f>
        <v/>
      </c>
    </row>
    <row r="544" spans="1:1" x14ac:dyDescent="0.2">
      <c r="A544" t="str">
        <f>IF(ISBLANK(B544), "","Terminal-543")</f>
        <v/>
      </c>
    </row>
    <row r="545" spans="1:1" x14ac:dyDescent="0.2">
      <c r="A545" t="str">
        <f>IF(ISBLANK(B545), "","Terminal-544")</f>
        <v/>
      </c>
    </row>
    <row r="546" spans="1:1" x14ac:dyDescent="0.2">
      <c r="A546" t="str">
        <f>IF(ISBLANK(B546), "","Terminal-545")</f>
        <v/>
      </c>
    </row>
    <row r="547" spans="1:1" x14ac:dyDescent="0.2">
      <c r="A547" t="str">
        <f>IF(ISBLANK(B547), "","Terminal-546")</f>
        <v/>
      </c>
    </row>
    <row r="548" spans="1:1" x14ac:dyDescent="0.2">
      <c r="A548" t="str">
        <f>IF(ISBLANK(B548), "","Terminal-547")</f>
        <v/>
      </c>
    </row>
    <row r="549" spans="1:1" x14ac:dyDescent="0.2">
      <c r="A549" t="str">
        <f>IF(ISBLANK(B549), "","Terminal-548")</f>
        <v/>
      </c>
    </row>
    <row r="550" spans="1:1" x14ac:dyDescent="0.2">
      <c r="A550" t="str">
        <f>IF(ISBLANK(B550), "","Terminal-549")</f>
        <v/>
      </c>
    </row>
    <row r="551" spans="1:1" x14ac:dyDescent="0.2">
      <c r="A551" t="str">
        <f>IF(ISBLANK(B551), "","Terminal-550")</f>
        <v/>
      </c>
    </row>
    <row r="552" spans="1:1" x14ac:dyDescent="0.2">
      <c r="A552" t="str">
        <f>IF(ISBLANK(B552), "","Terminal-551")</f>
        <v/>
      </c>
    </row>
    <row r="553" spans="1:1" x14ac:dyDescent="0.2">
      <c r="A553" t="str">
        <f>IF(ISBLANK(B553), "","Terminal-552")</f>
        <v/>
      </c>
    </row>
    <row r="554" spans="1:1" x14ac:dyDescent="0.2">
      <c r="A554" t="str">
        <f>IF(ISBLANK(B554), "","Terminal-553")</f>
        <v/>
      </c>
    </row>
    <row r="555" spans="1:1" x14ac:dyDescent="0.2">
      <c r="A555" t="str">
        <f>IF(ISBLANK(B555), "","Terminal-554")</f>
        <v/>
      </c>
    </row>
    <row r="556" spans="1:1" x14ac:dyDescent="0.2">
      <c r="A556" t="str">
        <f>IF(ISBLANK(B556), "","Terminal-555")</f>
        <v/>
      </c>
    </row>
    <row r="557" spans="1:1" x14ac:dyDescent="0.2">
      <c r="A557" t="str">
        <f>IF(ISBLANK(B557), "","Terminal-556")</f>
        <v/>
      </c>
    </row>
    <row r="558" spans="1:1" x14ac:dyDescent="0.2">
      <c r="A558" t="str">
        <f>IF(ISBLANK(B558), "","Terminal-557")</f>
        <v/>
      </c>
    </row>
    <row r="559" spans="1:1" x14ac:dyDescent="0.2">
      <c r="A559" t="str">
        <f>IF(ISBLANK(B559), "","Terminal-558")</f>
        <v/>
      </c>
    </row>
    <row r="560" spans="1:1" x14ac:dyDescent="0.2">
      <c r="A560" t="str">
        <f>IF(ISBLANK(B560), "","Terminal-559")</f>
        <v/>
      </c>
    </row>
    <row r="561" spans="1:1" x14ac:dyDescent="0.2">
      <c r="A561" t="str">
        <f>IF(ISBLANK(B561), "","Terminal-560")</f>
        <v/>
      </c>
    </row>
    <row r="562" spans="1:1" x14ac:dyDescent="0.2">
      <c r="A562" t="str">
        <f>IF(ISBLANK(B562), "","Terminal-561")</f>
        <v/>
      </c>
    </row>
    <row r="563" spans="1:1" x14ac:dyDescent="0.2">
      <c r="A563" t="str">
        <f>IF(ISBLANK(B563), "","Terminal-562")</f>
        <v/>
      </c>
    </row>
    <row r="564" spans="1:1" x14ac:dyDescent="0.2">
      <c r="A564" t="str">
        <f>IF(ISBLANK(B564), "","Terminal-563")</f>
        <v/>
      </c>
    </row>
    <row r="565" spans="1:1" x14ac:dyDescent="0.2">
      <c r="A565" t="str">
        <f>IF(ISBLANK(B565), "","Terminal-564")</f>
        <v/>
      </c>
    </row>
    <row r="566" spans="1:1" x14ac:dyDescent="0.2">
      <c r="A566" t="str">
        <f>IF(ISBLANK(B566), "","Terminal-565")</f>
        <v/>
      </c>
    </row>
    <row r="567" spans="1:1" x14ac:dyDescent="0.2">
      <c r="A567" t="str">
        <f>IF(ISBLANK(B567), "","Terminal-566")</f>
        <v/>
      </c>
    </row>
    <row r="568" spans="1:1" x14ac:dyDescent="0.2">
      <c r="A568" t="str">
        <f>IF(ISBLANK(B568), "","Terminal-567")</f>
        <v/>
      </c>
    </row>
    <row r="569" spans="1:1" x14ac:dyDescent="0.2">
      <c r="A569" t="str">
        <f>IF(ISBLANK(B569), "","Terminal-568")</f>
        <v/>
      </c>
    </row>
    <row r="570" spans="1:1" x14ac:dyDescent="0.2">
      <c r="A570" t="str">
        <f>IF(ISBLANK(B570), "","Terminal-569")</f>
        <v/>
      </c>
    </row>
    <row r="571" spans="1:1" x14ac:dyDescent="0.2">
      <c r="A571" t="str">
        <f>IF(ISBLANK(B571), "","Terminal-570")</f>
        <v/>
      </c>
    </row>
    <row r="572" spans="1:1" x14ac:dyDescent="0.2">
      <c r="A572" t="str">
        <f>IF(ISBLANK(B572), "","Terminal-571")</f>
        <v/>
      </c>
    </row>
    <row r="573" spans="1:1" x14ac:dyDescent="0.2">
      <c r="A573" t="str">
        <f>IF(ISBLANK(B573), "","Terminal-572")</f>
        <v/>
      </c>
    </row>
    <row r="574" spans="1:1" x14ac:dyDescent="0.2">
      <c r="A574" t="str">
        <f>IF(ISBLANK(B574), "","Terminal-573")</f>
        <v/>
      </c>
    </row>
    <row r="575" spans="1:1" x14ac:dyDescent="0.2">
      <c r="A575" t="str">
        <f>IF(ISBLANK(B575), "","Terminal-574")</f>
        <v/>
      </c>
    </row>
    <row r="576" spans="1:1" x14ac:dyDescent="0.2">
      <c r="A576" t="str">
        <f>IF(ISBLANK(B576), "","Terminal-575")</f>
        <v/>
      </c>
    </row>
    <row r="577" spans="1:1" x14ac:dyDescent="0.2">
      <c r="A577" t="str">
        <f>IF(ISBLANK(B577), "","Terminal-576")</f>
        <v/>
      </c>
    </row>
    <row r="578" spans="1:1" x14ac:dyDescent="0.2">
      <c r="A578" t="str">
        <f>IF(ISBLANK(B578), "","Terminal-577")</f>
        <v/>
      </c>
    </row>
    <row r="579" spans="1:1" x14ac:dyDescent="0.2">
      <c r="A579" t="str">
        <f>IF(ISBLANK(B579), "","Terminal-578")</f>
        <v/>
      </c>
    </row>
    <row r="580" spans="1:1" x14ac:dyDescent="0.2">
      <c r="A580" t="str">
        <f>IF(ISBLANK(B580), "","Terminal-579")</f>
        <v/>
      </c>
    </row>
    <row r="581" spans="1:1" x14ac:dyDescent="0.2">
      <c r="A581" t="str">
        <f>IF(ISBLANK(B581), "","Terminal-580")</f>
        <v/>
      </c>
    </row>
    <row r="582" spans="1:1" x14ac:dyDescent="0.2">
      <c r="A582" t="str">
        <f>IF(ISBLANK(B582), "","Terminal-581")</f>
        <v/>
      </c>
    </row>
    <row r="583" spans="1:1" x14ac:dyDescent="0.2">
      <c r="A583" t="str">
        <f>IF(ISBLANK(B583), "","Terminal-582")</f>
        <v/>
      </c>
    </row>
    <row r="584" spans="1:1" x14ac:dyDescent="0.2">
      <c r="A584" t="str">
        <f>IF(ISBLANK(B584), "","Terminal-583")</f>
        <v/>
      </c>
    </row>
    <row r="585" spans="1:1" x14ac:dyDescent="0.2">
      <c r="A585" t="str">
        <f>IF(ISBLANK(B585), "","Terminal-584")</f>
        <v/>
      </c>
    </row>
    <row r="586" spans="1:1" x14ac:dyDescent="0.2">
      <c r="A586" t="str">
        <f>IF(ISBLANK(B586), "","Terminal-585")</f>
        <v/>
      </c>
    </row>
    <row r="587" spans="1:1" x14ac:dyDescent="0.2">
      <c r="A587" t="str">
        <f>IF(ISBLANK(B587), "","Terminal-586")</f>
        <v/>
      </c>
    </row>
    <row r="588" spans="1:1" x14ac:dyDescent="0.2">
      <c r="A588" t="str">
        <f>IF(ISBLANK(B588), "","Terminal-587")</f>
        <v/>
      </c>
    </row>
    <row r="589" spans="1:1" x14ac:dyDescent="0.2">
      <c r="A589" t="str">
        <f>IF(ISBLANK(B589), "","Terminal-588")</f>
        <v/>
      </c>
    </row>
    <row r="590" spans="1:1" x14ac:dyDescent="0.2">
      <c r="A590" t="str">
        <f>IF(ISBLANK(B590), "","Terminal-589")</f>
        <v/>
      </c>
    </row>
    <row r="591" spans="1:1" x14ac:dyDescent="0.2">
      <c r="A591" t="str">
        <f>IF(ISBLANK(B591), "","Terminal-590")</f>
        <v/>
      </c>
    </row>
    <row r="592" spans="1:1" x14ac:dyDescent="0.2">
      <c r="A592" t="str">
        <f>IF(ISBLANK(B592), "","Terminal-591")</f>
        <v/>
      </c>
    </row>
    <row r="593" spans="1:1" x14ac:dyDescent="0.2">
      <c r="A593" t="str">
        <f>IF(ISBLANK(B593), "","Terminal-592")</f>
        <v/>
      </c>
    </row>
    <row r="594" spans="1:1" x14ac:dyDescent="0.2">
      <c r="A594" t="str">
        <f>IF(ISBLANK(B594), "","Terminal-593")</f>
        <v/>
      </c>
    </row>
    <row r="595" spans="1:1" x14ac:dyDescent="0.2">
      <c r="A595" t="str">
        <f>IF(ISBLANK(B595), "","Terminal-594")</f>
        <v/>
      </c>
    </row>
    <row r="596" spans="1:1" x14ac:dyDescent="0.2">
      <c r="A596" t="str">
        <f>IF(ISBLANK(B596), "","Terminal-595")</f>
        <v/>
      </c>
    </row>
    <row r="597" spans="1:1" x14ac:dyDescent="0.2">
      <c r="A597" t="str">
        <f>IF(ISBLANK(B597), "","Terminal-596")</f>
        <v/>
      </c>
    </row>
    <row r="598" spans="1:1" x14ac:dyDescent="0.2">
      <c r="A598" t="str">
        <f>IF(ISBLANK(B598), "","Terminal-597")</f>
        <v/>
      </c>
    </row>
    <row r="599" spans="1:1" x14ac:dyDescent="0.2">
      <c r="A599" t="str">
        <f>IF(ISBLANK(B599), "","Terminal-598")</f>
        <v/>
      </c>
    </row>
    <row r="600" spans="1:1" x14ac:dyDescent="0.2">
      <c r="A600" t="str">
        <f>IF(ISBLANK(B600), "","Terminal-599")</f>
        <v/>
      </c>
    </row>
    <row r="601" spans="1:1" x14ac:dyDescent="0.2">
      <c r="A601" t="str">
        <f>IF(ISBLANK(B601), "","Terminal-600")</f>
        <v/>
      </c>
    </row>
    <row r="602" spans="1:1" x14ac:dyDescent="0.2">
      <c r="A602" t="str">
        <f>IF(ISBLANK(B602), "","Terminal-601")</f>
        <v/>
      </c>
    </row>
    <row r="603" spans="1:1" x14ac:dyDescent="0.2">
      <c r="A603" t="str">
        <f>IF(ISBLANK(B603), "","Terminal-602")</f>
        <v/>
      </c>
    </row>
    <row r="604" spans="1:1" x14ac:dyDescent="0.2">
      <c r="A604" t="str">
        <f>IF(ISBLANK(B604), "","Terminal-603")</f>
        <v/>
      </c>
    </row>
    <row r="605" spans="1:1" x14ac:dyDescent="0.2">
      <c r="A605" t="str">
        <f>IF(ISBLANK(B605), "","Terminal-604")</f>
        <v/>
      </c>
    </row>
    <row r="606" spans="1:1" x14ac:dyDescent="0.2">
      <c r="A606" t="str">
        <f>IF(ISBLANK(B606), "","Terminal-605")</f>
        <v/>
      </c>
    </row>
    <row r="607" spans="1:1" x14ac:dyDescent="0.2">
      <c r="A607" t="str">
        <f>IF(ISBLANK(B607), "","Terminal-606")</f>
        <v/>
      </c>
    </row>
    <row r="608" spans="1:1" x14ac:dyDescent="0.2">
      <c r="A608" t="str">
        <f>IF(ISBLANK(B608), "","Terminal-607")</f>
        <v/>
      </c>
    </row>
    <row r="609" spans="1:1" x14ac:dyDescent="0.2">
      <c r="A609" t="str">
        <f>IF(ISBLANK(B609), "","Terminal-608")</f>
        <v/>
      </c>
    </row>
    <row r="610" spans="1:1" x14ac:dyDescent="0.2">
      <c r="A610" t="str">
        <f>IF(ISBLANK(B610), "","Terminal-609")</f>
        <v/>
      </c>
    </row>
    <row r="611" spans="1:1" x14ac:dyDescent="0.2">
      <c r="A611" t="str">
        <f>IF(ISBLANK(B611), "","Terminal-610")</f>
        <v/>
      </c>
    </row>
    <row r="612" spans="1:1" x14ac:dyDescent="0.2">
      <c r="A612" t="str">
        <f>IF(ISBLANK(B612), "","Terminal-611")</f>
        <v/>
      </c>
    </row>
    <row r="613" spans="1:1" x14ac:dyDescent="0.2">
      <c r="A613" t="str">
        <f>IF(ISBLANK(B613), "","Terminal-612")</f>
        <v/>
      </c>
    </row>
    <row r="614" spans="1:1" x14ac:dyDescent="0.2">
      <c r="A614" t="str">
        <f>IF(ISBLANK(B614), "","Terminal-613")</f>
        <v/>
      </c>
    </row>
    <row r="615" spans="1:1" x14ac:dyDescent="0.2">
      <c r="A615" t="str">
        <f>IF(ISBLANK(B615), "","Terminal-614")</f>
        <v/>
      </c>
    </row>
    <row r="616" spans="1:1" x14ac:dyDescent="0.2">
      <c r="A616" t="str">
        <f>IF(ISBLANK(B616), "","Terminal-615")</f>
        <v/>
      </c>
    </row>
    <row r="617" spans="1:1" x14ac:dyDescent="0.2">
      <c r="A617" t="str">
        <f>IF(ISBLANK(B617), "","Terminal-616")</f>
        <v/>
      </c>
    </row>
    <row r="618" spans="1:1" x14ac:dyDescent="0.2">
      <c r="A618" t="str">
        <f>IF(ISBLANK(B618), "","Terminal-617")</f>
        <v/>
      </c>
    </row>
    <row r="619" spans="1:1" x14ac:dyDescent="0.2">
      <c r="A619" t="str">
        <f>IF(ISBLANK(B619), "","Terminal-618")</f>
        <v/>
      </c>
    </row>
    <row r="620" spans="1:1" x14ac:dyDescent="0.2">
      <c r="A620" t="str">
        <f>IF(ISBLANK(B620), "","Terminal-619")</f>
        <v/>
      </c>
    </row>
    <row r="621" spans="1:1" x14ac:dyDescent="0.2">
      <c r="A621" t="str">
        <f>IF(ISBLANK(B621), "","Terminal-620")</f>
        <v/>
      </c>
    </row>
    <row r="622" spans="1:1" x14ac:dyDescent="0.2">
      <c r="A622" t="str">
        <f>IF(ISBLANK(B622), "","Terminal-621")</f>
        <v/>
      </c>
    </row>
    <row r="623" spans="1:1" x14ac:dyDescent="0.2">
      <c r="A623" t="str">
        <f>IF(ISBLANK(B623), "","Terminal-622")</f>
        <v/>
      </c>
    </row>
    <row r="624" spans="1:1" x14ac:dyDescent="0.2">
      <c r="A624" t="str">
        <f>IF(ISBLANK(B624), "","Terminal-623")</f>
        <v/>
      </c>
    </row>
    <row r="625" spans="1:1" x14ac:dyDescent="0.2">
      <c r="A625" t="str">
        <f>IF(ISBLANK(B625), "","Terminal-624")</f>
        <v/>
      </c>
    </row>
    <row r="626" spans="1:1" x14ac:dyDescent="0.2">
      <c r="A626" t="str">
        <f>IF(ISBLANK(B626), "","Terminal-625")</f>
        <v/>
      </c>
    </row>
    <row r="627" spans="1:1" x14ac:dyDescent="0.2">
      <c r="A627" t="str">
        <f>IF(ISBLANK(B627), "","Terminal-626")</f>
        <v/>
      </c>
    </row>
    <row r="628" spans="1:1" x14ac:dyDescent="0.2">
      <c r="A628" t="str">
        <f>IF(ISBLANK(B628), "","Terminal-627")</f>
        <v/>
      </c>
    </row>
    <row r="629" spans="1:1" x14ac:dyDescent="0.2">
      <c r="A629" t="str">
        <f>IF(ISBLANK(B629), "","Terminal-628")</f>
        <v/>
      </c>
    </row>
    <row r="630" spans="1:1" x14ac:dyDescent="0.2">
      <c r="A630" t="str">
        <f>IF(ISBLANK(B630), "","Terminal-629")</f>
        <v/>
      </c>
    </row>
    <row r="631" spans="1:1" x14ac:dyDescent="0.2">
      <c r="A631" t="str">
        <f>IF(ISBLANK(B631), "","Terminal-630")</f>
        <v/>
      </c>
    </row>
    <row r="632" spans="1:1" x14ac:dyDescent="0.2">
      <c r="A632" t="str">
        <f>IF(ISBLANK(B632), "","Terminal-631")</f>
        <v/>
      </c>
    </row>
    <row r="633" spans="1:1" x14ac:dyDescent="0.2">
      <c r="A633" t="str">
        <f>IF(ISBLANK(B633), "","Terminal-632")</f>
        <v/>
      </c>
    </row>
    <row r="634" spans="1:1" x14ac:dyDescent="0.2">
      <c r="A634" t="str">
        <f>IF(ISBLANK(B634), "","Terminal-633")</f>
        <v/>
      </c>
    </row>
    <row r="635" spans="1:1" x14ac:dyDescent="0.2">
      <c r="A635" t="str">
        <f>IF(ISBLANK(B635), "","Terminal-634")</f>
        <v/>
      </c>
    </row>
    <row r="636" spans="1:1" x14ac:dyDescent="0.2">
      <c r="A636" t="str">
        <f>IF(ISBLANK(B636), "","Terminal-635")</f>
        <v/>
      </c>
    </row>
    <row r="637" spans="1:1" x14ac:dyDescent="0.2">
      <c r="A637" t="str">
        <f>IF(ISBLANK(B637), "","Terminal-636")</f>
        <v/>
      </c>
    </row>
    <row r="638" spans="1:1" x14ac:dyDescent="0.2">
      <c r="A638" t="str">
        <f>IF(ISBLANK(B638), "","Terminal-637")</f>
        <v/>
      </c>
    </row>
    <row r="639" spans="1:1" x14ac:dyDescent="0.2">
      <c r="A639" t="str">
        <f>IF(ISBLANK(B639), "","Terminal-638")</f>
        <v/>
      </c>
    </row>
    <row r="640" spans="1:1" x14ac:dyDescent="0.2">
      <c r="A640" t="str">
        <f>IF(ISBLANK(B640), "","Terminal-639")</f>
        <v/>
      </c>
    </row>
    <row r="641" spans="1:1" x14ac:dyDescent="0.2">
      <c r="A641" t="str">
        <f>IF(ISBLANK(B641), "","Terminal-640")</f>
        <v/>
      </c>
    </row>
    <row r="642" spans="1:1" x14ac:dyDescent="0.2">
      <c r="A642" t="str">
        <f>IF(ISBLANK(B642), "","Terminal-641")</f>
        <v/>
      </c>
    </row>
    <row r="643" spans="1:1" x14ac:dyDescent="0.2">
      <c r="A643" t="str">
        <f>IF(ISBLANK(B643), "","Terminal-642")</f>
        <v/>
      </c>
    </row>
    <row r="644" spans="1:1" x14ac:dyDescent="0.2">
      <c r="A644" t="str">
        <f>IF(ISBLANK(B644), "","Terminal-643")</f>
        <v/>
      </c>
    </row>
    <row r="645" spans="1:1" x14ac:dyDescent="0.2">
      <c r="A645" t="str">
        <f>IF(ISBLANK(B645), "","Terminal-644")</f>
        <v/>
      </c>
    </row>
    <row r="646" spans="1:1" x14ac:dyDescent="0.2">
      <c r="A646" t="str">
        <f>IF(ISBLANK(B646), "","Terminal-645")</f>
        <v/>
      </c>
    </row>
    <row r="647" spans="1:1" x14ac:dyDescent="0.2">
      <c r="A647" t="str">
        <f>IF(ISBLANK(B647), "","Terminal-646")</f>
        <v/>
      </c>
    </row>
    <row r="648" spans="1:1" x14ac:dyDescent="0.2">
      <c r="A648" t="str">
        <f>IF(ISBLANK(B648), "","Terminal-647")</f>
        <v/>
      </c>
    </row>
    <row r="649" spans="1:1" x14ac:dyDescent="0.2">
      <c r="A649" t="str">
        <f>IF(ISBLANK(B649), "","Terminal-648")</f>
        <v/>
      </c>
    </row>
    <row r="650" spans="1:1" x14ac:dyDescent="0.2">
      <c r="A650" t="str">
        <f>IF(ISBLANK(B650), "","Terminal-649")</f>
        <v/>
      </c>
    </row>
    <row r="651" spans="1:1" x14ac:dyDescent="0.2">
      <c r="A651" t="str">
        <f>IF(ISBLANK(B651), "","Terminal-650")</f>
        <v/>
      </c>
    </row>
    <row r="652" spans="1:1" x14ac:dyDescent="0.2">
      <c r="A652" t="str">
        <f>IF(ISBLANK(B652), "","Terminal-651")</f>
        <v/>
      </c>
    </row>
    <row r="653" spans="1:1" x14ac:dyDescent="0.2">
      <c r="A653" t="str">
        <f>IF(ISBLANK(B653), "","Terminal-652")</f>
        <v/>
      </c>
    </row>
    <row r="654" spans="1:1" x14ac:dyDescent="0.2">
      <c r="A654" t="str">
        <f>IF(ISBLANK(B654), "","Terminal-653")</f>
        <v/>
      </c>
    </row>
    <row r="655" spans="1:1" x14ac:dyDescent="0.2">
      <c r="A655" t="str">
        <f>IF(ISBLANK(B655), "","Terminal-654")</f>
        <v/>
      </c>
    </row>
    <row r="656" spans="1:1" x14ac:dyDescent="0.2">
      <c r="A656" t="str">
        <f>IF(ISBLANK(B656), "","Terminal-655")</f>
        <v/>
      </c>
    </row>
    <row r="657" spans="1:1" x14ac:dyDescent="0.2">
      <c r="A657" t="str">
        <f>IF(ISBLANK(B657), "","Terminal-656")</f>
        <v/>
      </c>
    </row>
    <row r="658" spans="1:1" x14ac:dyDescent="0.2">
      <c r="A658" t="str">
        <f>IF(ISBLANK(B658), "","Terminal-657")</f>
        <v/>
      </c>
    </row>
    <row r="659" spans="1:1" x14ac:dyDescent="0.2">
      <c r="A659" t="str">
        <f>IF(ISBLANK(B659), "","Terminal-658")</f>
        <v/>
      </c>
    </row>
    <row r="660" spans="1:1" x14ac:dyDescent="0.2">
      <c r="A660" t="str">
        <f>IF(ISBLANK(B660), "","Terminal-659")</f>
        <v/>
      </c>
    </row>
    <row r="661" spans="1:1" x14ac:dyDescent="0.2">
      <c r="A661" t="str">
        <f>IF(ISBLANK(B661), "","Terminal-660")</f>
        <v/>
      </c>
    </row>
    <row r="662" spans="1:1" x14ac:dyDescent="0.2">
      <c r="A662" t="str">
        <f>IF(ISBLANK(B662), "","Terminal-661")</f>
        <v/>
      </c>
    </row>
    <row r="663" spans="1:1" x14ac:dyDescent="0.2">
      <c r="A663" t="str">
        <f>IF(ISBLANK(B663), "","Terminal-662")</f>
        <v/>
      </c>
    </row>
    <row r="664" spans="1:1" x14ac:dyDescent="0.2">
      <c r="A664" t="str">
        <f>IF(ISBLANK(B664), "","Terminal-663")</f>
        <v/>
      </c>
    </row>
    <row r="665" spans="1:1" x14ac:dyDescent="0.2">
      <c r="A665" t="str">
        <f>IF(ISBLANK(B665), "","Terminal-664")</f>
        <v/>
      </c>
    </row>
    <row r="666" spans="1:1" x14ac:dyDescent="0.2">
      <c r="A666" t="str">
        <f>IF(ISBLANK(B666), "","Terminal-665")</f>
        <v/>
      </c>
    </row>
    <row r="667" spans="1:1" x14ac:dyDescent="0.2">
      <c r="A667" t="str">
        <f>IF(ISBLANK(B667), "","Terminal-666")</f>
        <v/>
      </c>
    </row>
    <row r="668" spans="1:1" x14ac:dyDescent="0.2">
      <c r="A668" t="str">
        <f>IF(ISBLANK(B668), "","Terminal-667")</f>
        <v/>
      </c>
    </row>
    <row r="669" spans="1:1" x14ac:dyDescent="0.2">
      <c r="A669" t="str">
        <f>IF(ISBLANK(B669), "","Terminal-668")</f>
        <v/>
      </c>
    </row>
    <row r="670" spans="1:1" x14ac:dyDescent="0.2">
      <c r="A670" t="str">
        <f>IF(ISBLANK(B670), "","Terminal-669")</f>
        <v/>
      </c>
    </row>
    <row r="671" spans="1:1" x14ac:dyDescent="0.2">
      <c r="A671" t="str">
        <f>IF(ISBLANK(B671), "","Terminal-670")</f>
        <v/>
      </c>
    </row>
    <row r="672" spans="1:1" x14ac:dyDescent="0.2">
      <c r="A672" t="str">
        <f>IF(ISBLANK(B672), "","Terminal-671")</f>
        <v/>
      </c>
    </row>
    <row r="673" spans="1:1" x14ac:dyDescent="0.2">
      <c r="A673" t="str">
        <f>IF(ISBLANK(B673), "","Terminal-672")</f>
        <v/>
      </c>
    </row>
    <row r="674" spans="1:1" x14ac:dyDescent="0.2">
      <c r="A674" t="str">
        <f>IF(ISBLANK(B674), "","Terminal-673")</f>
        <v/>
      </c>
    </row>
    <row r="675" spans="1:1" x14ac:dyDescent="0.2">
      <c r="A675" t="str">
        <f>IF(ISBLANK(B675), "","Terminal-674")</f>
        <v/>
      </c>
    </row>
    <row r="676" spans="1:1" x14ac:dyDescent="0.2">
      <c r="A676" t="str">
        <f>IF(ISBLANK(B676), "","Terminal-675")</f>
        <v/>
      </c>
    </row>
    <row r="677" spans="1:1" x14ac:dyDescent="0.2">
      <c r="A677" t="str">
        <f>IF(ISBLANK(B677), "","Terminal-676")</f>
        <v/>
      </c>
    </row>
    <row r="678" spans="1:1" x14ac:dyDescent="0.2">
      <c r="A678" t="str">
        <f>IF(ISBLANK(B678), "","Terminal-677")</f>
        <v/>
      </c>
    </row>
    <row r="679" spans="1:1" x14ac:dyDescent="0.2">
      <c r="A679" t="str">
        <f>IF(ISBLANK(B679), "","Terminal-678")</f>
        <v/>
      </c>
    </row>
    <row r="680" spans="1:1" x14ac:dyDescent="0.2">
      <c r="A680" t="str">
        <f>IF(ISBLANK(B680), "","Terminal-679")</f>
        <v/>
      </c>
    </row>
    <row r="681" spans="1:1" x14ac:dyDescent="0.2">
      <c r="A681" t="str">
        <f>IF(ISBLANK(B681), "","Terminal-680")</f>
        <v/>
      </c>
    </row>
    <row r="682" spans="1:1" x14ac:dyDescent="0.2">
      <c r="A682" t="str">
        <f>IF(ISBLANK(B682), "","Terminal-681")</f>
        <v/>
      </c>
    </row>
    <row r="683" spans="1:1" x14ac:dyDescent="0.2">
      <c r="A683" t="str">
        <f>IF(ISBLANK(B683), "","Terminal-682")</f>
        <v/>
      </c>
    </row>
    <row r="684" spans="1:1" x14ac:dyDescent="0.2">
      <c r="A684" t="str">
        <f>IF(ISBLANK(B684), "","Terminal-683")</f>
        <v/>
      </c>
    </row>
    <row r="685" spans="1:1" x14ac:dyDescent="0.2">
      <c r="A685" t="str">
        <f>IF(ISBLANK(B685), "","Terminal-684")</f>
        <v/>
      </c>
    </row>
    <row r="686" spans="1:1" x14ac:dyDescent="0.2">
      <c r="A686" t="str">
        <f>IF(ISBLANK(B686), "","Terminal-685")</f>
        <v/>
      </c>
    </row>
    <row r="687" spans="1:1" x14ac:dyDescent="0.2">
      <c r="A687" t="str">
        <f>IF(ISBLANK(B687), "","Terminal-686")</f>
        <v/>
      </c>
    </row>
    <row r="688" spans="1:1" x14ac:dyDescent="0.2">
      <c r="A688" t="str">
        <f>IF(ISBLANK(B688), "","Terminal-687")</f>
        <v/>
      </c>
    </row>
    <row r="689" spans="1:1" x14ac:dyDescent="0.2">
      <c r="A689" t="str">
        <f>IF(ISBLANK(B689), "","Terminal-688")</f>
        <v/>
      </c>
    </row>
    <row r="690" spans="1:1" x14ac:dyDescent="0.2">
      <c r="A690" t="str">
        <f>IF(ISBLANK(B690), "","Terminal-689")</f>
        <v/>
      </c>
    </row>
    <row r="691" spans="1:1" x14ac:dyDescent="0.2">
      <c r="A691" t="str">
        <f>IF(ISBLANK(B691), "","Terminal-690")</f>
        <v/>
      </c>
    </row>
    <row r="692" spans="1:1" x14ac:dyDescent="0.2">
      <c r="A692" t="str">
        <f>IF(ISBLANK(B692), "","Terminal-691")</f>
        <v/>
      </c>
    </row>
    <row r="693" spans="1:1" x14ac:dyDescent="0.2">
      <c r="A693" t="str">
        <f>IF(ISBLANK(B693), "","Terminal-692")</f>
        <v/>
      </c>
    </row>
    <row r="694" spans="1:1" x14ac:dyDescent="0.2">
      <c r="A694" t="str">
        <f>IF(ISBLANK(B694), "","Terminal-693")</f>
        <v/>
      </c>
    </row>
    <row r="695" spans="1:1" x14ac:dyDescent="0.2">
      <c r="A695" t="str">
        <f>IF(ISBLANK(B695), "","Terminal-694")</f>
        <v/>
      </c>
    </row>
    <row r="696" spans="1:1" x14ac:dyDescent="0.2">
      <c r="A696" t="str">
        <f>IF(ISBLANK(B696), "","Terminal-695")</f>
        <v/>
      </c>
    </row>
    <row r="697" spans="1:1" x14ac:dyDescent="0.2">
      <c r="A697" t="str">
        <f>IF(ISBLANK(B697), "","Terminal-696")</f>
        <v/>
      </c>
    </row>
    <row r="698" spans="1:1" x14ac:dyDescent="0.2">
      <c r="A698" t="str">
        <f>IF(ISBLANK(B698), "","Terminal-697")</f>
        <v/>
      </c>
    </row>
    <row r="699" spans="1:1" x14ac:dyDescent="0.2">
      <c r="A699" t="str">
        <f>IF(ISBLANK(B699), "","Terminal-698")</f>
        <v/>
      </c>
    </row>
    <row r="700" spans="1:1" x14ac:dyDescent="0.2">
      <c r="A700" t="str">
        <f>IF(ISBLANK(B700), "","Terminal-699")</f>
        <v/>
      </c>
    </row>
    <row r="701" spans="1:1" x14ac:dyDescent="0.2">
      <c r="A701" t="str">
        <f>IF(ISBLANK(B701), "","Terminal-700")</f>
        <v/>
      </c>
    </row>
    <row r="702" spans="1:1" x14ac:dyDescent="0.2">
      <c r="A702" t="str">
        <f>IF(ISBLANK(B702), "","Terminal-701")</f>
        <v/>
      </c>
    </row>
    <row r="703" spans="1:1" x14ac:dyDescent="0.2">
      <c r="A703" t="str">
        <f>IF(ISBLANK(B703), "","Terminal-702")</f>
        <v/>
      </c>
    </row>
    <row r="704" spans="1:1" x14ac:dyDescent="0.2">
      <c r="A704" t="str">
        <f>IF(ISBLANK(B704), "","Terminal-703")</f>
        <v/>
      </c>
    </row>
    <row r="705" spans="1:1" x14ac:dyDescent="0.2">
      <c r="A705" t="str">
        <f>IF(ISBLANK(B705), "","Terminal-704")</f>
        <v/>
      </c>
    </row>
    <row r="706" spans="1:1" x14ac:dyDescent="0.2">
      <c r="A706" t="str">
        <f>IF(ISBLANK(B706), "","Terminal-705")</f>
        <v/>
      </c>
    </row>
    <row r="707" spans="1:1" x14ac:dyDescent="0.2">
      <c r="A707" t="str">
        <f>IF(ISBLANK(B707), "","Terminal-706")</f>
        <v/>
      </c>
    </row>
    <row r="708" spans="1:1" x14ac:dyDescent="0.2">
      <c r="A708" t="str">
        <f>IF(ISBLANK(B708), "","Terminal-707")</f>
        <v/>
      </c>
    </row>
    <row r="709" spans="1:1" x14ac:dyDescent="0.2">
      <c r="A709" t="str">
        <f>IF(ISBLANK(B709), "","Terminal-708")</f>
        <v/>
      </c>
    </row>
    <row r="710" spans="1:1" x14ac:dyDescent="0.2">
      <c r="A710" t="str">
        <f>IF(ISBLANK(B710), "","Terminal-709")</f>
        <v/>
      </c>
    </row>
    <row r="711" spans="1:1" x14ac:dyDescent="0.2">
      <c r="A711" t="str">
        <f>IF(ISBLANK(B711), "","Terminal-710")</f>
        <v/>
      </c>
    </row>
    <row r="712" spans="1:1" x14ac:dyDescent="0.2">
      <c r="A712" t="str">
        <f>IF(ISBLANK(B712), "","Terminal-711")</f>
        <v/>
      </c>
    </row>
    <row r="713" spans="1:1" x14ac:dyDescent="0.2">
      <c r="A713" t="str">
        <f>IF(ISBLANK(B713), "","Terminal-712")</f>
        <v/>
      </c>
    </row>
    <row r="714" spans="1:1" x14ac:dyDescent="0.2">
      <c r="A714" t="str">
        <f>IF(ISBLANK(B714), "","Terminal-713")</f>
        <v/>
      </c>
    </row>
    <row r="715" spans="1:1" x14ac:dyDescent="0.2">
      <c r="A715" t="str">
        <f>IF(ISBLANK(B715), "","Terminal-714")</f>
        <v/>
      </c>
    </row>
    <row r="716" spans="1:1" x14ac:dyDescent="0.2">
      <c r="A716" t="str">
        <f>IF(ISBLANK(B716), "","Terminal-715")</f>
        <v/>
      </c>
    </row>
    <row r="717" spans="1:1" x14ac:dyDescent="0.2">
      <c r="A717" t="str">
        <f>IF(ISBLANK(B717), "","Terminal-716")</f>
        <v/>
      </c>
    </row>
    <row r="718" spans="1:1" x14ac:dyDescent="0.2">
      <c r="A718" t="str">
        <f>IF(ISBLANK(B718), "","Terminal-717")</f>
        <v/>
      </c>
    </row>
    <row r="719" spans="1:1" x14ac:dyDescent="0.2">
      <c r="A719" t="str">
        <f>IF(ISBLANK(B719), "","Terminal-718")</f>
        <v/>
      </c>
    </row>
    <row r="720" spans="1:1" x14ac:dyDescent="0.2">
      <c r="A720" t="str">
        <f>IF(ISBLANK(B720), "","Terminal-719")</f>
        <v/>
      </c>
    </row>
    <row r="721" spans="1:1" x14ac:dyDescent="0.2">
      <c r="A721" t="str">
        <f>IF(ISBLANK(B721), "","Terminal-720")</f>
        <v/>
      </c>
    </row>
    <row r="722" spans="1:1" x14ac:dyDescent="0.2">
      <c r="A722" t="str">
        <f>IF(ISBLANK(B722), "","Terminal-721")</f>
        <v/>
      </c>
    </row>
    <row r="723" spans="1:1" x14ac:dyDescent="0.2">
      <c r="A723" t="str">
        <f>IF(ISBLANK(B723), "","Terminal-722")</f>
        <v/>
      </c>
    </row>
    <row r="724" spans="1:1" x14ac:dyDescent="0.2">
      <c r="A724" t="str">
        <f>IF(ISBLANK(B724), "","Terminal-723")</f>
        <v/>
      </c>
    </row>
    <row r="725" spans="1:1" x14ac:dyDescent="0.2">
      <c r="A725" t="str">
        <f>IF(ISBLANK(B725), "","Terminal-724")</f>
        <v/>
      </c>
    </row>
    <row r="726" spans="1:1" x14ac:dyDescent="0.2">
      <c r="A726" t="str">
        <f>IF(ISBLANK(B726), "","Terminal-725")</f>
        <v/>
      </c>
    </row>
    <row r="727" spans="1:1" x14ac:dyDescent="0.2">
      <c r="A727" t="str">
        <f>IF(ISBLANK(B727), "","Terminal-726")</f>
        <v/>
      </c>
    </row>
    <row r="728" spans="1:1" x14ac:dyDescent="0.2">
      <c r="A728" t="str">
        <f>IF(ISBLANK(B728), "","Terminal-727")</f>
        <v/>
      </c>
    </row>
    <row r="729" spans="1:1" x14ac:dyDescent="0.2">
      <c r="A729" t="str">
        <f>IF(ISBLANK(B729), "","Terminal-728")</f>
        <v/>
      </c>
    </row>
    <row r="730" spans="1:1" x14ac:dyDescent="0.2">
      <c r="A730" t="str">
        <f>IF(ISBLANK(B730), "","Terminal-729")</f>
        <v/>
      </c>
    </row>
    <row r="731" spans="1:1" x14ac:dyDescent="0.2">
      <c r="A731" t="str">
        <f>IF(ISBLANK(B731), "","Terminal-730")</f>
        <v/>
      </c>
    </row>
    <row r="732" spans="1:1" x14ac:dyDescent="0.2">
      <c r="A732" t="str">
        <f>IF(ISBLANK(B732), "","Terminal-731")</f>
        <v/>
      </c>
    </row>
    <row r="733" spans="1:1" x14ac:dyDescent="0.2">
      <c r="A733" t="str">
        <f>IF(ISBLANK(B733), "","Terminal-732")</f>
        <v/>
      </c>
    </row>
    <row r="734" spans="1:1" x14ac:dyDescent="0.2">
      <c r="A734" t="str">
        <f>IF(ISBLANK(B734), "","Terminal-733")</f>
        <v/>
      </c>
    </row>
    <row r="735" spans="1:1" x14ac:dyDescent="0.2">
      <c r="A735" t="str">
        <f>IF(ISBLANK(B735), "","Terminal-734")</f>
        <v/>
      </c>
    </row>
    <row r="736" spans="1:1" x14ac:dyDescent="0.2">
      <c r="A736" t="str">
        <f>IF(ISBLANK(B736), "","Terminal-735")</f>
        <v/>
      </c>
    </row>
    <row r="737" spans="1:1" x14ac:dyDescent="0.2">
      <c r="A737" t="str">
        <f>IF(ISBLANK(B737), "","Terminal-736")</f>
        <v/>
      </c>
    </row>
    <row r="738" spans="1:1" x14ac:dyDescent="0.2">
      <c r="A738" t="str">
        <f>IF(ISBLANK(B738), "","Terminal-737")</f>
        <v/>
      </c>
    </row>
    <row r="739" spans="1:1" x14ac:dyDescent="0.2">
      <c r="A739" t="str">
        <f>IF(ISBLANK(B739), "","Terminal-738")</f>
        <v/>
      </c>
    </row>
    <row r="740" spans="1:1" x14ac:dyDescent="0.2">
      <c r="A740" t="str">
        <f>IF(ISBLANK(B740), "","Terminal-739")</f>
        <v/>
      </c>
    </row>
    <row r="741" spans="1:1" x14ac:dyDescent="0.2">
      <c r="A741" t="str">
        <f>IF(ISBLANK(B741), "","Terminal-740")</f>
        <v/>
      </c>
    </row>
    <row r="742" spans="1:1" x14ac:dyDescent="0.2">
      <c r="A742" t="str">
        <f>IF(ISBLANK(B742), "","Terminal-741")</f>
        <v/>
      </c>
    </row>
    <row r="743" spans="1:1" x14ac:dyDescent="0.2">
      <c r="A743" t="str">
        <f>IF(ISBLANK(B743), "","Terminal-742")</f>
        <v/>
      </c>
    </row>
    <row r="744" spans="1:1" x14ac:dyDescent="0.2">
      <c r="A744" t="str">
        <f>IF(ISBLANK(B744), "","Terminal-743")</f>
        <v/>
      </c>
    </row>
    <row r="745" spans="1:1" x14ac:dyDescent="0.2">
      <c r="A745" t="str">
        <f>IF(ISBLANK(B745), "","Terminal-744")</f>
        <v/>
      </c>
    </row>
    <row r="746" spans="1:1" x14ac:dyDescent="0.2">
      <c r="A746" t="str">
        <f>IF(ISBLANK(B746), "","Terminal-745")</f>
        <v/>
      </c>
    </row>
    <row r="747" spans="1:1" x14ac:dyDescent="0.2">
      <c r="A747" t="str">
        <f>IF(ISBLANK(B747), "","Terminal-746")</f>
        <v/>
      </c>
    </row>
    <row r="748" spans="1:1" x14ac:dyDescent="0.2">
      <c r="A748" t="str">
        <f>IF(ISBLANK(B748), "","Terminal-747")</f>
        <v/>
      </c>
    </row>
    <row r="749" spans="1:1" x14ac:dyDescent="0.2">
      <c r="A749" t="str">
        <f>IF(ISBLANK(B749), "","Terminal-748")</f>
        <v/>
      </c>
    </row>
    <row r="750" spans="1:1" x14ac:dyDescent="0.2">
      <c r="A750" t="str">
        <f>IF(ISBLANK(B750), "","Terminal-749")</f>
        <v/>
      </c>
    </row>
    <row r="751" spans="1:1" x14ac:dyDescent="0.2">
      <c r="A751" t="str">
        <f>IF(ISBLANK(B751), "","Terminal-750")</f>
        <v/>
      </c>
    </row>
    <row r="752" spans="1:1" x14ac:dyDescent="0.2">
      <c r="A752" t="str">
        <f>IF(ISBLANK(B752), "","Terminal-751")</f>
        <v/>
      </c>
    </row>
    <row r="753" spans="1:1" x14ac:dyDescent="0.2">
      <c r="A753" t="str">
        <f>IF(ISBLANK(B753), "","Terminal-752")</f>
        <v/>
      </c>
    </row>
    <row r="754" spans="1:1" x14ac:dyDescent="0.2">
      <c r="A754" t="str">
        <f>IF(ISBLANK(B754), "","Terminal-753")</f>
        <v/>
      </c>
    </row>
    <row r="755" spans="1:1" x14ac:dyDescent="0.2">
      <c r="A755" t="str">
        <f>IF(ISBLANK(B755), "","Terminal-754")</f>
        <v/>
      </c>
    </row>
    <row r="756" spans="1:1" x14ac:dyDescent="0.2">
      <c r="A756" t="str">
        <f>IF(ISBLANK(B756), "","Terminal-755")</f>
        <v/>
      </c>
    </row>
    <row r="757" spans="1:1" x14ac:dyDescent="0.2">
      <c r="A757" t="str">
        <f>IF(ISBLANK(B757), "","Terminal-756")</f>
        <v/>
      </c>
    </row>
    <row r="758" spans="1:1" x14ac:dyDescent="0.2">
      <c r="A758" t="str">
        <f>IF(ISBLANK(B758), "","Terminal-757")</f>
        <v/>
      </c>
    </row>
    <row r="759" spans="1:1" x14ac:dyDescent="0.2">
      <c r="A759" t="str">
        <f>IF(ISBLANK(B759), "","Terminal-758")</f>
        <v/>
      </c>
    </row>
    <row r="760" spans="1:1" x14ac:dyDescent="0.2">
      <c r="A760" t="str">
        <f>IF(ISBLANK(B760), "","Terminal-759")</f>
        <v/>
      </c>
    </row>
    <row r="761" spans="1:1" x14ac:dyDescent="0.2">
      <c r="A761" t="str">
        <f>IF(ISBLANK(B761), "","Terminal-760")</f>
        <v/>
      </c>
    </row>
    <row r="762" spans="1:1" x14ac:dyDescent="0.2">
      <c r="A762" t="str">
        <f>IF(ISBLANK(B762), "","Terminal-761")</f>
        <v/>
      </c>
    </row>
    <row r="763" spans="1:1" x14ac:dyDescent="0.2">
      <c r="A763" t="str">
        <f>IF(ISBLANK(B763), "","Terminal-762")</f>
        <v/>
      </c>
    </row>
    <row r="764" spans="1:1" x14ac:dyDescent="0.2">
      <c r="A764" t="str">
        <f>IF(ISBLANK(B764), "","Terminal-763")</f>
        <v/>
      </c>
    </row>
    <row r="765" spans="1:1" x14ac:dyDescent="0.2">
      <c r="A765" t="str">
        <f>IF(ISBLANK(B765), "","Terminal-764")</f>
        <v/>
      </c>
    </row>
    <row r="766" spans="1:1" x14ac:dyDescent="0.2">
      <c r="A766" t="str">
        <f>IF(ISBLANK(B766), "","Terminal-765")</f>
        <v/>
      </c>
    </row>
    <row r="767" spans="1:1" x14ac:dyDescent="0.2">
      <c r="A767" t="str">
        <f>IF(ISBLANK(B767), "","Terminal-766")</f>
        <v/>
      </c>
    </row>
    <row r="768" spans="1:1" x14ac:dyDescent="0.2">
      <c r="A768" t="str">
        <f>IF(ISBLANK(B768), "","Terminal-767")</f>
        <v/>
      </c>
    </row>
    <row r="769" spans="1:1" x14ac:dyDescent="0.2">
      <c r="A769" t="str">
        <f>IF(ISBLANK(B769), "","Terminal-768")</f>
        <v/>
      </c>
    </row>
    <row r="770" spans="1:1" x14ac:dyDescent="0.2">
      <c r="A770" t="str">
        <f>IF(ISBLANK(B770), "","Terminal-769")</f>
        <v/>
      </c>
    </row>
    <row r="771" spans="1:1" x14ac:dyDescent="0.2">
      <c r="A771" t="str">
        <f>IF(ISBLANK(B771), "","Terminal-770")</f>
        <v/>
      </c>
    </row>
    <row r="772" spans="1:1" x14ac:dyDescent="0.2">
      <c r="A772" t="str">
        <f>IF(ISBLANK(B772), "","Terminal-771")</f>
        <v/>
      </c>
    </row>
    <row r="773" spans="1:1" x14ac:dyDescent="0.2">
      <c r="A773" t="str">
        <f>IF(ISBLANK(B773), "","Terminal-772")</f>
        <v/>
      </c>
    </row>
    <row r="774" spans="1:1" x14ac:dyDescent="0.2">
      <c r="A774" t="str">
        <f>IF(ISBLANK(B774), "","Terminal-773")</f>
        <v/>
      </c>
    </row>
    <row r="775" spans="1:1" x14ac:dyDescent="0.2">
      <c r="A775" t="str">
        <f>IF(ISBLANK(B775), "","Terminal-774")</f>
        <v/>
      </c>
    </row>
    <row r="776" spans="1:1" x14ac:dyDescent="0.2">
      <c r="A776" t="str">
        <f>IF(ISBLANK(B776), "","Terminal-775")</f>
        <v/>
      </c>
    </row>
    <row r="777" spans="1:1" x14ac:dyDescent="0.2">
      <c r="A777" t="str">
        <f>IF(ISBLANK(B777), "","Terminal-776")</f>
        <v/>
      </c>
    </row>
    <row r="778" spans="1:1" x14ac:dyDescent="0.2">
      <c r="A778" t="str">
        <f>IF(ISBLANK(B778), "","Terminal-777")</f>
        <v/>
      </c>
    </row>
    <row r="779" spans="1:1" x14ac:dyDescent="0.2">
      <c r="A779" t="str">
        <f>IF(ISBLANK(B779), "","Terminal-778")</f>
        <v/>
      </c>
    </row>
    <row r="780" spans="1:1" x14ac:dyDescent="0.2">
      <c r="A780" t="str">
        <f>IF(ISBLANK(B780), "","Terminal-779")</f>
        <v/>
      </c>
    </row>
    <row r="781" spans="1:1" x14ac:dyDescent="0.2">
      <c r="A781" t="str">
        <f>IF(ISBLANK(B781), "","Terminal-780")</f>
        <v/>
      </c>
    </row>
    <row r="782" spans="1:1" x14ac:dyDescent="0.2">
      <c r="A782" t="str">
        <f>IF(ISBLANK(B782), "","Terminal-781")</f>
        <v/>
      </c>
    </row>
    <row r="783" spans="1:1" x14ac:dyDescent="0.2">
      <c r="A783" t="str">
        <f>IF(ISBLANK(B783), "","Terminal-782")</f>
        <v/>
      </c>
    </row>
    <row r="784" spans="1:1" x14ac:dyDescent="0.2">
      <c r="A784" t="str">
        <f>IF(ISBLANK(B784), "","Terminal-783")</f>
        <v/>
      </c>
    </row>
    <row r="785" spans="1:1" x14ac:dyDescent="0.2">
      <c r="A785" t="str">
        <f>IF(ISBLANK(B785), "","Terminal-784")</f>
        <v/>
      </c>
    </row>
    <row r="786" spans="1:1" x14ac:dyDescent="0.2">
      <c r="A786" t="str">
        <f>IF(ISBLANK(B786), "","Terminal-785")</f>
        <v/>
      </c>
    </row>
    <row r="787" spans="1:1" x14ac:dyDescent="0.2">
      <c r="A787" t="str">
        <f>IF(ISBLANK(B787), "","Terminal-786")</f>
        <v/>
      </c>
    </row>
    <row r="788" spans="1:1" x14ac:dyDescent="0.2">
      <c r="A788" t="str">
        <f>IF(ISBLANK(B788), "","Terminal-787")</f>
        <v/>
      </c>
    </row>
    <row r="789" spans="1:1" x14ac:dyDescent="0.2">
      <c r="A789" t="str">
        <f>IF(ISBLANK(B789), "","Terminal-788")</f>
        <v/>
      </c>
    </row>
    <row r="790" spans="1:1" x14ac:dyDescent="0.2">
      <c r="A790" t="str">
        <f>IF(ISBLANK(B790), "","Terminal-789")</f>
        <v/>
      </c>
    </row>
    <row r="791" spans="1:1" x14ac:dyDescent="0.2">
      <c r="A791" t="str">
        <f>IF(ISBLANK(B791), "","Terminal-790")</f>
        <v/>
      </c>
    </row>
    <row r="792" spans="1:1" x14ac:dyDescent="0.2">
      <c r="A792" t="str">
        <f>IF(ISBLANK(B792), "","Terminal-791")</f>
        <v/>
      </c>
    </row>
    <row r="793" spans="1:1" x14ac:dyDescent="0.2">
      <c r="A793" t="str">
        <f>IF(ISBLANK(B793), "","Terminal-792")</f>
        <v/>
      </c>
    </row>
    <row r="794" spans="1:1" x14ac:dyDescent="0.2">
      <c r="A794" t="str">
        <f>IF(ISBLANK(B794), "","Terminal-793")</f>
        <v/>
      </c>
    </row>
    <row r="795" spans="1:1" x14ac:dyDescent="0.2">
      <c r="A795" t="str">
        <f>IF(ISBLANK(B795), "","Terminal-794")</f>
        <v/>
      </c>
    </row>
    <row r="796" spans="1:1" x14ac:dyDescent="0.2">
      <c r="A796" t="str">
        <f>IF(ISBLANK(B796), "","Terminal-795")</f>
        <v/>
      </c>
    </row>
    <row r="797" spans="1:1" x14ac:dyDescent="0.2">
      <c r="A797" t="str">
        <f>IF(ISBLANK(B797), "","Terminal-796")</f>
        <v/>
      </c>
    </row>
    <row r="798" spans="1:1" x14ac:dyDescent="0.2">
      <c r="A798" t="str">
        <f>IF(ISBLANK(B798), "","Terminal-797")</f>
        <v/>
      </c>
    </row>
    <row r="799" spans="1:1" x14ac:dyDescent="0.2">
      <c r="A799" t="str">
        <f>IF(ISBLANK(B799), "","Terminal-798")</f>
        <v/>
      </c>
    </row>
    <row r="800" spans="1:1" x14ac:dyDescent="0.2">
      <c r="A800" t="str">
        <f>IF(ISBLANK(B800), "","Terminal-799")</f>
        <v/>
      </c>
    </row>
    <row r="801" spans="1:1" x14ac:dyDescent="0.2">
      <c r="A801" t="str">
        <f>IF(ISBLANK(B801), "","Terminal-800")</f>
        <v/>
      </c>
    </row>
    <row r="802" spans="1:1" x14ac:dyDescent="0.2">
      <c r="A802" t="str">
        <f>IF(ISBLANK(B802), "","Terminal-801")</f>
        <v/>
      </c>
    </row>
    <row r="803" spans="1:1" x14ac:dyDescent="0.2">
      <c r="A803" t="str">
        <f>IF(ISBLANK(B803), "","Terminal-802")</f>
        <v/>
      </c>
    </row>
    <row r="804" spans="1:1" x14ac:dyDescent="0.2">
      <c r="A804" t="str">
        <f>IF(ISBLANK(B804), "","Terminal-803")</f>
        <v/>
      </c>
    </row>
    <row r="805" spans="1:1" x14ac:dyDescent="0.2">
      <c r="A805" t="str">
        <f>IF(ISBLANK(B805), "","Terminal-804")</f>
        <v/>
      </c>
    </row>
    <row r="806" spans="1:1" x14ac:dyDescent="0.2">
      <c r="A806" t="str">
        <f>IF(ISBLANK(B806), "","Terminal-805")</f>
        <v/>
      </c>
    </row>
    <row r="807" spans="1:1" x14ac:dyDescent="0.2">
      <c r="A807" t="str">
        <f>IF(ISBLANK(B807), "","Terminal-806")</f>
        <v/>
      </c>
    </row>
    <row r="808" spans="1:1" x14ac:dyDescent="0.2">
      <c r="A808" t="str">
        <f>IF(ISBLANK(B808), "","Terminal-807")</f>
        <v/>
      </c>
    </row>
    <row r="809" spans="1:1" x14ac:dyDescent="0.2">
      <c r="A809" t="str">
        <f>IF(ISBLANK(B809), "","Terminal-808")</f>
        <v/>
      </c>
    </row>
    <row r="810" spans="1:1" x14ac:dyDescent="0.2">
      <c r="A810" t="str">
        <f>IF(ISBLANK(B810), "","Terminal-809")</f>
        <v/>
      </c>
    </row>
    <row r="811" spans="1:1" x14ac:dyDescent="0.2">
      <c r="A811" t="str">
        <f>IF(ISBLANK(B811), "","Terminal-810")</f>
        <v/>
      </c>
    </row>
    <row r="812" spans="1:1" x14ac:dyDescent="0.2">
      <c r="A812" t="str">
        <f>IF(ISBLANK(B812), "","Terminal-811")</f>
        <v/>
      </c>
    </row>
    <row r="813" spans="1:1" x14ac:dyDescent="0.2">
      <c r="A813" t="str">
        <f>IF(ISBLANK(B813), "","Terminal-812")</f>
        <v/>
      </c>
    </row>
    <row r="814" spans="1:1" x14ac:dyDescent="0.2">
      <c r="A814" t="str">
        <f>IF(ISBLANK(B814), "","Terminal-813")</f>
        <v/>
      </c>
    </row>
    <row r="815" spans="1:1" x14ac:dyDescent="0.2">
      <c r="A815" t="str">
        <f>IF(ISBLANK(B815), "","Terminal-814")</f>
        <v/>
      </c>
    </row>
    <row r="816" spans="1:1" x14ac:dyDescent="0.2">
      <c r="A816" t="str">
        <f>IF(ISBLANK(B816), "","Terminal-815")</f>
        <v/>
      </c>
    </row>
    <row r="817" spans="1:1" x14ac:dyDescent="0.2">
      <c r="A817" t="str">
        <f>IF(ISBLANK(B817), "","Terminal-816")</f>
        <v/>
      </c>
    </row>
    <row r="818" spans="1:1" x14ac:dyDescent="0.2">
      <c r="A818" t="str">
        <f>IF(ISBLANK(B818), "","Terminal-817")</f>
        <v/>
      </c>
    </row>
    <row r="819" spans="1:1" x14ac:dyDescent="0.2">
      <c r="A819" t="str">
        <f>IF(ISBLANK(B819), "","Terminal-818")</f>
        <v/>
      </c>
    </row>
    <row r="820" spans="1:1" x14ac:dyDescent="0.2">
      <c r="A820" t="str">
        <f>IF(ISBLANK(B820), "","Terminal-819")</f>
        <v/>
      </c>
    </row>
    <row r="821" spans="1:1" x14ac:dyDescent="0.2">
      <c r="A821" t="str">
        <f>IF(ISBLANK(B821), "","Terminal-820")</f>
        <v/>
      </c>
    </row>
    <row r="822" spans="1:1" x14ac:dyDescent="0.2">
      <c r="A822" t="str">
        <f>IF(ISBLANK(B822), "","Terminal-821")</f>
        <v/>
      </c>
    </row>
    <row r="823" spans="1:1" x14ac:dyDescent="0.2">
      <c r="A823" t="str">
        <f>IF(ISBLANK(B823), "","Terminal-822")</f>
        <v/>
      </c>
    </row>
    <row r="824" spans="1:1" x14ac:dyDescent="0.2">
      <c r="A824" t="str">
        <f>IF(ISBLANK(B824), "","Terminal-823")</f>
        <v/>
      </c>
    </row>
    <row r="825" spans="1:1" x14ac:dyDescent="0.2">
      <c r="A825" t="str">
        <f>IF(ISBLANK(B825), "","Terminal-824")</f>
        <v/>
      </c>
    </row>
    <row r="826" spans="1:1" x14ac:dyDescent="0.2">
      <c r="A826" t="str">
        <f>IF(ISBLANK(B826), "","Terminal-825")</f>
        <v/>
      </c>
    </row>
    <row r="827" spans="1:1" x14ac:dyDescent="0.2">
      <c r="A827" t="str">
        <f>IF(ISBLANK(B827), "","Terminal-826")</f>
        <v/>
      </c>
    </row>
    <row r="828" spans="1:1" x14ac:dyDescent="0.2">
      <c r="A828" t="str">
        <f>IF(ISBLANK(B828), "","Terminal-827")</f>
        <v/>
      </c>
    </row>
    <row r="829" spans="1:1" x14ac:dyDescent="0.2">
      <c r="A829" t="str">
        <f>IF(ISBLANK(B829), "","Terminal-828")</f>
        <v/>
      </c>
    </row>
    <row r="830" spans="1:1" x14ac:dyDescent="0.2">
      <c r="A830" t="str">
        <f>IF(ISBLANK(B830), "","Terminal-829")</f>
        <v/>
      </c>
    </row>
    <row r="831" spans="1:1" x14ac:dyDescent="0.2">
      <c r="A831" t="str">
        <f>IF(ISBLANK(B831), "","Terminal-830")</f>
        <v/>
      </c>
    </row>
    <row r="832" spans="1:1" x14ac:dyDescent="0.2">
      <c r="A832" t="str">
        <f>IF(ISBLANK(B832), "","Terminal-831")</f>
        <v/>
      </c>
    </row>
    <row r="833" spans="1:1" x14ac:dyDescent="0.2">
      <c r="A833" t="str">
        <f>IF(ISBLANK(B833), "","Terminal-832")</f>
        <v/>
      </c>
    </row>
    <row r="834" spans="1:1" x14ac:dyDescent="0.2">
      <c r="A834" t="str">
        <f>IF(ISBLANK(B834), "","Terminal-833")</f>
        <v/>
      </c>
    </row>
    <row r="835" spans="1:1" x14ac:dyDescent="0.2">
      <c r="A835" t="str">
        <f>IF(ISBLANK(B835), "","Terminal-834")</f>
        <v/>
      </c>
    </row>
    <row r="836" spans="1:1" x14ac:dyDescent="0.2">
      <c r="A836" t="str">
        <f>IF(ISBLANK(B836), "","Terminal-835")</f>
        <v/>
      </c>
    </row>
    <row r="837" spans="1:1" x14ac:dyDescent="0.2">
      <c r="A837" t="str">
        <f>IF(ISBLANK(B837), "","Terminal-836")</f>
        <v/>
      </c>
    </row>
    <row r="838" spans="1:1" x14ac:dyDescent="0.2">
      <c r="A838" t="str">
        <f>IF(ISBLANK(B838), "","Terminal-837")</f>
        <v/>
      </c>
    </row>
    <row r="839" spans="1:1" x14ac:dyDescent="0.2">
      <c r="A839" t="str">
        <f>IF(ISBLANK(B839), "","Terminal-838")</f>
        <v/>
      </c>
    </row>
    <row r="840" spans="1:1" x14ac:dyDescent="0.2">
      <c r="A840" t="str">
        <f>IF(ISBLANK(B840), "","Terminal-839")</f>
        <v/>
      </c>
    </row>
    <row r="841" spans="1:1" x14ac:dyDescent="0.2">
      <c r="A841" t="str">
        <f>IF(ISBLANK(B841), "","Terminal-840")</f>
        <v/>
      </c>
    </row>
    <row r="842" spans="1:1" x14ac:dyDescent="0.2">
      <c r="A842" t="str">
        <f>IF(ISBLANK(B842), "","Terminal-841")</f>
        <v/>
      </c>
    </row>
    <row r="843" spans="1:1" x14ac:dyDescent="0.2">
      <c r="A843" t="str">
        <f>IF(ISBLANK(B843), "","Terminal-842")</f>
        <v/>
      </c>
    </row>
    <row r="844" spans="1:1" x14ac:dyDescent="0.2">
      <c r="A844" t="str">
        <f>IF(ISBLANK(B844), "","Terminal-843")</f>
        <v/>
      </c>
    </row>
    <row r="845" spans="1:1" x14ac:dyDescent="0.2">
      <c r="A845" t="str">
        <f>IF(ISBLANK(B845), "","Terminal-844")</f>
        <v/>
      </c>
    </row>
    <row r="846" spans="1:1" x14ac:dyDescent="0.2">
      <c r="A846" t="str">
        <f>IF(ISBLANK(B846), "","Terminal-845")</f>
        <v/>
      </c>
    </row>
    <row r="847" spans="1:1" x14ac:dyDescent="0.2">
      <c r="A847" t="str">
        <f>IF(ISBLANK(B847), "","Terminal-846")</f>
        <v/>
      </c>
    </row>
    <row r="848" spans="1:1" x14ac:dyDescent="0.2">
      <c r="A848" t="str">
        <f>IF(ISBLANK(B848), "","Terminal-847")</f>
        <v/>
      </c>
    </row>
    <row r="849" spans="1:1" x14ac:dyDescent="0.2">
      <c r="A849" t="str">
        <f>IF(ISBLANK(B849), "","Terminal-848")</f>
        <v/>
      </c>
    </row>
    <row r="850" spans="1:1" x14ac:dyDescent="0.2">
      <c r="A850" t="str">
        <f>IF(ISBLANK(B850), "","Terminal-849")</f>
        <v/>
      </c>
    </row>
    <row r="851" spans="1:1" x14ac:dyDescent="0.2">
      <c r="A851" t="str">
        <f>IF(ISBLANK(B851), "","Terminal-850")</f>
        <v/>
      </c>
    </row>
    <row r="852" spans="1:1" x14ac:dyDescent="0.2">
      <c r="A852" t="str">
        <f>IF(ISBLANK(B852), "","Terminal-851")</f>
        <v/>
      </c>
    </row>
    <row r="853" spans="1:1" x14ac:dyDescent="0.2">
      <c r="A853" t="str">
        <f>IF(ISBLANK(B853), "","Terminal-852")</f>
        <v/>
      </c>
    </row>
    <row r="854" spans="1:1" x14ac:dyDescent="0.2">
      <c r="A854" t="str">
        <f>IF(ISBLANK(B854), "","Terminal-853")</f>
        <v/>
      </c>
    </row>
    <row r="855" spans="1:1" x14ac:dyDescent="0.2">
      <c r="A855" t="str">
        <f>IF(ISBLANK(B855), "","Terminal-854")</f>
        <v/>
      </c>
    </row>
    <row r="856" spans="1:1" x14ac:dyDescent="0.2">
      <c r="A856" t="str">
        <f>IF(ISBLANK(B856), "","Terminal-855")</f>
        <v/>
      </c>
    </row>
    <row r="857" spans="1:1" x14ac:dyDescent="0.2">
      <c r="A857" t="str">
        <f>IF(ISBLANK(B857), "","Terminal-856")</f>
        <v/>
      </c>
    </row>
    <row r="858" spans="1:1" x14ac:dyDescent="0.2">
      <c r="A858" t="str">
        <f>IF(ISBLANK(B858), "","Terminal-857")</f>
        <v/>
      </c>
    </row>
    <row r="859" spans="1:1" x14ac:dyDescent="0.2">
      <c r="A859" t="str">
        <f>IF(ISBLANK(B859), "","Terminal-858")</f>
        <v/>
      </c>
    </row>
    <row r="860" spans="1:1" x14ac:dyDescent="0.2">
      <c r="A860" t="str">
        <f>IF(ISBLANK(B860), "","Terminal-859")</f>
        <v/>
      </c>
    </row>
    <row r="861" spans="1:1" x14ac:dyDescent="0.2">
      <c r="A861" t="str">
        <f>IF(ISBLANK(B861), "","Terminal-860")</f>
        <v/>
      </c>
    </row>
    <row r="862" spans="1:1" x14ac:dyDescent="0.2">
      <c r="A862" t="str">
        <f>IF(ISBLANK(B862), "","Terminal-861")</f>
        <v/>
      </c>
    </row>
    <row r="863" spans="1:1" x14ac:dyDescent="0.2">
      <c r="A863" t="str">
        <f>IF(ISBLANK(B863), "","Terminal-862")</f>
        <v/>
      </c>
    </row>
    <row r="864" spans="1:1" x14ac:dyDescent="0.2">
      <c r="A864" t="str">
        <f>IF(ISBLANK(B864), "","Terminal-863")</f>
        <v/>
      </c>
    </row>
    <row r="865" spans="1:1" x14ac:dyDescent="0.2">
      <c r="A865" t="str">
        <f>IF(ISBLANK(B865), "","Terminal-864")</f>
        <v/>
      </c>
    </row>
    <row r="866" spans="1:1" x14ac:dyDescent="0.2">
      <c r="A866" t="str">
        <f>IF(ISBLANK(B866), "","Terminal-865")</f>
        <v/>
      </c>
    </row>
    <row r="867" spans="1:1" x14ac:dyDescent="0.2">
      <c r="A867" t="str">
        <f>IF(ISBLANK(B867), "","Terminal-866")</f>
        <v/>
      </c>
    </row>
    <row r="868" spans="1:1" x14ac:dyDescent="0.2">
      <c r="A868" t="str">
        <f>IF(ISBLANK(B868), "","Terminal-867")</f>
        <v/>
      </c>
    </row>
    <row r="869" spans="1:1" x14ac:dyDescent="0.2">
      <c r="A869" t="str">
        <f>IF(ISBLANK(B869), "","Terminal-868")</f>
        <v/>
      </c>
    </row>
    <row r="870" spans="1:1" x14ac:dyDescent="0.2">
      <c r="A870" t="str">
        <f>IF(ISBLANK(B870), "","Terminal-869")</f>
        <v/>
      </c>
    </row>
    <row r="871" spans="1:1" x14ac:dyDescent="0.2">
      <c r="A871" t="str">
        <f>IF(ISBLANK(B871), "","Terminal-870")</f>
        <v/>
      </c>
    </row>
    <row r="872" spans="1:1" x14ac:dyDescent="0.2">
      <c r="A872" t="str">
        <f>IF(ISBLANK(B872), "","Terminal-871")</f>
        <v/>
      </c>
    </row>
    <row r="873" spans="1:1" x14ac:dyDescent="0.2">
      <c r="A873" t="str">
        <f>IF(ISBLANK(B873), "","Terminal-872")</f>
        <v/>
      </c>
    </row>
    <row r="874" spans="1:1" x14ac:dyDescent="0.2">
      <c r="A874" t="str">
        <f>IF(ISBLANK(B874), "","Terminal-873")</f>
        <v/>
      </c>
    </row>
    <row r="875" spans="1:1" x14ac:dyDescent="0.2">
      <c r="A875" t="str">
        <f>IF(ISBLANK(B875), "","Terminal-874")</f>
        <v/>
      </c>
    </row>
    <row r="876" spans="1:1" x14ac:dyDescent="0.2">
      <c r="A876" t="str">
        <f>IF(ISBLANK(B876), "","Terminal-875")</f>
        <v/>
      </c>
    </row>
    <row r="877" spans="1:1" x14ac:dyDescent="0.2">
      <c r="A877" t="str">
        <f>IF(ISBLANK(B877), "","Terminal-876")</f>
        <v/>
      </c>
    </row>
    <row r="878" spans="1:1" x14ac:dyDescent="0.2">
      <c r="A878" t="str">
        <f>IF(ISBLANK(B878), "","Terminal-877")</f>
        <v/>
      </c>
    </row>
    <row r="879" spans="1:1" x14ac:dyDescent="0.2">
      <c r="A879" t="str">
        <f>IF(ISBLANK(B879), "","Terminal-878")</f>
        <v/>
      </c>
    </row>
    <row r="880" spans="1:1" x14ac:dyDescent="0.2">
      <c r="A880" t="str">
        <f>IF(ISBLANK(B880), "","Terminal-879")</f>
        <v/>
      </c>
    </row>
    <row r="881" spans="1:1" x14ac:dyDescent="0.2">
      <c r="A881" t="str">
        <f>IF(ISBLANK(B881), "","Terminal-880")</f>
        <v/>
      </c>
    </row>
    <row r="882" spans="1:1" x14ac:dyDescent="0.2">
      <c r="A882" t="str">
        <f>IF(ISBLANK(B882), "","Terminal-881")</f>
        <v/>
      </c>
    </row>
    <row r="883" spans="1:1" x14ac:dyDescent="0.2">
      <c r="A883" t="str">
        <f>IF(ISBLANK(B883), "","Terminal-882")</f>
        <v/>
      </c>
    </row>
    <row r="884" spans="1:1" x14ac:dyDescent="0.2">
      <c r="A884" t="str">
        <f>IF(ISBLANK(B884), "","Terminal-883")</f>
        <v/>
      </c>
    </row>
    <row r="885" spans="1:1" x14ac:dyDescent="0.2">
      <c r="A885" t="str">
        <f>IF(ISBLANK(B885), "","Terminal-884")</f>
        <v/>
      </c>
    </row>
    <row r="886" spans="1:1" x14ac:dyDescent="0.2">
      <c r="A886" t="str">
        <f>IF(ISBLANK(B886), "","Terminal-885")</f>
        <v/>
      </c>
    </row>
    <row r="887" spans="1:1" x14ac:dyDescent="0.2">
      <c r="A887" t="str">
        <f>IF(ISBLANK(B887), "","Terminal-886")</f>
        <v/>
      </c>
    </row>
    <row r="888" spans="1:1" x14ac:dyDescent="0.2">
      <c r="A888" t="str">
        <f>IF(ISBLANK(B888), "","Terminal-887")</f>
        <v/>
      </c>
    </row>
    <row r="889" spans="1:1" x14ac:dyDescent="0.2">
      <c r="A889" t="str">
        <f>IF(ISBLANK(B889), "","Terminal-888")</f>
        <v/>
      </c>
    </row>
    <row r="890" spans="1:1" x14ac:dyDescent="0.2">
      <c r="A890" t="str">
        <f>IF(ISBLANK(B890), "","Terminal-889")</f>
        <v/>
      </c>
    </row>
    <row r="891" spans="1:1" x14ac:dyDescent="0.2">
      <c r="A891" t="str">
        <f>IF(ISBLANK(B891), "","Terminal-890")</f>
        <v/>
      </c>
    </row>
    <row r="892" spans="1:1" x14ac:dyDescent="0.2">
      <c r="A892" t="str">
        <f>IF(ISBLANK(B892), "","Terminal-891")</f>
        <v/>
      </c>
    </row>
    <row r="893" spans="1:1" x14ac:dyDescent="0.2">
      <c r="A893" t="str">
        <f>IF(ISBLANK(B893), "","Terminal-892")</f>
        <v/>
      </c>
    </row>
    <row r="894" spans="1:1" x14ac:dyDescent="0.2">
      <c r="A894" t="str">
        <f>IF(ISBLANK(B894), "","Terminal-893")</f>
        <v/>
      </c>
    </row>
    <row r="895" spans="1:1" x14ac:dyDescent="0.2">
      <c r="A895" t="str">
        <f>IF(ISBLANK(B895), "","Terminal-894")</f>
        <v/>
      </c>
    </row>
    <row r="896" spans="1:1" x14ac:dyDescent="0.2">
      <c r="A896" t="str">
        <f>IF(ISBLANK(B896), "","Terminal-895")</f>
        <v/>
      </c>
    </row>
    <row r="897" spans="1:1" x14ac:dyDescent="0.2">
      <c r="A897" t="str">
        <f>IF(ISBLANK(B897), "","Terminal-896")</f>
        <v/>
      </c>
    </row>
    <row r="898" spans="1:1" x14ac:dyDescent="0.2">
      <c r="A898" t="str">
        <f>IF(ISBLANK(B898), "","Terminal-897")</f>
        <v/>
      </c>
    </row>
    <row r="899" spans="1:1" x14ac:dyDescent="0.2">
      <c r="A899" t="str">
        <f>IF(ISBLANK(B899), "","Terminal-898")</f>
        <v/>
      </c>
    </row>
    <row r="900" spans="1:1" x14ac:dyDescent="0.2">
      <c r="A900" t="str">
        <f>IF(ISBLANK(B900), "","Terminal-899")</f>
        <v/>
      </c>
    </row>
    <row r="901" spans="1:1" x14ac:dyDescent="0.2">
      <c r="A901" t="str">
        <f>IF(ISBLANK(B901), "","Terminal-900")</f>
        <v/>
      </c>
    </row>
    <row r="902" spans="1:1" x14ac:dyDescent="0.2">
      <c r="A902" t="str">
        <f>IF(ISBLANK(B902), "","Terminal-901")</f>
        <v/>
      </c>
    </row>
    <row r="903" spans="1:1" x14ac:dyDescent="0.2">
      <c r="A903" t="str">
        <f>IF(ISBLANK(B903), "","Terminal-902")</f>
        <v/>
      </c>
    </row>
    <row r="904" spans="1:1" x14ac:dyDescent="0.2">
      <c r="A904" t="str">
        <f>IF(ISBLANK(B904), "","Terminal-903")</f>
        <v/>
      </c>
    </row>
    <row r="905" spans="1:1" x14ac:dyDescent="0.2">
      <c r="A905" t="str">
        <f>IF(ISBLANK(B905), "","Terminal-904")</f>
        <v/>
      </c>
    </row>
    <row r="906" spans="1:1" x14ac:dyDescent="0.2">
      <c r="A906" t="str">
        <f>IF(ISBLANK(B906), "","Terminal-905")</f>
        <v/>
      </c>
    </row>
    <row r="907" spans="1:1" x14ac:dyDescent="0.2">
      <c r="A907" t="str">
        <f>IF(ISBLANK(B907), "","Terminal-906")</f>
        <v/>
      </c>
    </row>
    <row r="908" spans="1:1" x14ac:dyDescent="0.2">
      <c r="A908" t="str">
        <f>IF(ISBLANK(B908), "","Terminal-907")</f>
        <v/>
      </c>
    </row>
    <row r="909" spans="1:1" x14ac:dyDescent="0.2">
      <c r="A909" t="str">
        <f>IF(ISBLANK(B909), "","Terminal-908")</f>
        <v/>
      </c>
    </row>
    <row r="910" spans="1:1" x14ac:dyDescent="0.2">
      <c r="A910" t="str">
        <f>IF(ISBLANK(B910), "","Terminal-909")</f>
        <v/>
      </c>
    </row>
    <row r="911" spans="1:1" x14ac:dyDescent="0.2">
      <c r="A911" t="str">
        <f>IF(ISBLANK(B911), "","Terminal-910")</f>
        <v/>
      </c>
    </row>
    <row r="912" spans="1:1" x14ac:dyDescent="0.2">
      <c r="A912" t="str">
        <f>IF(ISBLANK(B912), "","Terminal-911")</f>
        <v/>
      </c>
    </row>
    <row r="913" spans="1:1" x14ac:dyDescent="0.2">
      <c r="A913" t="str">
        <f>IF(ISBLANK(B913), "","Terminal-912")</f>
        <v/>
      </c>
    </row>
    <row r="914" spans="1:1" x14ac:dyDescent="0.2">
      <c r="A914" t="str">
        <f>IF(ISBLANK(B914), "","Terminal-913")</f>
        <v/>
      </c>
    </row>
    <row r="915" spans="1:1" x14ac:dyDescent="0.2">
      <c r="A915" t="str">
        <f>IF(ISBLANK(B915), "","Terminal-914")</f>
        <v/>
      </c>
    </row>
    <row r="916" spans="1:1" x14ac:dyDescent="0.2">
      <c r="A916" t="str">
        <f>IF(ISBLANK(B916), "","Terminal-915")</f>
        <v/>
      </c>
    </row>
    <row r="917" spans="1:1" x14ac:dyDescent="0.2">
      <c r="A917" t="str">
        <f>IF(ISBLANK(B917), "","Terminal-916")</f>
        <v/>
      </c>
    </row>
    <row r="918" spans="1:1" x14ac:dyDescent="0.2">
      <c r="A918" t="str">
        <f>IF(ISBLANK(B918), "","Terminal-917")</f>
        <v/>
      </c>
    </row>
    <row r="919" spans="1:1" x14ac:dyDescent="0.2">
      <c r="A919" t="str">
        <f>IF(ISBLANK(B919), "","Terminal-918")</f>
        <v/>
      </c>
    </row>
    <row r="920" spans="1:1" x14ac:dyDescent="0.2">
      <c r="A920" t="str">
        <f>IF(ISBLANK(B920), "","Terminal-919")</f>
        <v/>
      </c>
    </row>
    <row r="921" spans="1:1" x14ac:dyDescent="0.2">
      <c r="A921" t="str">
        <f>IF(ISBLANK(B921), "","Terminal-920")</f>
        <v/>
      </c>
    </row>
    <row r="922" spans="1:1" x14ac:dyDescent="0.2">
      <c r="A922" t="str">
        <f>IF(ISBLANK(B922), "","Terminal-921")</f>
        <v/>
      </c>
    </row>
    <row r="923" spans="1:1" x14ac:dyDescent="0.2">
      <c r="A923" t="str">
        <f>IF(ISBLANK(B923), "","Terminal-922")</f>
        <v/>
      </c>
    </row>
    <row r="924" spans="1:1" x14ac:dyDescent="0.2">
      <c r="A924" t="str">
        <f>IF(ISBLANK(B924), "","Terminal-923")</f>
        <v/>
      </c>
    </row>
    <row r="925" spans="1:1" x14ac:dyDescent="0.2">
      <c r="A925" t="str">
        <f>IF(ISBLANK(B925), "","Terminal-924")</f>
        <v/>
      </c>
    </row>
    <row r="926" spans="1:1" x14ac:dyDescent="0.2">
      <c r="A926" t="str">
        <f>IF(ISBLANK(B926), "","Terminal-925")</f>
        <v/>
      </c>
    </row>
    <row r="927" spans="1:1" x14ac:dyDescent="0.2">
      <c r="A927" t="str">
        <f>IF(ISBLANK(B927), "","Terminal-926")</f>
        <v/>
      </c>
    </row>
    <row r="928" spans="1:1" x14ac:dyDescent="0.2">
      <c r="A928" t="str">
        <f>IF(ISBLANK(B928), "","Terminal-927")</f>
        <v/>
      </c>
    </row>
    <row r="929" spans="1:1" x14ac:dyDescent="0.2">
      <c r="A929" t="str">
        <f>IF(ISBLANK(B929), "","Terminal-928")</f>
        <v/>
      </c>
    </row>
    <row r="930" spans="1:1" x14ac:dyDescent="0.2">
      <c r="A930" t="str">
        <f>IF(ISBLANK(B930), "","Terminal-929")</f>
        <v/>
      </c>
    </row>
    <row r="931" spans="1:1" x14ac:dyDescent="0.2">
      <c r="A931" t="str">
        <f>IF(ISBLANK(B931), "","Terminal-930")</f>
        <v/>
      </c>
    </row>
    <row r="932" spans="1:1" x14ac:dyDescent="0.2">
      <c r="A932" t="str">
        <f>IF(ISBLANK(B932), "","Terminal-931")</f>
        <v/>
      </c>
    </row>
    <row r="933" spans="1:1" x14ac:dyDescent="0.2">
      <c r="A933" t="str">
        <f>IF(ISBLANK(B933), "","Terminal-932")</f>
        <v/>
      </c>
    </row>
    <row r="934" spans="1:1" x14ac:dyDescent="0.2">
      <c r="A934" t="str">
        <f>IF(ISBLANK(B934), "","Terminal-933")</f>
        <v/>
      </c>
    </row>
    <row r="935" spans="1:1" x14ac:dyDescent="0.2">
      <c r="A935" t="str">
        <f>IF(ISBLANK(B935), "","Terminal-934")</f>
        <v/>
      </c>
    </row>
    <row r="936" spans="1:1" x14ac:dyDescent="0.2">
      <c r="A936" t="str">
        <f>IF(ISBLANK(B936), "","Terminal-935")</f>
        <v/>
      </c>
    </row>
    <row r="937" spans="1:1" x14ac:dyDescent="0.2">
      <c r="A937" t="str">
        <f>IF(ISBLANK(B937), "","Terminal-936")</f>
        <v/>
      </c>
    </row>
    <row r="938" spans="1:1" x14ac:dyDescent="0.2">
      <c r="A938" t="str">
        <f>IF(ISBLANK(B938), "","Terminal-937")</f>
        <v/>
      </c>
    </row>
    <row r="939" spans="1:1" x14ac:dyDescent="0.2">
      <c r="A939" t="str">
        <f>IF(ISBLANK(B939), "","Terminal-938")</f>
        <v/>
      </c>
    </row>
    <row r="940" spans="1:1" x14ac:dyDescent="0.2">
      <c r="A940" t="str">
        <f>IF(ISBLANK(B940), "","Terminal-939")</f>
        <v/>
      </c>
    </row>
    <row r="941" spans="1:1" x14ac:dyDescent="0.2">
      <c r="A941" t="str">
        <f>IF(ISBLANK(B941), "","Terminal-940")</f>
        <v/>
      </c>
    </row>
    <row r="942" spans="1:1" x14ac:dyDescent="0.2">
      <c r="A942" t="str">
        <f>IF(ISBLANK(B942), "","Terminal-941")</f>
        <v/>
      </c>
    </row>
    <row r="943" spans="1:1" x14ac:dyDescent="0.2">
      <c r="A943" t="str">
        <f>IF(ISBLANK(B943), "","Terminal-942")</f>
        <v/>
      </c>
    </row>
    <row r="944" spans="1:1" x14ac:dyDescent="0.2">
      <c r="A944" t="str">
        <f>IF(ISBLANK(B944), "","Terminal-943")</f>
        <v/>
      </c>
    </row>
    <row r="945" spans="1:1" x14ac:dyDescent="0.2">
      <c r="A945" t="str">
        <f>IF(ISBLANK(B945), "","Terminal-944")</f>
        <v/>
      </c>
    </row>
    <row r="946" spans="1:1" x14ac:dyDescent="0.2">
      <c r="A946" t="str">
        <f>IF(ISBLANK(B946), "","Terminal-945")</f>
        <v/>
      </c>
    </row>
    <row r="947" spans="1:1" x14ac:dyDescent="0.2">
      <c r="A947" t="str">
        <f>IF(ISBLANK(B947), "","Terminal-946")</f>
        <v/>
      </c>
    </row>
    <row r="948" spans="1:1" x14ac:dyDescent="0.2">
      <c r="A948" t="str">
        <f>IF(ISBLANK(B948), "","Terminal-947")</f>
        <v/>
      </c>
    </row>
    <row r="949" spans="1:1" x14ac:dyDescent="0.2">
      <c r="A949" t="str">
        <f>IF(ISBLANK(B949), "","Terminal-948")</f>
        <v/>
      </c>
    </row>
    <row r="950" spans="1:1" x14ac:dyDescent="0.2">
      <c r="A950" t="str">
        <f>IF(ISBLANK(B950), "","Terminal-949")</f>
        <v/>
      </c>
    </row>
    <row r="951" spans="1:1" x14ac:dyDescent="0.2">
      <c r="A951" t="str">
        <f>IF(ISBLANK(B951), "","Terminal-950")</f>
        <v/>
      </c>
    </row>
    <row r="952" spans="1:1" x14ac:dyDescent="0.2">
      <c r="A952" t="str">
        <f>IF(ISBLANK(B952), "","Terminal-951")</f>
        <v/>
      </c>
    </row>
    <row r="953" spans="1:1" x14ac:dyDescent="0.2">
      <c r="A953" t="str">
        <f>IF(ISBLANK(B953), "","Terminal-952")</f>
        <v/>
      </c>
    </row>
    <row r="954" spans="1:1" x14ac:dyDescent="0.2">
      <c r="A954" t="str">
        <f>IF(ISBLANK(B954), "","Terminal-953")</f>
        <v/>
      </c>
    </row>
    <row r="955" spans="1:1" x14ac:dyDescent="0.2">
      <c r="A955" t="str">
        <f>IF(ISBLANK(B955), "","Terminal-954")</f>
        <v/>
      </c>
    </row>
    <row r="956" spans="1:1" x14ac:dyDescent="0.2">
      <c r="A956" t="str">
        <f>IF(ISBLANK(B956), "","Terminal-955")</f>
        <v/>
      </c>
    </row>
    <row r="957" spans="1:1" x14ac:dyDescent="0.2">
      <c r="A957" t="str">
        <f>IF(ISBLANK(B957), "","Terminal-956")</f>
        <v/>
      </c>
    </row>
    <row r="958" spans="1:1" x14ac:dyDescent="0.2">
      <c r="A958" t="str">
        <f>IF(ISBLANK(B958), "","Terminal-957")</f>
        <v/>
      </c>
    </row>
    <row r="959" spans="1:1" x14ac:dyDescent="0.2">
      <c r="A959" t="str">
        <f>IF(ISBLANK(B959), "","Terminal-958")</f>
        <v/>
      </c>
    </row>
    <row r="960" spans="1:1" x14ac:dyDescent="0.2">
      <c r="A960" t="str">
        <f>IF(ISBLANK(B960), "","Terminal-959")</f>
        <v/>
      </c>
    </row>
    <row r="961" spans="1:1" x14ac:dyDescent="0.2">
      <c r="A961" t="str">
        <f>IF(ISBLANK(B961), "","Terminal-960")</f>
        <v/>
      </c>
    </row>
    <row r="962" spans="1:1" x14ac:dyDescent="0.2">
      <c r="A962" t="str">
        <f>IF(ISBLANK(B962), "","Terminal-961")</f>
        <v/>
      </c>
    </row>
    <row r="963" spans="1:1" x14ac:dyDescent="0.2">
      <c r="A963" t="str">
        <f>IF(ISBLANK(B963), "","Terminal-962")</f>
        <v/>
      </c>
    </row>
    <row r="964" spans="1:1" x14ac:dyDescent="0.2">
      <c r="A964" t="str">
        <f>IF(ISBLANK(B964), "","Terminal-963")</f>
        <v/>
      </c>
    </row>
    <row r="965" spans="1:1" x14ac:dyDescent="0.2">
      <c r="A965" t="str">
        <f>IF(ISBLANK(B965), "","Terminal-964")</f>
        <v/>
      </c>
    </row>
    <row r="966" spans="1:1" x14ac:dyDescent="0.2">
      <c r="A966" t="str">
        <f>IF(ISBLANK(B966), "","Terminal-965")</f>
        <v/>
      </c>
    </row>
    <row r="967" spans="1:1" x14ac:dyDescent="0.2">
      <c r="A967" t="str">
        <f>IF(ISBLANK(B967), "","Terminal-966")</f>
        <v/>
      </c>
    </row>
    <row r="968" spans="1:1" x14ac:dyDescent="0.2">
      <c r="A968" t="str">
        <f>IF(ISBLANK(B968), "","Terminal-967")</f>
        <v/>
      </c>
    </row>
    <row r="969" spans="1:1" x14ac:dyDescent="0.2">
      <c r="A969" t="str">
        <f>IF(ISBLANK(B969), "","Terminal-968")</f>
        <v/>
      </c>
    </row>
    <row r="970" spans="1:1" x14ac:dyDescent="0.2">
      <c r="A970" t="str">
        <f>IF(ISBLANK(B970), "","Terminal-969")</f>
        <v/>
      </c>
    </row>
    <row r="971" spans="1:1" x14ac:dyDescent="0.2">
      <c r="A971" t="str">
        <f>IF(ISBLANK(B971), "","Terminal-970")</f>
        <v/>
      </c>
    </row>
    <row r="972" spans="1:1" x14ac:dyDescent="0.2">
      <c r="A972" t="str">
        <f>IF(ISBLANK(B972), "","Terminal-971")</f>
        <v/>
      </c>
    </row>
    <row r="973" spans="1:1" x14ac:dyDescent="0.2">
      <c r="A973" t="str">
        <f>IF(ISBLANK(B973), "","Terminal-972")</f>
        <v/>
      </c>
    </row>
    <row r="974" spans="1:1" x14ac:dyDescent="0.2">
      <c r="A974" t="str">
        <f>IF(ISBLANK(B974), "","Terminal-973")</f>
        <v/>
      </c>
    </row>
    <row r="975" spans="1:1" x14ac:dyDescent="0.2">
      <c r="A975" t="str">
        <f>IF(ISBLANK(B975), "","Terminal-974")</f>
        <v/>
      </c>
    </row>
    <row r="976" spans="1:1" x14ac:dyDescent="0.2">
      <c r="A976" t="str">
        <f>IF(ISBLANK(B976), "","Terminal-975")</f>
        <v/>
      </c>
    </row>
    <row r="977" spans="1:1" x14ac:dyDescent="0.2">
      <c r="A977" t="str">
        <f>IF(ISBLANK(B977), "","Terminal-976")</f>
        <v/>
      </c>
    </row>
    <row r="978" spans="1:1" x14ac:dyDescent="0.2">
      <c r="A978" t="str">
        <f>IF(ISBLANK(B978), "","Terminal-977")</f>
        <v/>
      </c>
    </row>
    <row r="979" spans="1:1" x14ac:dyDescent="0.2">
      <c r="A979" t="str">
        <f>IF(ISBLANK(B979), "","Terminal-978")</f>
        <v/>
      </c>
    </row>
    <row r="980" spans="1:1" x14ac:dyDescent="0.2">
      <c r="A980" t="str">
        <f>IF(ISBLANK(B980), "","Terminal-979")</f>
        <v/>
      </c>
    </row>
    <row r="981" spans="1:1" x14ac:dyDescent="0.2">
      <c r="A981" t="str">
        <f>IF(ISBLANK(B981), "","Terminal-980")</f>
        <v/>
      </c>
    </row>
    <row r="982" spans="1:1" x14ac:dyDescent="0.2">
      <c r="A982" t="str">
        <f>IF(ISBLANK(B982), "","Terminal-981")</f>
        <v/>
      </c>
    </row>
    <row r="983" spans="1:1" x14ac:dyDescent="0.2">
      <c r="A983" t="str">
        <f>IF(ISBLANK(B983), "","Terminal-982")</f>
        <v/>
      </c>
    </row>
    <row r="984" spans="1:1" x14ac:dyDescent="0.2">
      <c r="A984" t="str">
        <f>IF(ISBLANK(B984), "","Terminal-983")</f>
        <v/>
      </c>
    </row>
    <row r="985" spans="1:1" x14ac:dyDescent="0.2">
      <c r="A985" t="str">
        <f>IF(ISBLANK(B985), "","Terminal-984")</f>
        <v/>
      </c>
    </row>
    <row r="986" spans="1:1" x14ac:dyDescent="0.2">
      <c r="A986" t="str">
        <f>IF(ISBLANK(B986), "","Terminal-985")</f>
        <v/>
      </c>
    </row>
    <row r="987" spans="1:1" x14ac:dyDescent="0.2">
      <c r="A987" t="str">
        <f>IF(ISBLANK(B987), "","Terminal-986")</f>
        <v/>
      </c>
    </row>
    <row r="988" spans="1:1" x14ac:dyDescent="0.2">
      <c r="A988" t="str">
        <f>IF(ISBLANK(B988), "","Terminal-987")</f>
        <v/>
      </c>
    </row>
    <row r="989" spans="1:1" x14ac:dyDescent="0.2">
      <c r="A989" t="str">
        <f>IF(ISBLANK(B989), "","Terminal-988")</f>
        <v/>
      </c>
    </row>
    <row r="990" spans="1:1" x14ac:dyDescent="0.2">
      <c r="A990" t="str">
        <f>IF(ISBLANK(B990), "","Terminal-989")</f>
        <v/>
      </c>
    </row>
    <row r="991" spans="1:1" x14ac:dyDescent="0.2">
      <c r="A991" t="str">
        <f>IF(ISBLANK(B991), "","Terminal-990")</f>
        <v/>
      </c>
    </row>
    <row r="992" spans="1:1" x14ac:dyDescent="0.2">
      <c r="A992" t="str">
        <f>IF(ISBLANK(B992), "","Terminal-991")</f>
        <v/>
      </c>
    </row>
    <row r="993" spans="1:1" x14ac:dyDescent="0.2">
      <c r="A993" t="str">
        <f>IF(ISBLANK(B993), "","Terminal-992")</f>
        <v/>
      </c>
    </row>
    <row r="994" spans="1:1" x14ac:dyDescent="0.2">
      <c r="A994" t="str">
        <f>IF(ISBLANK(B994), "","Terminal-993")</f>
        <v/>
      </c>
    </row>
    <row r="995" spans="1:1" x14ac:dyDescent="0.2">
      <c r="A995" t="str">
        <f>IF(ISBLANK(B995), "","Terminal-994")</f>
        <v/>
      </c>
    </row>
    <row r="996" spans="1:1" x14ac:dyDescent="0.2">
      <c r="A996" t="str">
        <f>IF(ISBLANK(B996), "","Terminal-995")</f>
        <v/>
      </c>
    </row>
    <row r="997" spans="1:1" x14ac:dyDescent="0.2">
      <c r="A997" t="str">
        <f>IF(ISBLANK(B997), "","Terminal-996")</f>
        <v/>
      </c>
    </row>
    <row r="998" spans="1:1" x14ac:dyDescent="0.2">
      <c r="A998" t="str">
        <f>IF(ISBLANK(B998), "","Terminal-997")</f>
        <v/>
      </c>
    </row>
    <row r="999" spans="1:1" x14ac:dyDescent="0.2">
      <c r="A999" t="str">
        <f>IF(ISBLANK(B999), "","Terminal-998")</f>
        <v/>
      </c>
    </row>
    <row r="1000" spans="1:1" x14ac:dyDescent="0.2">
      <c r="A1000" t="str">
        <f>IF(ISBLANK(B1000), "","Terminal-999")</f>
        <v/>
      </c>
    </row>
    <row r="1001" spans="1:1" x14ac:dyDescent="0.2">
      <c r="A1001" t="str">
        <f>IF(ISBLANK(B1001), "","Terminal-1000")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GeographicalRegion</vt:lpstr>
      <vt:lpstr>SubGeographicalRegion</vt:lpstr>
      <vt:lpstr>Substation</vt:lpstr>
      <vt:lpstr>Terminal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2023-07-16T09:41:13Z</dcterms:created>
  <dcterms:modified xsi:type="dcterms:W3CDTF">2023-07-16T10:04:02Z</dcterms:modified>
</cp:coreProperties>
</file>