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econdary/repos/neat/cognite/neat/examples/graph_capturing_sheets/"/>
    </mc:Choice>
  </mc:AlternateContent>
  <xr:revisionPtr revIDLastSave="0" documentId="13_ncr:1_{5F2DCCD0-4CBA-8040-B397-305BE68BC78F}" xr6:coauthVersionLast="47" xr6:coauthVersionMax="47" xr10:uidLastSave="{00000000-0000-0000-0000-000000000000}"/>
  <bookViews>
    <workbookView xWindow="0" yWindow="500" windowWidth="33600" windowHeight="10260" activeTab="2" xr2:uid="{00000000-000D-0000-FFFF-FFFF00000000}"/>
  </bookViews>
  <sheets>
    <sheet name="CountryGroup" sheetId="1" r:id="rId1"/>
    <sheet name="Country" sheetId="2" r:id="rId2"/>
    <sheet name="PriceArea" sheetId="3" r:id="rId3"/>
    <sheet name="PriceAreaConn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1" i="4" l="1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<sst xmlns="http://schemas.openxmlformats.org/spreadsheetml/2006/main" count="25" uniqueCount="17">
  <si>
    <t>identifier</t>
  </si>
  <si>
    <t>name</t>
  </si>
  <si>
    <t>countryGroup</t>
  </si>
  <si>
    <t>TSO</t>
  </si>
  <si>
    <t>country</t>
  </si>
  <si>
    <t>priceAreaConnection</t>
  </si>
  <si>
    <t>priceArea</t>
  </si>
  <si>
    <t>Nordics</t>
  </si>
  <si>
    <t>Norway</t>
  </si>
  <si>
    <t>CountryGroup-1</t>
  </si>
  <si>
    <t>Statnett</t>
  </si>
  <si>
    <t>NO1</t>
  </si>
  <si>
    <t>Country-1</t>
  </si>
  <si>
    <t>NO1-NO2</t>
  </si>
  <si>
    <t>PriceArea-1</t>
  </si>
  <si>
    <t>PriceAreaConnection-1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</si>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</sst>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B202"/>
        <bgColor indexed="64"/>
      </patternFill>
    </fill>
    <fill>
      <patternFill patternType="solid">
        <fgColor rgb="FF2FB5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30.6640625" customWidth="1"/>
  </cols>
  <sheetData>
    <row r="1" spans="1:2" ht="21" x14ac:dyDescent="0.2">
      <c r="A1" s="1" t="s">
        <v>0</v>
      </c>
      <c r="B1" s="2" t="s">
        <v>1</v>
      </c>
    </row>
    <row r="2" spans="1:2" x14ac:dyDescent="0.2">
      <c r="A2" t="str">
        <f>IF(ISBLANK(B2), "","CountryGroup-1")</f>
        <v>CountryGroup-1</v>
      </c>
      <c r="B2" t="s">
        <v>7</v>
      </c>
    </row>
    <row r="3" spans="1:2" x14ac:dyDescent="0.2">
      <c r="A3" t="str">
        <f>IF(ISBLANK(B3), "","CountryGroup-2")</f>
        <v/>
      </c>
    </row>
    <row r="4" spans="1:2" x14ac:dyDescent="0.2">
      <c r="A4" t="str">
        <f>IF(ISBLANK(B4), "","CountryGroup-3")</f>
        <v/>
      </c>
    </row>
    <row r="5" spans="1:2" x14ac:dyDescent="0.2">
      <c r="A5" t="str">
        <f>IF(ISBLANK(B5), "","CountryGroup-4")</f>
        <v/>
      </c>
    </row>
    <row r="6" spans="1:2" x14ac:dyDescent="0.2">
      <c r="A6" t="str">
        <f>IF(ISBLANK(B6), "","CountryGroup-5")</f>
        <v/>
      </c>
    </row>
    <row r="7" spans="1:2" x14ac:dyDescent="0.2">
      <c r="A7" t="str">
        <f>IF(ISBLANK(B7), "","CountryGroup-6")</f>
        <v/>
      </c>
    </row>
    <row r="8" spans="1:2" x14ac:dyDescent="0.2">
      <c r="A8" t="str">
        <f>IF(ISBLANK(B8), "","CountryGroup-7")</f>
        <v/>
      </c>
    </row>
    <row r="9" spans="1:2" x14ac:dyDescent="0.2">
      <c r="A9" t="str">
        <f>IF(ISBLANK(B9), "","CountryGroup-8")</f>
        <v/>
      </c>
    </row>
    <row r="10" spans="1:2" x14ac:dyDescent="0.2">
      <c r="A10" t="str">
        <f>IF(ISBLANK(B10), "","CountryGroup-9")</f>
        <v/>
      </c>
    </row>
    <row r="11" spans="1:2" x14ac:dyDescent="0.2">
      <c r="A11" t="str">
        <f>IF(ISBLANK(B11), "","CountryGroup-10")</f>
        <v/>
      </c>
    </row>
    <row r="12" spans="1:2" x14ac:dyDescent="0.2">
      <c r="A12" t="str">
        <f>IF(ISBLANK(B12), "","CountryGroup-11")</f>
        <v/>
      </c>
    </row>
    <row r="13" spans="1:2" x14ac:dyDescent="0.2">
      <c r="A13" t="str">
        <f>IF(ISBLANK(B13), "","CountryGroup-12")</f>
        <v/>
      </c>
    </row>
    <row r="14" spans="1:2" x14ac:dyDescent="0.2">
      <c r="A14" t="str">
        <f>IF(ISBLANK(B14), "","CountryGroup-13")</f>
        <v/>
      </c>
    </row>
    <row r="15" spans="1:2" x14ac:dyDescent="0.2">
      <c r="A15" t="str">
        <f>IF(ISBLANK(B15), "","CountryGroup-14")</f>
        <v/>
      </c>
    </row>
    <row r="16" spans="1:2" x14ac:dyDescent="0.2">
      <c r="A16" t="str">
        <f>IF(ISBLANK(B16), "","CountryGroup-15")</f>
        <v/>
      </c>
    </row>
    <row r="17" spans="1:1" x14ac:dyDescent="0.2">
      <c r="A17" t="str">
        <f>IF(ISBLANK(B17), "","CountryGroup-16")</f>
        <v/>
      </c>
    </row>
    <row r="18" spans="1:1" x14ac:dyDescent="0.2">
      <c r="A18" t="str">
        <f>IF(ISBLANK(B18), "","CountryGroup-17")</f>
        <v/>
      </c>
    </row>
    <row r="19" spans="1:1" x14ac:dyDescent="0.2">
      <c r="A19" t="str">
        <f>IF(ISBLANK(B19), "","CountryGroup-18")</f>
        <v/>
      </c>
    </row>
    <row r="20" spans="1:1" x14ac:dyDescent="0.2">
      <c r="A20" t="str">
        <f>IF(ISBLANK(B20), "","CountryGroup-19")</f>
        <v/>
      </c>
    </row>
    <row r="21" spans="1:1" x14ac:dyDescent="0.2">
      <c r="A21" t="str">
        <f>IF(ISBLANK(B21), "","CountryGroup-20")</f>
        <v/>
      </c>
    </row>
    <row r="22" spans="1:1" x14ac:dyDescent="0.2">
      <c r="A22" t="str">
        <f>IF(ISBLANK(B22), "","CountryGroup-21")</f>
        <v/>
      </c>
    </row>
    <row r="23" spans="1:1" x14ac:dyDescent="0.2">
      <c r="A23" t="str">
        <f>IF(ISBLANK(B23), "","CountryGroup-22")</f>
        <v/>
      </c>
    </row>
    <row r="24" spans="1:1" x14ac:dyDescent="0.2">
      <c r="A24" t="str">
        <f>IF(ISBLANK(B24), "","CountryGroup-23")</f>
        <v/>
      </c>
    </row>
    <row r="25" spans="1:1" x14ac:dyDescent="0.2">
      <c r="A25" t="str">
        <f>IF(ISBLANK(B25), "","CountryGroup-24")</f>
        <v/>
      </c>
    </row>
    <row r="26" spans="1:1" x14ac:dyDescent="0.2">
      <c r="A26" t="str">
        <f>IF(ISBLANK(B26), "","CountryGroup-25")</f>
        <v/>
      </c>
    </row>
    <row r="27" spans="1:1" x14ac:dyDescent="0.2">
      <c r="A27" t="str">
        <f>IF(ISBLANK(B27), "","CountryGroup-26")</f>
        <v/>
      </c>
    </row>
    <row r="28" spans="1:1" x14ac:dyDescent="0.2">
      <c r="A28" t="str">
        <f>IF(ISBLANK(B28), "","CountryGroup-27")</f>
        <v/>
      </c>
    </row>
    <row r="29" spans="1:1" x14ac:dyDescent="0.2">
      <c r="A29" t="str">
        <f>IF(ISBLANK(B29), "","CountryGroup-28")</f>
        <v/>
      </c>
    </row>
    <row r="30" spans="1:1" x14ac:dyDescent="0.2">
      <c r="A30" t="str">
        <f>IF(ISBLANK(B30), "","CountryGroup-29")</f>
        <v/>
      </c>
    </row>
    <row r="31" spans="1:1" x14ac:dyDescent="0.2">
      <c r="A31" t="str">
        <f>IF(ISBLANK(B31), "","CountryGroup-30")</f>
        <v/>
      </c>
    </row>
    <row r="32" spans="1:1" x14ac:dyDescent="0.2">
      <c r="A32" t="str">
        <f>IF(ISBLANK(B32), "","CountryGroup-31")</f>
        <v/>
      </c>
    </row>
    <row r="33" spans="1:1" x14ac:dyDescent="0.2">
      <c r="A33" t="str">
        <f>IF(ISBLANK(B33), "","CountryGroup-32")</f>
        <v/>
      </c>
    </row>
    <row r="34" spans="1:1" x14ac:dyDescent="0.2">
      <c r="A34" t="str">
        <f>IF(ISBLANK(B34), "","CountryGroup-33")</f>
        <v/>
      </c>
    </row>
    <row r="35" spans="1:1" x14ac:dyDescent="0.2">
      <c r="A35" t="str">
        <f>IF(ISBLANK(B35), "","CountryGroup-34")</f>
        <v/>
      </c>
    </row>
    <row r="36" spans="1:1" x14ac:dyDescent="0.2">
      <c r="A36" t="str">
        <f>IF(ISBLANK(B36), "","CountryGroup-35")</f>
        <v/>
      </c>
    </row>
    <row r="37" spans="1:1" x14ac:dyDescent="0.2">
      <c r="A37" t="str">
        <f>IF(ISBLANK(B37), "","CountryGroup-36")</f>
        <v/>
      </c>
    </row>
    <row r="38" spans="1:1" x14ac:dyDescent="0.2">
      <c r="A38" t="str">
        <f>IF(ISBLANK(B38), "","CountryGroup-37")</f>
        <v/>
      </c>
    </row>
    <row r="39" spans="1:1" x14ac:dyDescent="0.2">
      <c r="A39" t="str">
        <f>IF(ISBLANK(B39), "","CountryGroup-38")</f>
        <v/>
      </c>
    </row>
    <row r="40" spans="1:1" x14ac:dyDescent="0.2">
      <c r="A40" t="str">
        <f>IF(ISBLANK(B40), "","CountryGroup-39")</f>
        <v/>
      </c>
    </row>
    <row r="41" spans="1:1" x14ac:dyDescent="0.2">
      <c r="A41" t="str">
        <f>IF(ISBLANK(B41), "","CountryGroup-40")</f>
        <v/>
      </c>
    </row>
    <row r="42" spans="1:1" x14ac:dyDescent="0.2">
      <c r="A42" t="str">
        <f>IF(ISBLANK(B42), "","CountryGroup-41")</f>
        <v/>
      </c>
    </row>
    <row r="43" spans="1:1" x14ac:dyDescent="0.2">
      <c r="A43" t="str">
        <f>IF(ISBLANK(B43), "","CountryGroup-42")</f>
        <v/>
      </c>
    </row>
    <row r="44" spans="1:1" x14ac:dyDescent="0.2">
      <c r="A44" t="str">
        <f>IF(ISBLANK(B44), "","CountryGroup-43")</f>
        <v/>
      </c>
    </row>
    <row r="45" spans="1:1" x14ac:dyDescent="0.2">
      <c r="A45" t="str">
        <f>IF(ISBLANK(B45), "","CountryGroup-44")</f>
        <v/>
      </c>
    </row>
    <row r="46" spans="1:1" x14ac:dyDescent="0.2">
      <c r="A46" t="str">
        <f>IF(ISBLANK(B46), "","CountryGroup-45")</f>
        <v/>
      </c>
    </row>
    <row r="47" spans="1:1" x14ac:dyDescent="0.2">
      <c r="A47" t="str">
        <f>IF(ISBLANK(B47), "","CountryGroup-46")</f>
        <v/>
      </c>
    </row>
    <row r="48" spans="1:1" x14ac:dyDescent="0.2">
      <c r="A48" t="str">
        <f>IF(ISBLANK(B48), "","CountryGroup-47")</f>
        <v/>
      </c>
    </row>
    <row r="49" spans="1:1" x14ac:dyDescent="0.2">
      <c r="A49" t="str">
        <f>IF(ISBLANK(B49), "","CountryGroup-48")</f>
        <v/>
      </c>
    </row>
    <row r="50" spans="1:1" x14ac:dyDescent="0.2">
      <c r="A50" t="str">
        <f>IF(ISBLANK(B50), "","CountryGroup-49")</f>
        <v/>
      </c>
    </row>
    <row r="51" spans="1:1" x14ac:dyDescent="0.2">
      <c r="A51" t="str">
        <f>IF(ISBLANK(B51), "","CountryGroup-50")</f>
        <v/>
      </c>
    </row>
    <row r="52" spans="1:1" x14ac:dyDescent="0.2">
      <c r="A52" t="str">
        <f>IF(ISBLANK(B52), "","CountryGroup-51")</f>
        <v/>
      </c>
    </row>
    <row r="53" spans="1:1" x14ac:dyDescent="0.2">
      <c r="A53" t="str">
        <f>IF(ISBLANK(B53), "","CountryGroup-52")</f>
        <v/>
      </c>
    </row>
    <row r="54" spans="1:1" x14ac:dyDescent="0.2">
      <c r="A54" t="str">
        <f>IF(ISBLANK(B54), "","CountryGroup-53")</f>
        <v/>
      </c>
    </row>
    <row r="55" spans="1:1" x14ac:dyDescent="0.2">
      <c r="A55" t="str">
        <f>IF(ISBLANK(B55), "","CountryGroup-54")</f>
        <v/>
      </c>
    </row>
    <row r="56" spans="1:1" x14ac:dyDescent="0.2">
      <c r="A56" t="str">
        <f>IF(ISBLANK(B56), "","CountryGroup-55")</f>
        <v/>
      </c>
    </row>
    <row r="57" spans="1:1" x14ac:dyDescent="0.2">
      <c r="A57" t="str">
        <f>IF(ISBLANK(B57), "","CountryGroup-56")</f>
        <v/>
      </c>
    </row>
    <row r="58" spans="1:1" x14ac:dyDescent="0.2">
      <c r="A58" t="str">
        <f>IF(ISBLANK(B58), "","CountryGroup-57")</f>
        <v/>
      </c>
    </row>
    <row r="59" spans="1:1" x14ac:dyDescent="0.2">
      <c r="A59" t="str">
        <f>IF(ISBLANK(B59), "","CountryGroup-58")</f>
        <v/>
      </c>
    </row>
    <row r="60" spans="1:1" x14ac:dyDescent="0.2">
      <c r="A60" t="str">
        <f>IF(ISBLANK(B60), "","CountryGroup-59")</f>
        <v/>
      </c>
    </row>
    <row r="61" spans="1:1" x14ac:dyDescent="0.2">
      <c r="A61" t="str">
        <f>IF(ISBLANK(B61), "","CountryGroup-60")</f>
        <v/>
      </c>
    </row>
    <row r="62" spans="1:1" x14ac:dyDescent="0.2">
      <c r="A62" t="str">
        <f>IF(ISBLANK(B62), "","CountryGroup-61")</f>
        <v/>
      </c>
    </row>
    <row r="63" spans="1:1" x14ac:dyDescent="0.2">
      <c r="A63" t="str">
        <f>IF(ISBLANK(B63), "","CountryGroup-62")</f>
        <v/>
      </c>
    </row>
    <row r="64" spans="1:1" x14ac:dyDescent="0.2">
      <c r="A64" t="str">
        <f>IF(ISBLANK(B64), "","CountryGroup-63")</f>
        <v/>
      </c>
    </row>
    <row r="65" spans="1:1" x14ac:dyDescent="0.2">
      <c r="A65" t="str">
        <f>IF(ISBLANK(B65), "","CountryGroup-64")</f>
        <v/>
      </c>
    </row>
    <row r="66" spans="1:1" x14ac:dyDescent="0.2">
      <c r="A66" t="str">
        <f>IF(ISBLANK(B66), "","CountryGroup-65")</f>
        <v/>
      </c>
    </row>
    <row r="67" spans="1:1" x14ac:dyDescent="0.2">
      <c r="A67" t="str">
        <f>IF(ISBLANK(B67), "","CountryGroup-66")</f>
        <v/>
      </c>
    </row>
    <row r="68" spans="1:1" x14ac:dyDescent="0.2">
      <c r="A68" t="str">
        <f>IF(ISBLANK(B68), "","CountryGroup-67")</f>
        <v/>
      </c>
    </row>
    <row r="69" spans="1:1" x14ac:dyDescent="0.2">
      <c r="A69" t="str">
        <f>IF(ISBLANK(B69), "","CountryGroup-68")</f>
        <v/>
      </c>
    </row>
    <row r="70" spans="1:1" x14ac:dyDescent="0.2">
      <c r="A70" t="str">
        <f>IF(ISBLANK(B70), "","CountryGroup-69")</f>
        <v/>
      </c>
    </row>
    <row r="71" spans="1:1" x14ac:dyDescent="0.2">
      <c r="A71" t="str">
        <f>IF(ISBLANK(B71), "","CountryGroup-70")</f>
        <v/>
      </c>
    </row>
    <row r="72" spans="1:1" x14ac:dyDescent="0.2">
      <c r="A72" t="str">
        <f>IF(ISBLANK(B72), "","CountryGroup-71")</f>
        <v/>
      </c>
    </row>
    <row r="73" spans="1:1" x14ac:dyDescent="0.2">
      <c r="A73" t="str">
        <f>IF(ISBLANK(B73), "","CountryGroup-72")</f>
        <v/>
      </c>
    </row>
    <row r="74" spans="1:1" x14ac:dyDescent="0.2">
      <c r="A74" t="str">
        <f>IF(ISBLANK(B74), "","CountryGroup-73")</f>
        <v/>
      </c>
    </row>
    <row r="75" spans="1:1" x14ac:dyDescent="0.2">
      <c r="A75" t="str">
        <f>IF(ISBLANK(B75), "","CountryGroup-74")</f>
        <v/>
      </c>
    </row>
    <row r="76" spans="1:1" x14ac:dyDescent="0.2">
      <c r="A76" t="str">
        <f>IF(ISBLANK(B76), "","CountryGroup-75")</f>
        <v/>
      </c>
    </row>
    <row r="77" spans="1:1" x14ac:dyDescent="0.2">
      <c r="A77" t="str">
        <f>IF(ISBLANK(B77), "","CountryGroup-76")</f>
        <v/>
      </c>
    </row>
    <row r="78" spans="1:1" x14ac:dyDescent="0.2">
      <c r="A78" t="str">
        <f>IF(ISBLANK(B78), "","CountryGroup-77")</f>
        <v/>
      </c>
    </row>
    <row r="79" spans="1:1" x14ac:dyDescent="0.2">
      <c r="A79" t="str">
        <f>IF(ISBLANK(B79), "","CountryGroup-78")</f>
        <v/>
      </c>
    </row>
    <row r="80" spans="1:1" x14ac:dyDescent="0.2">
      <c r="A80" t="str">
        <f>IF(ISBLANK(B80), "","CountryGroup-79")</f>
        <v/>
      </c>
    </row>
    <row r="81" spans="1:1" x14ac:dyDescent="0.2">
      <c r="A81" t="str">
        <f>IF(ISBLANK(B81), "","CountryGroup-80")</f>
        <v/>
      </c>
    </row>
    <row r="82" spans="1:1" x14ac:dyDescent="0.2">
      <c r="A82" t="str">
        <f>IF(ISBLANK(B82), "","CountryGroup-81")</f>
        <v/>
      </c>
    </row>
    <row r="83" spans="1:1" x14ac:dyDescent="0.2">
      <c r="A83" t="str">
        <f>IF(ISBLANK(B83), "","CountryGroup-82")</f>
        <v/>
      </c>
    </row>
    <row r="84" spans="1:1" x14ac:dyDescent="0.2">
      <c r="A84" t="str">
        <f>IF(ISBLANK(B84), "","CountryGroup-83")</f>
        <v/>
      </c>
    </row>
    <row r="85" spans="1:1" x14ac:dyDescent="0.2">
      <c r="A85" t="str">
        <f>IF(ISBLANK(B85), "","CountryGroup-84")</f>
        <v/>
      </c>
    </row>
    <row r="86" spans="1:1" x14ac:dyDescent="0.2">
      <c r="A86" t="str">
        <f>IF(ISBLANK(B86), "","CountryGroup-85")</f>
        <v/>
      </c>
    </row>
    <row r="87" spans="1:1" x14ac:dyDescent="0.2">
      <c r="A87" t="str">
        <f>IF(ISBLANK(B87), "","CountryGroup-86")</f>
        <v/>
      </c>
    </row>
    <row r="88" spans="1:1" x14ac:dyDescent="0.2">
      <c r="A88" t="str">
        <f>IF(ISBLANK(B88), "","CountryGroup-87")</f>
        <v/>
      </c>
    </row>
    <row r="89" spans="1:1" x14ac:dyDescent="0.2">
      <c r="A89" t="str">
        <f>IF(ISBLANK(B89), "","CountryGroup-88")</f>
        <v/>
      </c>
    </row>
    <row r="90" spans="1:1" x14ac:dyDescent="0.2">
      <c r="A90" t="str">
        <f>IF(ISBLANK(B90), "","CountryGroup-89")</f>
        <v/>
      </c>
    </row>
    <row r="91" spans="1:1" x14ac:dyDescent="0.2">
      <c r="A91" t="str">
        <f>IF(ISBLANK(B91), "","CountryGroup-90")</f>
        <v/>
      </c>
    </row>
    <row r="92" spans="1:1" x14ac:dyDescent="0.2">
      <c r="A92" t="str">
        <f>IF(ISBLANK(B92), "","CountryGroup-91")</f>
        <v/>
      </c>
    </row>
    <row r="93" spans="1:1" x14ac:dyDescent="0.2">
      <c r="A93" t="str">
        <f>IF(ISBLANK(B93), "","CountryGroup-92")</f>
        <v/>
      </c>
    </row>
    <row r="94" spans="1:1" x14ac:dyDescent="0.2">
      <c r="A94" t="str">
        <f>IF(ISBLANK(B94), "","CountryGroup-93")</f>
        <v/>
      </c>
    </row>
    <row r="95" spans="1:1" x14ac:dyDescent="0.2">
      <c r="A95" t="str">
        <f>IF(ISBLANK(B95), "","CountryGroup-94")</f>
        <v/>
      </c>
    </row>
    <row r="96" spans="1:1" x14ac:dyDescent="0.2">
      <c r="A96" t="str">
        <f>IF(ISBLANK(B96), "","CountryGroup-95")</f>
        <v/>
      </c>
    </row>
    <row r="97" spans="1:1" x14ac:dyDescent="0.2">
      <c r="A97" t="str">
        <f>IF(ISBLANK(B97), "","CountryGroup-96")</f>
        <v/>
      </c>
    </row>
    <row r="98" spans="1:1" x14ac:dyDescent="0.2">
      <c r="A98" t="str">
        <f>IF(ISBLANK(B98), "","CountryGroup-97")</f>
        <v/>
      </c>
    </row>
    <row r="99" spans="1:1" x14ac:dyDescent="0.2">
      <c r="A99" t="str">
        <f>IF(ISBLANK(B99), "","CountryGroup-98")</f>
        <v/>
      </c>
    </row>
    <row r="100" spans="1:1" x14ac:dyDescent="0.2">
      <c r="A100" t="str">
        <f>IF(ISBLANK(B100), "","CountryGroup-99")</f>
        <v/>
      </c>
    </row>
    <row r="101" spans="1:1" x14ac:dyDescent="0.2">
      <c r="A101" t="str">
        <f>IF(ISBLANK(B101), "","CountryGroup-100")</f>
        <v/>
      </c>
    </row>
    <row r="102" spans="1:1" x14ac:dyDescent="0.2">
      <c r="A102" t="str">
        <f>IF(ISBLANK(B102), "","CountryGroup-101")</f>
        <v/>
      </c>
    </row>
    <row r="103" spans="1:1" x14ac:dyDescent="0.2">
      <c r="A103" t="str">
        <f>IF(ISBLANK(B103), "","CountryGroup-102")</f>
        <v/>
      </c>
    </row>
    <row r="104" spans="1:1" x14ac:dyDescent="0.2">
      <c r="A104" t="str">
        <f>IF(ISBLANK(B104), "","CountryGroup-103")</f>
        <v/>
      </c>
    </row>
    <row r="105" spans="1:1" x14ac:dyDescent="0.2">
      <c r="A105" t="str">
        <f>IF(ISBLANK(B105), "","CountryGroup-104")</f>
        <v/>
      </c>
    </row>
    <row r="106" spans="1:1" x14ac:dyDescent="0.2">
      <c r="A106" t="str">
        <f>IF(ISBLANK(B106), "","CountryGroup-105")</f>
        <v/>
      </c>
    </row>
    <row r="107" spans="1:1" x14ac:dyDescent="0.2">
      <c r="A107" t="str">
        <f>IF(ISBLANK(B107), "","CountryGroup-106")</f>
        <v/>
      </c>
    </row>
    <row r="108" spans="1:1" x14ac:dyDescent="0.2">
      <c r="A108" t="str">
        <f>IF(ISBLANK(B108), "","CountryGroup-107")</f>
        <v/>
      </c>
    </row>
    <row r="109" spans="1:1" x14ac:dyDescent="0.2">
      <c r="A109" t="str">
        <f>IF(ISBLANK(B109), "","CountryGroup-108")</f>
        <v/>
      </c>
    </row>
    <row r="110" spans="1:1" x14ac:dyDescent="0.2">
      <c r="A110" t="str">
        <f>IF(ISBLANK(B110), "","CountryGroup-109")</f>
        <v/>
      </c>
    </row>
    <row r="111" spans="1:1" x14ac:dyDescent="0.2">
      <c r="A111" t="str">
        <f>IF(ISBLANK(B111), "","CountryGroup-110")</f>
        <v/>
      </c>
    </row>
    <row r="112" spans="1:1" x14ac:dyDescent="0.2">
      <c r="A112" t="str">
        <f>IF(ISBLANK(B112), "","CountryGroup-111")</f>
        <v/>
      </c>
    </row>
    <row r="113" spans="1:1" x14ac:dyDescent="0.2">
      <c r="A113" t="str">
        <f>IF(ISBLANK(B113), "","CountryGroup-112")</f>
        <v/>
      </c>
    </row>
    <row r="114" spans="1:1" x14ac:dyDescent="0.2">
      <c r="A114" t="str">
        <f>IF(ISBLANK(B114), "","CountryGroup-113")</f>
        <v/>
      </c>
    </row>
    <row r="115" spans="1:1" x14ac:dyDescent="0.2">
      <c r="A115" t="str">
        <f>IF(ISBLANK(B115), "","CountryGroup-114")</f>
        <v/>
      </c>
    </row>
    <row r="116" spans="1:1" x14ac:dyDescent="0.2">
      <c r="A116" t="str">
        <f>IF(ISBLANK(B116), "","CountryGroup-115")</f>
        <v/>
      </c>
    </row>
    <row r="117" spans="1:1" x14ac:dyDescent="0.2">
      <c r="A117" t="str">
        <f>IF(ISBLANK(B117), "","CountryGroup-116")</f>
        <v/>
      </c>
    </row>
    <row r="118" spans="1:1" x14ac:dyDescent="0.2">
      <c r="A118" t="str">
        <f>IF(ISBLANK(B118), "","CountryGroup-117")</f>
        <v/>
      </c>
    </row>
    <row r="119" spans="1:1" x14ac:dyDescent="0.2">
      <c r="A119" t="str">
        <f>IF(ISBLANK(B119), "","CountryGroup-118")</f>
        <v/>
      </c>
    </row>
    <row r="120" spans="1:1" x14ac:dyDescent="0.2">
      <c r="A120" t="str">
        <f>IF(ISBLANK(B120), "","CountryGroup-119")</f>
        <v/>
      </c>
    </row>
    <row r="121" spans="1:1" x14ac:dyDescent="0.2">
      <c r="A121" t="str">
        <f>IF(ISBLANK(B121), "","CountryGroup-120")</f>
        <v/>
      </c>
    </row>
    <row r="122" spans="1:1" x14ac:dyDescent="0.2">
      <c r="A122" t="str">
        <f>IF(ISBLANK(B122), "","CountryGroup-121")</f>
        <v/>
      </c>
    </row>
    <row r="123" spans="1:1" x14ac:dyDescent="0.2">
      <c r="A123" t="str">
        <f>IF(ISBLANK(B123), "","CountryGroup-122")</f>
        <v/>
      </c>
    </row>
    <row r="124" spans="1:1" x14ac:dyDescent="0.2">
      <c r="A124" t="str">
        <f>IF(ISBLANK(B124), "","CountryGroup-123")</f>
        <v/>
      </c>
    </row>
    <row r="125" spans="1:1" x14ac:dyDescent="0.2">
      <c r="A125" t="str">
        <f>IF(ISBLANK(B125), "","CountryGroup-124")</f>
        <v/>
      </c>
    </row>
    <row r="126" spans="1:1" x14ac:dyDescent="0.2">
      <c r="A126" t="str">
        <f>IF(ISBLANK(B126), "","CountryGroup-125")</f>
        <v/>
      </c>
    </row>
    <row r="127" spans="1:1" x14ac:dyDescent="0.2">
      <c r="A127" t="str">
        <f>IF(ISBLANK(B127), "","CountryGroup-126")</f>
        <v/>
      </c>
    </row>
    <row r="128" spans="1:1" x14ac:dyDescent="0.2">
      <c r="A128" t="str">
        <f>IF(ISBLANK(B128), "","CountryGroup-127")</f>
        <v/>
      </c>
    </row>
    <row r="129" spans="1:1" x14ac:dyDescent="0.2">
      <c r="A129" t="str">
        <f>IF(ISBLANK(B129), "","CountryGroup-128")</f>
        <v/>
      </c>
    </row>
    <row r="130" spans="1:1" x14ac:dyDescent="0.2">
      <c r="A130" t="str">
        <f>IF(ISBLANK(B130), "","CountryGroup-129")</f>
        <v/>
      </c>
    </row>
    <row r="131" spans="1:1" x14ac:dyDescent="0.2">
      <c r="A131" t="str">
        <f>IF(ISBLANK(B131), "","CountryGroup-130")</f>
        <v/>
      </c>
    </row>
    <row r="132" spans="1:1" x14ac:dyDescent="0.2">
      <c r="A132" t="str">
        <f>IF(ISBLANK(B132), "","CountryGroup-131")</f>
        <v/>
      </c>
    </row>
    <row r="133" spans="1:1" x14ac:dyDescent="0.2">
      <c r="A133" t="str">
        <f>IF(ISBLANK(B133), "","CountryGroup-132")</f>
        <v/>
      </c>
    </row>
    <row r="134" spans="1:1" x14ac:dyDescent="0.2">
      <c r="A134" t="str">
        <f>IF(ISBLANK(B134), "","CountryGroup-133")</f>
        <v/>
      </c>
    </row>
    <row r="135" spans="1:1" x14ac:dyDescent="0.2">
      <c r="A135" t="str">
        <f>IF(ISBLANK(B135), "","CountryGroup-134")</f>
        <v/>
      </c>
    </row>
    <row r="136" spans="1:1" x14ac:dyDescent="0.2">
      <c r="A136" t="str">
        <f>IF(ISBLANK(B136), "","CountryGroup-135")</f>
        <v/>
      </c>
    </row>
    <row r="137" spans="1:1" x14ac:dyDescent="0.2">
      <c r="A137" t="str">
        <f>IF(ISBLANK(B137), "","CountryGroup-136")</f>
        <v/>
      </c>
    </row>
    <row r="138" spans="1:1" x14ac:dyDescent="0.2">
      <c r="A138" t="str">
        <f>IF(ISBLANK(B138), "","CountryGroup-137")</f>
        <v/>
      </c>
    </row>
    <row r="139" spans="1:1" x14ac:dyDescent="0.2">
      <c r="A139" t="str">
        <f>IF(ISBLANK(B139), "","CountryGroup-138")</f>
        <v/>
      </c>
    </row>
    <row r="140" spans="1:1" x14ac:dyDescent="0.2">
      <c r="A140" t="str">
        <f>IF(ISBLANK(B140), "","CountryGroup-139")</f>
        <v/>
      </c>
    </row>
    <row r="141" spans="1:1" x14ac:dyDescent="0.2">
      <c r="A141" t="str">
        <f>IF(ISBLANK(B141), "","CountryGroup-140")</f>
        <v/>
      </c>
    </row>
    <row r="142" spans="1:1" x14ac:dyDescent="0.2">
      <c r="A142" t="str">
        <f>IF(ISBLANK(B142), "","CountryGroup-141")</f>
        <v/>
      </c>
    </row>
    <row r="143" spans="1:1" x14ac:dyDescent="0.2">
      <c r="A143" t="str">
        <f>IF(ISBLANK(B143), "","CountryGroup-142")</f>
        <v/>
      </c>
    </row>
    <row r="144" spans="1:1" x14ac:dyDescent="0.2">
      <c r="A144" t="str">
        <f>IF(ISBLANK(B144), "","CountryGroup-143")</f>
        <v/>
      </c>
    </row>
    <row r="145" spans="1:1" x14ac:dyDescent="0.2">
      <c r="A145" t="str">
        <f>IF(ISBLANK(B145), "","CountryGroup-144")</f>
        <v/>
      </c>
    </row>
    <row r="146" spans="1:1" x14ac:dyDescent="0.2">
      <c r="A146" t="str">
        <f>IF(ISBLANK(B146), "","CountryGroup-145")</f>
        <v/>
      </c>
    </row>
    <row r="147" spans="1:1" x14ac:dyDescent="0.2">
      <c r="A147" t="str">
        <f>IF(ISBLANK(B147), "","CountryGroup-146")</f>
        <v/>
      </c>
    </row>
    <row r="148" spans="1:1" x14ac:dyDescent="0.2">
      <c r="A148" t="str">
        <f>IF(ISBLANK(B148), "","CountryGroup-147")</f>
        <v/>
      </c>
    </row>
    <row r="149" spans="1:1" x14ac:dyDescent="0.2">
      <c r="A149" t="str">
        <f>IF(ISBLANK(B149), "","CountryGroup-148")</f>
        <v/>
      </c>
    </row>
    <row r="150" spans="1:1" x14ac:dyDescent="0.2">
      <c r="A150" t="str">
        <f>IF(ISBLANK(B150), "","CountryGroup-149")</f>
        <v/>
      </c>
    </row>
    <row r="151" spans="1:1" x14ac:dyDescent="0.2">
      <c r="A151" t="str">
        <f>IF(ISBLANK(B151), "","CountryGroup-150")</f>
        <v/>
      </c>
    </row>
    <row r="152" spans="1:1" x14ac:dyDescent="0.2">
      <c r="A152" t="str">
        <f>IF(ISBLANK(B152), "","CountryGroup-151")</f>
        <v/>
      </c>
    </row>
    <row r="153" spans="1:1" x14ac:dyDescent="0.2">
      <c r="A153" t="str">
        <f>IF(ISBLANK(B153), "","CountryGroup-152")</f>
        <v/>
      </c>
    </row>
    <row r="154" spans="1:1" x14ac:dyDescent="0.2">
      <c r="A154" t="str">
        <f>IF(ISBLANK(B154), "","CountryGroup-153")</f>
        <v/>
      </c>
    </row>
    <row r="155" spans="1:1" x14ac:dyDescent="0.2">
      <c r="A155" t="str">
        <f>IF(ISBLANK(B155), "","CountryGroup-154")</f>
        <v/>
      </c>
    </row>
    <row r="156" spans="1:1" x14ac:dyDescent="0.2">
      <c r="A156" t="str">
        <f>IF(ISBLANK(B156), "","CountryGroup-155")</f>
        <v/>
      </c>
    </row>
    <row r="157" spans="1:1" x14ac:dyDescent="0.2">
      <c r="A157" t="str">
        <f>IF(ISBLANK(B157), "","CountryGroup-156")</f>
        <v/>
      </c>
    </row>
    <row r="158" spans="1:1" x14ac:dyDescent="0.2">
      <c r="A158" t="str">
        <f>IF(ISBLANK(B158), "","CountryGroup-157")</f>
        <v/>
      </c>
    </row>
    <row r="159" spans="1:1" x14ac:dyDescent="0.2">
      <c r="A159" t="str">
        <f>IF(ISBLANK(B159), "","CountryGroup-158")</f>
        <v/>
      </c>
    </row>
    <row r="160" spans="1:1" x14ac:dyDescent="0.2">
      <c r="A160" t="str">
        <f>IF(ISBLANK(B160), "","CountryGroup-159")</f>
        <v/>
      </c>
    </row>
    <row r="161" spans="1:1" x14ac:dyDescent="0.2">
      <c r="A161" t="str">
        <f>IF(ISBLANK(B161), "","CountryGroup-160")</f>
        <v/>
      </c>
    </row>
    <row r="162" spans="1:1" x14ac:dyDescent="0.2">
      <c r="A162" t="str">
        <f>IF(ISBLANK(B162), "","CountryGroup-161")</f>
        <v/>
      </c>
    </row>
    <row r="163" spans="1:1" x14ac:dyDescent="0.2">
      <c r="A163" t="str">
        <f>IF(ISBLANK(B163), "","CountryGroup-162")</f>
        <v/>
      </c>
    </row>
    <row r="164" spans="1:1" x14ac:dyDescent="0.2">
      <c r="A164" t="str">
        <f>IF(ISBLANK(B164), "","CountryGroup-163")</f>
        <v/>
      </c>
    </row>
    <row r="165" spans="1:1" x14ac:dyDescent="0.2">
      <c r="A165" t="str">
        <f>IF(ISBLANK(B165), "","CountryGroup-164")</f>
        <v/>
      </c>
    </row>
    <row r="166" spans="1:1" x14ac:dyDescent="0.2">
      <c r="A166" t="str">
        <f>IF(ISBLANK(B166), "","CountryGroup-165")</f>
        <v/>
      </c>
    </row>
    <row r="167" spans="1:1" x14ac:dyDescent="0.2">
      <c r="A167" t="str">
        <f>IF(ISBLANK(B167), "","CountryGroup-166")</f>
        <v/>
      </c>
    </row>
    <row r="168" spans="1:1" x14ac:dyDescent="0.2">
      <c r="A168" t="str">
        <f>IF(ISBLANK(B168), "","CountryGroup-167")</f>
        <v/>
      </c>
    </row>
    <row r="169" spans="1:1" x14ac:dyDescent="0.2">
      <c r="A169" t="str">
        <f>IF(ISBLANK(B169), "","CountryGroup-168")</f>
        <v/>
      </c>
    </row>
    <row r="170" spans="1:1" x14ac:dyDescent="0.2">
      <c r="A170" t="str">
        <f>IF(ISBLANK(B170), "","CountryGroup-169")</f>
        <v/>
      </c>
    </row>
    <row r="171" spans="1:1" x14ac:dyDescent="0.2">
      <c r="A171" t="str">
        <f>IF(ISBLANK(B171), "","CountryGroup-170")</f>
        <v/>
      </c>
    </row>
    <row r="172" spans="1:1" x14ac:dyDescent="0.2">
      <c r="A172" t="str">
        <f>IF(ISBLANK(B172), "","CountryGroup-171")</f>
        <v/>
      </c>
    </row>
    <row r="173" spans="1:1" x14ac:dyDescent="0.2">
      <c r="A173" t="str">
        <f>IF(ISBLANK(B173), "","CountryGroup-172")</f>
        <v/>
      </c>
    </row>
    <row r="174" spans="1:1" x14ac:dyDescent="0.2">
      <c r="A174" t="str">
        <f>IF(ISBLANK(B174), "","CountryGroup-173")</f>
        <v/>
      </c>
    </row>
    <row r="175" spans="1:1" x14ac:dyDescent="0.2">
      <c r="A175" t="str">
        <f>IF(ISBLANK(B175), "","CountryGroup-174")</f>
        <v/>
      </c>
    </row>
    <row r="176" spans="1:1" x14ac:dyDescent="0.2">
      <c r="A176" t="str">
        <f>IF(ISBLANK(B176), "","CountryGroup-175")</f>
        <v/>
      </c>
    </row>
    <row r="177" spans="1:1" x14ac:dyDescent="0.2">
      <c r="A177" t="str">
        <f>IF(ISBLANK(B177), "","CountryGroup-176")</f>
        <v/>
      </c>
    </row>
    <row r="178" spans="1:1" x14ac:dyDescent="0.2">
      <c r="A178" t="str">
        <f>IF(ISBLANK(B178), "","CountryGroup-177")</f>
        <v/>
      </c>
    </row>
    <row r="179" spans="1:1" x14ac:dyDescent="0.2">
      <c r="A179" t="str">
        <f>IF(ISBLANK(B179), "","CountryGroup-178")</f>
        <v/>
      </c>
    </row>
    <row r="180" spans="1:1" x14ac:dyDescent="0.2">
      <c r="A180" t="str">
        <f>IF(ISBLANK(B180), "","CountryGroup-179")</f>
        <v/>
      </c>
    </row>
    <row r="181" spans="1:1" x14ac:dyDescent="0.2">
      <c r="A181" t="str">
        <f>IF(ISBLANK(B181), "","CountryGroup-180")</f>
        <v/>
      </c>
    </row>
    <row r="182" spans="1:1" x14ac:dyDescent="0.2">
      <c r="A182" t="str">
        <f>IF(ISBLANK(B182), "","CountryGroup-181")</f>
        <v/>
      </c>
    </row>
    <row r="183" spans="1:1" x14ac:dyDescent="0.2">
      <c r="A183" t="str">
        <f>IF(ISBLANK(B183), "","CountryGroup-182")</f>
        <v/>
      </c>
    </row>
    <row r="184" spans="1:1" x14ac:dyDescent="0.2">
      <c r="A184" t="str">
        <f>IF(ISBLANK(B184), "","CountryGroup-183")</f>
        <v/>
      </c>
    </row>
    <row r="185" spans="1:1" x14ac:dyDescent="0.2">
      <c r="A185" t="str">
        <f>IF(ISBLANK(B185), "","CountryGroup-184")</f>
        <v/>
      </c>
    </row>
    <row r="186" spans="1:1" x14ac:dyDescent="0.2">
      <c r="A186" t="str">
        <f>IF(ISBLANK(B186), "","CountryGroup-185")</f>
        <v/>
      </c>
    </row>
    <row r="187" spans="1:1" x14ac:dyDescent="0.2">
      <c r="A187" t="str">
        <f>IF(ISBLANK(B187), "","CountryGroup-186")</f>
        <v/>
      </c>
    </row>
    <row r="188" spans="1:1" x14ac:dyDescent="0.2">
      <c r="A188" t="str">
        <f>IF(ISBLANK(B188), "","CountryGroup-187")</f>
        <v/>
      </c>
    </row>
    <row r="189" spans="1:1" x14ac:dyDescent="0.2">
      <c r="A189" t="str">
        <f>IF(ISBLANK(B189), "","CountryGroup-188")</f>
        <v/>
      </c>
    </row>
    <row r="190" spans="1:1" x14ac:dyDescent="0.2">
      <c r="A190" t="str">
        <f>IF(ISBLANK(B190), "","CountryGroup-189")</f>
        <v/>
      </c>
    </row>
    <row r="191" spans="1:1" x14ac:dyDescent="0.2">
      <c r="A191" t="str">
        <f>IF(ISBLANK(B191), "","CountryGroup-190")</f>
        <v/>
      </c>
    </row>
    <row r="192" spans="1:1" x14ac:dyDescent="0.2">
      <c r="A192" t="str">
        <f>IF(ISBLANK(B192), "","CountryGroup-191")</f>
        <v/>
      </c>
    </row>
    <row r="193" spans="1:1" x14ac:dyDescent="0.2">
      <c r="A193" t="str">
        <f>IF(ISBLANK(B193), "","CountryGroup-192")</f>
        <v/>
      </c>
    </row>
    <row r="194" spans="1:1" x14ac:dyDescent="0.2">
      <c r="A194" t="str">
        <f>IF(ISBLANK(B194), "","CountryGroup-193")</f>
        <v/>
      </c>
    </row>
    <row r="195" spans="1:1" x14ac:dyDescent="0.2">
      <c r="A195" t="str">
        <f>IF(ISBLANK(B195), "","CountryGroup-194")</f>
        <v/>
      </c>
    </row>
    <row r="196" spans="1:1" x14ac:dyDescent="0.2">
      <c r="A196" t="str">
        <f>IF(ISBLANK(B196), "","CountryGroup-195")</f>
        <v/>
      </c>
    </row>
    <row r="197" spans="1:1" x14ac:dyDescent="0.2">
      <c r="A197" t="str">
        <f>IF(ISBLANK(B197), "","CountryGroup-196")</f>
        <v/>
      </c>
    </row>
    <row r="198" spans="1:1" x14ac:dyDescent="0.2">
      <c r="A198" t="str">
        <f>IF(ISBLANK(B198), "","CountryGroup-197")</f>
        <v/>
      </c>
    </row>
    <row r="199" spans="1:1" x14ac:dyDescent="0.2">
      <c r="A199" t="str">
        <f>IF(ISBLANK(B199), "","CountryGroup-198")</f>
        <v/>
      </c>
    </row>
    <row r="200" spans="1:1" x14ac:dyDescent="0.2">
      <c r="A200" t="str">
        <f>IF(ISBLANK(B200), "","CountryGroup-199")</f>
        <v/>
      </c>
    </row>
    <row r="201" spans="1:1" x14ac:dyDescent="0.2">
      <c r="A201" t="str">
        <f>IF(ISBLANK(B201), "","CountryGroup-200")</f>
        <v/>
      </c>
    </row>
    <row r="202" spans="1:1" x14ac:dyDescent="0.2">
      <c r="A202" t="str">
        <f>IF(ISBLANK(B202), "","CountryGroup-201")</f>
        <v/>
      </c>
    </row>
    <row r="203" spans="1:1" x14ac:dyDescent="0.2">
      <c r="A203" t="str">
        <f>IF(ISBLANK(B203), "","CountryGroup-202")</f>
        <v/>
      </c>
    </row>
    <row r="204" spans="1:1" x14ac:dyDescent="0.2">
      <c r="A204" t="str">
        <f>IF(ISBLANK(B204), "","CountryGroup-203")</f>
        <v/>
      </c>
    </row>
    <row r="205" spans="1:1" x14ac:dyDescent="0.2">
      <c r="A205" t="str">
        <f>IF(ISBLANK(B205), "","CountryGroup-204")</f>
        <v/>
      </c>
    </row>
    <row r="206" spans="1:1" x14ac:dyDescent="0.2">
      <c r="A206" t="str">
        <f>IF(ISBLANK(B206), "","CountryGroup-205")</f>
        <v/>
      </c>
    </row>
    <row r="207" spans="1:1" x14ac:dyDescent="0.2">
      <c r="A207" t="str">
        <f>IF(ISBLANK(B207), "","CountryGroup-206")</f>
        <v/>
      </c>
    </row>
    <row r="208" spans="1:1" x14ac:dyDescent="0.2">
      <c r="A208" t="str">
        <f>IF(ISBLANK(B208), "","CountryGroup-207")</f>
        <v/>
      </c>
    </row>
    <row r="209" spans="1:1" x14ac:dyDescent="0.2">
      <c r="A209" t="str">
        <f>IF(ISBLANK(B209), "","CountryGroup-208")</f>
        <v/>
      </c>
    </row>
    <row r="210" spans="1:1" x14ac:dyDescent="0.2">
      <c r="A210" t="str">
        <f>IF(ISBLANK(B210), "","CountryGroup-209")</f>
        <v/>
      </c>
    </row>
    <row r="211" spans="1:1" x14ac:dyDescent="0.2">
      <c r="A211" t="str">
        <f>IF(ISBLANK(B211), "","CountryGroup-210")</f>
        <v/>
      </c>
    </row>
    <row r="212" spans="1:1" x14ac:dyDescent="0.2">
      <c r="A212" t="str">
        <f>IF(ISBLANK(B212), "","CountryGroup-211")</f>
        <v/>
      </c>
    </row>
    <row r="213" spans="1:1" x14ac:dyDescent="0.2">
      <c r="A213" t="str">
        <f>IF(ISBLANK(B213), "","CountryGroup-212")</f>
        <v/>
      </c>
    </row>
    <row r="214" spans="1:1" x14ac:dyDescent="0.2">
      <c r="A214" t="str">
        <f>IF(ISBLANK(B214), "","CountryGroup-213")</f>
        <v/>
      </c>
    </row>
    <row r="215" spans="1:1" x14ac:dyDescent="0.2">
      <c r="A215" t="str">
        <f>IF(ISBLANK(B215), "","CountryGroup-214")</f>
        <v/>
      </c>
    </row>
    <row r="216" spans="1:1" x14ac:dyDescent="0.2">
      <c r="A216" t="str">
        <f>IF(ISBLANK(B216), "","CountryGroup-215")</f>
        <v/>
      </c>
    </row>
    <row r="217" spans="1:1" x14ac:dyDescent="0.2">
      <c r="A217" t="str">
        <f>IF(ISBLANK(B217), "","CountryGroup-216")</f>
        <v/>
      </c>
    </row>
    <row r="218" spans="1:1" x14ac:dyDescent="0.2">
      <c r="A218" t="str">
        <f>IF(ISBLANK(B218), "","CountryGroup-217")</f>
        <v/>
      </c>
    </row>
    <row r="219" spans="1:1" x14ac:dyDescent="0.2">
      <c r="A219" t="str">
        <f>IF(ISBLANK(B219), "","CountryGroup-218")</f>
        <v/>
      </c>
    </row>
    <row r="220" spans="1:1" x14ac:dyDescent="0.2">
      <c r="A220" t="str">
        <f>IF(ISBLANK(B220), "","CountryGroup-219")</f>
        <v/>
      </c>
    </row>
    <row r="221" spans="1:1" x14ac:dyDescent="0.2">
      <c r="A221" t="str">
        <f>IF(ISBLANK(B221), "","CountryGroup-220")</f>
        <v/>
      </c>
    </row>
    <row r="222" spans="1:1" x14ac:dyDescent="0.2">
      <c r="A222" t="str">
        <f>IF(ISBLANK(B222), "","CountryGroup-221")</f>
        <v/>
      </c>
    </row>
    <row r="223" spans="1:1" x14ac:dyDescent="0.2">
      <c r="A223" t="str">
        <f>IF(ISBLANK(B223), "","CountryGroup-222")</f>
        <v/>
      </c>
    </row>
    <row r="224" spans="1:1" x14ac:dyDescent="0.2">
      <c r="A224" t="str">
        <f>IF(ISBLANK(B224), "","CountryGroup-223")</f>
        <v/>
      </c>
    </row>
    <row r="225" spans="1:1" x14ac:dyDescent="0.2">
      <c r="A225" t="str">
        <f>IF(ISBLANK(B225), "","CountryGroup-224")</f>
        <v/>
      </c>
    </row>
    <row r="226" spans="1:1" x14ac:dyDescent="0.2">
      <c r="A226" t="str">
        <f>IF(ISBLANK(B226), "","CountryGroup-225")</f>
        <v/>
      </c>
    </row>
    <row r="227" spans="1:1" x14ac:dyDescent="0.2">
      <c r="A227" t="str">
        <f>IF(ISBLANK(B227), "","CountryGroup-226")</f>
        <v/>
      </c>
    </row>
    <row r="228" spans="1:1" x14ac:dyDescent="0.2">
      <c r="A228" t="str">
        <f>IF(ISBLANK(B228), "","CountryGroup-227")</f>
        <v/>
      </c>
    </row>
    <row r="229" spans="1:1" x14ac:dyDescent="0.2">
      <c r="A229" t="str">
        <f>IF(ISBLANK(B229), "","CountryGroup-228")</f>
        <v/>
      </c>
    </row>
    <row r="230" spans="1:1" x14ac:dyDescent="0.2">
      <c r="A230" t="str">
        <f>IF(ISBLANK(B230), "","CountryGroup-229")</f>
        <v/>
      </c>
    </row>
    <row r="231" spans="1:1" x14ac:dyDescent="0.2">
      <c r="A231" t="str">
        <f>IF(ISBLANK(B231), "","CountryGroup-230")</f>
        <v/>
      </c>
    </row>
    <row r="232" spans="1:1" x14ac:dyDescent="0.2">
      <c r="A232" t="str">
        <f>IF(ISBLANK(B232), "","CountryGroup-231")</f>
        <v/>
      </c>
    </row>
    <row r="233" spans="1:1" x14ac:dyDescent="0.2">
      <c r="A233" t="str">
        <f>IF(ISBLANK(B233), "","CountryGroup-232")</f>
        <v/>
      </c>
    </row>
    <row r="234" spans="1:1" x14ac:dyDescent="0.2">
      <c r="A234" t="str">
        <f>IF(ISBLANK(B234), "","CountryGroup-233")</f>
        <v/>
      </c>
    </row>
    <row r="235" spans="1:1" x14ac:dyDescent="0.2">
      <c r="A235" t="str">
        <f>IF(ISBLANK(B235), "","CountryGroup-234")</f>
        <v/>
      </c>
    </row>
    <row r="236" spans="1:1" x14ac:dyDescent="0.2">
      <c r="A236" t="str">
        <f>IF(ISBLANK(B236), "","CountryGroup-235")</f>
        <v/>
      </c>
    </row>
    <row r="237" spans="1:1" x14ac:dyDescent="0.2">
      <c r="A237" t="str">
        <f>IF(ISBLANK(B237), "","CountryGroup-236")</f>
        <v/>
      </c>
    </row>
    <row r="238" spans="1:1" x14ac:dyDescent="0.2">
      <c r="A238" t="str">
        <f>IF(ISBLANK(B238), "","CountryGroup-237")</f>
        <v/>
      </c>
    </row>
    <row r="239" spans="1:1" x14ac:dyDescent="0.2">
      <c r="A239" t="str">
        <f>IF(ISBLANK(B239), "","CountryGroup-238")</f>
        <v/>
      </c>
    </row>
    <row r="240" spans="1:1" x14ac:dyDescent="0.2">
      <c r="A240" t="str">
        <f>IF(ISBLANK(B240), "","CountryGroup-239")</f>
        <v/>
      </c>
    </row>
    <row r="241" spans="1:1" x14ac:dyDescent="0.2">
      <c r="A241" t="str">
        <f>IF(ISBLANK(B241), "","CountryGroup-240")</f>
        <v/>
      </c>
    </row>
    <row r="242" spans="1:1" x14ac:dyDescent="0.2">
      <c r="A242" t="str">
        <f>IF(ISBLANK(B242), "","CountryGroup-241")</f>
        <v/>
      </c>
    </row>
    <row r="243" spans="1:1" x14ac:dyDescent="0.2">
      <c r="A243" t="str">
        <f>IF(ISBLANK(B243), "","CountryGroup-242")</f>
        <v/>
      </c>
    </row>
    <row r="244" spans="1:1" x14ac:dyDescent="0.2">
      <c r="A244" t="str">
        <f>IF(ISBLANK(B244), "","CountryGroup-243")</f>
        <v/>
      </c>
    </row>
    <row r="245" spans="1:1" x14ac:dyDescent="0.2">
      <c r="A245" t="str">
        <f>IF(ISBLANK(B245), "","CountryGroup-244")</f>
        <v/>
      </c>
    </row>
    <row r="246" spans="1:1" x14ac:dyDescent="0.2">
      <c r="A246" t="str">
        <f>IF(ISBLANK(B246), "","CountryGroup-245")</f>
        <v/>
      </c>
    </row>
    <row r="247" spans="1:1" x14ac:dyDescent="0.2">
      <c r="A247" t="str">
        <f>IF(ISBLANK(B247), "","CountryGroup-246")</f>
        <v/>
      </c>
    </row>
    <row r="248" spans="1:1" x14ac:dyDescent="0.2">
      <c r="A248" t="str">
        <f>IF(ISBLANK(B248), "","CountryGroup-247")</f>
        <v/>
      </c>
    </row>
    <row r="249" spans="1:1" x14ac:dyDescent="0.2">
      <c r="A249" t="str">
        <f>IF(ISBLANK(B249), "","CountryGroup-248")</f>
        <v/>
      </c>
    </row>
    <row r="250" spans="1:1" x14ac:dyDescent="0.2">
      <c r="A250" t="str">
        <f>IF(ISBLANK(B250), "","CountryGroup-249")</f>
        <v/>
      </c>
    </row>
    <row r="251" spans="1:1" x14ac:dyDescent="0.2">
      <c r="A251" t="str">
        <f>IF(ISBLANK(B251), "","CountryGroup-250")</f>
        <v/>
      </c>
    </row>
    <row r="252" spans="1:1" x14ac:dyDescent="0.2">
      <c r="A252" t="str">
        <f>IF(ISBLANK(B252), "","CountryGroup-251")</f>
        <v/>
      </c>
    </row>
    <row r="253" spans="1:1" x14ac:dyDescent="0.2">
      <c r="A253" t="str">
        <f>IF(ISBLANK(B253), "","CountryGroup-252")</f>
        <v/>
      </c>
    </row>
    <row r="254" spans="1:1" x14ac:dyDescent="0.2">
      <c r="A254" t="str">
        <f>IF(ISBLANK(B254), "","CountryGroup-253")</f>
        <v/>
      </c>
    </row>
    <row r="255" spans="1:1" x14ac:dyDescent="0.2">
      <c r="A255" t="str">
        <f>IF(ISBLANK(B255), "","CountryGroup-254")</f>
        <v/>
      </c>
    </row>
    <row r="256" spans="1:1" x14ac:dyDescent="0.2">
      <c r="A256" t="str">
        <f>IF(ISBLANK(B256), "","CountryGroup-255")</f>
        <v/>
      </c>
    </row>
    <row r="257" spans="1:1" x14ac:dyDescent="0.2">
      <c r="A257" t="str">
        <f>IF(ISBLANK(B257), "","CountryGroup-256")</f>
        <v/>
      </c>
    </row>
    <row r="258" spans="1:1" x14ac:dyDescent="0.2">
      <c r="A258" t="str">
        <f>IF(ISBLANK(B258), "","CountryGroup-257")</f>
        <v/>
      </c>
    </row>
    <row r="259" spans="1:1" x14ac:dyDescent="0.2">
      <c r="A259" t="str">
        <f>IF(ISBLANK(B259), "","CountryGroup-258")</f>
        <v/>
      </c>
    </row>
    <row r="260" spans="1:1" x14ac:dyDescent="0.2">
      <c r="A260" t="str">
        <f>IF(ISBLANK(B260), "","CountryGroup-259")</f>
        <v/>
      </c>
    </row>
    <row r="261" spans="1:1" x14ac:dyDescent="0.2">
      <c r="A261" t="str">
        <f>IF(ISBLANK(B261), "","CountryGroup-260")</f>
        <v/>
      </c>
    </row>
    <row r="262" spans="1:1" x14ac:dyDescent="0.2">
      <c r="A262" t="str">
        <f>IF(ISBLANK(B262), "","CountryGroup-261")</f>
        <v/>
      </c>
    </row>
    <row r="263" spans="1:1" x14ac:dyDescent="0.2">
      <c r="A263" t="str">
        <f>IF(ISBLANK(B263), "","CountryGroup-262")</f>
        <v/>
      </c>
    </row>
    <row r="264" spans="1:1" x14ac:dyDescent="0.2">
      <c r="A264" t="str">
        <f>IF(ISBLANK(B264), "","CountryGroup-263")</f>
        <v/>
      </c>
    </row>
    <row r="265" spans="1:1" x14ac:dyDescent="0.2">
      <c r="A265" t="str">
        <f>IF(ISBLANK(B265), "","CountryGroup-264")</f>
        <v/>
      </c>
    </row>
    <row r="266" spans="1:1" x14ac:dyDescent="0.2">
      <c r="A266" t="str">
        <f>IF(ISBLANK(B266), "","CountryGroup-265")</f>
        <v/>
      </c>
    </row>
    <row r="267" spans="1:1" x14ac:dyDescent="0.2">
      <c r="A267" t="str">
        <f>IF(ISBLANK(B267), "","CountryGroup-266")</f>
        <v/>
      </c>
    </row>
    <row r="268" spans="1:1" x14ac:dyDescent="0.2">
      <c r="A268" t="str">
        <f>IF(ISBLANK(B268), "","CountryGroup-267")</f>
        <v/>
      </c>
    </row>
    <row r="269" spans="1:1" x14ac:dyDescent="0.2">
      <c r="A269" t="str">
        <f>IF(ISBLANK(B269), "","CountryGroup-268")</f>
        <v/>
      </c>
    </row>
    <row r="270" spans="1:1" x14ac:dyDescent="0.2">
      <c r="A270" t="str">
        <f>IF(ISBLANK(B270), "","CountryGroup-269")</f>
        <v/>
      </c>
    </row>
    <row r="271" spans="1:1" x14ac:dyDescent="0.2">
      <c r="A271" t="str">
        <f>IF(ISBLANK(B271), "","CountryGroup-270")</f>
        <v/>
      </c>
    </row>
    <row r="272" spans="1:1" x14ac:dyDescent="0.2">
      <c r="A272" t="str">
        <f>IF(ISBLANK(B272), "","CountryGroup-271")</f>
        <v/>
      </c>
    </row>
    <row r="273" spans="1:1" x14ac:dyDescent="0.2">
      <c r="A273" t="str">
        <f>IF(ISBLANK(B273), "","CountryGroup-272")</f>
        <v/>
      </c>
    </row>
    <row r="274" spans="1:1" x14ac:dyDescent="0.2">
      <c r="A274" t="str">
        <f>IF(ISBLANK(B274), "","CountryGroup-273")</f>
        <v/>
      </c>
    </row>
    <row r="275" spans="1:1" x14ac:dyDescent="0.2">
      <c r="A275" t="str">
        <f>IF(ISBLANK(B275), "","CountryGroup-274")</f>
        <v/>
      </c>
    </row>
    <row r="276" spans="1:1" x14ac:dyDescent="0.2">
      <c r="A276" t="str">
        <f>IF(ISBLANK(B276), "","CountryGroup-275")</f>
        <v/>
      </c>
    </row>
    <row r="277" spans="1:1" x14ac:dyDescent="0.2">
      <c r="A277" t="str">
        <f>IF(ISBLANK(B277), "","CountryGroup-276")</f>
        <v/>
      </c>
    </row>
    <row r="278" spans="1:1" x14ac:dyDescent="0.2">
      <c r="A278" t="str">
        <f>IF(ISBLANK(B278), "","CountryGroup-277")</f>
        <v/>
      </c>
    </row>
    <row r="279" spans="1:1" x14ac:dyDescent="0.2">
      <c r="A279" t="str">
        <f>IF(ISBLANK(B279), "","CountryGroup-278")</f>
        <v/>
      </c>
    </row>
    <row r="280" spans="1:1" x14ac:dyDescent="0.2">
      <c r="A280" t="str">
        <f>IF(ISBLANK(B280), "","CountryGroup-279")</f>
        <v/>
      </c>
    </row>
    <row r="281" spans="1:1" x14ac:dyDescent="0.2">
      <c r="A281" t="str">
        <f>IF(ISBLANK(B281), "","CountryGroup-280")</f>
        <v/>
      </c>
    </row>
    <row r="282" spans="1:1" x14ac:dyDescent="0.2">
      <c r="A282" t="str">
        <f>IF(ISBLANK(B282), "","CountryGroup-281")</f>
        <v/>
      </c>
    </row>
    <row r="283" spans="1:1" x14ac:dyDescent="0.2">
      <c r="A283" t="str">
        <f>IF(ISBLANK(B283), "","CountryGroup-282")</f>
        <v/>
      </c>
    </row>
    <row r="284" spans="1:1" x14ac:dyDescent="0.2">
      <c r="A284" t="str">
        <f>IF(ISBLANK(B284), "","CountryGroup-283")</f>
        <v/>
      </c>
    </row>
    <row r="285" spans="1:1" x14ac:dyDescent="0.2">
      <c r="A285" t="str">
        <f>IF(ISBLANK(B285), "","CountryGroup-284")</f>
        <v/>
      </c>
    </row>
    <row r="286" spans="1:1" x14ac:dyDescent="0.2">
      <c r="A286" t="str">
        <f>IF(ISBLANK(B286), "","CountryGroup-285")</f>
        <v/>
      </c>
    </row>
    <row r="287" spans="1:1" x14ac:dyDescent="0.2">
      <c r="A287" t="str">
        <f>IF(ISBLANK(B287), "","CountryGroup-286")</f>
        <v/>
      </c>
    </row>
    <row r="288" spans="1:1" x14ac:dyDescent="0.2">
      <c r="A288" t="str">
        <f>IF(ISBLANK(B288), "","CountryGroup-287")</f>
        <v/>
      </c>
    </row>
    <row r="289" spans="1:1" x14ac:dyDescent="0.2">
      <c r="A289" t="str">
        <f>IF(ISBLANK(B289), "","CountryGroup-288")</f>
        <v/>
      </c>
    </row>
    <row r="290" spans="1:1" x14ac:dyDescent="0.2">
      <c r="A290" t="str">
        <f>IF(ISBLANK(B290), "","CountryGroup-289")</f>
        <v/>
      </c>
    </row>
    <row r="291" spans="1:1" x14ac:dyDescent="0.2">
      <c r="A291" t="str">
        <f>IF(ISBLANK(B291), "","CountryGroup-290")</f>
        <v/>
      </c>
    </row>
    <row r="292" spans="1:1" x14ac:dyDescent="0.2">
      <c r="A292" t="str">
        <f>IF(ISBLANK(B292), "","CountryGroup-291")</f>
        <v/>
      </c>
    </row>
    <row r="293" spans="1:1" x14ac:dyDescent="0.2">
      <c r="A293" t="str">
        <f>IF(ISBLANK(B293), "","CountryGroup-292")</f>
        <v/>
      </c>
    </row>
    <row r="294" spans="1:1" x14ac:dyDescent="0.2">
      <c r="A294" t="str">
        <f>IF(ISBLANK(B294), "","CountryGroup-293")</f>
        <v/>
      </c>
    </row>
    <row r="295" spans="1:1" x14ac:dyDescent="0.2">
      <c r="A295" t="str">
        <f>IF(ISBLANK(B295), "","CountryGroup-294")</f>
        <v/>
      </c>
    </row>
    <row r="296" spans="1:1" x14ac:dyDescent="0.2">
      <c r="A296" t="str">
        <f>IF(ISBLANK(B296), "","CountryGroup-295")</f>
        <v/>
      </c>
    </row>
    <row r="297" spans="1:1" x14ac:dyDescent="0.2">
      <c r="A297" t="str">
        <f>IF(ISBLANK(B297), "","CountryGroup-296")</f>
        <v/>
      </c>
    </row>
    <row r="298" spans="1:1" x14ac:dyDescent="0.2">
      <c r="A298" t="str">
        <f>IF(ISBLANK(B298), "","CountryGroup-297")</f>
        <v/>
      </c>
    </row>
    <row r="299" spans="1:1" x14ac:dyDescent="0.2">
      <c r="A299" t="str">
        <f>IF(ISBLANK(B299), "","CountryGroup-298")</f>
        <v/>
      </c>
    </row>
    <row r="300" spans="1:1" x14ac:dyDescent="0.2">
      <c r="A300" t="str">
        <f>IF(ISBLANK(B300), "","CountryGroup-299")</f>
        <v/>
      </c>
    </row>
    <row r="301" spans="1:1" x14ac:dyDescent="0.2">
      <c r="A301" t="str">
        <f>IF(ISBLANK(B301), "","CountryGroup-300")</f>
        <v/>
      </c>
    </row>
    <row r="302" spans="1:1" x14ac:dyDescent="0.2">
      <c r="A302" t="str">
        <f>IF(ISBLANK(B302), "","CountryGroup-301")</f>
        <v/>
      </c>
    </row>
    <row r="303" spans="1:1" x14ac:dyDescent="0.2">
      <c r="A303" t="str">
        <f>IF(ISBLANK(B303), "","CountryGroup-302")</f>
        <v/>
      </c>
    </row>
    <row r="304" spans="1:1" x14ac:dyDescent="0.2">
      <c r="A304" t="str">
        <f>IF(ISBLANK(B304), "","CountryGroup-303")</f>
        <v/>
      </c>
    </row>
    <row r="305" spans="1:1" x14ac:dyDescent="0.2">
      <c r="A305" t="str">
        <f>IF(ISBLANK(B305), "","CountryGroup-304")</f>
        <v/>
      </c>
    </row>
    <row r="306" spans="1:1" x14ac:dyDescent="0.2">
      <c r="A306" t="str">
        <f>IF(ISBLANK(B306), "","CountryGroup-305")</f>
        <v/>
      </c>
    </row>
    <row r="307" spans="1:1" x14ac:dyDescent="0.2">
      <c r="A307" t="str">
        <f>IF(ISBLANK(B307), "","CountryGroup-306")</f>
        <v/>
      </c>
    </row>
    <row r="308" spans="1:1" x14ac:dyDescent="0.2">
      <c r="A308" t="str">
        <f>IF(ISBLANK(B308), "","CountryGroup-307")</f>
        <v/>
      </c>
    </row>
    <row r="309" spans="1:1" x14ac:dyDescent="0.2">
      <c r="A309" t="str">
        <f>IF(ISBLANK(B309), "","CountryGroup-308")</f>
        <v/>
      </c>
    </row>
    <row r="310" spans="1:1" x14ac:dyDescent="0.2">
      <c r="A310" t="str">
        <f>IF(ISBLANK(B310), "","CountryGroup-309")</f>
        <v/>
      </c>
    </row>
    <row r="311" spans="1:1" x14ac:dyDescent="0.2">
      <c r="A311" t="str">
        <f>IF(ISBLANK(B311), "","CountryGroup-310")</f>
        <v/>
      </c>
    </row>
    <row r="312" spans="1:1" x14ac:dyDescent="0.2">
      <c r="A312" t="str">
        <f>IF(ISBLANK(B312), "","CountryGroup-311")</f>
        <v/>
      </c>
    </row>
    <row r="313" spans="1:1" x14ac:dyDescent="0.2">
      <c r="A313" t="str">
        <f>IF(ISBLANK(B313), "","CountryGroup-312")</f>
        <v/>
      </c>
    </row>
    <row r="314" spans="1:1" x14ac:dyDescent="0.2">
      <c r="A314" t="str">
        <f>IF(ISBLANK(B314), "","CountryGroup-313")</f>
        <v/>
      </c>
    </row>
    <row r="315" spans="1:1" x14ac:dyDescent="0.2">
      <c r="A315" t="str">
        <f>IF(ISBLANK(B315), "","CountryGroup-314")</f>
        <v/>
      </c>
    </row>
    <row r="316" spans="1:1" x14ac:dyDescent="0.2">
      <c r="A316" t="str">
        <f>IF(ISBLANK(B316), "","CountryGroup-315")</f>
        <v/>
      </c>
    </row>
    <row r="317" spans="1:1" x14ac:dyDescent="0.2">
      <c r="A317" t="str">
        <f>IF(ISBLANK(B317), "","CountryGroup-316")</f>
        <v/>
      </c>
    </row>
    <row r="318" spans="1:1" x14ac:dyDescent="0.2">
      <c r="A318" t="str">
        <f>IF(ISBLANK(B318), "","CountryGroup-317")</f>
        <v/>
      </c>
    </row>
    <row r="319" spans="1:1" x14ac:dyDescent="0.2">
      <c r="A319" t="str">
        <f>IF(ISBLANK(B319), "","CountryGroup-318")</f>
        <v/>
      </c>
    </row>
    <row r="320" spans="1:1" x14ac:dyDescent="0.2">
      <c r="A320" t="str">
        <f>IF(ISBLANK(B320), "","CountryGroup-319")</f>
        <v/>
      </c>
    </row>
    <row r="321" spans="1:1" x14ac:dyDescent="0.2">
      <c r="A321" t="str">
        <f>IF(ISBLANK(B321), "","CountryGroup-320")</f>
        <v/>
      </c>
    </row>
    <row r="322" spans="1:1" x14ac:dyDescent="0.2">
      <c r="A322" t="str">
        <f>IF(ISBLANK(B322), "","CountryGroup-321")</f>
        <v/>
      </c>
    </row>
    <row r="323" spans="1:1" x14ac:dyDescent="0.2">
      <c r="A323" t="str">
        <f>IF(ISBLANK(B323), "","CountryGroup-322")</f>
        <v/>
      </c>
    </row>
    <row r="324" spans="1:1" x14ac:dyDescent="0.2">
      <c r="A324" t="str">
        <f>IF(ISBLANK(B324), "","CountryGroup-323")</f>
        <v/>
      </c>
    </row>
    <row r="325" spans="1:1" x14ac:dyDescent="0.2">
      <c r="A325" t="str">
        <f>IF(ISBLANK(B325), "","CountryGroup-324")</f>
        <v/>
      </c>
    </row>
    <row r="326" spans="1:1" x14ac:dyDescent="0.2">
      <c r="A326" t="str">
        <f>IF(ISBLANK(B326), "","CountryGroup-325")</f>
        <v/>
      </c>
    </row>
    <row r="327" spans="1:1" x14ac:dyDescent="0.2">
      <c r="A327" t="str">
        <f>IF(ISBLANK(B327), "","CountryGroup-326")</f>
        <v/>
      </c>
    </row>
    <row r="328" spans="1:1" x14ac:dyDescent="0.2">
      <c r="A328" t="str">
        <f>IF(ISBLANK(B328), "","CountryGroup-327")</f>
        <v/>
      </c>
    </row>
    <row r="329" spans="1:1" x14ac:dyDescent="0.2">
      <c r="A329" t="str">
        <f>IF(ISBLANK(B329), "","CountryGroup-328")</f>
        <v/>
      </c>
    </row>
    <row r="330" spans="1:1" x14ac:dyDescent="0.2">
      <c r="A330" t="str">
        <f>IF(ISBLANK(B330), "","CountryGroup-329")</f>
        <v/>
      </c>
    </row>
    <row r="331" spans="1:1" x14ac:dyDescent="0.2">
      <c r="A331" t="str">
        <f>IF(ISBLANK(B331), "","CountryGroup-330")</f>
        <v/>
      </c>
    </row>
    <row r="332" spans="1:1" x14ac:dyDescent="0.2">
      <c r="A332" t="str">
        <f>IF(ISBLANK(B332), "","CountryGroup-331")</f>
        <v/>
      </c>
    </row>
    <row r="333" spans="1:1" x14ac:dyDescent="0.2">
      <c r="A333" t="str">
        <f>IF(ISBLANK(B333), "","CountryGroup-332")</f>
        <v/>
      </c>
    </row>
    <row r="334" spans="1:1" x14ac:dyDescent="0.2">
      <c r="A334" t="str">
        <f>IF(ISBLANK(B334), "","CountryGroup-333")</f>
        <v/>
      </c>
    </row>
    <row r="335" spans="1:1" x14ac:dyDescent="0.2">
      <c r="A335" t="str">
        <f>IF(ISBLANK(B335), "","CountryGroup-334")</f>
        <v/>
      </c>
    </row>
    <row r="336" spans="1:1" x14ac:dyDescent="0.2">
      <c r="A336" t="str">
        <f>IF(ISBLANK(B336), "","CountryGroup-335")</f>
        <v/>
      </c>
    </row>
    <row r="337" spans="1:1" x14ac:dyDescent="0.2">
      <c r="A337" t="str">
        <f>IF(ISBLANK(B337), "","CountryGroup-336")</f>
        <v/>
      </c>
    </row>
    <row r="338" spans="1:1" x14ac:dyDescent="0.2">
      <c r="A338" t="str">
        <f>IF(ISBLANK(B338), "","CountryGroup-337")</f>
        <v/>
      </c>
    </row>
    <row r="339" spans="1:1" x14ac:dyDescent="0.2">
      <c r="A339" t="str">
        <f>IF(ISBLANK(B339), "","CountryGroup-338")</f>
        <v/>
      </c>
    </row>
    <row r="340" spans="1:1" x14ac:dyDescent="0.2">
      <c r="A340" t="str">
        <f>IF(ISBLANK(B340), "","CountryGroup-339")</f>
        <v/>
      </c>
    </row>
    <row r="341" spans="1:1" x14ac:dyDescent="0.2">
      <c r="A341" t="str">
        <f>IF(ISBLANK(B341), "","CountryGroup-340")</f>
        <v/>
      </c>
    </row>
    <row r="342" spans="1:1" x14ac:dyDescent="0.2">
      <c r="A342" t="str">
        <f>IF(ISBLANK(B342), "","CountryGroup-341")</f>
        <v/>
      </c>
    </row>
    <row r="343" spans="1:1" x14ac:dyDescent="0.2">
      <c r="A343" t="str">
        <f>IF(ISBLANK(B343), "","CountryGroup-342")</f>
        <v/>
      </c>
    </row>
    <row r="344" spans="1:1" x14ac:dyDescent="0.2">
      <c r="A344" t="str">
        <f>IF(ISBLANK(B344), "","CountryGroup-343")</f>
        <v/>
      </c>
    </row>
    <row r="345" spans="1:1" x14ac:dyDescent="0.2">
      <c r="A345" t="str">
        <f>IF(ISBLANK(B345), "","CountryGroup-344")</f>
        <v/>
      </c>
    </row>
    <row r="346" spans="1:1" x14ac:dyDescent="0.2">
      <c r="A346" t="str">
        <f>IF(ISBLANK(B346), "","CountryGroup-345")</f>
        <v/>
      </c>
    </row>
    <row r="347" spans="1:1" x14ac:dyDescent="0.2">
      <c r="A347" t="str">
        <f>IF(ISBLANK(B347), "","CountryGroup-346")</f>
        <v/>
      </c>
    </row>
    <row r="348" spans="1:1" x14ac:dyDescent="0.2">
      <c r="A348" t="str">
        <f>IF(ISBLANK(B348), "","CountryGroup-347")</f>
        <v/>
      </c>
    </row>
    <row r="349" spans="1:1" x14ac:dyDescent="0.2">
      <c r="A349" t="str">
        <f>IF(ISBLANK(B349), "","CountryGroup-348")</f>
        <v/>
      </c>
    </row>
    <row r="350" spans="1:1" x14ac:dyDescent="0.2">
      <c r="A350" t="str">
        <f>IF(ISBLANK(B350), "","CountryGroup-349")</f>
        <v/>
      </c>
    </row>
    <row r="351" spans="1:1" x14ac:dyDescent="0.2">
      <c r="A351" t="str">
        <f>IF(ISBLANK(B351), "","CountryGroup-350")</f>
        <v/>
      </c>
    </row>
    <row r="352" spans="1:1" x14ac:dyDescent="0.2">
      <c r="A352" t="str">
        <f>IF(ISBLANK(B352), "","CountryGroup-351")</f>
        <v/>
      </c>
    </row>
    <row r="353" spans="1:1" x14ac:dyDescent="0.2">
      <c r="A353" t="str">
        <f>IF(ISBLANK(B353), "","CountryGroup-352")</f>
        <v/>
      </c>
    </row>
    <row r="354" spans="1:1" x14ac:dyDescent="0.2">
      <c r="A354" t="str">
        <f>IF(ISBLANK(B354), "","CountryGroup-353")</f>
        <v/>
      </c>
    </row>
    <row r="355" spans="1:1" x14ac:dyDescent="0.2">
      <c r="A355" t="str">
        <f>IF(ISBLANK(B355), "","CountryGroup-354")</f>
        <v/>
      </c>
    </row>
    <row r="356" spans="1:1" x14ac:dyDescent="0.2">
      <c r="A356" t="str">
        <f>IF(ISBLANK(B356), "","CountryGroup-355")</f>
        <v/>
      </c>
    </row>
    <row r="357" spans="1:1" x14ac:dyDescent="0.2">
      <c r="A357" t="str">
        <f>IF(ISBLANK(B357), "","CountryGroup-356")</f>
        <v/>
      </c>
    </row>
    <row r="358" spans="1:1" x14ac:dyDescent="0.2">
      <c r="A358" t="str">
        <f>IF(ISBLANK(B358), "","CountryGroup-357")</f>
        <v/>
      </c>
    </row>
    <row r="359" spans="1:1" x14ac:dyDescent="0.2">
      <c r="A359" t="str">
        <f>IF(ISBLANK(B359), "","CountryGroup-358")</f>
        <v/>
      </c>
    </row>
    <row r="360" spans="1:1" x14ac:dyDescent="0.2">
      <c r="A360" t="str">
        <f>IF(ISBLANK(B360), "","CountryGroup-359")</f>
        <v/>
      </c>
    </row>
    <row r="361" spans="1:1" x14ac:dyDescent="0.2">
      <c r="A361" t="str">
        <f>IF(ISBLANK(B361), "","CountryGroup-360")</f>
        <v/>
      </c>
    </row>
    <row r="362" spans="1:1" x14ac:dyDescent="0.2">
      <c r="A362" t="str">
        <f>IF(ISBLANK(B362), "","CountryGroup-361")</f>
        <v/>
      </c>
    </row>
    <row r="363" spans="1:1" x14ac:dyDescent="0.2">
      <c r="A363" t="str">
        <f>IF(ISBLANK(B363), "","CountryGroup-362")</f>
        <v/>
      </c>
    </row>
    <row r="364" spans="1:1" x14ac:dyDescent="0.2">
      <c r="A364" t="str">
        <f>IF(ISBLANK(B364), "","CountryGroup-363")</f>
        <v/>
      </c>
    </row>
    <row r="365" spans="1:1" x14ac:dyDescent="0.2">
      <c r="A365" t="str">
        <f>IF(ISBLANK(B365), "","CountryGroup-364")</f>
        <v/>
      </c>
    </row>
    <row r="366" spans="1:1" x14ac:dyDescent="0.2">
      <c r="A366" t="str">
        <f>IF(ISBLANK(B366), "","CountryGroup-365")</f>
        <v/>
      </c>
    </row>
    <row r="367" spans="1:1" x14ac:dyDescent="0.2">
      <c r="A367" t="str">
        <f>IF(ISBLANK(B367), "","CountryGroup-366")</f>
        <v/>
      </c>
    </row>
    <row r="368" spans="1:1" x14ac:dyDescent="0.2">
      <c r="A368" t="str">
        <f>IF(ISBLANK(B368), "","CountryGroup-367")</f>
        <v/>
      </c>
    </row>
    <row r="369" spans="1:1" x14ac:dyDescent="0.2">
      <c r="A369" t="str">
        <f>IF(ISBLANK(B369), "","CountryGroup-368")</f>
        <v/>
      </c>
    </row>
    <row r="370" spans="1:1" x14ac:dyDescent="0.2">
      <c r="A370" t="str">
        <f>IF(ISBLANK(B370), "","CountryGroup-369")</f>
        <v/>
      </c>
    </row>
    <row r="371" spans="1:1" x14ac:dyDescent="0.2">
      <c r="A371" t="str">
        <f>IF(ISBLANK(B371), "","CountryGroup-370")</f>
        <v/>
      </c>
    </row>
    <row r="372" spans="1:1" x14ac:dyDescent="0.2">
      <c r="A372" t="str">
        <f>IF(ISBLANK(B372), "","CountryGroup-371")</f>
        <v/>
      </c>
    </row>
    <row r="373" spans="1:1" x14ac:dyDescent="0.2">
      <c r="A373" t="str">
        <f>IF(ISBLANK(B373), "","CountryGroup-372")</f>
        <v/>
      </c>
    </row>
    <row r="374" spans="1:1" x14ac:dyDescent="0.2">
      <c r="A374" t="str">
        <f>IF(ISBLANK(B374), "","CountryGroup-373")</f>
        <v/>
      </c>
    </row>
    <row r="375" spans="1:1" x14ac:dyDescent="0.2">
      <c r="A375" t="str">
        <f>IF(ISBLANK(B375), "","CountryGroup-374")</f>
        <v/>
      </c>
    </row>
    <row r="376" spans="1:1" x14ac:dyDescent="0.2">
      <c r="A376" t="str">
        <f>IF(ISBLANK(B376), "","CountryGroup-375")</f>
        <v/>
      </c>
    </row>
    <row r="377" spans="1:1" x14ac:dyDescent="0.2">
      <c r="A377" t="str">
        <f>IF(ISBLANK(B377), "","CountryGroup-376")</f>
        <v/>
      </c>
    </row>
    <row r="378" spans="1:1" x14ac:dyDescent="0.2">
      <c r="A378" t="str">
        <f>IF(ISBLANK(B378), "","CountryGroup-377")</f>
        <v/>
      </c>
    </row>
    <row r="379" spans="1:1" x14ac:dyDescent="0.2">
      <c r="A379" t="str">
        <f>IF(ISBLANK(B379), "","CountryGroup-378")</f>
        <v/>
      </c>
    </row>
    <row r="380" spans="1:1" x14ac:dyDescent="0.2">
      <c r="A380" t="str">
        <f>IF(ISBLANK(B380), "","CountryGroup-379")</f>
        <v/>
      </c>
    </row>
    <row r="381" spans="1:1" x14ac:dyDescent="0.2">
      <c r="A381" t="str">
        <f>IF(ISBLANK(B381), "","CountryGroup-380")</f>
        <v/>
      </c>
    </row>
    <row r="382" spans="1:1" x14ac:dyDescent="0.2">
      <c r="A382" t="str">
        <f>IF(ISBLANK(B382), "","CountryGroup-381")</f>
        <v/>
      </c>
    </row>
    <row r="383" spans="1:1" x14ac:dyDescent="0.2">
      <c r="A383" t="str">
        <f>IF(ISBLANK(B383), "","CountryGroup-382")</f>
        <v/>
      </c>
    </row>
    <row r="384" spans="1:1" x14ac:dyDescent="0.2">
      <c r="A384" t="str">
        <f>IF(ISBLANK(B384), "","CountryGroup-383")</f>
        <v/>
      </c>
    </row>
    <row r="385" spans="1:1" x14ac:dyDescent="0.2">
      <c r="A385" t="str">
        <f>IF(ISBLANK(B385), "","CountryGroup-384")</f>
        <v/>
      </c>
    </row>
    <row r="386" spans="1:1" x14ac:dyDescent="0.2">
      <c r="A386" t="str">
        <f>IF(ISBLANK(B386), "","CountryGroup-385")</f>
        <v/>
      </c>
    </row>
    <row r="387" spans="1:1" x14ac:dyDescent="0.2">
      <c r="A387" t="str">
        <f>IF(ISBLANK(B387), "","CountryGroup-386")</f>
        <v/>
      </c>
    </row>
    <row r="388" spans="1:1" x14ac:dyDescent="0.2">
      <c r="A388" t="str">
        <f>IF(ISBLANK(B388), "","CountryGroup-387")</f>
        <v/>
      </c>
    </row>
    <row r="389" spans="1:1" x14ac:dyDescent="0.2">
      <c r="A389" t="str">
        <f>IF(ISBLANK(B389), "","CountryGroup-388")</f>
        <v/>
      </c>
    </row>
    <row r="390" spans="1:1" x14ac:dyDescent="0.2">
      <c r="A390" t="str">
        <f>IF(ISBLANK(B390), "","CountryGroup-389")</f>
        <v/>
      </c>
    </row>
    <row r="391" spans="1:1" x14ac:dyDescent="0.2">
      <c r="A391" t="str">
        <f>IF(ISBLANK(B391), "","CountryGroup-390")</f>
        <v/>
      </c>
    </row>
    <row r="392" spans="1:1" x14ac:dyDescent="0.2">
      <c r="A392" t="str">
        <f>IF(ISBLANK(B392), "","CountryGroup-391")</f>
        <v/>
      </c>
    </row>
    <row r="393" spans="1:1" x14ac:dyDescent="0.2">
      <c r="A393" t="str">
        <f>IF(ISBLANK(B393), "","CountryGroup-392")</f>
        <v/>
      </c>
    </row>
    <row r="394" spans="1:1" x14ac:dyDescent="0.2">
      <c r="A394" t="str">
        <f>IF(ISBLANK(B394), "","CountryGroup-393")</f>
        <v/>
      </c>
    </row>
    <row r="395" spans="1:1" x14ac:dyDescent="0.2">
      <c r="A395" t="str">
        <f>IF(ISBLANK(B395), "","CountryGroup-394")</f>
        <v/>
      </c>
    </row>
    <row r="396" spans="1:1" x14ac:dyDescent="0.2">
      <c r="A396" t="str">
        <f>IF(ISBLANK(B396), "","CountryGroup-395")</f>
        <v/>
      </c>
    </row>
    <row r="397" spans="1:1" x14ac:dyDescent="0.2">
      <c r="A397" t="str">
        <f>IF(ISBLANK(B397), "","CountryGroup-396")</f>
        <v/>
      </c>
    </row>
    <row r="398" spans="1:1" x14ac:dyDescent="0.2">
      <c r="A398" t="str">
        <f>IF(ISBLANK(B398), "","CountryGroup-397")</f>
        <v/>
      </c>
    </row>
    <row r="399" spans="1:1" x14ac:dyDescent="0.2">
      <c r="A399" t="str">
        <f>IF(ISBLANK(B399), "","CountryGroup-398")</f>
        <v/>
      </c>
    </row>
    <row r="400" spans="1:1" x14ac:dyDescent="0.2">
      <c r="A400" t="str">
        <f>IF(ISBLANK(B400), "","CountryGroup-399")</f>
        <v/>
      </c>
    </row>
    <row r="401" spans="1:1" x14ac:dyDescent="0.2">
      <c r="A401" t="str">
        <f>IF(ISBLANK(B401), "","CountryGroup-400")</f>
        <v/>
      </c>
    </row>
    <row r="402" spans="1:1" x14ac:dyDescent="0.2">
      <c r="A402" t="str">
        <f>IF(ISBLANK(B402), "","CountryGroup-401")</f>
        <v/>
      </c>
    </row>
    <row r="403" spans="1:1" x14ac:dyDescent="0.2">
      <c r="A403" t="str">
        <f>IF(ISBLANK(B403), "","CountryGroup-402")</f>
        <v/>
      </c>
    </row>
    <row r="404" spans="1:1" x14ac:dyDescent="0.2">
      <c r="A404" t="str">
        <f>IF(ISBLANK(B404), "","CountryGroup-403")</f>
        <v/>
      </c>
    </row>
    <row r="405" spans="1:1" x14ac:dyDescent="0.2">
      <c r="A405" t="str">
        <f>IF(ISBLANK(B405), "","CountryGroup-404")</f>
        <v/>
      </c>
    </row>
    <row r="406" spans="1:1" x14ac:dyDescent="0.2">
      <c r="A406" t="str">
        <f>IF(ISBLANK(B406), "","CountryGroup-405")</f>
        <v/>
      </c>
    </row>
    <row r="407" spans="1:1" x14ac:dyDescent="0.2">
      <c r="A407" t="str">
        <f>IF(ISBLANK(B407), "","CountryGroup-406")</f>
        <v/>
      </c>
    </row>
    <row r="408" spans="1:1" x14ac:dyDescent="0.2">
      <c r="A408" t="str">
        <f>IF(ISBLANK(B408), "","CountryGroup-407")</f>
        <v/>
      </c>
    </row>
    <row r="409" spans="1:1" x14ac:dyDescent="0.2">
      <c r="A409" t="str">
        <f>IF(ISBLANK(B409), "","CountryGroup-408")</f>
        <v/>
      </c>
    </row>
    <row r="410" spans="1:1" x14ac:dyDescent="0.2">
      <c r="A410" t="str">
        <f>IF(ISBLANK(B410), "","CountryGroup-409")</f>
        <v/>
      </c>
    </row>
    <row r="411" spans="1:1" x14ac:dyDescent="0.2">
      <c r="A411" t="str">
        <f>IF(ISBLANK(B411), "","CountryGroup-410")</f>
        <v/>
      </c>
    </row>
    <row r="412" spans="1:1" x14ac:dyDescent="0.2">
      <c r="A412" t="str">
        <f>IF(ISBLANK(B412), "","CountryGroup-411")</f>
        <v/>
      </c>
    </row>
    <row r="413" spans="1:1" x14ac:dyDescent="0.2">
      <c r="A413" t="str">
        <f>IF(ISBLANK(B413), "","CountryGroup-412")</f>
        <v/>
      </c>
    </row>
    <row r="414" spans="1:1" x14ac:dyDescent="0.2">
      <c r="A414" t="str">
        <f>IF(ISBLANK(B414), "","CountryGroup-413")</f>
        <v/>
      </c>
    </row>
    <row r="415" spans="1:1" x14ac:dyDescent="0.2">
      <c r="A415" t="str">
        <f>IF(ISBLANK(B415), "","CountryGroup-414")</f>
        <v/>
      </c>
    </row>
    <row r="416" spans="1:1" x14ac:dyDescent="0.2">
      <c r="A416" t="str">
        <f>IF(ISBLANK(B416), "","CountryGroup-415")</f>
        <v/>
      </c>
    </row>
    <row r="417" spans="1:1" x14ac:dyDescent="0.2">
      <c r="A417" t="str">
        <f>IF(ISBLANK(B417), "","CountryGroup-416")</f>
        <v/>
      </c>
    </row>
    <row r="418" spans="1:1" x14ac:dyDescent="0.2">
      <c r="A418" t="str">
        <f>IF(ISBLANK(B418), "","CountryGroup-417")</f>
        <v/>
      </c>
    </row>
    <row r="419" spans="1:1" x14ac:dyDescent="0.2">
      <c r="A419" t="str">
        <f>IF(ISBLANK(B419), "","CountryGroup-418")</f>
        <v/>
      </c>
    </row>
    <row r="420" spans="1:1" x14ac:dyDescent="0.2">
      <c r="A420" t="str">
        <f>IF(ISBLANK(B420), "","CountryGroup-419")</f>
        <v/>
      </c>
    </row>
    <row r="421" spans="1:1" x14ac:dyDescent="0.2">
      <c r="A421" t="str">
        <f>IF(ISBLANK(B421), "","CountryGroup-420")</f>
        <v/>
      </c>
    </row>
    <row r="422" spans="1:1" x14ac:dyDescent="0.2">
      <c r="A422" t="str">
        <f>IF(ISBLANK(B422), "","CountryGroup-421")</f>
        <v/>
      </c>
    </row>
    <row r="423" spans="1:1" x14ac:dyDescent="0.2">
      <c r="A423" t="str">
        <f>IF(ISBLANK(B423), "","CountryGroup-422")</f>
        <v/>
      </c>
    </row>
    <row r="424" spans="1:1" x14ac:dyDescent="0.2">
      <c r="A424" t="str">
        <f>IF(ISBLANK(B424), "","CountryGroup-423")</f>
        <v/>
      </c>
    </row>
    <row r="425" spans="1:1" x14ac:dyDescent="0.2">
      <c r="A425" t="str">
        <f>IF(ISBLANK(B425), "","CountryGroup-424")</f>
        <v/>
      </c>
    </row>
    <row r="426" spans="1:1" x14ac:dyDescent="0.2">
      <c r="A426" t="str">
        <f>IF(ISBLANK(B426), "","CountryGroup-425")</f>
        <v/>
      </c>
    </row>
    <row r="427" spans="1:1" x14ac:dyDescent="0.2">
      <c r="A427" t="str">
        <f>IF(ISBLANK(B427), "","CountryGroup-426")</f>
        <v/>
      </c>
    </row>
    <row r="428" spans="1:1" x14ac:dyDescent="0.2">
      <c r="A428" t="str">
        <f>IF(ISBLANK(B428), "","CountryGroup-427")</f>
        <v/>
      </c>
    </row>
    <row r="429" spans="1:1" x14ac:dyDescent="0.2">
      <c r="A429" t="str">
        <f>IF(ISBLANK(B429), "","CountryGroup-428")</f>
        <v/>
      </c>
    </row>
    <row r="430" spans="1:1" x14ac:dyDescent="0.2">
      <c r="A430" t="str">
        <f>IF(ISBLANK(B430), "","CountryGroup-429")</f>
        <v/>
      </c>
    </row>
    <row r="431" spans="1:1" x14ac:dyDescent="0.2">
      <c r="A431" t="str">
        <f>IF(ISBLANK(B431), "","CountryGroup-430")</f>
        <v/>
      </c>
    </row>
    <row r="432" spans="1:1" x14ac:dyDescent="0.2">
      <c r="A432" t="str">
        <f>IF(ISBLANK(B432), "","CountryGroup-431")</f>
        <v/>
      </c>
    </row>
    <row r="433" spans="1:1" x14ac:dyDescent="0.2">
      <c r="A433" t="str">
        <f>IF(ISBLANK(B433), "","CountryGroup-432")</f>
        <v/>
      </c>
    </row>
    <row r="434" spans="1:1" x14ac:dyDescent="0.2">
      <c r="A434" t="str">
        <f>IF(ISBLANK(B434), "","CountryGroup-433")</f>
        <v/>
      </c>
    </row>
    <row r="435" spans="1:1" x14ac:dyDescent="0.2">
      <c r="A435" t="str">
        <f>IF(ISBLANK(B435), "","CountryGroup-434")</f>
        <v/>
      </c>
    </row>
    <row r="436" spans="1:1" x14ac:dyDescent="0.2">
      <c r="A436" t="str">
        <f>IF(ISBLANK(B436), "","CountryGroup-435")</f>
        <v/>
      </c>
    </row>
    <row r="437" spans="1:1" x14ac:dyDescent="0.2">
      <c r="A437" t="str">
        <f>IF(ISBLANK(B437), "","CountryGroup-436")</f>
        <v/>
      </c>
    </row>
    <row r="438" spans="1:1" x14ac:dyDescent="0.2">
      <c r="A438" t="str">
        <f>IF(ISBLANK(B438), "","CountryGroup-437")</f>
        <v/>
      </c>
    </row>
    <row r="439" spans="1:1" x14ac:dyDescent="0.2">
      <c r="A439" t="str">
        <f>IF(ISBLANK(B439), "","CountryGroup-438")</f>
        <v/>
      </c>
    </row>
    <row r="440" spans="1:1" x14ac:dyDescent="0.2">
      <c r="A440" t="str">
        <f>IF(ISBLANK(B440), "","CountryGroup-439")</f>
        <v/>
      </c>
    </row>
    <row r="441" spans="1:1" x14ac:dyDescent="0.2">
      <c r="A441" t="str">
        <f>IF(ISBLANK(B441), "","CountryGroup-440")</f>
        <v/>
      </c>
    </row>
    <row r="442" spans="1:1" x14ac:dyDescent="0.2">
      <c r="A442" t="str">
        <f>IF(ISBLANK(B442), "","CountryGroup-441")</f>
        <v/>
      </c>
    </row>
    <row r="443" spans="1:1" x14ac:dyDescent="0.2">
      <c r="A443" t="str">
        <f>IF(ISBLANK(B443), "","CountryGroup-442")</f>
        <v/>
      </c>
    </row>
    <row r="444" spans="1:1" x14ac:dyDescent="0.2">
      <c r="A444" t="str">
        <f>IF(ISBLANK(B444), "","CountryGroup-443")</f>
        <v/>
      </c>
    </row>
    <row r="445" spans="1:1" x14ac:dyDescent="0.2">
      <c r="A445" t="str">
        <f>IF(ISBLANK(B445), "","CountryGroup-444")</f>
        <v/>
      </c>
    </row>
    <row r="446" spans="1:1" x14ac:dyDescent="0.2">
      <c r="A446" t="str">
        <f>IF(ISBLANK(B446), "","CountryGroup-445")</f>
        <v/>
      </c>
    </row>
    <row r="447" spans="1:1" x14ac:dyDescent="0.2">
      <c r="A447" t="str">
        <f>IF(ISBLANK(B447), "","CountryGroup-446")</f>
        <v/>
      </c>
    </row>
    <row r="448" spans="1:1" x14ac:dyDescent="0.2">
      <c r="A448" t="str">
        <f>IF(ISBLANK(B448), "","CountryGroup-447")</f>
        <v/>
      </c>
    </row>
    <row r="449" spans="1:1" x14ac:dyDescent="0.2">
      <c r="A449" t="str">
        <f>IF(ISBLANK(B449), "","CountryGroup-448")</f>
        <v/>
      </c>
    </row>
    <row r="450" spans="1:1" x14ac:dyDescent="0.2">
      <c r="A450" t="str">
        <f>IF(ISBLANK(B450), "","CountryGroup-449")</f>
        <v/>
      </c>
    </row>
    <row r="451" spans="1:1" x14ac:dyDescent="0.2">
      <c r="A451" t="str">
        <f>IF(ISBLANK(B451), "","CountryGroup-450")</f>
        <v/>
      </c>
    </row>
    <row r="452" spans="1:1" x14ac:dyDescent="0.2">
      <c r="A452" t="str">
        <f>IF(ISBLANK(B452), "","CountryGroup-451")</f>
        <v/>
      </c>
    </row>
    <row r="453" spans="1:1" x14ac:dyDescent="0.2">
      <c r="A453" t="str">
        <f>IF(ISBLANK(B453), "","CountryGroup-452")</f>
        <v/>
      </c>
    </row>
    <row r="454" spans="1:1" x14ac:dyDescent="0.2">
      <c r="A454" t="str">
        <f>IF(ISBLANK(B454), "","CountryGroup-453")</f>
        <v/>
      </c>
    </row>
    <row r="455" spans="1:1" x14ac:dyDescent="0.2">
      <c r="A455" t="str">
        <f>IF(ISBLANK(B455), "","CountryGroup-454")</f>
        <v/>
      </c>
    </row>
    <row r="456" spans="1:1" x14ac:dyDescent="0.2">
      <c r="A456" t="str">
        <f>IF(ISBLANK(B456), "","CountryGroup-455")</f>
        <v/>
      </c>
    </row>
    <row r="457" spans="1:1" x14ac:dyDescent="0.2">
      <c r="A457" t="str">
        <f>IF(ISBLANK(B457), "","CountryGroup-456")</f>
        <v/>
      </c>
    </row>
    <row r="458" spans="1:1" x14ac:dyDescent="0.2">
      <c r="A458" t="str">
        <f>IF(ISBLANK(B458), "","CountryGroup-457")</f>
        <v/>
      </c>
    </row>
    <row r="459" spans="1:1" x14ac:dyDescent="0.2">
      <c r="A459" t="str">
        <f>IF(ISBLANK(B459), "","CountryGroup-458")</f>
        <v/>
      </c>
    </row>
    <row r="460" spans="1:1" x14ac:dyDescent="0.2">
      <c r="A460" t="str">
        <f>IF(ISBLANK(B460), "","CountryGroup-459")</f>
        <v/>
      </c>
    </row>
    <row r="461" spans="1:1" x14ac:dyDescent="0.2">
      <c r="A461" t="str">
        <f>IF(ISBLANK(B461), "","CountryGroup-460")</f>
        <v/>
      </c>
    </row>
    <row r="462" spans="1:1" x14ac:dyDescent="0.2">
      <c r="A462" t="str">
        <f>IF(ISBLANK(B462), "","CountryGroup-461")</f>
        <v/>
      </c>
    </row>
    <row r="463" spans="1:1" x14ac:dyDescent="0.2">
      <c r="A463" t="str">
        <f>IF(ISBLANK(B463), "","CountryGroup-462")</f>
        <v/>
      </c>
    </row>
    <row r="464" spans="1:1" x14ac:dyDescent="0.2">
      <c r="A464" t="str">
        <f>IF(ISBLANK(B464), "","CountryGroup-463")</f>
        <v/>
      </c>
    </row>
    <row r="465" spans="1:1" x14ac:dyDescent="0.2">
      <c r="A465" t="str">
        <f>IF(ISBLANK(B465), "","CountryGroup-464")</f>
        <v/>
      </c>
    </row>
    <row r="466" spans="1:1" x14ac:dyDescent="0.2">
      <c r="A466" t="str">
        <f>IF(ISBLANK(B466), "","CountryGroup-465")</f>
        <v/>
      </c>
    </row>
    <row r="467" spans="1:1" x14ac:dyDescent="0.2">
      <c r="A467" t="str">
        <f>IF(ISBLANK(B467), "","CountryGroup-466")</f>
        <v/>
      </c>
    </row>
    <row r="468" spans="1:1" x14ac:dyDescent="0.2">
      <c r="A468" t="str">
        <f>IF(ISBLANK(B468), "","CountryGroup-467")</f>
        <v/>
      </c>
    </row>
    <row r="469" spans="1:1" x14ac:dyDescent="0.2">
      <c r="A469" t="str">
        <f>IF(ISBLANK(B469), "","CountryGroup-468")</f>
        <v/>
      </c>
    </row>
    <row r="470" spans="1:1" x14ac:dyDescent="0.2">
      <c r="A470" t="str">
        <f>IF(ISBLANK(B470), "","CountryGroup-469")</f>
        <v/>
      </c>
    </row>
    <row r="471" spans="1:1" x14ac:dyDescent="0.2">
      <c r="A471" t="str">
        <f>IF(ISBLANK(B471), "","CountryGroup-470")</f>
        <v/>
      </c>
    </row>
    <row r="472" spans="1:1" x14ac:dyDescent="0.2">
      <c r="A472" t="str">
        <f>IF(ISBLANK(B472), "","CountryGroup-471")</f>
        <v/>
      </c>
    </row>
    <row r="473" spans="1:1" x14ac:dyDescent="0.2">
      <c r="A473" t="str">
        <f>IF(ISBLANK(B473), "","CountryGroup-472")</f>
        <v/>
      </c>
    </row>
    <row r="474" spans="1:1" x14ac:dyDescent="0.2">
      <c r="A474" t="str">
        <f>IF(ISBLANK(B474), "","CountryGroup-473")</f>
        <v/>
      </c>
    </row>
    <row r="475" spans="1:1" x14ac:dyDescent="0.2">
      <c r="A475" t="str">
        <f>IF(ISBLANK(B475), "","CountryGroup-474")</f>
        <v/>
      </c>
    </row>
    <row r="476" spans="1:1" x14ac:dyDescent="0.2">
      <c r="A476" t="str">
        <f>IF(ISBLANK(B476), "","CountryGroup-475")</f>
        <v/>
      </c>
    </row>
    <row r="477" spans="1:1" x14ac:dyDescent="0.2">
      <c r="A477" t="str">
        <f>IF(ISBLANK(B477), "","CountryGroup-476")</f>
        <v/>
      </c>
    </row>
    <row r="478" spans="1:1" x14ac:dyDescent="0.2">
      <c r="A478" t="str">
        <f>IF(ISBLANK(B478), "","CountryGroup-477")</f>
        <v/>
      </c>
    </row>
    <row r="479" spans="1:1" x14ac:dyDescent="0.2">
      <c r="A479" t="str">
        <f>IF(ISBLANK(B479), "","CountryGroup-478")</f>
        <v/>
      </c>
    </row>
    <row r="480" spans="1:1" x14ac:dyDescent="0.2">
      <c r="A480" t="str">
        <f>IF(ISBLANK(B480), "","CountryGroup-479")</f>
        <v/>
      </c>
    </row>
    <row r="481" spans="1:1" x14ac:dyDescent="0.2">
      <c r="A481" t="str">
        <f>IF(ISBLANK(B481), "","CountryGroup-480")</f>
        <v/>
      </c>
    </row>
    <row r="482" spans="1:1" x14ac:dyDescent="0.2">
      <c r="A482" t="str">
        <f>IF(ISBLANK(B482), "","CountryGroup-481")</f>
        <v/>
      </c>
    </row>
    <row r="483" spans="1:1" x14ac:dyDescent="0.2">
      <c r="A483" t="str">
        <f>IF(ISBLANK(B483), "","CountryGroup-482")</f>
        <v/>
      </c>
    </row>
    <row r="484" spans="1:1" x14ac:dyDescent="0.2">
      <c r="A484" t="str">
        <f>IF(ISBLANK(B484), "","CountryGroup-483")</f>
        <v/>
      </c>
    </row>
    <row r="485" spans="1:1" x14ac:dyDescent="0.2">
      <c r="A485" t="str">
        <f>IF(ISBLANK(B485), "","CountryGroup-484")</f>
        <v/>
      </c>
    </row>
    <row r="486" spans="1:1" x14ac:dyDescent="0.2">
      <c r="A486" t="str">
        <f>IF(ISBLANK(B486), "","CountryGroup-485")</f>
        <v/>
      </c>
    </row>
    <row r="487" spans="1:1" x14ac:dyDescent="0.2">
      <c r="A487" t="str">
        <f>IF(ISBLANK(B487), "","CountryGroup-486")</f>
        <v/>
      </c>
    </row>
    <row r="488" spans="1:1" x14ac:dyDescent="0.2">
      <c r="A488" t="str">
        <f>IF(ISBLANK(B488), "","CountryGroup-487")</f>
        <v/>
      </c>
    </row>
    <row r="489" spans="1:1" x14ac:dyDescent="0.2">
      <c r="A489" t="str">
        <f>IF(ISBLANK(B489), "","CountryGroup-488")</f>
        <v/>
      </c>
    </row>
    <row r="490" spans="1:1" x14ac:dyDescent="0.2">
      <c r="A490" t="str">
        <f>IF(ISBLANK(B490), "","CountryGroup-489")</f>
        <v/>
      </c>
    </row>
    <row r="491" spans="1:1" x14ac:dyDescent="0.2">
      <c r="A491" t="str">
        <f>IF(ISBLANK(B491), "","CountryGroup-490")</f>
        <v/>
      </c>
    </row>
    <row r="492" spans="1:1" x14ac:dyDescent="0.2">
      <c r="A492" t="str">
        <f>IF(ISBLANK(B492), "","CountryGroup-491")</f>
        <v/>
      </c>
    </row>
    <row r="493" spans="1:1" x14ac:dyDescent="0.2">
      <c r="A493" t="str">
        <f>IF(ISBLANK(B493), "","CountryGroup-492")</f>
        <v/>
      </c>
    </row>
    <row r="494" spans="1:1" x14ac:dyDescent="0.2">
      <c r="A494" t="str">
        <f>IF(ISBLANK(B494), "","CountryGroup-493")</f>
        <v/>
      </c>
    </row>
    <row r="495" spans="1:1" x14ac:dyDescent="0.2">
      <c r="A495" t="str">
        <f>IF(ISBLANK(B495), "","CountryGroup-494")</f>
        <v/>
      </c>
    </row>
    <row r="496" spans="1:1" x14ac:dyDescent="0.2">
      <c r="A496" t="str">
        <f>IF(ISBLANK(B496), "","CountryGroup-495")</f>
        <v/>
      </c>
    </row>
    <row r="497" spans="1:1" x14ac:dyDescent="0.2">
      <c r="A497" t="str">
        <f>IF(ISBLANK(B497), "","CountryGroup-496")</f>
        <v/>
      </c>
    </row>
    <row r="498" spans="1:1" x14ac:dyDescent="0.2">
      <c r="A498" t="str">
        <f>IF(ISBLANK(B498), "","CountryGroup-497")</f>
        <v/>
      </c>
    </row>
    <row r="499" spans="1:1" x14ac:dyDescent="0.2">
      <c r="A499" t="str">
        <f>IF(ISBLANK(B499), "","CountryGroup-498")</f>
        <v/>
      </c>
    </row>
    <row r="500" spans="1:1" x14ac:dyDescent="0.2">
      <c r="A500" t="str">
        <f>IF(ISBLANK(B500), "","CountryGroup-499")</f>
        <v/>
      </c>
    </row>
    <row r="501" spans="1:1" x14ac:dyDescent="0.2">
      <c r="A501" t="str">
        <f>IF(ISBLANK(B501), "","CountryGroup-500")</f>
        <v/>
      </c>
    </row>
    <row r="502" spans="1:1" x14ac:dyDescent="0.2">
      <c r="A502" t="str">
        <f>IF(ISBLANK(B502), "","CountryGroup-501")</f>
        <v/>
      </c>
    </row>
    <row r="503" spans="1:1" x14ac:dyDescent="0.2">
      <c r="A503" t="str">
        <f>IF(ISBLANK(B503), "","CountryGroup-502")</f>
        <v/>
      </c>
    </row>
    <row r="504" spans="1:1" x14ac:dyDescent="0.2">
      <c r="A504" t="str">
        <f>IF(ISBLANK(B504), "","CountryGroup-503")</f>
        <v/>
      </c>
    </row>
    <row r="505" spans="1:1" x14ac:dyDescent="0.2">
      <c r="A505" t="str">
        <f>IF(ISBLANK(B505), "","CountryGroup-504")</f>
        <v/>
      </c>
    </row>
    <row r="506" spans="1:1" x14ac:dyDescent="0.2">
      <c r="A506" t="str">
        <f>IF(ISBLANK(B506), "","CountryGroup-505")</f>
        <v/>
      </c>
    </row>
    <row r="507" spans="1:1" x14ac:dyDescent="0.2">
      <c r="A507" t="str">
        <f>IF(ISBLANK(B507), "","CountryGroup-506")</f>
        <v/>
      </c>
    </row>
    <row r="508" spans="1:1" x14ac:dyDescent="0.2">
      <c r="A508" t="str">
        <f>IF(ISBLANK(B508), "","CountryGroup-507")</f>
        <v/>
      </c>
    </row>
    <row r="509" spans="1:1" x14ac:dyDescent="0.2">
      <c r="A509" t="str">
        <f>IF(ISBLANK(B509), "","CountryGroup-508")</f>
        <v/>
      </c>
    </row>
    <row r="510" spans="1:1" x14ac:dyDescent="0.2">
      <c r="A510" t="str">
        <f>IF(ISBLANK(B510), "","CountryGroup-509")</f>
        <v/>
      </c>
    </row>
    <row r="511" spans="1:1" x14ac:dyDescent="0.2">
      <c r="A511" t="str">
        <f>IF(ISBLANK(B511), "","CountryGroup-510")</f>
        <v/>
      </c>
    </row>
    <row r="512" spans="1:1" x14ac:dyDescent="0.2">
      <c r="A512" t="str">
        <f>IF(ISBLANK(B512), "","CountryGroup-511")</f>
        <v/>
      </c>
    </row>
    <row r="513" spans="1:1" x14ac:dyDescent="0.2">
      <c r="A513" t="str">
        <f>IF(ISBLANK(B513), "","CountryGroup-512")</f>
        <v/>
      </c>
    </row>
    <row r="514" spans="1:1" x14ac:dyDescent="0.2">
      <c r="A514" t="str">
        <f>IF(ISBLANK(B514), "","CountryGroup-513")</f>
        <v/>
      </c>
    </row>
    <row r="515" spans="1:1" x14ac:dyDescent="0.2">
      <c r="A515" t="str">
        <f>IF(ISBLANK(B515), "","CountryGroup-514")</f>
        <v/>
      </c>
    </row>
    <row r="516" spans="1:1" x14ac:dyDescent="0.2">
      <c r="A516" t="str">
        <f>IF(ISBLANK(B516), "","CountryGroup-515")</f>
        <v/>
      </c>
    </row>
    <row r="517" spans="1:1" x14ac:dyDescent="0.2">
      <c r="A517" t="str">
        <f>IF(ISBLANK(B517), "","CountryGroup-516")</f>
        <v/>
      </c>
    </row>
    <row r="518" spans="1:1" x14ac:dyDescent="0.2">
      <c r="A518" t="str">
        <f>IF(ISBLANK(B518), "","CountryGroup-517")</f>
        <v/>
      </c>
    </row>
    <row r="519" spans="1:1" x14ac:dyDescent="0.2">
      <c r="A519" t="str">
        <f>IF(ISBLANK(B519), "","CountryGroup-518")</f>
        <v/>
      </c>
    </row>
    <row r="520" spans="1:1" x14ac:dyDescent="0.2">
      <c r="A520" t="str">
        <f>IF(ISBLANK(B520), "","CountryGroup-519")</f>
        <v/>
      </c>
    </row>
    <row r="521" spans="1:1" x14ac:dyDescent="0.2">
      <c r="A521" t="str">
        <f>IF(ISBLANK(B521), "","CountryGroup-520")</f>
        <v/>
      </c>
    </row>
    <row r="522" spans="1:1" x14ac:dyDescent="0.2">
      <c r="A522" t="str">
        <f>IF(ISBLANK(B522), "","CountryGroup-521")</f>
        <v/>
      </c>
    </row>
    <row r="523" spans="1:1" x14ac:dyDescent="0.2">
      <c r="A523" t="str">
        <f>IF(ISBLANK(B523), "","CountryGroup-522")</f>
        <v/>
      </c>
    </row>
    <row r="524" spans="1:1" x14ac:dyDescent="0.2">
      <c r="A524" t="str">
        <f>IF(ISBLANK(B524), "","CountryGroup-523")</f>
        <v/>
      </c>
    </row>
    <row r="525" spans="1:1" x14ac:dyDescent="0.2">
      <c r="A525" t="str">
        <f>IF(ISBLANK(B525), "","CountryGroup-524")</f>
        <v/>
      </c>
    </row>
    <row r="526" spans="1:1" x14ac:dyDescent="0.2">
      <c r="A526" t="str">
        <f>IF(ISBLANK(B526), "","CountryGroup-525")</f>
        <v/>
      </c>
    </row>
    <row r="527" spans="1:1" x14ac:dyDescent="0.2">
      <c r="A527" t="str">
        <f>IF(ISBLANK(B527), "","CountryGroup-526")</f>
        <v/>
      </c>
    </row>
    <row r="528" spans="1:1" x14ac:dyDescent="0.2">
      <c r="A528" t="str">
        <f>IF(ISBLANK(B528), "","CountryGroup-527")</f>
        <v/>
      </c>
    </row>
    <row r="529" spans="1:1" x14ac:dyDescent="0.2">
      <c r="A529" t="str">
        <f>IF(ISBLANK(B529), "","CountryGroup-528")</f>
        <v/>
      </c>
    </row>
    <row r="530" spans="1:1" x14ac:dyDescent="0.2">
      <c r="A530" t="str">
        <f>IF(ISBLANK(B530), "","CountryGroup-529")</f>
        <v/>
      </c>
    </row>
    <row r="531" spans="1:1" x14ac:dyDescent="0.2">
      <c r="A531" t="str">
        <f>IF(ISBLANK(B531), "","CountryGroup-530")</f>
        <v/>
      </c>
    </row>
    <row r="532" spans="1:1" x14ac:dyDescent="0.2">
      <c r="A532" t="str">
        <f>IF(ISBLANK(B532), "","CountryGroup-531")</f>
        <v/>
      </c>
    </row>
    <row r="533" spans="1:1" x14ac:dyDescent="0.2">
      <c r="A533" t="str">
        <f>IF(ISBLANK(B533), "","CountryGroup-532")</f>
        <v/>
      </c>
    </row>
    <row r="534" spans="1:1" x14ac:dyDescent="0.2">
      <c r="A534" t="str">
        <f>IF(ISBLANK(B534), "","CountryGroup-533")</f>
        <v/>
      </c>
    </row>
    <row r="535" spans="1:1" x14ac:dyDescent="0.2">
      <c r="A535" t="str">
        <f>IF(ISBLANK(B535), "","CountryGroup-534")</f>
        <v/>
      </c>
    </row>
    <row r="536" spans="1:1" x14ac:dyDescent="0.2">
      <c r="A536" t="str">
        <f>IF(ISBLANK(B536), "","CountryGroup-535")</f>
        <v/>
      </c>
    </row>
    <row r="537" spans="1:1" x14ac:dyDescent="0.2">
      <c r="A537" t="str">
        <f>IF(ISBLANK(B537), "","CountryGroup-536")</f>
        <v/>
      </c>
    </row>
    <row r="538" spans="1:1" x14ac:dyDescent="0.2">
      <c r="A538" t="str">
        <f>IF(ISBLANK(B538), "","CountryGroup-537")</f>
        <v/>
      </c>
    </row>
    <row r="539" spans="1:1" x14ac:dyDescent="0.2">
      <c r="A539" t="str">
        <f>IF(ISBLANK(B539), "","CountryGroup-538")</f>
        <v/>
      </c>
    </row>
    <row r="540" spans="1:1" x14ac:dyDescent="0.2">
      <c r="A540" t="str">
        <f>IF(ISBLANK(B540), "","CountryGroup-539")</f>
        <v/>
      </c>
    </row>
    <row r="541" spans="1:1" x14ac:dyDescent="0.2">
      <c r="A541" t="str">
        <f>IF(ISBLANK(B541), "","CountryGroup-540")</f>
        <v/>
      </c>
    </row>
    <row r="542" spans="1:1" x14ac:dyDescent="0.2">
      <c r="A542" t="str">
        <f>IF(ISBLANK(B542), "","CountryGroup-541")</f>
        <v/>
      </c>
    </row>
    <row r="543" spans="1:1" x14ac:dyDescent="0.2">
      <c r="A543" t="str">
        <f>IF(ISBLANK(B543), "","CountryGroup-542")</f>
        <v/>
      </c>
    </row>
    <row r="544" spans="1:1" x14ac:dyDescent="0.2">
      <c r="A544" t="str">
        <f>IF(ISBLANK(B544), "","CountryGroup-543")</f>
        <v/>
      </c>
    </row>
    <row r="545" spans="1:1" x14ac:dyDescent="0.2">
      <c r="A545" t="str">
        <f>IF(ISBLANK(B545), "","CountryGroup-544")</f>
        <v/>
      </c>
    </row>
    <row r="546" spans="1:1" x14ac:dyDescent="0.2">
      <c r="A546" t="str">
        <f>IF(ISBLANK(B546), "","CountryGroup-545")</f>
        <v/>
      </c>
    </row>
    <row r="547" spans="1:1" x14ac:dyDescent="0.2">
      <c r="A547" t="str">
        <f>IF(ISBLANK(B547), "","CountryGroup-546")</f>
        <v/>
      </c>
    </row>
    <row r="548" spans="1:1" x14ac:dyDescent="0.2">
      <c r="A548" t="str">
        <f>IF(ISBLANK(B548), "","CountryGroup-547")</f>
        <v/>
      </c>
    </row>
    <row r="549" spans="1:1" x14ac:dyDescent="0.2">
      <c r="A549" t="str">
        <f>IF(ISBLANK(B549), "","CountryGroup-548")</f>
        <v/>
      </c>
    </row>
    <row r="550" spans="1:1" x14ac:dyDescent="0.2">
      <c r="A550" t="str">
        <f>IF(ISBLANK(B550), "","CountryGroup-549")</f>
        <v/>
      </c>
    </row>
    <row r="551" spans="1:1" x14ac:dyDescent="0.2">
      <c r="A551" t="str">
        <f>IF(ISBLANK(B551), "","CountryGroup-550")</f>
        <v/>
      </c>
    </row>
    <row r="552" spans="1:1" x14ac:dyDescent="0.2">
      <c r="A552" t="str">
        <f>IF(ISBLANK(B552), "","CountryGroup-551")</f>
        <v/>
      </c>
    </row>
    <row r="553" spans="1:1" x14ac:dyDescent="0.2">
      <c r="A553" t="str">
        <f>IF(ISBLANK(B553), "","CountryGroup-552")</f>
        <v/>
      </c>
    </row>
    <row r="554" spans="1:1" x14ac:dyDescent="0.2">
      <c r="A554" t="str">
        <f>IF(ISBLANK(B554), "","CountryGroup-553")</f>
        <v/>
      </c>
    </row>
    <row r="555" spans="1:1" x14ac:dyDescent="0.2">
      <c r="A555" t="str">
        <f>IF(ISBLANK(B555), "","CountryGroup-554")</f>
        <v/>
      </c>
    </row>
    <row r="556" spans="1:1" x14ac:dyDescent="0.2">
      <c r="A556" t="str">
        <f>IF(ISBLANK(B556), "","CountryGroup-555")</f>
        <v/>
      </c>
    </row>
    <row r="557" spans="1:1" x14ac:dyDescent="0.2">
      <c r="A557" t="str">
        <f>IF(ISBLANK(B557), "","CountryGroup-556")</f>
        <v/>
      </c>
    </row>
    <row r="558" spans="1:1" x14ac:dyDescent="0.2">
      <c r="A558" t="str">
        <f>IF(ISBLANK(B558), "","CountryGroup-557")</f>
        <v/>
      </c>
    </row>
    <row r="559" spans="1:1" x14ac:dyDescent="0.2">
      <c r="A559" t="str">
        <f>IF(ISBLANK(B559), "","CountryGroup-558")</f>
        <v/>
      </c>
    </row>
    <row r="560" spans="1:1" x14ac:dyDescent="0.2">
      <c r="A560" t="str">
        <f>IF(ISBLANK(B560), "","CountryGroup-559")</f>
        <v/>
      </c>
    </row>
    <row r="561" spans="1:1" x14ac:dyDescent="0.2">
      <c r="A561" t="str">
        <f>IF(ISBLANK(B561), "","CountryGroup-560")</f>
        <v/>
      </c>
    </row>
    <row r="562" spans="1:1" x14ac:dyDescent="0.2">
      <c r="A562" t="str">
        <f>IF(ISBLANK(B562), "","CountryGroup-561")</f>
        <v/>
      </c>
    </row>
    <row r="563" spans="1:1" x14ac:dyDescent="0.2">
      <c r="A563" t="str">
        <f>IF(ISBLANK(B563), "","CountryGroup-562")</f>
        <v/>
      </c>
    </row>
    <row r="564" spans="1:1" x14ac:dyDescent="0.2">
      <c r="A564" t="str">
        <f>IF(ISBLANK(B564), "","CountryGroup-563")</f>
        <v/>
      </c>
    </row>
    <row r="565" spans="1:1" x14ac:dyDescent="0.2">
      <c r="A565" t="str">
        <f>IF(ISBLANK(B565), "","CountryGroup-564")</f>
        <v/>
      </c>
    </row>
    <row r="566" spans="1:1" x14ac:dyDescent="0.2">
      <c r="A566" t="str">
        <f>IF(ISBLANK(B566), "","CountryGroup-565")</f>
        <v/>
      </c>
    </row>
    <row r="567" spans="1:1" x14ac:dyDescent="0.2">
      <c r="A567" t="str">
        <f>IF(ISBLANK(B567), "","CountryGroup-566")</f>
        <v/>
      </c>
    </row>
    <row r="568" spans="1:1" x14ac:dyDescent="0.2">
      <c r="A568" t="str">
        <f>IF(ISBLANK(B568), "","CountryGroup-567")</f>
        <v/>
      </c>
    </row>
    <row r="569" spans="1:1" x14ac:dyDescent="0.2">
      <c r="A569" t="str">
        <f>IF(ISBLANK(B569), "","CountryGroup-568")</f>
        <v/>
      </c>
    </row>
    <row r="570" spans="1:1" x14ac:dyDescent="0.2">
      <c r="A570" t="str">
        <f>IF(ISBLANK(B570), "","CountryGroup-569")</f>
        <v/>
      </c>
    </row>
    <row r="571" spans="1:1" x14ac:dyDescent="0.2">
      <c r="A571" t="str">
        <f>IF(ISBLANK(B571), "","CountryGroup-570")</f>
        <v/>
      </c>
    </row>
    <row r="572" spans="1:1" x14ac:dyDescent="0.2">
      <c r="A572" t="str">
        <f>IF(ISBLANK(B572), "","CountryGroup-571")</f>
        <v/>
      </c>
    </row>
    <row r="573" spans="1:1" x14ac:dyDescent="0.2">
      <c r="A573" t="str">
        <f>IF(ISBLANK(B573), "","CountryGroup-572")</f>
        <v/>
      </c>
    </row>
    <row r="574" spans="1:1" x14ac:dyDescent="0.2">
      <c r="A574" t="str">
        <f>IF(ISBLANK(B574), "","CountryGroup-573")</f>
        <v/>
      </c>
    </row>
    <row r="575" spans="1:1" x14ac:dyDescent="0.2">
      <c r="A575" t="str">
        <f>IF(ISBLANK(B575), "","CountryGroup-574")</f>
        <v/>
      </c>
    </row>
    <row r="576" spans="1:1" x14ac:dyDescent="0.2">
      <c r="A576" t="str">
        <f>IF(ISBLANK(B576), "","CountryGroup-575")</f>
        <v/>
      </c>
    </row>
    <row r="577" spans="1:1" x14ac:dyDescent="0.2">
      <c r="A577" t="str">
        <f>IF(ISBLANK(B577), "","CountryGroup-576")</f>
        <v/>
      </c>
    </row>
    <row r="578" spans="1:1" x14ac:dyDescent="0.2">
      <c r="A578" t="str">
        <f>IF(ISBLANK(B578), "","CountryGroup-577")</f>
        <v/>
      </c>
    </row>
    <row r="579" spans="1:1" x14ac:dyDescent="0.2">
      <c r="A579" t="str">
        <f>IF(ISBLANK(B579), "","CountryGroup-578")</f>
        <v/>
      </c>
    </row>
    <row r="580" spans="1:1" x14ac:dyDescent="0.2">
      <c r="A580" t="str">
        <f>IF(ISBLANK(B580), "","CountryGroup-579")</f>
        <v/>
      </c>
    </row>
    <row r="581" spans="1:1" x14ac:dyDescent="0.2">
      <c r="A581" t="str">
        <f>IF(ISBLANK(B581), "","CountryGroup-580")</f>
        <v/>
      </c>
    </row>
    <row r="582" spans="1:1" x14ac:dyDescent="0.2">
      <c r="A582" t="str">
        <f>IF(ISBLANK(B582), "","CountryGroup-581")</f>
        <v/>
      </c>
    </row>
    <row r="583" spans="1:1" x14ac:dyDescent="0.2">
      <c r="A583" t="str">
        <f>IF(ISBLANK(B583), "","CountryGroup-582")</f>
        <v/>
      </c>
    </row>
    <row r="584" spans="1:1" x14ac:dyDescent="0.2">
      <c r="A584" t="str">
        <f>IF(ISBLANK(B584), "","CountryGroup-583")</f>
        <v/>
      </c>
    </row>
    <row r="585" spans="1:1" x14ac:dyDescent="0.2">
      <c r="A585" t="str">
        <f>IF(ISBLANK(B585), "","CountryGroup-584")</f>
        <v/>
      </c>
    </row>
    <row r="586" spans="1:1" x14ac:dyDescent="0.2">
      <c r="A586" t="str">
        <f>IF(ISBLANK(B586), "","CountryGroup-585")</f>
        <v/>
      </c>
    </row>
    <row r="587" spans="1:1" x14ac:dyDescent="0.2">
      <c r="A587" t="str">
        <f>IF(ISBLANK(B587), "","CountryGroup-586")</f>
        <v/>
      </c>
    </row>
    <row r="588" spans="1:1" x14ac:dyDescent="0.2">
      <c r="A588" t="str">
        <f>IF(ISBLANK(B588), "","CountryGroup-587")</f>
        <v/>
      </c>
    </row>
    <row r="589" spans="1:1" x14ac:dyDescent="0.2">
      <c r="A589" t="str">
        <f>IF(ISBLANK(B589), "","CountryGroup-588")</f>
        <v/>
      </c>
    </row>
    <row r="590" spans="1:1" x14ac:dyDescent="0.2">
      <c r="A590" t="str">
        <f>IF(ISBLANK(B590), "","CountryGroup-589")</f>
        <v/>
      </c>
    </row>
    <row r="591" spans="1:1" x14ac:dyDescent="0.2">
      <c r="A591" t="str">
        <f>IF(ISBLANK(B591), "","CountryGroup-590")</f>
        <v/>
      </c>
    </row>
    <row r="592" spans="1:1" x14ac:dyDescent="0.2">
      <c r="A592" t="str">
        <f>IF(ISBLANK(B592), "","CountryGroup-591")</f>
        <v/>
      </c>
    </row>
    <row r="593" spans="1:1" x14ac:dyDescent="0.2">
      <c r="A593" t="str">
        <f>IF(ISBLANK(B593), "","CountryGroup-592")</f>
        <v/>
      </c>
    </row>
    <row r="594" spans="1:1" x14ac:dyDescent="0.2">
      <c r="A594" t="str">
        <f>IF(ISBLANK(B594), "","CountryGroup-593")</f>
        <v/>
      </c>
    </row>
    <row r="595" spans="1:1" x14ac:dyDescent="0.2">
      <c r="A595" t="str">
        <f>IF(ISBLANK(B595), "","CountryGroup-594")</f>
        <v/>
      </c>
    </row>
    <row r="596" spans="1:1" x14ac:dyDescent="0.2">
      <c r="A596" t="str">
        <f>IF(ISBLANK(B596), "","CountryGroup-595")</f>
        <v/>
      </c>
    </row>
    <row r="597" spans="1:1" x14ac:dyDescent="0.2">
      <c r="A597" t="str">
        <f>IF(ISBLANK(B597), "","CountryGroup-596")</f>
        <v/>
      </c>
    </row>
    <row r="598" spans="1:1" x14ac:dyDescent="0.2">
      <c r="A598" t="str">
        <f>IF(ISBLANK(B598), "","CountryGroup-597")</f>
        <v/>
      </c>
    </row>
    <row r="599" spans="1:1" x14ac:dyDescent="0.2">
      <c r="A599" t="str">
        <f>IF(ISBLANK(B599), "","CountryGroup-598")</f>
        <v/>
      </c>
    </row>
    <row r="600" spans="1:1" x14ac:dyDescent="0.2">
      <c r="A600" t="str">
        <f>IF(ISBLANK(B600), "","CountryGroup-599")</f>
        <v/>
      </c>
    </row>
    <row r="601" spans="1:1" x14ac:dyDescent="0.2">
      <c r="A601" t="str">
        <f>IF(ISBLANK(B601), "","CountryGroup-600")</f>
        <v/>
      </c>
    </row>
    <row r="602" spans="1:1" x14ac:dyDescent="0.2">
      <c r="A602" t="str">
        <f>IF(ISBLANK(B602), "","CountryGroup-601")</f>
        <v/>
      </c>
    </row>
    <row r="603" spans="1:1" x14ac:dyDescent="0.2">
      <c r="A603" t="str">
        <f>IF(ISBLANK(B603), "","CountryGroup-602")</f>
        <v/>
      </c>
    </row>
    <row r="604" spans="1:1" x14ac:dyDescent="0.2">
      <c r="A604" t="str">
        <f>IF(ISBLANK(B604), "","CountryGroup-603")</f>
        <v/>
      </c>
    </row>
    <row r="605" spans="1:1" x14ac:dyDescent="0.2">
      <c r="A605" t="str">
        <f>IF(ISBLANK(B605), "","CountryGroup-604")</f>
        <v/>
      </c>
    </row>
    <row r="606" spans="1:1" x14ac:dyDescent="0.2">
      <c r="A606" t="str">
        <f>IF(ISBLANK(B606), "","CountryGroup-605")</f>
        <v/>
      </c>
    </row>
    <row r="607" spans="1:1" x14ac:dyDescent="0.2">
      <c r="A607" t="str">
        <f>IF(ISBLANK(B607), "","CountryGroup-606")</f>
        <v/>
      </c>
    </row>
    <row r="608" spans="1:1" x14ac:dyDescent="0.2">
      <c r="A608" t="str">
        <f>IF(ISBLANK(B608), "","CountryGroup-607")</f>
        <v/>
      </c>
    </row>
    <row r="609" spans="1:1" x14ac:dyDescent="0.2">
      <c r="A609" t="str">
        <f>IF(ISBLANK(B609), "","CountryGroup-608")</f>
        <v/>
      </c>
    </row>
    <row r="610" spans="1:1" x14ac:dyDescent="0.2">
      <c r="A610" t="str">
        <f>IF(ISBLANK(B610), "","CountryGroup-609")</f>
        <v/>
      </c>
    </row>
    <row r="611" spans="1:1" x14ac:dyDescent="0.2">
      <c r="A611" t="str">
        <f>IF(ISBLANK(B611), "","CountryGroup-610")</f>
        <v/>
      </c>
    </row>
    <row r="612" spans="1:1" x14ac:dyDescent="0.2">
      <c r="A612" t="str">
        <f>IF(ISBLANK(B612), "","CountryGroup-611")</f>
        <v/>
      </c>
    </row>
    <row r="613" spans="1:1" x14ac:dyDescent="0.2">
      <c r="A613" t="str">
        <f>IF(ISBLANK(B613), "","CountryGroup-612")</f>
        <v/>
      </c>
    </row>
    <row r="614" spans="1:1" x14ac:dyDescent="0.2">
      <c r="A614" t="str">
        <f>IF(ISBLANK(B614), "","CountryGroup-613")</f>
        <v/>
      </c>
    </row>
    <row r="615" spans="1:1" x14ac:dyDescent="0.2">
      <c r="A615" t="str">
        <f>IF(ISBLANK(B615), "","CountryGroup-614")</f>
        <v/>
      </c>
    </row>
    <row r="616" spans="1:1" x14ac:dyDescent="0.2">
      <c r="A616" t="str">
        <f>IF(ISBLANK(B616), "","CountryGroup-615")</f>
        <v/>
      </c>
    </row>
    <row r="617" spans="1:1" x14ac:dyDescent="0.2">
      <c r="A617" t="str">
        <f>IF(ISBLANK(B617), "","CountryGroup-616")</f>
        <v/>
      </c>
    </row>
    <row r="618" spans="1:1" x14ac:dyDescent="0.2">
      <c r="A618" t="str">
        <f>IF(ISBLANK(B618), "","CountryGroup-617")</f>
        <v/>
      </c>
    </row>
    <row r="619" spans="1:1" x14ac:dyDescent="0.2">
      <c r="A619" t="str">
        <f>IF(ISBLANK(B619), "","CountryGroup-618")</f>
        <v/>
      </c>
    </row>
    <row r="620" spans="1:1" x14ac:dyDescent="0.2">
      <c r="A620" t="str">
        <f>IF(ISBLANK(B620), "","CountryGroup-619")</f>
        <v/>
      </c>
    </row>
    <row r="621" spans="1:1" x14ac:dyDescent="0.2">
      <c r="A621" t="str">
        <f>IF(ISBLANK(B621), "","CountryGroup-620")</f>
        <v/>
      </c>
    </row>
    <row r="622" spans="1:1" x14ac:dyDescent="0.2">
      <c r="A622" t="str">
        <f>IF(ISBLANK(B622), "","CountryGroup-621")</f>
        <v/>
      </c>
    </row>
    <row r="623" spans="1:1" x14ac:dyDescent="0.2">
      <c r="A623" t="str">
        <f>IF(ISBLANK(B623), "","CountryGroup-622")</f>
        <v/>
      </c>
    </row>
    <row r="624" spans="1:1" x14ac:dyDescent="0.2">
      <c r="A624" t="str">
        <f>IF(ISBLANK(B624), "","CountryGroup-623")</f>
        <v/>
      </c>
    </row>
    <row r="625" spans="1:1" x14ac:dyDescent="0.2">
      <c r="A625" t="str">
        <f>IF(ISBLANK(B625), "","CountryGroup-624")</f>
        <v/>
      </c>
    </row>
    <row r="626" spans="1:1" x14ac:dyDescent="0.2">
      <c r="A626" t="str">
        <f>IF(ISBLANK(B626), "","CountryGroup-625")</f>
        <v/>
      </c>
    </row>
    <row r="627" spans="1:1" x14ac:dyDescent="0.2">
      <c r="A627" t="str">
        <f>IF(ISBLANK(B627), "","CountryGroup-626")</f>
        <v/>
      </c>
    </row>
    <row r="628" spans="1:1" x14ac:dyDescent="0.2">
      <c r="A628" t="str">
        <f>IF(ISBLANK(B628), "","CountryGroup-627")</f>
        <v/>
      </c>
    </row>
    <row r="629" spans="1:1" x14ac:dyDescent="0.2">
      <c r="A629" t="str">
        <f>IF(ISBLANK(B629), "","CountryGroup-628")</f>
        <v/>
      </c>
    </row>
    <row r="630" spans="1:1" x14ac:dyDescent="0.2">
      <c r="A630" t="str">
        <f>IF(ISBLANK(B630), "","CountryGroup-629")</f>
        <v/>
      </c>
    </row>
    <row r="631" spans="1:1" x14ac:dyDescent="0.2">
      <c r="A631" t="str">
        <f>IF(ISBLANK(B631), "","CountryGroup-630")</f>
        <v/>
      </c>
    </row>
    <row r="632" spans="1:1" x14ac:dyDescent="0.2">
      <c r="A632" t="str">
        <f>IF(ISBLANK(B632), "","CountryGroup-631")</f>
        <v/>
      </c>
    </row>
    <row r="633" spans="1:1" x14ac:dyDescent="0.2">
      <c r="A633" t="str">
        <f>IF(ISBLANK(B633), "","CountryGroup-632")</f>
        <v/>
      </c>
    </row>
    <row r="634" spans="1:1" x14ac:dyDescent="0.2">
      <c r="A634" t="str">
        <f>IF(ISBLANK(B634), "","CountryGroup-633")</f>
        <v/>
      </c>
    </row>
    <row r="635" spans="1:1" x14ac:dyDescent="0.2">
      <c r="A635" t="str">
        <f>IF(ISBLANK(B635), "","CountryGroup-634")</f>
        <v/>
      </c>
    </row>
    <row r="636" spans="1:1" x14ac:dyDescent="0.2">
      <c r="A636" t="str">
        <f>IF(ISBLANK(B636), "","CountryGroup-635")</f>
        <v/>
      </c>
    </row>
    <row r="637" spans="1:1" x14ac:dyDescent="0.2">
      <c r="A637" t="str">
        <f>IF(ISBLANK(B637), "","CountryGroup-636")</f>
        <v/>
      </c>
    </row>
    <row r="638" spans="1:1" x14ac:dyDescent="0.2">
      <c r="A638" t="str">
        <f>IF(ISBLANK(B638), "","CountryGroup-637")</f>
        <v/>
      </c>
    </row>
    <row r="639" spans="1:1" x14ac:dyDescent="0.2">
      <c r="A639" t="str">
        <f>IF(ISBLANK(B639), "","CountryGroup-638")</f>
        <v/>
      </c>
    </row>
    <row r="640" spans="1:1" x14ac:dyDescent="0.2">
      <c r="A640" t="str">
        <f>IF(ISBLANK(B640), "","CountryGroup-639")</f>
        <v/>
      </c>
    </row>
    <row r="641" spans="1:1" x14ac:dyDescent="0.2">
      <c r="A641" t="str">
        <f>IF(ISBLANK(B641), "","CountryGroup-640")</f>
        <v/>
      </c>
    </row>
    <row r="642" spans="1:1" x14ac:dyDescent="0.2">
      <c r="A642" t="str">
        <f>IF(ISBLANK(B642), "","CountryGroup-641")</f>
        <v/>
      </c>
    </row>
    <row r="643" spans="1:1" x14ac:dyDescent="0.2">
      <c r="A643" t="str">
        <f>IF(ISBLANK(B643), "","CountryGroup-642")</f>
        <v/>
      </c>
    </row>
    <row r="644" spans="1:1" x14ac:dyDescent="0.2">
      <c r="A644" t="str">
        <f>IF(ISBLANK(B644), "","CountryGroup-643")</f>
        <v/>
      </c>
    </row>
    <row r="645" spans="1:1" x14ac:dyDescent="0.2">
      <c r="A645" t="str">
        <f>IF(ISBLANK(B645), "","CountryGroup-644")</f>
        <v/>
      </c>
    </row>
    <row r="646" spans="1:1" x14ac:dyDescent="0.2">
      <c r="A646" t="str">
        <f>IF(ISBLANK(B646), "","CountryGroup-645")</f>
        <v/>
      </c>
    </row>
    <row r="647" spans="1:1" x14ac:dyDescent="0.2">
      <c r="A647" t="str">
        <f>IF(ISBLANK(B647), "","CountryGroup-646")</f>
        <v/>
      </c>
    </row>
    <row r="648" spans="1:1" x14ac:dyDescent="0.2">
      <c r="A648" t="str">
        <f>IF(ISBLANK(B648), "","CountryGroup-647")</f>
        <v/>
      </c>
    </row>
    <row r="649" spans="1:1" x14ac:dyDescent="0.2">
      <c r="A649" t="str">
        <f>IF(ISBLANK(B649), "","CountryGroup-648")</f>
        <v/>
      </c>
    </row>
    <row r="650" spans="1:1" x14ac:dyDescent="0.2">
      <c r="A650" t="str">
        <f>IF(ISBLANK(B650), "","CountryGroup-649")</f>
        <v/>
      </c>
    </row>
    <row r="651" spans="1:1" x14ac:dyDescent="0.2">
      <c r="A651" t="str">
        <f>IF(ISBLANK(B651), "","CountryGroup-650")</f>
        <v/>
      </c>
    </row>
    <row r="652" spans="1:1" x14ac:dyDescent="0.2">
      <c r="A652" t="str">
        <f>IF(ISBLANK(B652), "","CountryGroup-651")</f>
        <v/>
      </c>
    </row>
    <row r="653" spans="1:1" x14ac:dyDescent="0.2">
      <c r="A653" t="str">
        <f>IF(ISBLANK(B653), "","CountryGroup-652")</f>
        <v/>
      </c>
    </row>
    <row r="654" spans="1:1" x14ac:dyDescent="0.2">
      <c r="A654" t="str">
        <f>IF(ISBLANK(B654), "","CountryGroup-653")</f>
        <v/>
      </c>
    </row>
    <row r="655" spans="1:1" x14ac:dyDescent="0.2">
      <c r="A655" t="str">
        <f>IF(ISBLANK(B655), "","CountryGroup-654")</f>
        <v/>
      </c>
    </row>
    <row r="656" spans="1:1" x14ac:dyDescent="0.2">
      <c r="A656" t="str">
        <f>IF(ISBLANK(B656), "","CountryGroup-655")</f>
        <v/>
      </c>
    </row>
    <row r="657" spans="1:1" x14ac:dyDescent="0.2">
      <c r="A657" t="str">
        <f>IF(ISBLANK(B657), "","CountryGroup-656")</f>
        <v/>
      </c>
    </row>
    <row r="658" spans="1:1" x14ac:dyDescent="0.2">
      <c r="A658" t="str">
        <f>IF(ISBLANK(B658), "","CountryGroup-657")</f>
        <v/>
      </c>
    </row>
    <row r="659" spans="1:1" x14ac:dyDescent="0.2">
      <c r="A659" t="str">
        <f>IF(ISBLANK(B659), "","CountryGroup-658")</f>
        <v/>
      </c>
    </row>
    <row r="660" spans="1:1" x14ac:dyDescent="0.2">
      <c r="A660" t="str">
        <f>IF(ISBLANK(B660), "","CountryGroup-659")</f>
        <v/>
      </c>
    </row>
    <row r="661" spans="1:1" x14ac:dyDescent="0.2">
      <c r="A661" t="str">
        <f>IF(ISBLANK(B661), "","CountryGroup-660")</f>
        <v/>
      </c>
    </row>
    <row r="662" spans="1:1" x14ac:dyDescent="0.2">
      <c r="A662" t="str">
        <f>IF(ISBLANK(B662), "","CountryGroup-661")</f>
        <v/>
      </c>
    </row>
    <row r="663" spans="1:1" x14ac:dyDescent="0.2">
      <c r="A663" t="str">
        <f>IF(ISBLANK(B663), "","CountryGroup-662")</f>
        <v/>
      </c>
    </row>
    <row r="664" spans="1:1" x14ac:dyDescent="0.2">
      <c r="A664" t="str">
        <f>IF(ISBLANK(B664), "","CountryGroup-663")</f>
        <v/>
      </c>
    </row>
    <row r="665" spans="1:1" x14ac:dyDescent="0.2">
      <c r="A665" t="str">
        <f>IF(ISBLANK(B665), "","CountryGroup-664")</f>
        <v/>
      </c>
    </row>
    <row r="666" spans="1:1" x14ac:dyDescent="0.2">
      <c r="A666" t="str">
        <f>IF(ISBLANK(B666), "","CountryGroup-665")</f>
        <v/>
      </c>
    </row>
    <row r="667" spans="1:1" x14ac:dyDescent="0.2">
      <c r="A667" t="str">
        <f>IF(ISBLANK(B667), "","CountryGroup-666")</f>
        <v/>
      </c>
    </row>
    <row r="668" spans="1:1" x14ac:dyDescent="0.2">
      <c r="A668" t="str">
        <f>IF(ISBLANK(B668), "","CountryGroup-667")</f>
        <v/>
      </c>
    </row>
    <row r="669" spans="1:1" x14ac:dyDescent="0.2">
      <c r="A669" t="str">
        <f>IF(ISBLANK(B669), "","CountryGroup-668")</f>
        <v/>
      </c>
    </row>
    <row r="670" spans="1:1" x14ac:dyDescent="0.2">
      <c r="A670" t="str">
        <f>IF(ISBLANK(B670), "","CountryGroup-669")</f>
        <v/>
      </c>
    </row>
    <row r="671" spans="1:1" x14ac:dyDescent="0.2">
      <c r="A671" t="str">
        <f>IF(ISBLANK(B671), "","CountryGroup-670")</f>
        <v/>
      </c>
    </row>
    <row r="672" spans="1:1" x14ac:dyDescent="0.2">
      <c r="A672" t="str">
        <f>IF(ISBLANK(B672), "","CountryGroup-671")</f>
        <v/>
      </c>
    </row>
    <row r="673" spans="1:1" x14ac:dyDescent="0.2">
      <c r="A673" t="str">
        <f>IF(ISBLANK(B673), "","CountryGroup-672")</f>
        <v/>
      </c>
    </row>
    <row r="674" spans="1:1" x14ac:dyDescent="0.2">
      <c r="A674" t="str">
        <f>IF(ISBLANK(B674), "","CountryGroup-673")</f>
        <v/>
      </c>
    </row>
    <row r="675" spans="1:1" x14ac:dyDescent="0.2">
      <c r="A675" t="str">
        <f>IF(ISBLANK(B675), "","CountryGroup-674")</f>
        <v/>
      </c>
    </row>
    <row r="676" spans="1:1" x14ac:dyDescent="0.2">
      <c r="A676" t="str">
        <f>IF(ISBLANK(B676), "","CountryGroup-675")</f>
        <v/>
      </c>
    </row>
    <row r="677" spans="1:1" x14ac:dyDescent="0.2">
      <c r="A677" t="str">
        <f>IF(ISBLANK(B677), "","CountryGroup-676")</f>
        <v/>
      </c>
    </row>
    <row r="678" spans="1:1" x14ac:dyDescent="0.2">
      <c r="A678" t="str">
        <f>IF(ISBLANK(B678), "","CountryGroup-677")</f>
        <v/>
      </c>
    </row>
    <row r="679" spans="1:1" x14ac:dyDescent="0.2">
      <c r="A679" t="str">
        <f>IF(ISBLANK(B679), "","CountryGroup-678")</f>
        <v/>
      </c>
    </row>
    <row r="680" spans="1:1" x14ac:dyDescent="0.2">
      <c r="A680" t="str">
        <f>IF(ISBLANK(B680), "","CountryGroup-679")</f>
        <v/>
      </c>
    </row>
    <row r="681" spans="1:1" x14ac:dyDescent="0.2">
      <c r="A681" t="str">
        <f>IF(ISBLANK(B681), "","CountryGroup-680")</f>
        <v/>
      </c>
    </row>
    <row r="682" spans="1:1" x14ac:dyDescent="0.2">
      <c r="A682" t="str">
        <f>IF(ISBLANK(B682), "","CountryGroup-681")</f>
        <v/>
      </c>
    </row>
    <row r="683" spans="1:1" x14ac:dyDescent="0.2">
      <c r="A683" t="str">
        <f>IF(ISBLANK(B683), "","CountryGroup-682")</f>
        <v/>
      </c>
    </row>
    <row r="684" spans="1:1" x14ac:dyDescent="0.2">
      <c r="A684" t="str">
        <f>IF(ISBLANK(B684), "","CountryGroup-683")</f>
        <v/>
      </c>
    </row>
    <row r="685" spans="1:1" x14ac:dyDescent="0.2">
      <c r="A685" t="str">
        <f>IF(ISBLANK(B685), "","CountryGroup-684")</f>
        <v/>
      </c>
    </row>
    <row r="686" spans="1:1" x14ac:dyDescent="0.2">
      <c r="A686" t="str">
        <f>IF(ISBLANK(B686), "","CountryGroup-685")</f>
        <v/>
      </c>
    </row>
    <row r="687" spans="1:1" x14ac:dyDescent="0.2">
      <c r="A687" t="str">
        <f>IF(ISBLANK(B687), "","CountryGroup-686")</f>
        <v/>
      </c>
    </row>
    <row r="688" spans="1:1" x14ac:dyDescent="0.2">
      <c r="A688" t="str">
        <f>IF(ISBLANK(B688), "","CountryGroup-687")</f>
        <v/>
      </c>
    </row>
    <row r="689" spans="1:1" x14ac:dyDescent="0.2">
      <c r="A689" t="str">
        <f>IF(ISBLANK(B689), "","CountryGroup-688")</f>
        <v/>
      </c>
    </row>
    <row r="690" spans="1:1" x14ac:dyDescent="0.2">
      <c r="A690" t="str">
        <f>IF(ISBLANK(B690), "","CountryGroup-689")</f>
        <v/>
      </c>
    </row>
    <row r="691" spans="1:1" x14ac:dyDescent="0.2">
      <c r="A691" t="str">
        <f>IF(ISBLANK(B691), "","CountryGroup-690")</f>
        <v/>
      </c>
    </row>
    <row r="692" spans="1:1" x14ac:dyDescent="0.2">
      <c r="A692" t="str">
        <f>IF(ISBLANK(B692), "","CountryGroup-691")</f>
        <v/>
      </c>
    </row>
    <row r="693" spans="1:1" x14ac:dyDescent="0.2">
      <c r="A693" t="str">
        <f>IF(ISBLANK(B693), "","CountryGroup-692")</f>
        <v/>
      </c>
    </row>
    <row r="694" spans="1:1" x14ac:dyDescent="0.2">
      <c r="A694" t="str">
        <f>IF(ISBLANK(B694), "","CountryGroup-693")</f>
        <v/>
      </c>
    </row>
    <row r="695" spans="1:1" x14ac:dyDescent="0.2">
      <c r="A695" t="str">
        <f>IF(ISBLANK(B695), "","CountryGroup-694")</f>
        <v/>
      </c>
    </row>
    <row r="696" spans="1:1" x14ac:dyDescent="0.2">
      <c r="A696" t="str">
        <f>IF(ISBLANK(B696), "","CountryGroup-695")</f>
        <v/>
      </c>
    </row>
    <row r="697" spans="1:1" x14ac:dyDescent="0.2">
      <c r="A697" t="str">
        <f>IF(ISBLANK(B697), "","CountryGroup-696")</f>
        <v/>
      </c>
    </row>
    <row r="698" spans="1:1" x14ac:dyDescent="0.2">
      <c r="A698" t="str">
        <f>IF(ISBLANK(B698), "","CountryGroup-697")</f>
        <v/>
      </c>
    </row>
    <row r="699" spans="1:1" x14ac:dyDescent="0.2">
      <c r="A699" t="str">
        <f>IF(ISBLANK(B699), "","CountryGroup-698")</f>
        <v/>
      </c>
    </row>
    <row r="700" spans="1:1" x14ac:dyDescent="0.2">
      <c r="A700" t="str">
        <f>IF(ISBLANK(B700), "","CountryGroup-699")</f>
        <v/>
      </c>
    </row>
    <row r="701" spans="1:1" x14ac:dyDescent="0.2">
      <c r="A701" t="str">
        <f>IF(ISBLANK(B701), "","CountryGroup-700")</f>
        <v/>
      </c>
    </row>
    <row r="702" spans="1:1" x14ac:dyDescent="0.2">
      <c r="A702" t="str">
        <f>IF(ISBLANK(B702), "","CountryGroup-701")</f>
        <v/>
      </c>
    </row>
    <row r="703" spans="1:1" x14ac:dyDescent="0.2">
      <c r="A703" t="str">
        <f>IF(ISBLANK(B703), "","CountryGroup-702")</f>
        <v/>
      </c>
    </row>
    <row r="704" spans="1:1" x14ac:dyDescent="0.2">
      <c r="A704" t="str">
        <f>IF(ISBLANK(B704), "","CountryGroup-703")</f>
        <v/>
      </c>
    </row>
    <row r="705" spans="1:1" x14ac:dyDescent="0.2">
      <c r="A705" t="str">
        <f>IF(ISBLANK(B705), "","CountryGroup-704")</f>
        <v/>
      </c>
    </row>
    <row r="706" spans="1:1" x14ac:dyDescent="0.2">
      <c r="A706" t="str">
        <f>IF(ISBLANK(B706), "","CountryGroup-705")</f>
        <v/>
      </c>
    </row>
    <row r="707" spans="1:1" x14ac:dyDescent="0.2">
      <c r="A707" t="str">
        <f>IF(ISBLANK(B707), "","CountryGroup-706")</f>
        <v/>
      </c>
    </row>
    <row r="708" spans="1:1" x14ac:dyDescent="0.2">
      <c r="A708" t="str">
        <f>IF(ISBLANK(B708), "","CountryGroup-707")</f>
        <v/>
      </c>
    </row>
    <row r="709" spans="1:1" x14ac:dyDescent="0.2">
      <c r="A709" t="str">
        <f>IF(ISBLANK(B709), "","CountryGroup-708")</f>
        <v/>
      </c>
    </row>
    <row r="710" spans="1:1" x14ac:dyDescent="0.2">
      <c r="A710" t="str">
        <f>IF(ISBLANK(B710), "","CountryGroup-709")</f>
        <v/>
      </c>
    </row>
    <row r="711" spans="1:1" x14ac:dyDescent="0.2">
      <c r="A711" t="str">
        <f>IF(ISBLANK(B711), "","CountryGroup-710")</f>
        <v/>
      </c>
    </row>
    <row r="712" spans="1:1" x14ac:dyDescent="0.2">
      <c r="A712" t="str">
        <f>IF(ISBLANK(B712), "","CountryGroup-711")</f>
        <v/>
      </c>
    </row>
    <row r="713" spans="1:1" x14ac:dyDescent="0.2">
      <c r="A713" t="str">
        <f>IF(ISBLANK(B713), "","CountryGroup-712")</f>
        <v/>
      </c>
    </row>
    <row r="714" spans="1:1" x14ac:dyDescent="0.2">
      <c r="A714" t="str">
        <f>IF(ISBLANK(B714), "","CountryGroup-713")</f>
        <v/>
      </c>
    </row>
    <row r="715" spans="1:1" x14ac:dyDescent="0.2">
      <c r="A715" t="str">
        <f>IF(ISBLANK(B715), "","CountryGroup-714")</f>
        <v/>
      </c>
    </row>
    <row r="716" spans="1:1" x14ac:dyDescent="0.2">
      <c r="A716" t="str">
        <f>IF(ISBLANK(B716), "","CountryGroup-715")</f>
        <v/>
      </c>
    </row>
    <row r="717" spans="1:1" x14ac:dyDescent="0.2">
      <c r="A717" t="str">
        <f>IF(ISBLANK(B717), "","CountryGroup-716")</f>
        <v/>
      </c>
    </row>
    <row r="718" spans="1:1" x14ac:dyDescent="0.2">
      <c r="A718" t="str">
        <f>IF(ISBLANK(B718), "","CountryGroup-717")</f>
        <v/>
      </c>
    </row>
    <row r="719" spans="1:1" x14ac:dyDescent="0.2">
      <c r="A719" t="str">
        <f>IF(ISBLANK(B719), "","CountryGroup-718")</f>
        <v/>
      </c>
    </row>
    <row r="720" spans="1:1" x14ac:dyDescent="0.2">
      <c r="A720" t="str">
        <f>IF(ISBLANK(B720), "","CountryGroup-719")</f>
        <v/>
      </c>
    </row>
    <row r="721" spans="1:1" x14ac:dyDescent="0.2">
      <c r="A721" t="str">
        <f>IF(ISBLANK(B721), "","CountryGroup-720")</f>
        <v/>
      </c>
    </row>
    <row r="722" spans="1:1" x14ac:dyDescent="0.2">
      <c r="A722" t="str">
        <f>IF(ISBLANK(B722), "","CountryGroup-721")</f>
        <v/>
      </c>
    </row>
    <row r="723" spans="1:1" x14ac:dyDescent="0.2">
      <c r="A723" t="str">
        <f>IF(ISBLANK(B723), "","CountryGroup-722")</f>
        <v/>
      </c>
    </row>
    <row r="724" spans="1:1" x14ac:dyDescent="0.2">
      <c r="A724" t="str">
        <f>IF(ISBLANK(B724), "","CountryGroup-723")</f>
        <v/>
      </c>
    </row>
    <row r="725" spans="1:1" x14ac:dyDescent="0.2">
      <c r="A725" t="str">
        <f>IF(ISBLANK(B725), "","CountryGroup-724")</f>
        <v/>
      </c>
    </row>
    <row r="726" spans="1:1" x14ac:dyDescent="0.2">
      <c r="A726" t="str">
        <f>IF(ISBLANK(B726), "","CountryGroup-725")</f>
        <v/>
      </c>
    </row>
    <row r="727" spans="1:1" x14ac:dyDescent="0.2">
      <c r="A727" t="str">
        <f>IF(ISBLANK(B727), "","CountryGroup-726")</f>
        <v/>
      </c>
    </row>
    <row r="728" spans="1:1" x14ac:dyDescent="0.2">
      <c r="A728" t="str">
        <f>IF(ISBLANK(B728), "","CountryGroup-727")</f>
        <v/>
      </c>
    </row>
    <row r="729" spans="1:1" x14ac:dyDescent="0.2">
      <c r="A729" t="str">
        <f>IF(ISBLANK(B729), "","CountryGroup-728")</f>
        <v/>
      </c>
    </row>
    <row r="730" spans="1:1" x14ac:dyDescent="0.2">
      <c r="A730" t="str">
        <f>IF(ISBLANK(B730), "","CountryGroup-729")</f>
        <v/>
      </c>
    </row>
    <row r="731" spans="1:1" x14ac:dyDescent="0.2">
      <c r="A731" t="str">
        <f>IF(ISBLANK(B731), "","CountryGroup-730")</f>
        <v/>
      </c>
    </row>
    <row r="732" spans="1:1" x14ac:dyDescent="0.2">
      <c r="A732" t="str">
        <f>IF(ISBLANK(B732), "","CountryGroup-731")</f>
        <v/>
      </c>
    </row>
    <row r="733" spans="1:1" x14ac:dyDescent="0.2">
      <c r="A733" t="str">
        <f>IF(ISBLANK(B733), "","CountryGroup-732")</f>
        <v/>
      </c>
    </row>
    <row r="734" spans="1:1" x14ac:dyDescent="0.2">
      <c r="A734" t="str">
        <f>IF(ISBLANK(B734), "","CountryGroup-733")</f>
        <v/>
      </c>
    </row>
    <row r="735" spans="1:1" x14ac:dyDescent="0.2">
      <c r="A735" t="str">
        <f>IF(ISBLANK(B735), "","CountryGroup-734")</f>
        <v/>
      </c>
    </row>
    <row r="736" spans="1:1" x14ac:dyDescent="0.2">
      <c r="A736" t="str">
        <f>IF(ISBLANK(B736), "","CountryGroup-735")</f>
        <v/>
      </c>
    </row>
    <row r="737" spans="1:1" x14ac:dyDescent="0.2">
      <c r="A737" t="str">
        <f>IF(ISBLANK(B737), "","CountryGroup-736")</f>
        <v/>
      </c>
    </row>
    <row r="738" spans="1:1" x14ac:dyDescent="0.2">
      <c r="A738" t="str">
        <f>IF(ISBLANK(B738), "","CountryGroup-737")</f>
        <v/>
      </c>
    </row>
    <row r="739" spans="1:1" x14ac:dyDescent="0.2">
      <c r="A739" t="str">
        <f>IF(ISBLANK(B739), "","CountryGroup-738")</f>
        <v/>
      </c>
    </row>
    <row r="740" spans="1:1" x14ac:dyDescent="0.2">
      <c r="A740" t="str">
        <f>IF(ISBLANK(B740), "","CountryGroup-739")</f>
        <v/>
      </c>
    </row>
    <row r="741" spans="1:1" x14ac:dyDescent="0.2">
      <c r="A741" t="str">
        <f>IF(ISBLANK(B741), "","CountryGroup-740")</f>
        <v/>
      </c>
    </row>
    <row r="742" spans="1:1" x14ac:dyDescent="0.2">
      <c r="A742" t="str">
        <f>IF(ISBLANK(B742), "","CountryGroup-741")</f>
        <v/>
      </c>
    </row>
    <row r="743" spans="1:1" x14ac:dyDescent="0.2">
      <c r="A743" t="str">
        <f>IF(ISBLANK(B743), "","CountryGroup-742")</f>
        <v/>
      </c>
    </row>
    <row r="744" spans="1:1" x14ac:dyDescent="0.2">
      <c r="A744" t="str">
        <f>IF(ISBLANK(B744), "","CountryGroup-743")</f>
        <v/>
      </c>
    </row>
    <row r="745" spans="1:1" x14ac:dyDescent="0.2">
      <c r="A745" t="str">
        <f>IF(ISBLANK(B745), "","CountryGroup-744")</f>
        <v/>
      </c>
    </row>
    <row r="746" spans="1:1" x14ac:dyDescent="0.2">
      <c r="A746" t="str">
        <f>IF(ISBLANK(B746), "","CountryGroup-745")</f>
        <v/>
      </c>
    </row>
    <row r="747" spans="1:1" x14ac:dyDescent="0.2">
      <c r="A747" t="str">
        <f>IF(ISBLANK(B747), "","CountryGroup-746")</f>
        <v/>
      </c>
    </row>
    <row r="748" spans="1:1" x14ac:dyDescent="0.2">
      <c r="A748" t="str">
        <f>IF(ISBLANK(B748), "","CountryGroup-747")</f>
        <v/>
      </c>
    </row>
    <row r="749" spans="1:1" x14ac:dyDescent="0.2">
      <c r="A749" t="str">
        <f>IF(ISBLANK(B749), "","CountryGroup-748")</f>
        <v/>
      </c>
    </row>
    <row r="750" spans="1:1" x14ac:dyDescent="0.2">
      <c r="A750" t="str">
        <f>IF(ISBLANK(B750), "","CountryGroup-749")</f>
        <v/>
      </c>
    </row>
    <row r="751" spans="1:1" x14ac:dyDescent="0.2">
      <c r="A751" t="str">
        <f>IF(ISBLANK(B751), "","CountryGroup-750")</f>
        <v/>
      </c>
    </row>
    <row r="752" spans="1:1" x14ac:dyDescent="0.2">
      <c r="A752" t="str">
        <f>IF(ISBLANK(B752), "","CountryGroup-751")</f>
        <v/>
      </c>
    </row>
    <row r="753" spans="1:1" x14ac:dyDescent="0.2">
      <c r="A753" t="str">
        <f>IF(ISBLANK(B753), "","CountryGroup-752")</f>
        <v/>
      </c>
    </row>
    <row r="754" spans="1:1" x14ac:dyDescent="0.2">
      <c r="A754" t="str">
        <f>IF(ISBLANK(B754), "","CountryGroup-753")</f>
        <v/>
      </c>
    </row>
    <row r="755" spans="1:1" x14ac:dyDescent="0.2">
      <c r="A755" t="str">
        <f>IF(ISBLANK(B755), "","CountryGroup-754")</f>
        <v/>
      </c>
    </row>
    <row r="756" spans="1:1" x14ac:dyDescent="0.2">
      <c r="A756" t="str">
        <f>IF(ISBLANK(B756), "","CountryGroup-755")</f>
        <v/>
      </c>
    </row>
    <row r="757" spans="1:1" x14ac:dyDescent="0.2">
      <c r="A757" t="str">
        <f>IF(ISBLANK(B757), "","CountryGroup-756")</f>
        <v/>
      </c>
    </row>
    <row r="758" spans="1:1" x14ac:dyDescent="0.2">
      <c r="A758" t="str">
        <f>IF(ISBLANK(B758), "","CountryGroup-757")</f>
        <v/>
      </c>
    </row>
    <row r="759" spans="1:1" x14ac:dyDescent="0.2">
      <c r="A759" t="str">
        <f>IF(ISBLANK(B759), "","CountryGroup-758")</f>
        <v/>
      </c>
    </row>
    <row r="760" spans="1:1" x14ac:dyDescent="0.2">
      <c r="A760" t="str">
        <f>IF(ISBLANK(B760), "","CountryGroup-759")</f>
        <v/>
      </c>
    </row>
    <row r="761" spans="1:1" x14ac:dyDescent="0.2">
      <c r="A761" t="str">
        <f>IF(ISBLANK(B761), "","CountryGroup-760")</f>
        <v/>
      </c>
    </row>
    <row r="762" spans="1:1" x14ac:dyDescent="0.2">
      <c r="A762" t="str">
        <f>IF(ISBLANK(B762), "","CountryGroup-761")</f>
        <v/>
      </c>
    </row>
    <row r="763" spans="1:1" x14ac:dyDescent="0.2">
      <c r="A763" t="str">
        <f>IF(ISBLANK(B763), "","CountryGroup-762")</f>
        <v/>
      </c>
    </row>
    <row r="764" spans="1:1" x14ac:dyDescent="0.2">
      <c r="A764" t="str">
        <f>IF(ISBLANK(B764), "","CountryGroup-763")</f>
        <v/>
      </c>
    </row>
    <row r="765" spans="1:1" x14ac:dyDescent="0.2">
      <c r="A765" t="str">
        <f>IF(ISBLANK(B765), "","CountryGroup-764")</f>
        <v/>
      </c>
    </row>
    <row r="766" spans="1:1" x14ac:dyDescent="0.2">
      <c r="A766" t="str">
        <f>IF(ISBLANK(B766), "","CountryGroup-765")</f>
        <v/>
      </c>
    </row>
    <row r="767" spans="1:1" x14ac:dyDescent="0.2">
      <c r="A767" t="str">
        <f>IF(ISBLANK(B767), "","CountryGroup-766")</f>
        <v/>
      </c>
    </row>
    <row r="768" spans="1:1" x14ac:dyDescent="0.2">
      <c r="A768" t="str">
        <f>IF(ISBLANK(B768), "","CountryGroup-767")</f>
        <v/>
      </c>
    </row>
    <row r="769" spans="1:1" x14ac:dyDescent="0.2">
      <c r="A769" t="str">
        <f>IF(ISBLANK(B769), "","CountryGroup-768")</f>
        <v/>
      </c>
    </row>
    <row r="770" spans="1:1" x14ac:dyDescent="0.2">
      <c r="A770" t="str">
        <f>IF(ISBLANK(B770), "","CountryGroup-769")</f>
        <v/>
      </c>
    </row>
    <row r="771" spans="1:1" x14ac:dyDescent="0.2">
      <c r="A771" t="str">
        <f>IF(ISBLANK(B771), "","CountryGroup-770")</f>
        <v/>
      </c>
    </row>
    <row r="772" spans="1:1" x14ac:dyDescent="0.2">
      <c r="A772" t="str">
        <f>IF(ISBLANK(B772), "","CountryGroup-771")</f>
        <v/>
      </c>
    </row>
    <row r="773" spans="1:1" x14ac:dyDescent="0.2">
      <c r="A773" t="str">
        <f>IF(ISBLANK(B773), "","CountryGroup-772")</f>
        <v/>
      </c>
    </row>
    <row r="774" spans="1:1" x14ac:dyDescent="0.2">
      <c r="A774" t="str">
        <f>IF(ISBLANK(B774), "","CountryGroup-773")</f>
        <v/>
      </c>
    </row>
    <row r="775" spans="1:1" x14ac:dyDescent="0.2">
      <c r="A775" t="str">
        <f>IF(ISBLANK(B775), "","CountryGroup-774")</f>
        <v/>
      </c>
    </row>
    <row r="776" spans="1:1" x14ac:dyDescent="0.2">
      <c r="A776" t="str">
        <f>IF(ISBLANK(B776), "","CountryGroup-775")</f>
        <v/>
      </c>
    </row>
    <row r="777" spans="1:1" x14ac:dyDescent="0.2">
      <c r="A777" t="str">
        <f>IF(ISBLANK(B777), "","CountryGroup-776")</f>
        <v/>
      </c>
    </row>
    <row r="778" spans="1:1" x14ac:dyDescent="0.2">
      <c r="A778" t="str">
        <f>IF(ISBLANK(B778), "","CountryGroup-777")</f>
        <v/>
      </c>
    </row>
    <row r="779" spans="1:1" x14ac:dyDescent="0.2">
      <c r="A779" t="str">
        <f>IF(ISBLANK(B779), "","CountryGroup-778")</f>
        <v/>
      </c>
    </row>
    <row r="780" spans="1:1" x14ac:dyDescent="0.2">
      <c r="A780" t="str">
        <f>IF(ISBLANK(B780), "","CountryGroup-779")</f>
        <v/>
      </c>
    </row>
    <row r="781" spans="1:1" x14ac:dyDescent="0.2">
      <c r="A781" t="str">
        <f>IF(ISBLANK(B781), "","CountryGroup-780")</f>
        <v/>
      </c>
    </row>
    <row r="782" spans="1:1" x14ac:dyDescent="0.2">
      <c r="A782" t="str">
        <f>IF(ISBLANK(B782), "","CountryGroup-781")</f>
        <v/>
      </c>
    </row>
    <row r="783" spans="1:1" x14ac:dyDescent="0.2">
      <c r="A783" t="str">
        <f>IF(ISBLANK(B783), "","CountryGroup-782")</f>
        <v/>
      </c>
    </row>
    <row r="784" spans="1:1" x14ac:dyDescent="0.2">
      <c r="A784" t="str">
        <f>IF(ISBLANK(B784), "","CountryGroup-783")</f>
        <v/>
      </c>
    </row>
    <row r="785" spans="1:1" x14ac:dyDescent="0.2">
      <c r="A785" t="str">
        <f>IF(ISBLANK(B785), "","CountryGroup-784")</f>
        <v/>
      </c>
    </row>
    <row r="786" spans="1:1" x14ac:dyDescent="0.2">
      <c r="A786" t="str">
        <f>IF(ISBLANK(B786), "","CountryGroup-785")</f>
        <v/>
      </c>
    </row>
    <row r="787" spans="1:1" x14ac:dyDescent="0.2">
      <c r="A787" t="str">
        <f>IF(ISBLANK(B787), "","CountryGroup-786")</f>
        <v/>
      </c>
    </row>
    <row r="788" spans="1:1" x14ac:dyDescent="0.2">
      <c r="A788" t="str">
        <f>IF(ISBLANK(B788), "","CountryGroup-787")</f>
        <v/>
      </c>
    </row>
    <row r="789" spans="1:1" x14ac:dyDescent="0.2">
      <c r="A789" t="str">
        <f>IF(ISBLANK(B789), "","CountryGroup-788")</f>
        <v/>
      </c>
    </row>
    <row r="790" spans="1:1" x14ac:dyDescent="0.2">
      <c r="A790" t="str">
        <f>IF(ISBLANK(B790), "","CountryGroup-789")</f>
        <v/>
      </c>
    </row>
    <row r="791" spans="1:1" x14ac:dyDescent="0.2">
      <c r="A791" t="str">
        <f>IF(ISBLANK(B791), "","CountryGroup-790")</f>
        <v/>
      </c>
    </row>
    <row r="792" spans="1:1" x14ac:dyDescent="0.2">
      <c r="A792" t="str">
        <f>IF(ISBLANK(B792), "","CountryGroup-791")</f>
        <v/>
      </c>
    </row>
    <row r="793" spans="1:1" x14ac:dyDescent="0.2">
      <c r="A793" t="str">
        <f>IF(ISBLANK(B793), "","CountryGroup-792")</f>
        <v/>
      </c>
    </row>
    <row r="794" spans="1:1" x14ac:dyDescent="0.2">
      <c r="A794" t="str">
        <f>IF(ISBLANK(B794), "","CountryGroup-793")</f>
        <v/>
      </c>
    </row>
    <row r="795" spans="1:1" x14ac:dyDescent="0.2">
      <c r="A795" t="str">
        <f>IF(ISBLANK(B795), "","CountryGroup-794")</f>
        <v/>
      </c>
    </row>
    <row r="796" spans="1:1" x14ac:dyDescent="0.2">
      <c r="A796" t="str">
        <f>IF(ISBLANK(B796), "","CountryGroup-795")</f>
        <v/>
      </c>
    </row>
    <row r="797" spans="1:1" x14ac:dyDescent="0.2">
      <c r="A797" t="str">
        <f>IF(ISBLANK(B797), "","CountryGroup-796")</f>
        <v/>
      </c>
    </row>
    <row r="798" spans="1:1" x14ac:dyDescent="0.2">
      <c r="A798" t="str">
        <f>IF(ISBLANK(B798), "","CountryGroup-797")</f>
        <v/>
      </c>
    </row>
    <row r="799" spans="1:1" x14ac:dyDescent="0.2">
      <c r="A799" t="str">
        <f>IF(ISBLANK(B799), "","CountryGroup-798")</f>
        <v/>
      </c>
    </row>
    <row r="800" spans="1:1" x14ac:dyDescent="0.2">
      <c r="A800" t="str">
        <f>IF(ISBLANK(B800), "","CountryGroup-799")</f>
        <v/>
      </c>
    </row>
    <row r="801" spans="1:1" x14ac:dyDescent="0.2">
      <c r="A801" t="str">
        <f>IF(ISBLANK(B801), "","CountryGroup-800")</f>
        <v/>
      </c>
    </row>
    <row r="802" spans="1:1" x14ac:dyDescent="0.2">
      <c r="A802" t="str">
        <f>IF(ISBLANK(B802), "","CountryGroup-801")</f>
        <v/>
      </c>
    </row>
    <row r="803" spans="1:1" x14ac:dyDescent="0.2">
      <c r="A803" t="str">
        <f>IF(ISBLANK(B803), "","CountryGroup-802")</f>
        <v/>
      </c>
    </row>
    <row r="804" spans="1:1" x14ac:dyDescent="0.2">
      <c r="A804" t="str">
        <f>IF(ISBLANK(B804), "","CountryGroup-803")</f>
        <v/>
      </c>
    </row>
    <row r="805" spans="1:1" x14ac:dyDescent="0.2">
      <c r="A805" t="str">
        <f>IF(ISBLANK(B805), "","CountryGroup-804")</f>
        <v/>
      </c>
    </row>
    <row r="806" spans="1:1" x14ac:dyDescent="0.2">
      <c r="A806" t="str">
        <f>IF(ISBLANK(B806), "","CountryGroup-805")</f>
        <v/>
      </c>
    </row>
    <row r="807" spans="1:1" x14ac:dyDescent="0.2">
      <c r="A807" t="str">
        <f>IF(ISBLANK(B807), "","CountryGroup-806")</f>
        <v/>
      </c>
    </row>
    <row r="808" spans="1:1" x14ac:dyDescent="0.2">
      <c r="A808" t="str">
        <f>IF(ISBLANK(B808), "","CountryGroup-807")</f>
        <v/>
      </c>
    </row>
    <row r="809" spans="1:1" x14ac:dyDescent="0.2">
      <c r="A809" t="str">
        <f>IF(ISBLANK(B809), "","CountryGroup-808")</f>
        <v/>
      </c>
    </row>
    <row r="810" spans="1:1" x14ac:dyDescent="0.2">
      <c r="A810" t="str">
        <f>IF(ISBLANK(B810), "","CountryGroup-809")</f>
        <v/>
      </c>
    </row>
    <row r="811" spans="1:1" x14ac:dyDescent="0.2">
      <c r="A811" t="str">
        <f>IF(ISBLANK(B811), "","CountryGroup-810")</f>
        <v/>
      </c>
    </row>
    <row r="812" spans="1:1" x14ac:dyDescent="0.2">
      <c r="A812" t="str">
        <f>IF(ISBLANK(B812), "","CountryGroup-811")</f>
        <v/>
      </c>
    </row>
    <row r="813" spans="1:1" x14ac:dyDescent="0.2">
      <c r="A813" t="str">
        <f>IF(ISBLANK(B813), "","CountryGroup-812")</f>
        <v/>
      </c>
    </row>
    <row r="814" spans="1:1" x14ac:dyDescent="0.2">
      <c r="A814" t="str">
        <f>IF(ISBLANK(B814), "","CountryGroup-813")</f>
        <v/>
      </c>
    </row>
    <row r="815" spans="1:1" x14ac:dyDescent="0.2">
      <c r="A815" t="str">
        <f>IF(ISBLANK(B815), "","CountryGroup-814")</f>
        <v/>
      </c>
    </row>
    <row r="816" spans="1:1" x14ac:dyDescent="0.2">
      <c r="A816" t="str">
        <f>IF(ISBLANK(B816), "","CountryGroup-815")</f>
        <v/>
      </c>
    </row>
    <row r="817" spans="1:1" x14ac:dyDescent="0.2">
      <c r="A817" t="str">
        <f>IF(ISBLANK(B817), "","CountryGroup-816")</f>
        <v/>
      </c>
    </row>
    <row r="818" spans="1:1" x14ac:dyDescent="0.2">
      <c r="A818" t="str">
        <f>IF(ISBLANK(B818), "","CountryGroup-817")</f>
        <v/>
      </c>
    </row>
    <row r="819" spans="1:1" x14ac:dyDescent="0.2">
      <c r="A819" t="str">
        <f>IF(ISBLANK(B819), "","CountryGroup-818")</f>
        <v/>
      </c>
    </row>
    <row r="820" spans="1:1" x14ac:dyDescent="0.2">
      <c r="A820" t="str">
        <f>IF(ISBLANK(B820), "","CountryGroup-819")</f>
        <v/>
      </c>
    </row>
    <row r="821" spans="1:1" x14ac:dyDescent="0.2">
      <c r="A821" t="str">
        <f>IF(ISBLANK(B821), "","CountryGroup-820")</f>
        <v/>
      </c>
    </row>
    <row r="822" spans="1:1" x14ac:dyDescent="0.2">
      <c r="A822" t="str">
        <f>IF(ISBLANK(B822), "","CountryGroup-821")</f>
        <v/>
      </c>
    </row>
    <row r="823" spans="1:1" x14ac:dyDescent="0.2">
      <c r="A823" t="str">
        <f>IF(ISBLANK(B823), "","CountryGroup-822")</f>
        <v/>
      </c>
    </row>
    <row r="824" spans="1:1" x14ac:dyDescent="0.2">
      <c r="A824" t="str">
        <f>IF(ISBLANK(B824), "","CountryGroup-823")</f>
        <v/>
      </c>
    </row>
    <row r="825" spans="1:1" x14ac:dyDescent="0.2">
      <c r="A825" t="str">
        <f>IF(ISBLANK(B825), "","CountryGroup-824")</f>
        <v/>
      </c>
    </row>
    <row r="826" spans="1:1" x14ac:dyDescent="0.2">
      <c r="A826" t="str">
        <f>IF(ISBLANK(B826), "","CountryGroup-825")</f>
        <v/>
      </c>
    </row>
    <row r="827" spans="1:1" x14ac:dyDescent="0.2">
      <c r="A827" t="str">
        <f>IF(ISBLANK(B827), "","CountryGroup-826")</f>
        <v/>
      </c>
    </row>
    <row r="828" spans="1:1" x14ac:dyDescent="0.2">
      <c r="A828" t="str">
        <f>IF(ISBLANK(B828), "","CountryGroup-827")</f>
        <v/>
      </c>
    </row>
    <row r="829" spans="1:1" x14ac:dyDescent="0.2">
      <c r="A829" t="str">
        <f>IF(ISBLANK(B829), "","CountryGroup-828")</f>
        <v/>
      </c>
    </row>
    <row r="830" spans="1:1" x14ac:dyDescent="0.2">
      <c r="A830" t="str">
        <f>IF(ISBLANK(B830), "","CountryGroup-829")</f>
        <v/>
      </c>
    </row>
    <row r="831" spans="1:1" x14ac:dyDescent="0.2">
      <c r="A831" t="str">
        <f>IF(ISBLANK(B831), "","CountryGroup-830")</f>
        <v/>
      </c>
    </row>
    <row r="832" spans="1:1" x14ac:dyDescent="0.2">
      <c r="A832" t="str">
        <f>IF(ISBLANK(B832), "","CountryGroup-831")</f>
        <v/>
      </c>
    </row>
    <row r="833" spans="1:1" x14ac:dyDescent="0.2">
      <c r="A833" t="str">
        <f>IF(ISBLANK(B833), "","CountryGroup-832")</f>
        <v/>
      </c>
    </row>
    <row r="834" spans="1:1" x14ac:dyDescent="0.2">
      <c r="A834" t="str">
        <f>IF(ISBLANK(B834), "","CountryGroup-833")</f>
        <v/>
      </c>
    </row>
    <row r="835" spans="1:1" x14ac:dyDescent="0.2">
      <c r="A835" t="str">
        <f>IF(ISBLANK(B835), "","CountryGroup-834")</f>
        <v/>
      </c>
    </row>
    <row r="836" spans="1:1" x14ac:dyDescent="0.2">
      <c r="A836" t="str">
        <f>IF(ISBLANK(B836), "","CountryGroup-835")</f>
        <v/>
      </c>
    </row>
    <row r="837" spans="1:1" x14ac:dyDescent="0.2">
      <c r="A837" t="str">
        <f>IF(ISBLANK(B837), "","CountryGroup-836")</f>
        <v/>
      </c>
    </row>
    <row r="838" spans="1:1" x14ac:dyDescent="0.2">
      <c r="A838" t="str">
        <f>IF(ISBLANK(B838), "","CountryGroup-837")</f>
        <v/>
      </c>
    </row>
    <row r="839" spans="1:1" x14ac:dyDescent="0.2">
      <c r="A839" t="str">
        <f>IF(ISBLANK(B839), "","CountryGroup-838")</f>
        <v/>
      </c>
    </row>
    <row r="840" spans="1:1" x14ac:dyDescent="0.2">
      <c r="A840" t="str">
        <f>IF(ISBLANK(B840), "","CountryGroup-839")</f>
        <v/>
      </c>
    </row>
    <row r="841" spans="1:1" x14ac:dyDescent="0.2">
      <c r="A841" t="str">
        <f>IF(ISBLANK(B841), "","CountryGroup-840")</f>
        <v/>
      </c>
    </row>
    <row r="842" spans="1:1" x14ac:dyDescent="0.2">
      <c r="A842" t="str">
        <f>IF(ISBLANK(B842), "","CountryGroup-841")</f>
        <v/>
      </c>
    </row>
    <row r="843" spans="1:1" x14ac:dyDescent="0.2">
      <c r="A843" t="str">
        <f>IF(ISBLANK(B843), "","CountryGroup-842")</f>
        <v/>
      </c>
    </row>
    <row r="844" spans="1:1" x14ac:dyDescent="0.2">
      <c r="A844" t="str">
        <f>IF(ISBLANK(B844), "","CountryGroup-843")</f>
        <v/>
      </c>
    </row>
    <row r="845" spans="1:1" x14ac:dyDescent="0.2">
      <c r="A845" t="str">
        <f>IF(ISBLANK(B845), "","CountryGroup-844")</f>
        <v/>
      </c>
    </row>
    <row r="846" spans="1:1" x14ac:dyDescent="0.2">
      <c r="A846" t="str">
        <f>IF(ISBLANK(B846), "","CountryGroup-845")</f>
        <v/>
      </c>
    </row>
    <row r="847" spans="1:1" x14ac:dyDescent="0.2">
      <c r="A847" t="str">
        <f>IF(ISBLANK(B847), "","CountryGroup-846")</f>
        <v/>
      </c>
    </row>
    <row r="848" spans="1:1" x14ac:dyDescent="0.2">
      <c r="A848" t="str">
        <f>IF(ISBLANK(B848), "","CountryGroup-847")</f>
        <v/>
      </c>
    </row>
    <row r="849" spans="1:1" x14ac:dyDescent="0.2">
      <c r="A849" t="str">
        <f>IF(ISBLANK(B849), "","CountryGroup-848")</f>
        <v/>
      </c>
    </row>
    <row r="850" spans="1:1" x14ac:dyDescent="0.2">
      <c r="A850" t="str">
        <f>IF(ISBLANK(B850), "","CountryGroup-849")</f>
        <v/>
      </c>
    </row>
    <row r="851" spans="1:1" x14ac:dyDescent="0.2">
      <c r="A851" t="str">
        <f>IF(ISBLANK(B851), "","CountryGroup-850")</f>
        <v/>
      </c>
    </row>
    <row r="852" spans="1:1" x14ac:dyDescent="0.2">
      <c r="A852" t="str">
        <f>IF(ISBLANK(B852), "","CountryGroup-851")</f>
        <v/>
      </c>
    </row>
    <row r="853" spans="1:1" x14ac:dyDescent="0.2">
      <c r="A853" t="str">
        <f>IF(ISBLANK(B853), "","CountryGroup-852")</f>
        <v/>
      </c>
    </row>
    <row r="854" spans="1:1" x14ac:dyDescent="0.2">
      <c r="A854" t="str">
        <f>IF(ISBLANK(B854), "","CountryGroup-853")</f>
        <v/>
      </c>
    </row>
    <row r="855" spans="1:1" x14ac:dyDescent="0.2">
      <c r="A855" t="str">
        <f>IF(ISBLANK(B855), "","CountryGroup-854")</f>
        <v/>
      </c>
    </row>
    <row r="856" spans="1:1" x14ac:dyDescent="0.2">
      <c r="A856" t="str">
        <f>IF(ISBLANK(B856), "","CountryGroup-855")</f>
        <v/>
      </c>
    </row>
    <row r="857" spans="1:1" x14ac:dyDescent="0.2">
      <c r="A857" t="str">
        <f>IF(ISBLANK(B857), "","CountryGroup-856")</f>
        <v/>
      </c>
    </row>
    <row r="858" spans="1:1" x14ac:dyDescent="0.2">
      <c r="A858" t="str">
        <f>IF(ISBLANK(B858), "","CountryGroup-857")</f>
        <v/>
      </c>
    </row>
    <row r="859" spans="1:1" x14ac:dyDescent="0.2">
      <c r="A859" t="str">
        <f>IF(ISBLANK(B859), "","CountryGroup-858")</f>
        <v/>
      </c>
    </row>
    <row r="860" spans="1:1" x14ac:dyDescent="0.2">
      <c r="A860" t="str">
        <f>IF(ISBLANK(B860), "","CountryGroup-859")</f>
        <v/>
      </c>
    </row>
    <row r="861" spans="1:1" x14ac:dyDescent="0.2">
      <c r="A861" t="str">
        <f>IF(ISBLANK(B861), "","CountryGroup-860")</f>
        <v/>
      </c>
    </row>
    <row r="862" spans="1:1" x14ac:dyDescent="0.2">
      <c r="A862" t="str">
        <f>IF(ISBLANK(B862), "","CountryGroup-861")</f>
        <v/>
      </c>
    </row>
    <row r="863" spans="1:1" x14ac:dyDescent="0.2">
      <c r="A863" t="str">
        <f>IF(ISBLANK(B863), "","CountryGroup-862")</f>
        <v/>
      </c>
    </row>
    <row r="864" spans="1:1" x14ac:dyDescent="0.2">
      <c r="A864" t="str">
        <f>IF(ISBLANK(B864), "","CountryGroup-863")</f>
        <v/>
      </c>
    </row>
    <row r="865" spans="1:1" x14ac:dyDescent="0.2">
      <c r="A865" t="str">
        <f>IF(ISBLANK(B865), "","CountryGroup-864")</f>
        <v/>
      </c>
    </row>
    <row r="866" spans="1:1" x14ac:dyDescent="0.2">
      <c r="A866" t="str">
        <f>IF(ISBLANK(B866), "","CountryGroup-865")</f>
        <v/>
      </c>
    </row>
    <row r="867" spans="1:1" x14ac:dyDescent="0.2">
      <c r="A867" t="str">
        <f>IF(ISBLANK(B867), "","CountryGroup-866")</f>
        <v/>
      </c>
    </row>
    <row r="868" spans="1:1" x14ac:dyDescent="0.2">
      <c r="A868" t="str">
        <f>IF(ISBLANK(B868), "","CountryGroup-867")</f>
        <v/>
      </c>
    </row>
    <row r="869" spans="1:1" x14ac:dyDescent="0.2">
      <c r="A869" t="str">
        <f>IF(ISBLANK(B869), "","CountryGroup-868")</f>
        <v/>
      </c>
    </row>
    <row r="870" spans="1:1" x14ac:dyDescent="0.2">
      <c r="A870" t="str">
        <f>IF(ISBLANK(B870), "","CountryGroup-869")</f>
        <v/>
      </c>
    </row>
    <row r="871" spans="1:1" x14ac:dyDescent="0.2">
      <c r="A871" t="str">
        <f>IF(ISBLANK(B871), "","CountryGroup-870")</f>
        <v/>
      </c>
    </row>
    <row r="872" spans="1:1" x14ac:dyDescent="0.2">
      <c r="A872" t="str">
        <f>IF(ISBLANK(B872), "","CountryGroup-871")</f>
        <v/>
      </c>
    </row>
    <row r="873" spans="1:1" x14ac:dyDescent="0.2">
      <c r="A873" t="str">
        <f>IF(ISBLANK(B873), "","CountryGroup-872")</f>
        <v/>
      </c>
    </row>
    <row r="874" spans="1:1" x14ac:dyDescent="0.2">
      <c r="A874" t="str">
        <f>IF(ISBLANK(B874), "","CountryGroup-873")</f>
        <v/>
      </c>
    </row>
    <row r="875" spans="1:1" x14ac:dyDescent="0.2">
      <c r="A875" t="str">
        <f>IF(ISBLANK(B875), "","CountryGroup-874")</f>
        <v/>
      </c>
    </row>
    <row r="876" spans="1:1" x14ac:dyDescent="0.2">
      <c r="A876" t="str">
        <f>IF(ISBLANK(B876), "","CountryGroup-875")</f>
        <v/>
      </c>
    </row>
    <row r="877" spans="1:1" x14ac:dyDescent="0.2">
      <c r="A877" t="str">
        <f>IF(ISBLANK(B877), "","CountryGroup-876")</f>
        <v/>
      </c>
    </row>
    <row r="878" spans="1:1" x14ac:dyDescent="0.2">
      <c r="A878" t="str">
        <f>IF(ISBLANK(B878), "","CountryGroup-877")</f>
        <v/>
      </c>
    </row>
    <row r="879" spans="1:1" x14ac:dyDescent="0.2">
      <c r="A879" t="str">
        <f>IF(ISBLANK(B879), "","CountryGroup-878")</f>
        <v/>
      </c>
    </row>
    <row r="880" spans="1:1" x14ac:dyDescent="0.2">
      <c r="A880" t="str">
        <f>IF(ISBLANK(B880), "","CountryGroup-879")</f>
        <v/>
      </c>
    </row>
    <row r="881" spans="1:1" x14ac:dyDescent="0.2">
      <c r="A881" t="str">
        <f>IF(ISBLANK(B881), "","CountryGroup-880")</f>
        <v/>
      </c>
    </row>
    <row r="882" spans="1:1" x14ac:dyDescent="0.2">
      <c r="A882" t="str">
        <f>IF(ISBLANK(B882), "","CountryGroup-881")</f>
        <v/>
      </c>
    </row>
    <row r="883" spans="1:1" x14ac:dyDescent="0.2">
      <c r="A883" t="str">
        <f>IF(ISBLANK(B883), "","CountryGroup-882")</f>
        <v/>
      </c>
    </row>
    <row r="884" spans="1:1" x14ac:dyDescent="0.2">
      <c r="A884" t="str">
        <f>IF(ISBLANK(B884), "","CountryGroup-883")</f>
        <v/>
      </c>
    </row>
    <row r="885" spans="1:1" x14ac:dyDescent="0.2">
      <c r="A885" t="str">
        <f>IF(ISBLANK(B885), "","CountryGroup-884")</f>
        <v/>
      </c>
    </row>
    <row r="886" spans="1:1" x14ac:dyDescent="0.2">
      <c r="A886" t="str">
        <f>IF(ISBLANK(B886), "","CountryGroup-885")</f>
        <v/>
      </c>
    </row>
    <row r="887" spans="1:1" x14ac:dyDescent="0.2">
      <c r="A887" t="str">
        <f>IF(ISBLANK(B887), "","CountryGroup-886")</f>
        <v/>
      </c>
    </row>
    <row r="888" spans="1:1" x14ac:dyDescent="0.2">
      <c r="A888" t="str">
        <f>IF(ISBLANK(B888), "","CountryGroup-887")</f>
        <v/>
      </c>
    </row>
    <row r="889" spans="1:1" x14ac:dyDescent="0.2">
      <c r="A889" t="str">
        <f>IF(ISBLANK(B889), "","CountryGroup-888")</f>
        <v/>
      </c>
    </row>
    <row r="890" spans="1:1" x14ac:dyDescent="0.2">
      <c r="A890" t="str">
        <f>IF(ISBLANK(B890), "","CountryGroup-889")</f>
        <v/>
      </c>
    </row>
    <row r="891" spans="1:1" x14ac:dyDescent="0.2">
      <c r="A891" t="str">
        <f>IF(ISBLANK(B891), "","CountryGroup-890")</f>
        <v/>
      </c>
    </row>
    <row r="892" spans="1:1" x14ac:dyDescent="0.2">
      <c r="A892" t="str">
        <f>IF(ISBLANK(B892), "","CountryGroup-891")</f>
        <v/>
      </c>
    </row>
    <row r="893" spans="1:1" x14ac:dyDescent="0.2">
      <c r="A893" t="str">
        <f>IF(ISBLANK(B893), "","CountryGroup-892")</f>
        <v/>
      </c>
    </row>
    <row r="894" spans="1:1" x14ac:dyDescent="0.2">
      <c r="A894" t="str">
        <f>IF(ISBLANK(B894), "","CountryGroup-893")</f>
        <v/>
      </c>
    </row>
    <row r="895" spans="1:1" x14ac:dyDescent="0.2">
      <c r="A895" t="str">
        <f>IF(ISBLANK(B895), "","CountryGroup-894")</f>
        <v/>
      </c>
    </row>
    <row r="896" spans="1:1" x14ac:dyDescent="0.2">
      <c r="A896" t="str">
        <f>IF(ISBLANK(B896), "","CountryGroup-895")</f>
        <v/>
      </c>
    </row>
    <row r="897" spans="1:1" x14ac:dyDescent="0.2">
      <c r="A897" t="str">
        <f>IF(ISBLANK(B897), "","CountryGroup-896")</f>
        <v/>
      </c>
    </row>
    <row r="898" spans="1:1" x14ac:dyDescent="0.2">
      <c r="A898" t="str">
        <f>IF(ISBLANK(B898), "","CountryGroup-897")</f>
        <v/>
      </c>
    </row>
    <row r="899" spans="1:1" x14ac:dyDescent="0.2">
      <c r="A899" t="str">
        <f>IF(ISBLANK(B899), "","CountryGroup-898")</f>
        <v/>
      </c>
    </row>
    <row r="900" spans="1:1" x14ac:dyDescent="0.2">
      <c r="A900" t="str">
        <f>IF(ISBLANK(B900), "","CountryGroup-899")</f>
        <v/>
      </c>
    </row>
    <row r="901" spans="1:1" x14ac:dyDescent="0.2">
      <c r="A901" t="str">
        <f>IF(ISBLANK(B901), "","CountryGroup-900")</f>
        <v/>
      </c>
    </row>
    <row r="902" spans="1:1" x14ac:dyDescent="0.2">
      <c r="A902" t="str">
        <f>IF(ISBLANK(B902), "","CountryGroup-901")</f>
        <v/>
      </c>
    </row>
    <row r="903" spans="1:1" x14ac:dyDescent="0.2">
      <c r="A903" t="str">
        <f>IF(ISBLANK(B903), "","CountryGroup-902")</f>
        <v/>
      </c>
    </row>
    <row r="904" spans="1:1" x14ac:dyDescent="0.2">
      <c r="A904" t="str">
        <f>IF(ISBLANK(B904), "","CountryGroup-903")</f>
        <v/>
      </c>
    </row>
    <row r="905" spans="1:1" x14ac:dyDescent="0.2">
      <c r="A905" t="str">
        <f>IF(ISBLANK(B905), "","CountryGroup-904")</f>
        <v/>
      </c>
    </row>
    <row r="906" spans="1:1" x14ac:dyDescent="0.2">
      <c r="A906" t="str">
        <f>IF(ISBLANK(B906), "","CountryGroup-905")</f>
        <v/>
      </c>
    </row>
    <row r="907" spans="1:1" x14ac:dyDescent="0.2">
      <c r="A907" t="str">
        <f>IF(ISBLANK(B907), "","CountryGroup-906")</f>
        <v/>
      </c>
    </row>
    <row r="908" spans="1:1" x14ac:dyDescent="0.2">
      <c r="A908" t="str">
        <f>IF(ISBLANK(B908), "","CountryGroup-907")</f>
        <v/>
      </c>
    </row>
    <row r="909" spans="1:1" x14ac:dyDescent="0.2">
      <c r="A909" t="str">
        <f>IF(ISBLANK(B909), "","CountryGroup-908")</f>
        <v/>
      </c>
    </row>
    <row r="910" spans="1:1" x14ac:dyDescent="0.2">
      <c r="A910" t="str">
        <f>IF(ISBLANK(B910), "","CountryGroup-909")</f>
        <v/>
      </c>
    </row>
    <row r="911" spans="1:1" x14ac:dyDescent="0.2">
      <c r="A911" t="str">
        <f>IF(ISBLANK(B911), "","CountryGroup-910")</f>
        <v/>
      </c>
    </row>
    <row r="912" spans="1:1" x14ac:dyDescent="0.2">
      <c r="A912" t="str">
        <f>IF(ISBLANK(B912), "","CountryGroup-911")</f>
        <v/>
      </c>
    </row>
    <row r="913" spans="1:1" x14ac:dyDescent="0.2">
      <c r="A913" t="str">
        <f>IF(ISBLANK(B913), "","CountryGroup-912")</f>
        <v/>
      </c>
    </row>
    <row r="914" spans="1:1" x14ac:dyDescent="0.2">
      <c r="A914" t="str">
        <f>IF(ISBLANK(B914), "","CountryGroup-913")</f>
        <v/>
      </c>
    </row>
    <row r="915" spans="1:1" x14ac:dyDescent="0.2">
      <c r="A915" t="str">
        <f>IF(ISBLANK(B915), "","CountryGroup-914")</f>
        <v/>
      </c>
    </row>
    <row r="916" spans="1:1" x14ac:dyDescent="0.2">
      <c r="A916" t="str">
        <f>IF(ISBLANK(B916), "","CountryGroup-915")</f>
        <v/>
      </c>
    </row>
    <row r="917" spans="1:1" x14ac:dyDescent="0.2">
      <c r="A917" t="str">
        <f>IF(ISBLANK(B917), "","CountryGroup-916")</f>
        <v/>
      </c>
    </row>
    <row r="918" spans="1:1" x14ac:dyDescent="0.2">
      <c r="A918" t="str">
        <f>IF(ISBLANK(B918), "","CountryGroup-917")</f>
        <v/>
      </c>
    </row>
    <row r="919" spans="1:1" x14ac:dyDescent="0.2">
      <c r="A919" t="str">
        <f>IF(ISBLANK(B919), "","CountryGroup-918")</f>
        <v/>
      </c>
    </row>
    <row r="920" spans="1:1" x14ac:dyDescent="0.2">
      <c r="A920" t="str">
        <f>IF(ISBLANK(B920), "","CountryGroup-919")</f>
        <v/>
      </c>
    </row>
    <row r="921" spans="1:1" x14ac:dyDescent="0.2">
      <c r="A921" t="str">
        <f>IF(ISBLANK(B921), "","CountryGroup-920")</f>
        <v/>
      </c>
    </row>
    <row r="922" spans="1:1" x14ac:dyDescent="0.2">
      <c r="A922" t="str">
        <f>IF(ISBLANK(B922), "","CountryGroup-921")</f>
        <v/>
      </c>
    </row>
    <row r="923" spans="1:1" x14ac:dyDescent="0.2">
      <c r="A923" t="str">
        <f>IF(ISBLANK(B923), "","CountryGroup-922")</f>
        <v/>
      </c>
    </row>
    <row r="924" spans="1:1" x14ac:dyDescent="0.2">
      <c r="A924" t="str">
        <f>IF(ISBLANK(B924), "","CountryGroup-923")</f>
        <v/>
      </c>
    </row>
    <row r="925" spans="1:1" x14ac:dyDescent="0.2">
      <c r="A925" t="str">
        <f>IF(ISBLANK(B925), "","CountryGroup-924")</f>
        <v/>
      </c>
    </row>
    <row r="926" spans="1:1" x14ac:dyDescent="0.2">
      <c r="A926" t="str">
        <f>IF(ISBLANK(B926), "","CountryGroup-925")</f>
        <v/>
      </c>
    </row>
    <row r="927" spans="1:1" x14ac:dyDescent="0.2">
      <c r="A927" t="str">
        <f>IF(ISBLANK(B927), "","CountryGroup-926")</f>
        <v/>
      </c>
    </row>
    <row r="928" spans="1:1" x14ac:dyDescent="0.2">
      <c r="A928" t="str">
        <f>IF(ISBLANK(B928), "","CountryGroup-927")</f>
        <v/>
      </c>
    </row>
    <row r="929" spans="1:1" x14ac:dyDescent="0.2">
      <c r="A929" t="str">
        <f>IF(ISBLANK(B929), "","CountryGroup-928")</f>
        <v/>
      </c>
    </row>
    <row r="930" spans="1:1" x14ac:dyDescent="0.2">
      <c r="A930" t="str">
        <f>IF(ISBLANK(B930), "","CountryGroup-929")</f>
        <v/>
      </c>
    </row>
    <row r="931" spans="1:1" x14ac:dyDescent="0.2">
      <c r="A931" t="str">
        <f>IF(ISBLANK(B931), "","CountryGroup-930")</f>
        <v/>
      </c>
    </row>
    <row r="932" spans="1:1" x14ac:dyDescent="0.2">
      <c r="A932" t="str">
        <f>IF(ISBLANK(B932), "","CountryGroup-931")</f>
        <v/>
      </c>
    </row>
    <row r="933" spans="1:1" x14ac:dyDescent="0.2">
      <c r="A933" t="str">
        <f>IF(ISBLANK(B933), "","CountryGroup-932")</f>
        <v/>
      </c>
    </row>
    <row r="934" spans="1:1" x14ac:dyDescent="0.2">
      <c r="A934" t="str">
        <f>IF(ISBLANK(B934), "","CountryGroup-933")</f>
        <v/>
      </c>
    </row>
    <row r="935" spans="1:1" x14ac:dyDescent="0.2">
      <c r="A935" t="str">
        <f>IF(ISBLANK(B935), "","CountryGroup-934")</f>
        <v/>
      </c>
    </row>
    <row r="936" spans="1:1" x14ac:dyDescent="0.2">
      <c r="A936" t="str">
        <f>IF(ISBLANK(B936), "","CountryGroup-935")</f>
        <v/>
      </c>
    </row>
    <row r="937" spans="1:1" x14ac:dyDescent="0.2">
      <c r="A937" t="str">
        <f>IF(ISBLANK(B937), "","CountryGroup-936")</f>
        <v/>
      </c>
    </row>
    <row r="938" spans="1:1" x14ac:dyDescent="0.2">
      <c r="A938" t="str">
        <f>IF(ISBLANK(B938), "","CountryGroup-937")</f>
        <v/>
      </c>
    </row>
    <row r="939" spans="1:1" x14ac:dyDescent="0.2">
      <c r="A939" t="str">
        <f>IF(ISBLANK(B939), "","CountryGroup-938")</f>
        <v/>
      </c>
    </row>
    <row r="940" spans="1:1" x14ac:dyDescent="0.2">
      <c r="A940" t="str">
        <f>IF(ISBLANK(B940), "","CountryGroup-939")</f>
        <v/>
      </c>
    </row>
    <row r="941" spans="1:1" x14ac:dyDescent="0.2">
      <c r="A941" t="str">
        <f>IF(ISBLANK(B941), "","CountryGroup-940")</f>
        <v/>
      </c>
    </row>
    <row r="942" spans="1:1" x14ac:dyDescent="0.2">
      <c r="A942" t="str">
        <f>IF(ISBLANK(B942), "","CountryGroup-941")</f>
        <v/>
      </c>
    </row>
    <row r="943" spans="1:1" x14ac:dyDescent="0.2">
      <c r="A943" t="str">
        <f>IF(ISBLANK(B943), "","CountryGroup-942")</f>
        <v/>
      </c>
    </row>
    <row r="944" spans="1:1" x14ac:dyDescent="0.2">
      <c r="A944" t="str">
        <f>IF(ISBLANK(B944), "","CountryGroup-943")</f>
        <v/>
      </c>
    </row>
    <row r="945" spans="1:1" x14ac:dyDescent="0.2">
      <c r="A945" t="str">
        <f>IF(ISBLANK(B945), "","CountryGroup-944")</f>
        <v/>
      </c>
    </row>
    <row r="946" spans="1:1" x14ac:dyDescent="0.2">
      <c r="A946" t="str">
        <f>IF(ISBLANK(B946), "","CountryGroup-945")</f>
        <v/>
      </c>
    </row>
    <row r="947" spans="1:1" x14ac:dyDescent="0.2">
      <c r="A947" t="str">
        <f>IF(ISBLANK(B947), "","CountryGroup-946")</f>
        <v/>
      </c>
    </row>
    <row r="948" spans="1:1" x14ac:dyDescent="0.2">
      <c r="A948" t="str">
        <f>IF(ISBLANK(B948), "","CountryGroup-947")</f>
        <v/>
      </c>
    </row>
    <row r="949" spans="1:1" x14ac:dyDescent="0.2">
      <c r="A949" t="str">
        <f>IF(ISBLANK(B949), "","CountryGroup-948")</f>
        <v/>
      </c>
    </row>
    <row r="950" spans="1:1" x14ac:dyDescent="0.2">
      <c r="A950" t="str">
        <f>IF(ISBLANK(B950), "","CountryGroup-949")</f>
        <v/>
      </c>
    </row>
    <row r="951" spans="1:1" x14ac:dyDescent="0.2">
      <c r="A951" t="str">
        <f>IF(ISBLANK(B951), "","CountryGroup-950")</f>
        <v/>
      </c>
    </row>
    <row r="952" spans="1:1" x14ac:dyDescent="0.2">
      <c r="A952" t="str">
        <f>IF(ISBLANK(B952), "","CountryGroup-951")</f>
        <v/>
      </c>
    </row>
    <row r="953" spans="1:1" x14ac:dyDescent="0.2">
      <c r="A953" t="str">
        <f>IF(ISBLANK(B953), "","CountryGroup-952")</f>
        <v/>
      </c>
    </row>
    <row r="954" spans="1:1" x14ac:dyDescent="0.2">
      <c r="A954" t="str">
        <f>IF(ISBLANK(B954), "","CountryGroup-953")</f>
        <v/>
      </c>
    </row>
    <row r="955" spans="1:1" x14ac:dyDescent="0.2">
      <c r="A955" t="str">
        <f>IF(ISBLANK(B955), "","CountryGroup-954")</f>
        <v/>
      </c>
    </row>
    <row r="956" spans="1:1" x14ac:dyDescent="0.2">
      <c r="A956" t="str">
        <f>IF(ISBLANK(B956), "","CountryGroup-955")</f>
        <v/>
      </c>
    </row>
    <row r="957" spans="1:1" x14ac:dyDescent="0.2">
      <c r="A957" t="str">
        <f>IF(ISBLANK(B957), "","CountryGroup-956")</f>
        <v/>
      </c>
    </row>
    <row r="958" spans="1:1" x14ac:dyDescent="0.2">
      <c r="A958" t="str">
        <f>IF(ISBLANK(B958), "","CountryGroup-957")</f>
        <v/>
      </c>
    </row>
    <row r="959" spans="1:1" x14ac:dyDescent="0.2">
      <c r="A959" t="str">
        <f>IF(ISBLANK(B959), "","CountryGroup-958")</f>
        <v/>
      </c>
    </row>
    <row r="960" spans="1:1" x14ac:dyDescent="0.2">
      <c r="A960" t="str">
        <f>IF(ISBLANK(B960), "","CountryGroup-959")</f>
        <v/>
      </c>
    </row>
    <row r="961" spans="1:1" x14ac:dyDescent="0.2">
      <c r="A961" t="str">
        <f>IF(ISBLANK(B961), "","CountryGroup-960")</f>
        <v/>
      </c>
    </row>
    <row r="962" spans="1:1" x14ac:dyDescent="0.2">
      <c r="A962" t="str">
        <f>IF(ISBLANK(B962), "","CountryGroup-961")</f>
        <v/>
      </c>
    </row>
    <row r="963" spans="1:1" x14ac:dyDescent="0.2">
      <c r="A963" t="str">
        <f>IF(ISBLANK(B963), "","CountryGroup-962")</f>
        <v/>
      </c>
    </row>
    <row r="964" spans="1:1" x14ac:dyDescent="0.2">
      <c r="A964" t="str">
        <f>IF(ISBLANK(B964), "","CountryGroup-963")</f>
        <v/>
      </c>
    </row>
    <row r="965" spans="1:1" x14ac:dyDescent="0.2">
      <c r="A965" t="str">
        <f>IF(ISBLANK(B965), "","CountryGroup-964")</f>
        <v/>
      </c>
    </row>
    <row r="966" spans="1:1" x14ac:dyDescent="0.2">
      <c r="A966" t="str">
        <f>IF(ISBLANK(B966), "","CountryGroup-965")</f>
        <v/>
      </c>
    </row>
    <row r="967" spans="1:1" x14ac:dyDescent="0.2">
      <c r="A967" t="str">
        <f>IF(ISBLANK(B967), "","CountryGroup-966")</f>
        <v/>
      </c>
    </row>
    <row r="968" spans="1:1" x14ac:dyDescent="0.2">
      <c r="A968" t="str">
        <f>IF(ISBLANK(B968), "","CountryGroup-967")</f>
        <v/>
      </c>
    </row>
    <row r="969" spans="1:1" x14ac:dyDescent="0.2">
      <c r="A969" t="str">
        <f>IF(ISBLANK(B969), "","CountryGroup-968")</f>
        <v/>
      </c>
    </row>
    <row r="970" spans="1:1" x14ac:dyDescent="0.2">
      <c r="A970" t="str">
        <f>IF(ISBLANK(B970), "","CountryGroup-969")</f>
        <v/>
      </c>
    </row>
    <row r="971" spans="1:1" x14ac:dyDescent="0.2">
      <c r="A971" t="str">
        <f>IF(ISBLANK(B971), "","CountryGroup-970")</f>
        <v/>
      </c>
    </row>
    <row r="972" spans="1:1" x14ac:dyDescent="0.2">
      <c r="A972" t="str">
        <f>IF(ISBLANK(B972), "","CountryGroup-971")</f>
        <v/>
      </c>
    </row>
    <row r="973" spans="1:1" x14ac:dyDescent="0.2">
      <c r="A973" t="str">
        <f>IF(ISBLANK(B973), "","CountryGroup-972")</f>
        <v/>
      </c>
    </row>
    <row r="974" spans="1:1" x14ac:dyDescent="0.2">
      <c r="A974" t="str">
        <f>IF(ISBLANK(B974), "","CountryGroup-973")</f>
        <v/>
      </c>
    </row>
    <row r="975" spans="1:1" x14ac:dyDescent="0.2">
      <c r="A975" t="str">
        <f>IF(ISBLANK(B975), "","CountryGroup-974")</f>
        <v/>
      </c>
    </row>
    <row r="976" spans="1:1" x14ac:dyDescent="0.2">
      <c r="A976" t="str">
        <f>IF(ISBLANK(B976), "","CountryGroup-975")</f>
        <v/>
      </c>
    </row>
    <row r="977" spans="1:1" x14ac:dyDescent="0.2">
      <c r="A977" t="str">
        <f>IF(ISBLANK(B977), "","CountryGroup-976")</f>
        <v/>
      </c>
    </row>
    <row r="978" spans="1:1" x14ac:dyDescent="0.2">
      <c r="A978" t="str">
        <f>IF(ISBLANK(B978), "","CountryGroup-977")</f>
        <v/>
      </c>
    </row>
    <row r="979" spans="1:1" x14ac:dyDescent="0.2">
      <c r="A979" t="str">
        <f>IF(ISBLANK(B979), "","CountryGroup-978")</f>
        <v/>
      </c>
    </row>
    <row r="980" spans="1:1" x14ac:dyDescent="0.2">
      <c r="A980" t="str">
        <f>IF(ISBLANK(B980), "","CountryGroup-979")</f>
        <v/>
      </c>
    </row>
    <row r="981" spans="1:1" x14ac:dyDescent="0.2">
      <c r="A981" t="str">
        <f>IF(ISBLANK(B981), "","CountryGroup-980")</f>
        <v/>
      </c>
    </row>
    <row r="982" spans="1:1" x14ac:dyDescent="0.2">
      <c r="A982" t="str">
        <f>IF(ISBLANK(B982), "","CountryGroup-981")</f>
        <v/>
      </c>
    </row>
    <row r="983" spans="1:1" x14ac:dyDescent="0.2">
      <c r="A983" t="str">
        <f>IF(ISBLANK(B983), "","CountryGroup-982")</f>
        <v/>
      </c>
    </row>
    <row r="984" spans="1:1" x14ac:dyDescent="0.2">
      <c r="A984" t="str">
        <f>IF(ISBLANK(B984), "","CountryGroup-983")</f>
        <v/>
      </c>
    </row>
    <row r="985" spans="1:1" x14ac:dyDescent="0.2">
      <c r="A985" t="str">
        <f>IF(ISBLANK(B985), "","CountryGroup-984")</f>
        <v/>
      </c>
    </row>
    <row r="986" spans="1:1" x14ac:dyDescent="0.2">
      <c r="A986" t="str">
        <f>IF(ISBLANK(B986), "","CountryGroup-985")</f>
        <v/>
      </c>
    </row>
    <row r="987" spans="1:1" x14ac:dyDescent="0.2">
      <c r="A987" t="str">
        <f>IF(ISBLANK(B987), "","CountryGroup-986")</f>
        <v/>
      </c>
    </row>
    <row r="988" spans="1:1" x14ac:dyDescent="0.2">
      <c r="A988" t="str">
        <f>IF(ISBLANK(B988), "","CountryGroup-987")</f>
        <v/>
      </c>
    </row>
    <row r="989" spans="1:1" x14ac:dyDescent="0.2">
      <c r="A989" t="str">
        <f>IF(ISBLANK(B989), "","CountryGroup-988")</f>
        <v/>
      </c>
    </row>
    <row r="990" spans="1:1" x14ac:dyDescent="0.2">
      <c r="A990" t="str">
        <f>IF(ISBLANK(B990), "","CountryGroup-989")</f>
        <v/>
      </c>
    </row>
    <row r="991" spans="1:1" x14ac:dyDescent="0.2">
      <c r="A991" t="str">
        <f>IF(ISBLANK(B991), "","CountryGroup-990")</f>
        <v/>
      </c>
    </row>
    <row r="992" spans="1:1" x14ac:dyDescent="0.2">
      <c r="A992" t="str">
        <f>IF(ISBLANK(B992), "","CountryGroup-991")</f>
        <v/>
      </c>
    </row>
    <row r="993" spans="1:1" x14ac:dyDescent="0.2">
      <c r="A993" t="str">
        <f>IF(ISBLANK(B993), "","CountryGroup-992")</f>
        <v/>
      </c>
    </row>
    <row r="994" spans="1:1" x14ac:dyDescent="0.2">
      <c r="A994" t="str">
        <f>IF(ISBLANK(B994), "","CountryGroup-993")</f>
        <v/>
      </c>
    </row>
    <row r="995" spans="1:1" x14ac:dyDescent="0.2">
      <c r="A995" t="str">
        <f>IF(ISBLANK(B995), "","CountryGroup-994")</f>
        <v/>
      </c>
    </row>
    <row r="996" spans="1:1" x14ac:dyDescent="0.2">
      <c r="A996" t="str">
        <f>IF(ISBLANK(B996), "","CountryGroup-995")</f>
        <v/>
      </c>
    </row>
    <row r="997" spans="1:1" x14ac:dyDescent="0.2">
      <c r="A997" t="str">
        <f>IF(ISBLANK(B997), "","CountryGroup-996")</f>
        <v/>
      </c>
    </row>
    <row r="998" spans="1:1" x14ac:dyDescent="0.2">
      <c r="A998" t="str">
        <f>IF(ISBLANK(B998), "","CountryGroup-997")</f>
        <v/>
      </c>
    </row>
    <row r="999" spans="1:1" x14ac:dyDescent="0.2">
      <c r="A999" t="str">
        <f>IF(ISBLANK(B999), "","CountryGroup-998")</f>
        <v/>
      </c>
    </row>
    <row r="1000" spans="1:1" x14ac:dyDescent="0.2">
      <c r="A1000" t="str">
        <f>IF(ISBLANK(B1000), "","CountryGroup-999")</f>
        <v/>
      </c>
    </row>
    <row r="1001" spans="1:1" x14ac:dyDescent="0.2">
      <c r="A1001" t="str">
        <f>IF(ISBLANK(B1001), "","CountryGroup-1000")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activeCell="C12" sqref="C12"/>
    </sheetView>
  </sheetViews>
  <sheetFormatPr baseColWidth="10" defaultColWidth="8.83203125" defaultRowHeight="15" x14ac:dyDescent="0.2"/>
  <cols>
    <col min="1" max="4" width="30.6640625" customWidth="1"/>
  </cols>
  <sheetData>
    <row r="1" spans="1:4" ht="2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t="str">
        <f>IF(ISBLANK(B2), "","Country-1")</f>
        <v>Country-1</v>
      </c>
      <c r="B2" t="s">
        <v>8</v>
      </c>
      <c r="C2" t="s">
        <v>9</v>
      </c>
      <c r="D2" t="s">
        <v>10</v>
      </c>
    </row>
    <row r="3" spans="1:4" x14ac:dyDescent="0.2">
      <c r="A3" t="str">
        <f>IF(ISBLANK(B3), "","Country-2")</f>
        <v/>
      </c>
    </row>
    <row r="4" spans="1:4" x14ac:dyDescent="0.2">
      <c r="A4" t="str">
        <f>IF(ISBLANK(B4), "","Country-3")</f>
        <v/>
      </c>
    </row>
    <row r="5" spans="1:4" x14ac:dyDescent="0.2">
      <c r="A5" t="str">
        <f>IF(ISBLANK(B5), "","Country-4")</f>
        <v/>
      </c>
    </row>
    <row r="6" spans="1:4" x14ac:dyDescent="0.2">
      <c r="A6" t="str">
        <f>IF(ISBLANK(B6), "","Country-5")</f>
        <v/>
      </c>
    </row>
    <row r="7" spans="1:4" x14ac:dyDescent="0.2">
      <c r="A7" t="str">
        <f>IF(ISBLANK(B7), "","Country-6")</f>
        <v/>
      </c>
    </row>
    <row r="8" spans="1:4" x14ac:dyDescent="0.2">
      <c r="A8" t="str">
        <f>IF(ISBLANK(B8), "","Country-7")</f>
        <v/>
      </c>
    </row>
    <row r="9" spans="1:4" x14ac:dyDescent="0.2">
      <c r="A9" t="str">
        <f>IF(ISBLANK(B9), "","Country-8")</f>
        <v/>
      </c>
    </row>
    <row r="10" spans="1:4" x14ac:dyDescent="0.2">
      <c r="A10" t="str">
        <f>IF(ISBLANK(B10), "","Country-9")</f>
        <v/>
      </c>
    </row>
    <row r="11" spans="1:4" x14ac:dyDescent="0.2">
      <c r="A11" t="str">
        <f>IF(ISBLANK(B11), "","Country-10")</f>
        <v/>
      </c>
    </row>
    <row r="12" spans="1:4" x14ac:dyDescent="0.2">
      <c r="A12" t="str">
        <f>IF(ISBLANK(B12), "","Country-11")</f>
        <v/>
      </c>
    </row>
    <row r="13" spans="1:4" x14ac:dyDescent="0.2">
      <c r="A13" t="str">
        <f>IF(ISBLANK(B13), "","Country-12")</f>
        <v/>
      </c>
    </row>
    <row r="14" spans="1:4" x14ac:dyDescent="0.2">
      <c r="A14" t="str">
        <f>IF(ISBLANK(B14), "","Country-13")</f>
        <v/>
      </c>
    </row>
    <row r="15" spans="1:4" x14ac:dyDescent="0.2">
      <c r="A15" t="str">
        <f>IF(ISBLANK(B15), "","Country-14")</f>
        <v/>
      </c>
    </row>
    <row r="16" spans="1:4" x14ac:dyDescent="0.2">
      <c r="A16" t="str">
        <f>IF(ISBLANK(B16), "","Country-15")</f>
        <v/>
      </c>
    </row>
    <row r="17" spans="1:1" x14ac:dyDescent="0.2">
      <c r="A17" t="str">
        <f>IF(ISBLANK(B17), "","Country-16")</f>
        <v/>
      </c>
    </row>
    <row r="18" spans="1:1" x14ac:dyDescent="0.2">
      <c r="A18" t="str">
        <f>IF(ISBLANK(B18), "","Country-17")</f>
        <v/>
      </c>
    </row>
    <row r="19" spans="1:1" x14ac:dyDescent="0.2">
      <c r="A19" t="str">
        <f>IF(ISBLANK(B19), "","Country-18")</f>
        <v/>
      </c>
    </row>
    <row r="20" spans="1:1" x14ac:dyDescent="0.2">
      <c r="A20" t="str">
        <f>IF(ISBLANK(B20), "","Country-19")</f>
        <v/>
      </c>
    </row>
    <row r="21" spans="1:1" x14ac:dyDescent="0.2">
      <c r="A21" t="str">
        <f>IF(ISBLANK(B21), "","Country-20")</f>
        <v/>
      </c>
    </row>
    <row r="22" spans="1:1" x14ac:dyDescent="0.2">
      <c r="A22" t="str">
        <f>IF(ISBLANK(B22), "","Country-21")</f>
        <v/>
      </c>
    </row>
    <row r="23" spans="1:1" x14ac:dyDescent="0.2">
      <c r="A23" t="str">
        <f>IF(ISBLANK(B23), "","Country-22")</f>
        <v/>
      </c>
    </row>
    <row r="24" spans="1:1" x14ac:dyDescent="0.2">
      <c r="A24" t="str">
        <f>IF(ISBLANK(B24), "","Country-23")</f>
        <v/>
      </c>
    </row>
    <row r="25" spans="1:1" x14ac:dyDescent="0.2">
      <c r="A25" t="str">
        <f>IF(ISBLANK(B25), "","Country-24")</f>
        <v/>
      </c>
    </row>
    <row r="26" spans="1:1" x14ac:dyDescent="0.2">
      <c r="A26" t="str">
        <f>IF(ISBLANK(B26), "","Country-25")</f>
        <v/>
      </c>
    </row>
    <row r="27" spans="1:1" x14ac:dyDescent="0.2">
      <c r="A27" t="str">
        <f>IF(ISBLANK(B27), "","Country-26")</f>
        <v/>
      </c>
    </row>
    <row r="28" spans="1:1" x14ac:dyDescent="0.2">
      <c r="A28" t="str">
        <f>IF(ISBLANK(B28), "","Country-27")</f>
        <v/>
      </c>
    </row>
    <row r="29" spans="1:1" x14ac:dyDescent="0.2">
      <c r="A29" t="str">
        <f>IF(ISBLANK(B29), "","Country-28")</f>
        <v/>
      </c>
    </row>
    <row r="30" spans="1:1" x14ac:dyDescent="0.2">
      <c r="A30" t="str">
        <f>IF(ISBLANK(B30), "","Country-29")</f>
        <v/>
      </c>
    </row>
    <row r="31" spans="1:1" x14ac:dyDescent="0.2">
      <c r="A31" t="str">
        <f>IF(ISBLANK(B31), "","Country-30")</f>
        <v/>
      </c>
    </row>
    <row r="32" spans="1:1" x14ac:dyDescent="0.2">
      <c r="A32" t="str">
        <f>IF(ISBLANK(B32), "","Country-31")</f>
        <v/>
      </c>
    </row>
    <row r="33" spans="1:1" x14ac:dyDescent="0.2">
      <c r="A33" t="str">
        <f>IF(ISBLANK(B33), "","Country-32")</f>
        <v/>
      </c>
    </row>
    <row r="34" spans="1:1" x14ac:dyDescent="0.2">
      <c r="A34" t="str">
        <f>IF(ISBLANK(B34), "","Country-33")</f>
        <v/>
      </c>
    </row>
    <row r="35" spans="1:1" x14ac:dyDescent="0.2">
      <c r="A35" t="str">
        <f>IF(ISBLANK(B35), "","Country-34")</f>
        <v/>
      </c>
    </row>
    <row r="36" spans="1:1" x14ac:dyDescent="0.2">
      <c r="A36" t="str">
        <f>IF(ISBLANK(B36), "","Country-35")</f>
        <v/>
      </c>
    </row>
    <row r="37" spans="1:1" x14ac:dyDescent="0.2">
      <c r="A37" t="str">
        <f>IF(ISBLANK(B37), "","Country-36")</f>
        <v/>
      </c>
    </row>
    <row r="38" spans="1:1" x14ac:dyDescent="0.2">
      <c r="A38" t="str">
        <f>IF(ISBLANK(B38), "","Country-37")</f>
        <v/>
      </c>
    </row>
    <row r="39" spans="1:1" x14ac:dyDescent="0.2">
      <c r="A39" t="str">
        <f>IF(ISBLANK(B39), "","Country-38")</f>
        <v/>
      </c>
    </row>
    <row r="40" spans="1:1" x14ac:dyDescent="0.2">
      <c r="A40" t="str">
        <f>IF(ISBLANK(B40), "","Country-39")</f>
        <v/>
      </c>
    </row>
    <row r="41" spans="1:1" x14ac:dyDescent="0.2">
      <c r="A41" t="str">
        <f>IF(ISBLANK(B41), "","Country-40")</f>
        <v/>
      </c>
    </row>
    <row r="42" spans="1:1" x14ac:dyDescent="0.2">
      <c r="A42" t="str">
        <f>IF(ISBLANK(B42), "","Country-41")</f>
        <v/>
      </c>
    </row>
    <row r="43" spans="1:1" x14ac:dyDescent="0.2">
      <c r="A43" t="str">
        <f>IF(ISBLANK(B43), "","Country-42")</f>
        <v/>
      </c>
    </row>
    <row r="44" spans="1:1" x14ac:dyDescent="0.2">
      <c r="A44" t="str">
        <f>IF(ISBLANK(B44), "","Country-43")</f>
        <v/>
      </c>
    </row>
    <row r="45" spans="1:1" x14ac:dyDescent="0.2">
      <c r="A45" t="str">
        <f>IF(ISBLANK(B45), "","Country-44")</f>
        <v/>
      </c>
    </row>
    <row r="46" spans="1:1" x14ac:dyDescent="0.2">
      <c r="A46" t="str">
        <f>IF(ISBLANK(B46), "","Country-45")</f>
        <v/>
      </c>
    </row>
    <row r="47" spans="1:1" x14ac:dyDescent="0.2">
      <c r="A47" t="str">
        <f>IF(ISBLANK(B47), "","Country-46")</f>
        <v/>
      </c>
    </row>
    <row r="48" spans="1:1" x14ac:dyDescent="0.2">
      <c r="A48" t="str">
        <f>IF(ISBLANK(B48), "","Country-47")</f>
        <v/>
      </c>
    </row>
    <row r="49" spans="1:1" x14ac:dyDescent="0.2">
      <c r="A49" t="str">
        <f>IF(ISBLANK(B49), "","Country-48")</f>
        <v/>
      </c>
    </row>
    <row r="50" spans="1:1" x14ac:dyDescent="0.2">
      <c r="A50" t="str">
        <f>IF(ISBLANK(B50), "","Country-49")</f>
        <v/>
      </c>
    </row>
    <row r="51" spans="1:1" x14ac:dyDescent="0.2">
      <c r="A51" t="str">
        <f>IF(ISBLANK(B51), "","Country-50")</f>
        <v/>
      </c>
    </row>
    <row r="52" spans="1:1" x14ac:dyDescent="0.2">
      <c r="A52" t="str">
        <f>IF(ISBLANK(B52), "","Country-51")</f>
        <v/>
      </c>
    </row>
    <row r="53" spans="1:1" x14ac:dyDescent="0.2">
      <c r="A53" t="str">
        <f>IF(ISBLANK(B53), "","Country-52")</f>
        <v/>
      </c>
    </row>
    <row r="54" spans="1:1" x14ac:dyDescent="0.2">
      <c r="A54" t="str">
        <f>IF(ISBLANK(B54), "","Country-53")</f>
        <v/>
      </c>
    </row>
    <row r="55" spans="1:1" x14ac:dyDescent="0.2">
      <c r="A55" t="str">
        <f>IF(ISBLANK(B55), "","Country-54")</f>
        <v/>
      </c>
    </row>
    <row r="56" spans="1:1" x14ac:dyDescent="0.2">
      <c r="A56" t="str">
        <f>IF(ISBLANK(B56), "","Country-55")</f>
        <v/>
      </c>
    </row>
    <row r="57" spans="1:1" x14ac:dyDescent="0.2">
      <c r="A57" t="str">
        <f>IF(ISBLANK(B57), "","Country-56")</f>
        <v/>
      </c>
    </row>
    <row r="58" spans="1:1" x14ac:dyDescent="0.2">
      <c r="A58" t="str">
        <f>IF(ISBLANK(B58), "","Country-57")</f>
        <v/>
      </c>
    </row>
    <row r="59" spans="1:1" x14ac:dyDescent="0.2">
      <c r="A59" t="str">
        <f>IF(ISBLANK(B59), "","Country-58")</f>
        <v/>
      </c>
    </row>
    <row r="60" spans="1:1" x14ac:dyDescent="0.2">
      <c r="A60" t="str">
        <f>IF(ISBLANK(B60), "","Country-59")</f>
        <v/>
      </c>
    </row>
    <row r="61" spans="1:1" x14ac:dyDescent="0.2">
      <c r="A61" t="str">
        <f>IF(ISBLANK(B61), "","Country-60")</f>
        <v/>
      </c>
    </row>
    <row r="62" spans="1:1" x14ac:dyDescent="0.2">
      <c r="A62" t="str">
        <f>IF(ISBLANK(B62), "","Country-61")</f>
        <v/>
      </c>
    </row>
    <row r="63" spans="1:1" x14ac:dyDescent="0.2">
      <c r="A63" t="str">
        <f>IF(ISBLANK(B63), "","Country-62")</f>
        <v/>
      </c>
    </row>
    <row r="64" spans="1:1" x14ac:dyDescent="0.2">
      <c r="A64" t="str">
        <f>IF(ISBLANK(B64), "","Country-63")</f>
        <v/>
      </c>
    </row>
    <row r="65" spans="1:1" x14ac:dyDescent="0.2">
      <c r="A65" t="str">
        <f>IF(ISBLANK(B65), "","Country-64")</f>
        <v/>
      </c>
    </row>
    <row r="66" spans="1:1" x14ac:dyDescent="0.2">
      <c r="A66" t="str">
        <f>IF(ISBLANK(B66), "","Country-65")</f>
        <v/>
      </c>
    </row>
    <row r="67" spans="1:1" x14ac:dyDescent="0.2">
      <c r="A67" t="str">
        <f>IF(ISBLANK(B67), "","Country-66")</f>
        <v/>
      </c>
    </row>
    <row r="68" spans="1:1" x14ac:dyDescent="0.2">
      <c r="A68" t="str">
        <f>IF(ISBLANK(B68), "","Country-67")</f>
        <v/>
      </c>
    </row>
    <row r="69" spans="1:1" x14ac:dyDescent="0.2">
      <c r="A69" t="str">
        <f>IF(ISBLANK(B69), "","Country-68")</f>
        <v/>
      </c>
    </row>
    <row r="70" spans="1:1" x14ac:dyDescent="0.2">
      <c r="A70" t="str">
        <f>IF(ISBLANK(B70), "","Country-69")</f>
        <v/>
      </c>
    </row>
    <row r="71" spans="1:1" x14ac:dyDescent="0.2">
      <c r="A71" t="str">
        <f>IF(ISBLANK(B71), "","Country-70")</f>
        <v/>
      </c>
    </row>
    <row r="72" spans="1:1" x14ac:dyDescent="0.2">
      <c r="A72" t="str">
        <f>IF(ISBLANK(B72), "","Country-71")</f>
        <v/>
      </c>
    </row>
    <row r="73" spans="1:1" x14ac:dyDescent="0.2">
      <c r="A73" t="str">
        <f>IF(ISBLANK(B73), "","Country-72")</f>
        <v/>
      </c>
    </row>
    <row r="74" spans="1:1" x14ac:dyDescent="0.2">
      <c r="A74" t="str">
        <f>IF(ISBLANK(B74), "","Country-73")</f>
        <v/>
      </c>
    </row>
    <row r="75" spans="1:1" x14ac:dyDescent="0.2">
      <c r="A75" t="str">
        <f>IF(ISBLANK(B75), "","Country-74")</f>
        <v/>
      </c>
    </row>
    <row r="76" spans="1:1" x14ac:dyDescent="0.2">
      <c r="A76" t="str">
        <f>IF(ISBLANK(B76), "","Country-75")</f>
        <v/>
      </c>
    </row>
    <row r="77" spans="1:1" x14ac:dyDescent="0.2">
      <c r="A77" t="str">
        <f>IF(ISBLANK(B77), "","Country-76")</f>
        <v/>
      </c>
    </row>
    <row r="78" spans="1:1" x14ac:dyDescent="0.2">
      <c r="A78" t="str">
        <f>IF(ISBLANK(B78), "","Country-77")</f>
        <v/>
      </c>
    </row>
    <row r="79" spans="1:1" x14ac:dyDescent="0.2">
      <c r="A79" t="str">
        <f>IF(ISBLANK(B79), "","Country-78")</f>
        <v/>
      </c>
    </row>
    <row r="80" spans="1:1" x14ac:dyDescent="0.2">
      <c r="A80" t="str">
        <f>IF(ISBLANK(B80), "","Country-79")</f>
        <v/>
      </c>
    </row>
    <row r="81" spans="1:1" x14ac:dyDescent="0.2">
      <c r="A81" t="str">
        <f>IF(ISBLANK(B81), "","Country-80")</f>
        <v/>
      </c>
    </row>
    <row r="82" spans="1:1" x14ac:dyDescent="0.2">
      <c r="A82" t="str">
        <f>IF(ISBLANK(B82), "","Country-81")</f>
        <v/>
      </c>
    </row>
    <row r="83" spans="1:1" x14ac:dyDescent="0.2">
      <c r="A83" t="str">
        <f>IF(ISBLANK(B83), "","Country-82")</f>
        <v/>
      </c>
    </row>
    <row r="84" spans="1:1" x14ac:dyDescent="0.2">
      <c r="A84" t="str">
        <f>IF(ISBLANK(B84), "","Country-83")</f>
        <v/>
      </c>
    </row>
    <row r="85" spans="1:1" x14ac:dyDescent="0.2">
      <c r="A85" t="str">
        <f>IF(ISBLANK(B85), "","Country-84")</f>
        <v/>
      </c>
    </row>
    <row r="86" spans="1:1" x14ac:dyDescent="0.2">
      <c r="A86" t="str">
        <f>IF(ISBLANK(B86), "","Country-85")</f>
        <v/>
      </c>
    </row>
    <row r="87" spans="1:1" x14ac:dyDescent="0.2">
      <c r="A87" t="str">
        <f>IF(ISBLANK(B87), "","Country-86")</f>
        <v/>
      </c>
    </row>
    <row r="88" spans="1:1" x14ac:dyDescent="0.2">
      <c r="A88" t="str">
        <f>IF(ISBLANK(B88), "","Country-87")</f>
        <v/>
      </c>
    </row>
    <row r="89" spans="1:1" x14ac:dyDescent="0.2">
      <c r="A89" t="str">
        <f>IF(ISBLANK(B89), "","Country-88")</f>
        <v/>
      </c>
    </row>
    <row r="90" spans="1:1" x14ac:dyDescent="0.2">
      <c r="A90" t="str">
        <f>IF(ISBLANK(B90), "","Country-89")</f>
        <v/>
      </c>
    </row>
    <row r="91" spans="1:1" x14ac:dyDescent="0.2">
      <c r="A91" t="str">
        <f>IF(ISBLANK(B91), "","Country-90")</f>
        <v/>
      </c>
    </row>
    <row r="92" spans="1:1" x14ac:dyDescent="0.2">
      <c r="A92" t="str">
        <f>IF(ISBLANK(B92), "","Country-91")</f>
        <v/>
      </c>
    </row>
    <row r="93" spans="1:1" x14ac:dyDescent="0.2">
      <c r="A93" t="str">
        <f>IF(ISBLANK(B93), "","Country-92")</f>
        <v/>
      </c>
    </row>
    <row r="94" spans="1:1" x14ac:dyDescent="0.2">
      <c r="A94" t="str">
        <f>IF(ISBLANK(B94), "","Country-93")</f>
        <v/>
      </c>
    </row>
    <row r="95" spans="1:1" x14ac:dyDescent="0.2">
      <c r="A95" t="str">
        <f>IF(ISBLANK(B95), "","Country-94")</f>
        <v/>
      </c>
    </row>
    <row r="96" spans="1:1" x14ac:dyDescent="0.2">
      <c r="A96" t="str">
        <f>IF(ISBLANK(B96), "","Country-95")</f>
        <v/>
      </c>
    </row>
    <row r="97" spans="1:1" x14ac:dyDescent="0.2">
      <c r="A97" t="str">
        <f>IF(ISBLANK(B97), "","Country-96")</f>
        <v/>
      </c>
    </row>
    <row r="98" spans="1:1" x14ac:dyDescent="0.2">
      <c r="A98" t="str">
        <f>IF(ISBLANK(B98), "","Country-97")</f>
        <v/>
      </c>
    </row>
    <row r="99" spans="1:1" x14ac:dyDescent="0.2">
      <c r="A99" t="str">
        <f>IF(ISBLANK(B99), "","Country-98")</f>
        <v/>
      </c>
    </row>
    <row r="100" spans="1:1" x14ac:dyDescent="0.2">
      <c r="A100" t="str">
        <f>IF(ISBLANK(B100), "","Country-99")</f>
        <v/>
      </c>
    </row>
    <row r="101" spans="1:1" x14ac:dyDescent="0.2">
      <c r="A101" t="str">
        <f>IF(ISBLANK(B101), "","Country-100")</f>
        <v/>
      </c>
    </row>
    <row r="102" spans="1:1" x14ac:dyDescent="0.2">
      <c r="A102" t="str">
        <f>IF(ISBLANK(B102), "","Country-101")</f>
        <v/>
      </c>
    </row>
    <row r="103" spans="1:1" x14ac:dyDescent="0.2">
      <c r="A103" t="str">
        <f>IF(ISBLANK(B103), "","Country-102")</f>
        <v/>
      </c>
    </row>
    <row r="104" spans="1:1" x14ac:dyDescent="0.2">
      <c r="A104" t="str">
        <f>IF(ISBLANK(B104), "","Country-103")</f>
        <v/>
      </c>
    </row>
    <row r="105" spans="1:1" x14ac:dyDescent="0.2">
      <c r="A105" t="str">
        <f>IF(ISBLANK(B105), "","Country-104")</f>
        <v/>
      </c>
    </row>
    <row r="106" spans="1:1" x14ac:dyDescent="0.2">
      <c r="A106" t="str">
        <f>IF(ISBLANK(B106), "","Country-105")</f>
        <v/>
      </c>
    </row>
    <row r="107" spans="1:1" x14ac:dyDescent="0.2">
      <c r="A107" t="str">
        <f>IF(ISBLANK(B107), "","Country-106")</f>
        <v/>
      </c>
    </row>
    <row r="108" spans="1:1" x14ac:dyDescent="0.2">
      <c r="A108" t="str">
        <f>IF(ISBLANK(B108), "","Country-107")</f>
        <v/>
      </c>
    </row>
    <row r="109" spans="1:1" x14ac:dyDescent="0.2">
      <c r="A109" t="str">
        <f>IF(ISBLANK(B109), "","Country-108")</f>
        <v/>
      </c>
    </row>
    <row r="110" spans="1:1" x14ac:dyDescent="0.2">
      <c r="A110" t="str">
        <f>IF(ISBLANK(B110), "","Country-109")</f>
        <v/>
      </c>
    </row>
    <row r="111" spans="1:1" x14ac:dyDescent="0.2">
      <c r="A111" t="str">
        <f>IF(ISBLANK(B111), "","Country-110")</f>
        <v/>
      </c>
    </row>
    <row r="112" spans="1:1" x14ac:dyDescent="0.2">
      <c r="A112" t="str">
        <f>IF(ISBLANK(B112), "","Country-111")</f>
        <v/>
      </c>
    </row>
    <row r="113" spans="1:1" x14ac:dyDescent="0.2">
      <c r="A113" t="str">
        <f>IF(ISBLANK(B113), "","Country-112")</f>
        <v/>
      </c>
    </row>
    <row r="114" spans="1:1" x14ac:dyDescent="0.2">
      <c r="A114" t="str">
        <f>IF(ISBLANK(B114), "","Country-113")</f>
        <v/>
      </c>
    </row>
    <row r="115" spans="1:1" x14ac:dyDescent="0.2">
      <c r="A115" t="str">
        <f>IF(ISBLANK(B115), "","Country-114")</f>
        <v/>
      </c>
    </row>
    <row r="116" spans="1:1" x14ac:dyDescent="0.2">
      <c r="A116" t="str">
        <f>IF(ISBLANK(B116), "","Country-115")</f>
        <v/>
      </c>
    </row>
    <row r="117" spans="1:1" x14ac:dyDescent="0.2">
      <c r="A117" t="str">
        <f>IF(ISBLANK(B117), "","Country-116")</f>
        <v/>
      </c>
    </row>
    <row r="118" spans="1:1" x14ac:dyDescent="0.2">
      <c r="A118" t="str">
        <f>IF(ISBLANK(B118), "","Country-117")</f>
        <v/>
      </c>
    </row>
    <row r="119" spans="1:1" x14ac:dyDescent="0.2">
      <c r="A119" t="str">
        <f>IF(ISBLANK(B119), "","Country-118")</f>
        <v/>
      </c>
    </row>
    <row r="120" spans="1:1" x14ac:dyDescent="0.2">
      <c r="A120" t="str">
        <f>IF(ISBLANK(B120), "","Country-119")</f>
        <v/>
      </c>
    </row>
    <row r="121" spans="1:1" x14ac:dyDescent="0.2">
      <c r="A121" t="str">
        <f>IF(ISBLANK(B121), "","Country-120")</f>
        <v/>
      </c>
    </row>
    <row r="122" spans="1:1" x14ac:dyDescent="0.2">
      <c r="A122" t="str">
        <f>IF(ISBLANK(B122), "","Country-121")</f>
        <v/>
      </c>
    </row>
    <row r="123" spans="1:1" x14ac:dyDescent="0.2">
      <c r="A123" t="str">
        <f>IF(ISBLANK(B123), "","Country-122")</f>
        <v/>
      </c>
    </row>
    <row r="124" spans="1:1" x14ac:dyDescent="0.2">
      <c r="A124" t="str">
        <f>IF(ISBLANK(B124), "","Country-123")</f>
        <v/>
      </c>
    </row>
    <row r="125" spans="1:1" x14ac:dyDescent="0.2">
      <c r="A125" t="str">
        <f>IF(ISBLANK(B125), "","Country-124")</f>
        <v/>
      </c>
    </row>
    <row r="126" spans="1:1" x14ac:dyDescent="0.2">
      <c r="A126" t="str">
        <f>IF(ISBLANK(B126), "","Country-125")</f>
        <v/>
      </c>
    </row>
    <row r="127" spans="1:1" x14ac:dyDescent="0.2">
      <c r="A127" t="str">
        <f>IF(ISBLANK(B127), "","Country-126")</f>
        <v/>
      </c>
    </row>
    <row r="128" spans="1:1" x14ac:dyDescent="0.2">
      <c r="A128" t="str">
        <f>IF(ISBLANK(B128), "","Country-127")</f>
        <v/>
      </c>
    </row>
    <row r="129" spans="1:1" x14ac:dyDescent="0.2">
      <c r="A129" t="str">
        <f>IF(ISBLANK(B129), "","Country-128")</f>
        <v/>
      </c>
    </row>
    <row r="130" spans="1:1" x14ac:dyDescent="0.2">
      <c r="A130" t="str">
        <f>IF(ISBLANK(B130), "","Country-129")</f>
        <v/>
      </c>
    </row>
    <row r="131" spans="1:1" x14ac:dyDescent="0.2">
      <c r="A131" t="str">
        <f>IF(ISBLANK(B131), "","Country-130")</f>
        <v/>
      </c>
    </row>
    <row r="132" spans="1:1" x14ac:dyDescent="0.2">
      <c r="A132" t="str">
        <f>IF(ISBLANK(B132), "","Country-131")</f>
        <v/>
      </c>
    </row>
    <row r="133" spans="1:1" x14ac:dyDescent="0.2">
      <c r="A133" t="str">
        <f>IF(ISBLANK(B133), "","Country-132")</f>
        <v/>
      </c>
    </row>
    <row r="134" spans="1:1" x14ac:dyDescent="0.2">
      <c r="A134" t="str">
        <f>IF(ISBLANK(B134), "","Country-133")</f>
        <v/>
      </c>
    </row>
    <row r="135" spans="1:1" x14ac:dyDescent="0.2">
      <c r="A135" t="str">
        <f>IF(ISBLANK(B135), "","Country-134")</f>
        <v/>
      </c>
    </row>
    <row r="136" spans="1:1" x14ac:dyDescent="0.2">
      <c r="A136" t="str">
        <f>IF(ISBLANK(B136), "","Country-135")</f>
        <v/>
      </c>
    </row>
    <row r="137" spans="1:1" x14ac:dyDescent="0.2">
      <c r="A137" t="str">
        <f>IF(ISBLANK(B137), "","Country-136")</f>
        <v/>
      </c>
    </row>
    <row r="138" spans="1:1" x14ac:dyDescent="0.2">
      <c r="A138" t="str">
        <f>IF(ISBLANK(B138), "","Country-137")</f>
        <v/>
      </c>
    </row>
    <row r="139" spans="1:1" x14ac:dyDescent="0.2">
      <c r="A139" t="str">
        <f>IF(ISBLANK(B139), "","Country-138")</f>
        <v/>
      </c>
    </row>
    <row r="140" spans="1:1" x14ac:dyDescent="0.2">
      <c r="A140" t="str">
        <f>IF(ISBLANK(B140), "","Country-139")</f>
        <v/>
      </c>
    </row>
    <row r="141" spans="1:1" x14ac:dyDescent="0.2">
      <c r="A141" t="str">
        <f>IF(ISBLANK(B141), "","Country-140")</f>
        <v/>
      </c>
    </row>
    <row r="142" spans="1:1" x14ac:dyDescent="0.2">
      <c r="A142" t="str">
        <f>IF(ISBLANK(B142), "","Country-141")</f>
        <v/>
      </c>
    </row>
    <row r="143" spans="1:1" x14ac:dyDescent="0.2">
      <c r="A143" t="str">
        <f>IF(ISBLANK(B143), "","Country-142")</f>
        <v/>
      </c>
    </row>
    <row r="144" spans="1:1" x14ac:dyDescent="0.2">
      <c r="A144" t="str">
        <f>IF(ISBLANK(B144), "","Country-143")</f>
        <v/>
      </c>
    </row>
    <row r="145" spans="1:1" x14ac:dyDescent="0.2">
      <c r="A145" t="str">
        <f>IF(ISBLANK(B145), "","Country-144")</f>
        <v/>
      </c>
    </row>
    <row r="146" spans="1:1" x14ac:dyDescent="0.2">
      <c r="A146" t="str">
        <f>IF(ISBLANK(B146), "","Country-145")</f>
        <v/>
      </c>
    </row>
    <row r="147" spans="1:1" x14ac:dyDescent="0.2">
      <c r="A147" t="str">
        <f>IF(ISBLANK(B147), "","Country-146")</f>
        <v/>
      </c>
    </row>
    <row r="148" spans="1:1" x14ac:dyDescent="0.2">
      <c r="A148" t="str">
        <f>IF(ISBLANK(B148), "","Country-147")</f>
        <v/>
      </c>
    </row>
    <row r="149" spans="1:1" x14ac:dyDescent="0.2">
      <c r="A149" t="str">
        <f>IF(ISBLANK(B149), "","Country-148")</f>
        <v/>
      </c>
    </row>
    <row r="150" spans="1:1" x14ac:dyDescent="0.2">
      <c r="A150" t="str">
        <f>IF(ISBLANK(B150), "","Country-149")</f>
        <v/>
      </c>
    </row>
    <row r="151" spans="1:1" x14ac:dyDescent="0.2">
      <c r="A151" t="str">
        <f>IF(ISBLANK(B151), "","Country-150")</f>
        <v/>
      </c>
    </row>
    <row r="152" spans="1:1" x14ac:dyDescent="0.2">
      <c r="A152" t="str">
        <f>IF(ISBLANK(B152), "","Country-151")</f>
        <v/>
      </c>
    </row>
    <row r="153" spans="1:1" x14ac:dyDescent="0.2">
      <c r="A153" t="str">
        <f>IF(ISBLANK(B153), "","Country-152")</f>
        <v/>
      </c>
    </row>
    <row r="154" spans="1:1" x14ac:dyDescent="0.2">
      <c r="A154" t="str">
        <f>IF(ISBLANK(B154), "","Country-153")</f>
        <v/>
      </c>
    </row>
    <row r="155" spans="1:1" x14ac:dyDescent="0.2">
      <c r="A155" t="str">
        <f>IF(ISBLANK(B155), "","Country-154")</f>
        <v/>
      </c>
    </row>
    <row r="156" spans="1:1" x14ac:dyDescent="0.2">
      <c r="A156" t="str">
        <f>IF(ISBLANK(B156), "","Country-155")</f>
        <v/>
      </c>
    </row>
    <row r="157" spans="1:1" x14ac:dyDescent="0.2">
      <c r="A157" t="str">
        <f>IF(ISBLANK(B157), "","Country-156")</f>
        <v/>
      </c>
    </row>
    <row r="158" spans="1:1" x14ac:dyDescent="0.2">
      <c r="A158" t="str">
        <f>IF(ISBLANK(B158), "","Country-157")</f>
        <v/>
      </c>
    </row>
    <row r="159" spans="1:1" x14ac:dyDescent="0.2">
      <c r="A159" t="str">
        <f>IF(ISBLANK(B159), "","Country-158")</f>
        <v/>
      </c>
    </row>
    <row r="160" spans="1:1" x14ac:dyDescent="0.2">
      <c r="A160" t="str">
        <f>IF(ISBLANK(B160), "","Country-159")</f>
        <v/>
      </c>
    </row>
    <row r="161" spans="1:1" x14ac:dyDescent="0.2">
      <c r="A161" t="str">
        <f>IF(ISBLANK(B161), "","Country-160")</f>
        <v/>
      </c>
    </row>
    <row r="162" spans="1:1" x14ac:dyDescent="0.2">
      <c r="A162" t="str">
        <f>IF(ISBLANK(B162), "","Country-161")</f>
        <v/>
      </c>
    </row>
    <row r="163" spans="1:1" x14ac:dyDescent="0.2">
      <c r="A163" t="str">
        <f>IF(ISBLANK(B163), "","Country-162")</f>
        <v/>
      </c>
    </row>
    <row r="164" spans="1:1" x14ac:dyDescent="0.2">
      <c r="A164" t="str">
        <f>IF(ISBLANK(B164), "","Country-163")</f>
        <v/>
      </c>
    </row>
    <row r="165" spans="1:1" x14ac:dyDescent="0.2">
      <c r="A165" t="str">
        <f>IF(ISBLANK(B165), "","Country-164")</f>
        <v/>
      </c>
    </row>
    <row r="166" spans="1:1" x14ac:dyDescent="0.2">
      <c r="A166" t="str">
        <f>IF(ISBLANK(B166), "","Country-165")</f>
        <v/>
      </c>
    </row>
    <row r="167" spans="1:1" x14ac:dyDescent="0.2">
      <c r="A167" t="str">
        <f>IF(ISBLANK(B167), "","Country-166")</f>
        <v/>
      </c>
    </row>
    <row r="168" spans="1:1" x14ac:dyDescent="0.2">
      <c r="A168" t="str">
        <f>IF(ISBLANK(B168), "","Country-167")</f>
        <v/>
      </c>
    </row>
    <row r="169" spans="1:1" x14ac:dyDescent="0.2">
      <c r="A169" t="str">
        <f>IF(ISBLANK(B169), "","Country-168")</f>
        <v/>
      </c>
    </row>
    <row r="170" spans="1:1" x14ac:dyDescent="0.2">
      <c r="A170" t="str">
        <f>IF(ISBLANK(B170), "","Country-169")</f>
        <v/>
      </c>
    </row>
    <row r="171" spans="1:1" x14ac:dyDescent="0.2">
      <c r="A171" t="str">
        <f>IF(ISBLANK(B171), "","Country-170")</f>
        <v/>
      </c>
    </row>
    <row r="172" spans="1:1" x14ac:dyDescent="0.2">
      <c r="A172" t="str">
        <f>IF(ISBLANK(B172), "","Country-171")</f>
        <v/>
      </c>
    </row>
    <row r="173" spans="1:1" x14ac:dyDescent="0.2">
      <c r="A173" t="str">
        <f>IF(ISBLANK(B173), "","Country-172")</f>
        <v/>
      </c>
    </row>
    <row r="174" spans="1:1" x14ac:dyDescent="0.2">
      <c r="A174" t="str">
        <f>IF(ISBLANK(B174), "","Country-173")</f>
        <v/>
      </c>
    </row>
    <row r="175" spans="1:1" x14ac:dyDescent="0.2">
      <c r="A175" t="str">
        <f>IF(ISBLANK(B175), "","Country-174")</f>
        <v/>
      </c>
    </row>
    <row r="176" spans="1:1" x14ac:dyDescent="0.2">
      <c r="A176" t="str">
        <f>IF(ISBLANK(B176), "","Country-175")</f>
        <v/>
      </c>
    </row>
    <row r="177" spans="1:1" x14ac:dyDescent="0.2">
      <c r="A177" t="str">
        <f>IF(ISBLANK(B177), "","Country-176")</f>
        <v/>
      </c>
    </row>
    <row r="178" spans="1:1" x14ac:dyDescent="0.2">
      <c r="A178" t="str">
        <f>IF(ISBLANK(B178), "","Country-177")</f>
        <v/>
      </c>
    </row>
    <row r="179" spans="1:1" x14ac:dyDescent="0.2">
      <c r="A179" t="str">
        <f>IF(ISBLANK(B179), "","Country-178")</f>
        <v/>
      </c>
    </row>
    <row r="180" spans="1:1" x14ac:dyDescent="0.2">
      <c r="A180" t="str">
        <f>IF(ISBLANK(B180), "","Country-179")</f>
        <v/>
      </c>
    </row>
    <row r="181" spans="1:1" x14ac:dyDescent="0.2">
      <c r="A181" t="str">
        <f>IF(ISBLANK(B181), "","Country-180")</f>
        <v/>
      </c>
    </row>
    <row r="182" spans="1:1" x14ac:dyDescent="0.2">
      <c r="A182" t="str">
        <f>IF(ISBLANK(B182), "","Country-181")</f>
        <v/>
      </c>
    </row>
    <row r="183" spans="1:1" x14ac:dyDescent="0.2">
      <c r="A183" t="str">
        <f>IF(ISBLANK(B183), "","Country-182")</f>
        <v/>
      </c>
    </row>
    <row r="184" spans="1:1" x14ac:dyDescent="0.2">
      <c r="A184" t="str">
        <f>IF(ISBLANK(B184), "","Country-183")</f>
        <v/>
      </c>
    </row>
    <row r="185" spans="1:1" x14ac:dyDescent="0.2">
      <c r="A185" t="str">
        <f>IF(ISBLANK(B185), "","Country-184")</f>
        <v/>
      </c>
    </row>
    <row r="186" spans="1:1" x14ac:dyDescent="0.2">
      <c r="A186" t="str">
        <f>IF(ISBLANK(B186), "","Country-185")</f>
        <v/>
      </c>
    </row>
    <row r="187" spans="1:1" x14ac:dyDescent="0.2">
      <c r="A187" t="str">
        <f>IF(ISBLANK(B187), "","Country-186")</f>
        <v/>
      </c>
    </row>
    <row r="188" spans="1:1" x14ac:dyDescent="0.2">
      <c r="A188" t="str">
        <f>IF(ISBLANK(B188), "","Country-187")</f>
        <v/>
      </c>
    </row>
    <row r="189" spans="1:1" x14ac:dyDescent="0.2">
      <c r="A189" t="str">
        <f>IF(ISBLANK(B189), "","Country-188")</f>
        <v/>
      </c>
    </row>
    <row r="190" spans="1:1" x14ac:dyDescent="0.2">
      <c r="A190" t="str">
        <f>IF(ISBLANK(B190), "","Country-189")</f>
        <v/>
      </c>
    </row>
    <row r="191" spans="1:1" x14ac:dyDescent="0.2">
      <c r="A191" t="str">
        <f>IF(ISBLANK(B191), "","Country-190")</f>
        <v/>
      </c>
    </row>
    <row r="192" spans="1:1" x14ac:dyDescent="0.2">
      <c r="A192" t="str">
        <f>IF(ISBLANK(B192), "","Country-191")</f>
        <v/>
      </c>
    </row>
    <row r="193" spans="1:1" x14ac:dyDescent="0.2">
      <c r="A193" t="str">
        <f>IF(ISBLANK(B193), "","Country-192")</f>
        <v/>
      </c>
    </row>
    <row r="194" spans="1:1" x14ac:dyDescent="0.2">
      <c r="A194" t="str">
        <f>IF(ISBLANK(B194), "","Country-193")</f>
        <v/>
      </c>
    </row>
    <row r="195" spans="1:1" x14ac:dyDescent="0.2">
      <c r="A195" t="str">
        <f>IF(ISBLANK(B195), "","Country-194")</f>
        <v/>
      </c>
    </row>
    <row r="196" spans="1:1" x14ac:dyDescent="0.2">
      <c r="A196" t="str">
        <f>IF(ISBLANK(B196), "","Country-195")</f>
        <v/>
      </c>
    </row>
    <row r="197" spans="1:1" x14ac:dyDescent="0.2">
      <c r="A197" t="str">
        <f>IF(ISBLANK(B197), "","Country-196")</f>
        <v/>
      </c>
    </row>
    <row r="198" spans="1:1" x14ac:dyDescent="0.2">
      <c r="A198" t="str">
        <f>IF(ISBLANK(B198), "","Country-197")</f>
        <v/>
      </c>
    </row>
    <row r="199" spans="1:1" x14ac:dyDescent="0.2">
      <c r="A199" t="str">
        <f>IF(ISBLANK(B199), "","Country-198")</f>
        <v/>
      </c>
    </row>
    <row r="200" spans="1:1" x14ac:dyDescent="0.2">
      <c r="A200" t="str">
        <f>IF(ISBLANK(B200), "","Country-199")</f>
        <v/>
      </c>
    </row>
    <row r="201" spans="1:1" x14ac:dyDescent="0.2">
      <c r="A201" t="str">
        <f>IF(ISBLANK(B201), "","Country-200")</f>
        <v/>
      </c>
    </row>
    <row r="202" spans="1:1" x14ac:dyDescent="0.2">
      <c r="A202" t="str">
        <f>IF(ISBLANK(B202), "","Country-201")</f>
        <v/>
      </c>
    </row>
    <row r="203" spans="1:1" x14ac:dyDescent="0.2">
      <c r="A203" t="str">
        <f>IF(ISBLANK(B203), "","Country-202")</f>
        <v/>
      </c>
    </row>
    <row r="204" spans="1:1" x14ac:dyDescent="0.2">
      <c r="A204" t="str">
        <f>IF(ISBLANK(B204), "","Country-203")</f>
        <v/>
      </c>
    </row>
    <row r="205" spans="1:1" x14ac:dyDescent="0.2">
      <c r="A205" t="str">
        <f>IF(ISBLANK(B205), "","Country-204")</f>
        <v/>
      </c>
    </row>
    <row r="206" spans="1:1" x14ac:dyDescent="0.2">
      <c r="A206" t="str">
        <f>IF(ISBLANK(B206), "","Country-205")</f>
        <v/>
      </c>
    </row>
    <row r="207" spans="1:1" x14ac:dyDescent="0.2">
      <c r="A207" t="str">
        <f>IF(ISBLANK(B207), "","Country-206")</f>
        <v/>
      </c>
    </row>
    <row r="208" spans="1:1" x14ac:dyDescent="0.2">
      <c r="A208" t="str">
        <f>IF(ISBLANK(B208), "","Country-207")</f>
        <v/>
      </c>
    </row>
    <row r="209" spans="1:1" x14ac:dyDescent="0.2">
      <c r="A209" t="str">
        <f>IF(ISBLANK(B209), "","Country-208")</f>
        <v/>
      </c>
    </row>
    <row r="210" spans="1:1" x14ac:dyDescent="0.2">
      <c r="A210" t="str">
        <f>IF(ISBLANK(B210), "","Country-209")</f>
        <v/>
      </c>
    </row>
    <row r="211" spans="1:1" x14ac:dyDescent="0.2">
      <c r="A211" t="str">
        <f>IF(ISBLANK(B211), "","Country-210")</f>
        <v/>
      </c>
    </row>
    <row r="212" spans="1:1" x14ac:dyDescent="0.2">
      <c r="A212" t="str">
        <f>IF(ISBLANK(B212), "","Country-211")</f>
        <v/>
      </c>
    </row>
    <row r="213" spans="1:1" x14ac:dyDescent="0.2">
      <c r="A213" t="str">
        <f>IF(ISBLANK(B213), "","Country-212")</f>
        <v/>
      </c>
    </row>
    <row r="214" spans="1:1" x14ac:dyDescent="0.2">
      <c r="A214" t="str">
        <f>IF(ISBLANK(B214), "","Country-213")</f>
        <v/>
      </c>
    </row>
    <row r="215" spans="1:1" x14ac:dyDescent="0.2">
      <c r="A215" t="str">
        <f>IF(ISBLANK(B215), "","Country-214")</f>
        <v/>
      </c>
    </row>
    <row r="216" spans="1:1" x14ac:dyDescent="0.2">
      <c r="A216" t="str">
        <f>IF(ISBLANK(B216), "","Country-215")</f>
        <v/>
      </c>
    </row>
    <row r="217" spans="1:1" x14ac:dyDescent="0.2">
      <c r="A217" t="str">
        <f>IF(ISBLANK(B217), "","Country-216")</f>
        <v/>
      </c>
    </row>
    <row r="218" spans="1:1" x14ac:dyDescent="0.2">
      <c r="A218" t="str">
        <f>IF(ISBLANK(B218), "","Country-217")</f>
        <v/>
      </c>
    </row>
    <row r="219" spans="1:1" x14ac:dyDescent="0.2">
      <c r="A219" t="str">
        <f>IF(ISBLANK(B219), "","Country-218")</f>
        <v/>
      </c>
    </row>
    <row r="220" spans="1:1" x14ac:dyDescent="0.2">
      <c r="A220" t="str">
        <f>IF(ISBLANK(B220), "","Country-219")</f>
        <v/>
      </c>
    </row>
    <row r="221" spans="1:1" x14ac:dyDescent="0.2">
      <c r="A221" t="str">
        <f>IF(ISBLANK(B221), "","Country-220")</f>
        <v/>
      </c>
    </row>
    <row r="222" spans="1:1" x14ac:dyDescent="0.2">
      <c r="A222" t="str">
        <f>IF(ISBLANK(B222), "","Country-221")</f>
        <v/>
      </c>
    </row>
    <row r="223" spans="1:1" x14ac:dyDescent="0.2">
      <c r="A223" t="str">
        <f>IF(ISBLANK(B223), "","Country-222")</f>
        <v/>
      </c>
    </row>
    <row r="224" spans="1:1" x14ac:dyDescent="0.2">
      <c r="A224" t="str">
        <f>IF(ISBLANK(B224), "","Country-223")</f>
        <v/>
      </c>
    </row>
    <row r="225" spans="1:1" x14ac:dyDescent="0.2">
      <c r="A225" t="str">
        <f>IF(ISBLANK(B225), "","Country-224")</f>
        <v/>
      </c>
    </row>
    <row r="226" spans="1:1" x14ac:dyDescent="0.2">
      <c r="A226" t="str">
        <f>IF(ISBLANK(B226), "","Country-225")</f>
        <v/>
      </c>
    </row>
    <row r="227" spans="1:1" x14ac:dyDescent="0.2">
      <c r="A227" t="str">
        <f>IF(ISBLANK(B227), "","Country-226")</f>
        <v/>
      </c>
    </row>
    <row r="228" spans="1:1" x14ac:dyDescent="0.2">
      <c r="A228" t="str">
        <f>IF(ISBLANK(B228), "","Country-227")</f>
        <v/>
      </c>
    </row>
    <row r="229" spans="1:1" x14ac:dyDescent="0.2">
      <c r="A229" t="str">
        <f>IF(ISBLANK(B229), "","Country-228")</f>
        <v/>
      </c>
    </row>
    <row r="230" spans="1:1" x14ac:dyDescent="0.2">
      <c r="A230" t="str">
        <f>IF(ISBLANK(B230), "","Country-229")</f>
        <v/>
      </c>
    </row>
    <row r="231" spans="1:1" x14ac:dyDescent="0.2">
      <c r="A231" t="str">
        <f>IF(ISBLANK(B231), "","Country-230")</f>
        <v/>
      </c>
    </row>
    <row r="232" spans="1:1" x14ac:dyDescent="0.2">
      <c r="A232" t="str">
        <f>IF(ISBLANK(B232), "","Country-231")</f>
        <v/>
      </c>
    </row>
    <row r="233" spans="1:1" x14ac:dyDescent="0.2">
      <c r="A233" t="str">
        <f>IF(ISBLANK(B233), "","Country-232")</f>
        <v/>
      </c>
    </row>
    <row r="234" spans="1:1" x14ac:dyDescent="0.2">
      <c r="A234" t="str">
        <f>IF(ISBLANK(B234), "","Country-233")</f>
        <v/>
      </c>
    </row>
    <row r="235" spans="1:1" x14ac:dyDescent="0.2">
      <c r="A235" t="str">
        <f>IF(ISBLANK(B235), "","Country-234")</f>
        <v/>
      </c>
    </row>
    <row r="236" spans="1:1" x14ac:dyDescent="0.2">
      <c r="A236" t="str">
        <f>IF(ISBLANK(B236), "","Country-235")</f>
        <v/>
      </c>
    </row>
    <row r="237" spans="1:1" x14ac:dyDescent="0.2">
      <c r="A237" t="str">
        <f>IF(ISBLANK(B237), "","Country-236")</f>
        <v/>
      </c>
    </row>
    <row r="238" spans="1:1" x14ac:dyDescent="0.2">
      <c r="A238" t="str">
        <f>IF(ISBLANK(B238), "","Country-237")</f>
        <v/>
      </c>
    </row>
    <row r="239" spans="1:1" x14ac:dyDescent="0.2">
      <c r="A239" t="str">
        <f>IF(ISBLANK(B239), "","Country-238")</f>
        <v/>
      </c>
    </row>
    <row r="240" spans="1:1" x14ac:dyDescent="0.2">
      <c r="A240" t="str">
        <f>IF(ISBLANK(B240), "","Country-239")</f>
        <v/>
      </c>
    </row>
    <row r="241" spans="1:1" x14ac:dyDescent="0.2">
      <c r="A241" t="str">
        <f>IF(ISBLANK(B241), "","Country-240")</f>
        <v/>
      </c>
    </row>
    <row r="242" spans="1:1" x14ac:dyDescent="0.2">
      <c r="A242" t="str">
        <f>IF(ISBLANK(B242), "","Country-241")</f>
        <v/>
      </c>
    </row>
    <row r="243" spans="1:1" x14ac:dyDescent="0.2">
      <c r="A243" t="str">
        <f>IF(ISBLANK(B243), "","Country-242")</f>
        <v/>
      </c>
    </row>
    <row r="244" spans="1:1" x14ac:dyDescent="0.2">
      <c r="A244" t="str">
        <f>IF(ISBLANK(B244), "","Country-243")</f>
        <v/>
      </c>
    </row>
    <row r="245" spans="1:1" x14ac:dyDescent="0.2">
      <c r="A245" t="str">
        <f>IF(ISBLANK(B245), "","Country-244")</f>
        <v/>
      </c>
    </row>
    <row r="246" spans="1:1" x14ac:dyDescent="0.2">
      <c r="A246" t="str">
        <f>IF(ISBLANK(B246), "","Country-245")</f>
        <v/>
      </c>
    </row>
    <row r="247" spans="1:1" x14ac:dyDescent="0.2">
      <c r="A247" t="str">
        <f>IF(ISBLANK(B247), "","Country-246")</f>
        <v/>
      </c>
    </row>
    <row r="248" spans="1:1" x14ac:dyDescent="0.2">
      <c r="A248" t="str">
        <f>IF(ISBLANK(B248), "","Country-247")</f>
        <v/>
      </c>
    </row>
    <row r="249" spans="1:1" x14ac:dyDescent="0.2">
      <c r="A249" t="str">
        <f>IF(ISBLANK(B249), "","Country-248")</f>
        <v/>
      </c>
    </row>
    <row r="250" spans="1:1" x14ac:dyDescent="0.2">
      <c r="A250" t="str">
        <f>IF(ISBLANK(B250), "","Country-249")</f>
        <v/>
      </c>
    </row>
    <row r="251" spans="1:1" x14ac:dyDescent="0.2">
      <c r="A251" t="str">
        <f>IF(ISBLANK(B251), "","Country-250")</f>
        <v/>
      </c>
    </row>
    <row r="252" spans="1:1" x14ac:dyDescent="0.2">
      <c r="A252" t="str">
        <f>IF(ISBLANK(B252), "","Country-251")</f>
        <v/>
      </c>
    </row>
    <row r="253" spans="1:1" x14ac:dyDescent="0.2">
      <c r="A253" t="str">
        <f>IF(ISBLANK(B253), "","Country-252")</f>
        <v/>
      </c>
    </row>
    <row r="254" spans="1:1" x14ac:dyDescent="0.2">
      <c r="A254" t="str">
        <f>IF(ISBLANK(B254), "","Country-253")</f>
        <v/>
      </c>
    </row>
    <row r="255" spans="1:1" x14ac:dyDescent="0.2">
      <c r="A255" t="str">
        <f>IF(ISBLANK(B255), "","Country-254")</f>
        <v/>
      </c>
    </row>
    <row r="256" spans="1:1" x14ac:dyDescent="0.2">
      <c r="A256" t="str">
        <f>IF(ISBLANK(B256), "","Country-255")</f>
        <v/>
      </c>
    </row>
    <row r="257" spans="1:1" x14ac:dyDescent="0.2">
      <c r="A257" t="str">
        <f>IF(ISBLANK(B257), "","Country-256")</f>
        <v/>
      </c>
    </row>
    <row r="258" spans="1:1" x14ac:dyDescent="0.2">
      <c r="A258" t="str">
        <f>IF(ISBLANK(B258), "","Country-257")</f>
        <v/>
      </c>
    </row>
    <row r="259" spans="1:1" x14ac:dyDescent="0.2">
      <c r="A259" t="str">
        <f>IF(ISBLANK(B259), "","Country-258")</f>
        <v/>
      </c>
    </row>
    <row r="260" spans="1:1" x14ac:dyDescent="0.2">
      <c r="A260" t="str">
        <f>IF(ISBLANK(B260), "","Country-259")</f>
        <v/>
      </c>
    </row>
    <row r="261" spans="1:1" x14ac:dyDescent="0.2">
      <c r="A261" t="str">
        <f>IF(ISBLANK(B261), "","Country-260")</f>
        <v/>
      </c>
    </row>
    <row r="262" spans="1:1" x14ac:dyDescent="0.2">
      <c r="A262" t="str">
        <f>IF(ISBLANK(B262), "","Country-261")</f>
        <v/>
      </c>
    </row>
    <row r="263" spans="1:1" x14ac:dyDescent="0.2">
      <c r="A263" t="str">
        <f>IF(ISBLANK(B263), "","Country-262")</f>
        <v/>
      </c>
    </row>
    <row r="264" spans="1:1" x14ac:dyDescent="0.2">
      <c r="A264" t="str">
        <f>IF(ISBLANK(B264), "","Country-263")</f>
        <v/>
      </c>
    </row>
    <row r="265" spans="1:1" x14ac:dyDescent="0.2">
      <c r="A265" t="str">
        <f>IF(ISBLANK(B265), "","Country-264")</f>
        <v/>
      </c>
    </row>
    <row r="266" spans="1:1" x14ac:dyDescent="0.2">
      <c r="A266" t="str">
        <f>IF(ISBLANK(B266), "","Country-265")</f>
        <v/>
      </c>
    </row>
    <row r="267" spans="1:1" x14ac:dyDescent="0.2">
      <c r="A267" t="str">
        <f>IF(ISBLANK(B267), "","Country-266")</f>
        <v/>
      </c>
    </row>
    <row r="268" spans="1:1" x14ac:dyDescent="0.2">
      <c r="A268" t="str">
        <f>IF(ISBLANK(B268), "","Country-267")</f>
        <v/>
      </c>
    </row>
    <row r="269" spans="1:1" x14ac:dyDescent="0.2">
      <c r="A269" t="str">
        <f>IF(ISBLANK(B269), "","Country-268")</f>
        <v/>
      </c>
    </row>
    <row r="270" spans="1:1" x14ac:dyDescent="0.2">
      <c r="A270" t="str">
        <f>IF(ISBLANK(B270), "","Country-269")</f>
        <v/>
      </c>
    </row>
    <row r="271" spans="1:1" x14ac:dyDescent="0.2">
      <c r="A271" t="str">
        <f>IF(ISBLANK(B271), "","Country-270")</f>
        <v/>
      </c>
    </row>
    <row r="272" spans="1:1" x14ac:dyDescent="0.2">
      <c r="A272" t="str">
        <f>IF(ISBLANK(B272), "","Country-271")</f>
        <v/>
      </c>
    </row>
    <row r="273" spans="1:1" x14ac:dyDescent="0.2">
      <c r="A273" t="str">
        <f>IF(ISBLANK(B273), "","Country-272")</f>
        <v/>
      </c>
    </row>
    <row r="274" spans="1:1" x14ac:dyDescent="0.2">
      <c r="A274" t="str">
        <f>IF(ISBLANK(B274), "","Country-273")</f>
        <v/>
      </c>
    </row>
    <row r="275" spans="1:1" x14ac:dyDescent="0.2">
      <c r="A275" t="str">
        <f>IF(ISBLANK(B275), "","Country-274")</f>
        <v/>
      </c>
    </row>
    <row r="276" spans="1:1" x14ac:dyDescent="0.2">
      <c r="A276" t="str">
        <f>IF(ISBLANK(B276), "","Country-275")</f>
        <v/>
      </c>
    </row>
    <row r="277" spans="1:1" x14ac:dyDescent="0.2">
      <c r="A277" t="str">
        <f>IF(ISBLANK(B277), "","Country-276")</f>
        <v/>
      </c>
    </row>
    <row r="278" spans="1:1" x14ac:dyDescent="0.2">
      <c r="A278" t="str">
        <f>IF(ISBLANK(B278), "","Country-277")</f>
        <v/>
      </c>
    </row>
    <row r="279" spans="1:1" x14ac:dyDescent="0.2">
      <c r="A279" t="str">
        <f>IF(ISBLANK(B279), "","Country-278")</f>
        <v/>
      </c>
    </row>
    <row r="280" spans="1:1" x14ac:dyDescent="0.2">
      <c r="A280" t="str">
        <f>IF(ISBLANK(B280), "","Country-279")</f>
        <v/>
      </c>
    </row>
    <row r="281" spans="1:1" x14ac:dyDescent="0.2">
      <c r="A281" t="str">
        <f>IF(ISBLANK(B281), "","Country-280")</f>
        <v/>
      </c>
    </row>
    <row r="282" spans="1:1" x14ac:dyDescent="0.2">
      <c r="A282" t="str">
        <f>IF(ISBLANK(B282), "","Country-281")</f>
        <v/>
      </c>
    </row>
    <row r="283" spans="1:1" x14ac:dyDescent="0.2">
      <c r="A283" t="str">
        <f>IF(ISBLANK(B283), "","Country-282")</f>
        <v/>
      </c>
    </row>
    <row r="284" spans="1:1" x14ac:dyDescent="0.2">
      <c r="A284" t="str">
        <f>IF(ISBLANK(B284), "","Country-283")</f>
        <v/>
      </c>
    </row>
    <row r="285" spans="1:1" x14ac:dyDescent="0.2">
      <c r="A285" t="str">
        <f>IF(ISBLANK(B285), "","Country-284")</f>
        <v/>
      </c>
    </row>
    <row r="286" spans="1:1" x14ac:dyDescent="0.2">
      <c r="A286" t="str">
        <f>IF(ISBLANK(B286), "","Country-285")</f>
        <v/>
      </c>
    </row>
    <row r="287" spans="1:1" x14ac:dyDescent="0.2">
      <c r="A287" t="str">
        <f>IF(ISBLANK(B287), "","Country-286")</f>
        <v/>
      </c>
    </row>
    <row r="288" spans="1:1" x14ac:dyDescent="0.2">
      <c r="A288" t="str">
        <f>IF(ISBLANK(B288), "","Country-287")</f>
        <v/>
      </c>
    </row>
    <row r="289" spans="1:1" x14ac:dyDescent="0.2">
      <c r="A289" t="str">
        <f>IF(ISBLANK(B289), "","Country-288")</f>
        <v/>
      </c>
    </row>
    <row r="290" spans="1:1" x14ac:dyDescent="0.2">
      <c r="A290" t="str">
        <f>IF(ISBLANK(B290), "","Country-289")</f>
        <v/>
      </c>
    </row>
    <row r="291" spans="1:1" x14ac:dyDescent="0.2">
      <c r="A291" t="str">
        <f>IF(ISBLANK(B291), "","Country-290")</f>
        <v/>
      </c>
    </row>
    <row r="292" spans="1:1" x14ac:dyDescent="0.2">
      <c r="A292" t="str">
        <f>IF(ISBLANK(B292), "","Country-291")</f>
        <v/>
      </c>
    </row>
    <row r="293" spans="1:1" x14ac:dyDescent="0.2">
      <c r="A293" t="str">
        <f>IF(ISBLANK(B293), "","Country-292")</f>
        <v/>
      </c>
    </row>
    <row r="294" spans="1:1" x14ac:dyDescent="0.2">
      <c r="A294" t="str">
        <f>IF(ISBLANK(B294), "","Country-293")</f>
        <v/>
      </c>
    </row>
    <row r="295" spans="1:1" x14ac:dyDescent="0.2">
      <c r="A295" t="str">
        <f>IF(ISBLANK(B295), "","Country-294")</f>
        <v/>
      </c>
    </row>
    <row r="296" spans="1:1" x14ac:dyDescent="0.2">
      <c r="A296" t="str">
        <f>IF(ISBLANK(B296), "","Country-295")</f>
        <v/>
      </c>
    </row>
    <row r="297" spans="1:1" x14ac:dyDescent="0.2">
      <c r="A297" t="str">
        <f>IF(ISBLANK(B297), "","Country-296")</f>
        <v/>
      </c>
    </row>
    <row r="298" spans="1:1" x14ac:dyDescent="0.2">
      <c r="A298" t="str">
        <f>IF(ISBLANK(B298), "","Country-297")</f>
        <v/>
      </c>
    </row>
    <row r="299" spans="1:1" x14ac:dyDescent="0.2">
      <c r="A299" t="str">
        <f>IF(ISBLANK(B299), "","Country-298")</f>
        <v/>
      </c>
    </row>
    <row r="300" spans="1:1" x14ac:dyDescent="0.2">
      <c r="A300" t="str">
        <f>IF(ISBLANK(B300), "","Country-299")</f>
        <v/>
      </c>
    </row>
    <row r="301" spans="1:1" x14ac:dyDescent="0.2">
      <c r="A301" t="str">
        <f>IF(ISBLANK(B301), "","Country-300")</f>
        <v/>
      </c>
    </row>
    <row r="302" spans="1:1" x14ac:dyDescent="0.2">
      <c r="A302" t="str">
        <f>IF(ISBLANK(B302), "","Country-301")</f>
        <v/>
      </c>
    </row>
    <row r="303" spans="1:1" x14ac:dyDescent="0.2">
      <c r="A303" t="str">
        <f>IF(ISBLANK(B303), "","Country-302")</f>
        <v/>
      </c>
    </row>
    <row r="304" spans="1:1" x14ac:dyDescent="0.2">
      <c r="A304" t="str">
        <f>IF(ISBLANK(B304), "","Country-303")</f>
        <v/>
      </c>
    </row>
    <row r="305" spans="1:1" x14ac:dyDescent="0.2">
      <c r="A305" t="str">
        <f>IF(ISBLANK(B305), "","Country-304")</f>
        <v/>
      </c>
    </row>
    <row r="306" spans="1:1" x14ac:dyDescent="0.2">
      <c r="A306" t="str">
        <f>IF(ISBLANK(B306), "","Country-305")</f>
        <v/>
      </c>
    </row>
    <row r="307" spans="1:1" x14ac:dyDescent="0.2">
      <c r="A307" t="str">
        <f>IF(ISBLANK(B307), "","Country-306")</f>
        <v/>
      </c>
    </row>
    <row r="308" spans="1:1" x14ac:dyDescent="0.2">
      <c r="A308" t="str">
        <f>IF(ISBLANK(B308), "","Country-307")</f>
        <v/>
      </c>
    </row>
    <row r="309" spans="1:1" x14ac:dyDescent="0.2">
      <c r="A309" t="str">
        <f>IF(ISBLANK(B309), "","Country-308")</f>
        <v/>
      </c>
    </row>
    <row r="310" spans="1:1" x14ac:dyDescent="0.2">
      <c r="A310" t="str">
        <f>IF(ISBLANK(B310), "","Country-309")</f>
        <v/>
      </c>
    </row>
    <row r="311" spans="1:1" x14ac:dyDescent="0.2">
      <c r="A311" t="str">
        <f>IF(ISBLANK(B311), "","Country-310")</f>
        <v/>
      </c>
    </row>
    <row r="312" spans="1:1" x14ac:dyDescent="0.2">
      <c r="A312" t="str">
        <f>IF(ISBLANK(B312), "","Country-311")</f>
        <v/>
      </c>
    </row>
    <row r="313" spans="1:1" x14ac:dyDescent="0.2">
      <c r="A313" t="str">
        <f>IF(ISBLANK(B313), "","Country-312")</f>
        <v/>
      </c>
    </row>
    <row r="314" spans="1:1" x14ac:dyDescent="0.2">
      <c r="A314" t="str">
        <f>IF(ISBLANK(B314), "","Country-313")</f>
        <v/>
      </c>
    </row>
    <row r="315" spans="1:1" x14ac:dyDescent="0.2">
      <c r="A315" t="str">
        <f>IF(ISBLANK(B315), "","Country-314")</f>
        <v/>
      </c>
    </row>
    <row r="316" spans="1:1" x14ac:dyDescent="0.2">
      <c r="A316" t="str">
        <f>IF(ISBLANK(B316), "","Country-315")</f>
        <v/>
      </c>
    </row>
    <row r="317" spans="1:1" x14ac:dyDescent="0.2">
      <c r="A317" t="str">
        <f>IF(ISBLANK(B317), "","Country-316")</f>
        <v/>
      </c>
    </row>
    <row r="318" spans="1:1" x14ac:dyDescent="0.2">
      <c r="A318" t="str">
        <f>IF(ISBLANK(B318), "","Country-317")</f>
        <v/>
      </c>
    </row>
    <row r="319" spans="1:1" x14ac:dyDescent="0.2">
      <c r="A319" t="str">
        <f>IF(ISBLANK(B319), "","Country-318")</f>
        <v/>
      </c>
    </row>
    <row r="320" spans="1:1" x14ac:dyDescent="0.2">
      <c r="A320" t="str">
        <f>IF(ISBLANK(B320), "","Country-319")</f>
        <v/>
      </c>
    </row>
    <row r="321" spans="1:1" x14ac:dyDescent="0.2">
      <c r="A321" t="str">
        <f>IF(ISBLANK(B321), "","Country-320")</f>
        <v/>
      </c>
    </row>
    <row r="322" spans="1:1" x14ac:dyDescent="0.2">
      <c r="A322" t="str">
        <f>IF(ISBLANK(B322), "","Country-321")</f>
        <v/>
      </c>
    </row>
    <row r="323" spans="1:1" x14ac:dyDescent="0.2">
      <c r="A323" t="str">
        <f>IF(ISBLANK(B323), "","Country-322")</f>
        <v/>
      </c>
    </row>
    <row r="324" spans="1:1" x14ac:dyDescent="0.2">
      <c r="A324" t="str">
        <f>IF(ISBLANK(B324), "","Country-323")</f>
        <v/>
      </c>
    </row>
    <row r="325" spans="1:1" x14ac:dyDescent="0.2">
      <c r="A325" t="str">
        <f>IF(ISBLANK(B325), "","Country-324")</f>
        <v/>
      </c>
    </row>
    <row r="326" spans="1:1" x14ac:dyDescent="0.2">
      <c r="A326" t="str">
        <f>IF(ISBLANK(B326), "","Country-325")</f>
        <v/>
      </c>
    </row>
    <row r="327" spans="1:1" x14ac:dyDescent="0.2">
      <c r="A327" t="str">
        <f>IF(ISBLANK(B327), "","Country-326")</f>
        <v/>
      </c>
    </row>
    <row r="328" spans="1:1" x14ac:dyDescent="0.2">
      <c r="A328" t="str">
        <f>IF(ISBLANK(B328), "","Country-327")</f>
        <v/>
      </c>
    </row>
    <row r="329" spans="1:1" x14ac:dyDescent="0.2">
      <c r="A329" t="str">
        <f>IF(ISBLANK(B329), "","Country-328")</f>
        <v/>
      </c>
    </row>
    <row r="330" spans="1:1" x14ac:dyDescent="0.2">
      <c r="A330" t="str">
        <f>IF(ISBLANK(B330), "","Country-329")</f>
        <v/>
      </c>
    </row>
    <row r="331" spans="1:1" x14ac:dyDescent="0.2">
      <c r="A331" t="str">
        <f>IF(ISBLANK(B331), "","Country-330")</f>
        <v/>
      </c>
    </row>
    <row r="332" spans="1:1" x14ac:dyDescent="0.2">
      <c r="A332" t="str">
        <f>IF(ISBLANK(B332), "","Country-331")</f>
        <v/>
      </c>
    </row>
    <row r="333" spans="1:1" x14ac:dyDescent="0.2">
      <c r="A333" t="str">
        <f>IF(ISBLANK(B333), "","Country-332")</f>
        <v/>
      </c>
    </row>
    <row r="334" spans="1:1" x14ac:dyDescent="0.2">
      <c r="A334" t="str">
        <f>IF(ISBLANK(B334), "","Country-333")</f>
        <v/>
      </c>
    </row>
    <row r="335" spans="1:1" x14ac:dyDescent="0.2">
      <c r="A335" t="str">
        <f>IF(ISBLANK(B335), "","Country-334")</f>
        <v/>
      </c>
    </row>
    <row r="336" spans="1:1" x14ac:dyDescent="0.2">
      <c r="A336" t="str">
        <f>IF(ISBLANK(B336), "","Country-335")</f>
        <v/>
      </c>
    </row>
    <row r="337" spans="1:1" x14ac:dyDescent="0.2">
      <c r="A337" t="str">
        <f>IF(ISBLANK(B337), "","Country-336")</f>
        <v/>
      </c>
    </row>
    <row r="338" spans="1:1" x14ac:dyDescent="0.2">
      <c r="A338" t="str">
        <f>IF(ISBLANK(B338), "","Country-337")</f>
        <v/>
      </c>
    </row>
    <row r="339" spans="1:1" x14ac:dyDescent="0.2">
      <c r="A339" t="str">
        <f>IF(ISBLANK(B339), "","Country-338")</f>
        <v/>
      </c>
    </row>
    <row r="340" spans="1:1" x14ac:dyDescent="0.2">
      <c r="A340" t="str">
        <f>IF(ISBLANK(B340), "","Country-339")</f>
        <v/>
      </c>
    </row>
    <row r="341" spans="1:1" x14ac:dyDescent="0.2">
      <c r="A341" t="str">
        <f>IF(ISBLANK(B341), "","Country-340")</f>
        <v/>
      </c>
    </row>
    <row r="342" spans="1:1" x14ac:dyDescent="0.2">
      <c r="A342" t="str">
        <f>IF(ISBLANK(B342), "","Country-341")</f>
        <v/>
      </c>
    </row>
    <row r="343" spans="1:1" x14ac:dyDescent="0.2">
      <c r="A343" t="str">
        <f>IF(ISBLANK(B343), "","Country-342")</f>
        <v/>
      </c>
    </row>
    <row r="344" spans="1:1" x14ac:dyDescent="0.2">
      <c r="A344" t="str">
        <f>IF(ISBLANK(B344), "","Country-343")</f>
        <v/>
      </c>
    </row>
    <row r="345" spans="1:1" x14ac:dyDescent="0.2">
      <c r="A345" t="str">
        <f>IF(ISBLANK(B345), "","Country-344")</f>
        <v/>
      </c>
    </row>
    <row r="346" spans="1:1" x14ac:dyDescent="0.2">
      <c r="A346" t="str">
        <f>IF(ISBLANK(B346), "","Country-345")</f>
        <v/>
      </c>
    </row>
    <row r="347" spans="1:1" x14ac:dyDescent="0.2">
      <c r="A347" t="str">
        <f>IF(ISBLANK(B347), "","Country-346")</f>
        <v/>
      </c>
    </row>
    <row r="348" spans="1:1" x14ac:dyDescent="0.2">
      <c r="A348" t="str">
        <f>IF(ISBLANK(B348), "","Country-347")</f>
        <v/>
      </c>
    </row>
    <row r="349" spans="1:1" x14ac:dyDescent="0.2">
      <c r="A349" t="str">
        <f>IF(ISBLANK(B349), "","Country-348")</f>
        <v/>
      </c>
    </row>
    <row r="350" spans="1:1" x14ac:dyDescent="0.2">
      <c r="A350" t="str">
        <f>IF(ISBLANK(B350), "","Country-349")</f>
        <v/>
      </c>
    </row>
    <row r="351" spans="1:1" x14ac:dyDescent="0.2">
      <c r="A351" t="str">
        <f>IF(ISBLANK(B351), "","Country-350")</f>
        <v/>
      </c>
    </row>
    <row r="352" spans="1:1" x14ac:dyDescent="0.2">
      <c r="A352" t="str">
        <f>IF(ISBLANK(B352), "","Country-351")</f>
        <v/>
      </c>
    </row>
    <row r="353" spans="1:1" x14ac:dyDescent="0.2">
      <c r="A353" t="str">
        <f>IF(ISBLANK(B353), "","Country-352")</f>
        <v/>
      </c>
    </row>
    <row r="354" spans="1:1" x14ac:dyDescent="0.2">
      <c r="A354" t="str">
        <f>IF(ISBLANK(B354), "","Country-353")</f>
        <v/>
      </c>
    </row>
    <row r="355" spans="1:1" x14ac:dyDescent="0.2">
      <c r="A355" t="str">
        <f>IF(ISBLANK(B355), "","Country-354")</f>
        <v/>
      </c>
    </row>
    <row r="356" spans="1:1" x14ac:dyDescent="0.2">
      <c r="A356" t="str">
        <f>IF(ISBLANK(B356), "","Country-355")</f>
        <v/>
      </c>
    </row>
    <row r="357" spans="1:1" x14ac:dyDescent="0.2">
      <c r="A357" t="str">
        <f>IF(ISBLANK(B357), "","Country-356")</f>
        <v/>
      </c>
    </row>
    <row r="358" spans="1:1" x14ac:dyDescent="0.2">
      <c r="A358" t="str">
        <f>IF(ISBLANK(B358), "","Country-357")</f>
        <v/>
      </c>
    </row>
    <row r="359" spans="1:1" x14ac:dyDescent="0.2">
      <c r="A359" t="str">
        <f>IF(ISBLANK(B359), "","Country-358")</f>
        <v/>
      </c>
    </row>
    <row r="360" spans="1:1" x14ac:dyDescent="0.2">
      <c r="A360" t="str">
        <f>IF(ISBLANK(B360), "","Country-359")</f>
        <v/>
      </c>
    </row>
    <row r="361" spans="1:1" x14ac:dyDescent="0.2">
      <c r="A361" t="str">
        <f>IF(ISBLANK(B361), "","Country-360")</f>
        <v/>
      </c>
    </row>
    <row r="362" spans="1:1" x14ac:dyDescent="0.2">
      <c r="A362" t="str">
        <f>IF(ISBLANK(B362), "","Country-361")</f>
        <v/>
      </c>
    </row>
    <row r="363" spans="1:1" x14ac:dyDescent="0.2">
      <c r="A363" t="str">
        <f>IF(ISBLANK(B363), "","Country-362")</f>
        <v/>
      </c>
    </row>
    <row r="364" spans="1:1" x14ac:dyDescent="0.2">
      <c r="A364" t="str">
        <f>IF(ISBLANK(B364), "","Country-363")</f>
        <v/>
      </c>
    </row>
    <row r="365" spans="1:1" x14ac:dyDescent="0.2">
      <c r="A365" t="str">
        <f>IF(ISBLANK(B365), "","Country-364")</f>
        <v/>
      </c>
    </row>
    <row r="366" spans="1:1" x14ac:dyDescent="0.2">
      <c r="A366" t="str">
        <f>IF(ISBLANK(B366), "","Country-365")</f>
        <v/>
      </c>
    </row>
    <row r="367" spans="1:1" x14ac:dyDescent="0.2">
      <c r="A367" t="str">
        <f>IF(ISBLANK(B367), "","Country-366")</f>
        <v/>
      </c>
    </row>
    <row r="368" spans="1:1" x14ac:dyDescent="0.2">
      <c r="A368" t="str">
        <f>IF(ISBLANK(B368), "","Country-367")</f>
        <v/>
      </c>
    </row>
    <row r="369" spans="1:1" x14ac:dyDescent="0.2">
      <c r="A369" t="str">
        <f>IF(ISBLANK(B369), "","Country-368")</f>
        <v/>
      </c>
    </row>
    <row r="370" spans="1:1" x14ac:dyDescent="0.2">
      <c r="A370" t="str">
        <f>IF(ISBLANK(B370), "","Country-369")</f>
        <v/>
      </c>
    </row>
    <row r="371" spans="1:1" x14ac:dyDescent="0.2">
      <c r="A371" t="str">
        <f>IF(ISBLANK(B371), "","Country-370")</f>
        <v/>
      </c>
    </row>
    <row r="372" spans="1:1" x14ac:dyDescent="0.2">
      <c r="A372" t="str">
        <f>IF(ISBLANK(B372), "","Country-371")</f>
        <v/>
      </c>
    </row>
    <row r="373" spans="1:1" x14ac:dyDescent="0.2">
      <c r="A373" t="str">
        <f>IF(ISBLANK(B373), "","Country-372")</f>
        <v/>
      </c>
    </row>
    <row r="374" spans="1:1" x14ac:dyDescent="0.2">
      <c r="A374" t="str">
        <f>IF(ISBLANK(B374), "","Country-373")</f>
        <v/>
      </c>
    </row>
    <row r="375" spans="1:1" x14ac:dyDescent="0.2">
      <c r="A375" t="str">
        <f>IF(ISBLANK(B375), "","Country-374")</f>
        <v/>
      </c>
    </row>
    <row r="376" spans="1:1" x14ac:dyDescent="0.2">
      <c r="A376" t="str">
        <f>IF(ISBLANK(B376), "","Country-375")</f>
        <v/>
      </c>
    </row>
    <row r="377" spans="1:1" x14ac:dyDescent="0.2">
      <c r="A377" t="str">
        <f>IF(ISBLANK(B377), "","Country-376")</f>
        <v/>
      </c>
    </row>
    <row r="378" spans="1:1" x14ac:dyDescent="0.2">
      <c r="A378" t="str">
        <f>IF(ISBLANK(B378), "","Country-377")</f>
        <v/>
      </c>
    </row>
    <row r="379" spans="1:1" x14ac:dyDescent="0.2">
      <c r="A379" t="str">
        <f>IF(ISBLANK(B379), "","Country-378")</f>
        <v/>
      </c>
    </row>
    <row r="380" spans="1:1" x14ac:dyDescent="0.2">
      <c r="A380" t="str">
        <f>IF(ISBLANK(B380), "","Country-379")</f>
        <v/>
      </c>
    </row>
    <row r="381" spans="1:1" x14ac:dyDescent="0.2">
      <c r="A381" t="str">
        <f>IF(ISBLANK(B381), "","Country-380")</f>
        <v/>
      </c>
    </row>
    <row r="382" spans="1:1" x14ac:dyDescent="0.2">
      <c r="A382" t="str">
        <f>IF(ISBLANK(B382), "","Country-381")</f>
        <v/>
      </c>
    </row>
    <row r="383" spans="1:1" x14ac:dyDescent="0.2">
      <c r="A383" t="str">
        <f>IF(ISBLANK(B383), "","Country-382")</f>
        <v/>
      </c>
    </row>
    <row r="384" spans="1:1" x14ac:dyDescent="0.2">
      <c r="A384" t="str">
        <f>IF(ISBLANK(B384), "","Country-383")</f>
        <v/>
      </c>
    </row>
    <row r="385" spans="1:1" x14ac:dyDescent="0.2">
      <c r="A385" t="str">
        <f>IF(ISBLANK(B385), "","Country-384")</f>
        <v/>
      </c>
    </row>
    <row r="386" spans="1:1" x14ac:dyDescent="0.2">
      <c r="A386" t="str">
        <f>IF(ISBLANK(B386), "","Country-385")</f>
        <v/>
      </c>
    </row>
    <row r="387" spans="1:1" x14ac:dyDescent="0.2">
      <c r="A387" t="str">
        <f>IF(ISBLANK(B387), "","Country-386")</f>
        <v/>
      </c>
    </row>
    <row r="388" spans="1:1" x14ac:dyDescent="0.2">
      <c r="A388" t="str">
        <f>IF(ISBLANK(B388), "","Country-387")</f>
        <v/>
      </c>
    </row>
    <row r="389" spans="1:1" x14ac:dyDescent="0.2">
      <c r="A389" t="str">
        <f>IF(ISBLANK(B389), "","Country-388")</f>
        <v/>
      </c>
    </row>
    <row r="390" spans="1:1" x14ac:dyDescent="0.2">
      <c r="A390" t="str">
        <f>IF(ISBLANK(B390), "","Country-389")</f>
        <v/>
      </c>
    </row>
    <row r="391" spans="1:1" x14ac:dyDescent="0.2">
      <c r="A391" t="str">
        <f>IF(ISBLANK(B391), "","Country-390")</f>
        <v/>
      </c>
    </row>
    <row r="392" spans="1:1" x14ac:dyDescent="0.2">
      <c r="A392" t="str">
        <f>IF(ISBLANK(B392), "","Country-391")</f>
        <v/>
      </c>
    </row>
    <row r="393" spans="1:1" x14ac:dyDescent="0.2">
      <c r="A393" t="str">
        <f>IF(ISBLANK(B393), "","Country-392")</f>
        <v/>
      </c>
    </row>
    <row r="394" spans="1:1" x14ac:dyDescent="0.2">
      <c r="A394" t="str">
        <f>IF(ISBLANK(B394), "","Country-393")</f>
        <v/>
      </c>
    </row>
    <row r="395" spans="1:1" x14ac:dyDescent="0.2">
      <c r="A395" t="str">
        <f>IF(ISBLANK(B395), "","Country-394")</f>
        <v/>
      </c>
    </row>
    <row r="396" spans="1:1" x14ac:dyDescent="0.2">
      <c r="A396" t="str">
        <f>IF(ISBLANK(B396), "","Country-395")</f>
        <v/>
      </c>
    </row>
    <row r="397" spans="1:1" x14ac:dyDescent="0.2">
      <c r="A397" t="str">
        <f>IF(ISBLANK(B397), "","Country-396")</f>
        <v/>
      </c>
    </row>
    <row r="398" spans="1:1" x14ac:dyDescent="0.2">
      <c r="A398" t="str">
        <f>IF(ISBLANK(B398), "","Country-397")</f>
        <v/>
      </c>
    </row>
    <row r="399" spans="1:1" x14ac:dyDescent="0.2">
      <c r="A399" t="str">
        <f>IF(ISBLANK(B399), "","Country-398")</f>
        <v/>
      </c>
    </row>
    <row r="400" spans="1:1" x14ac:dyDescent="0.2">
      <c r="A400" t="str">
        <f>IF(ISBLANK(B400), "","Country-399")</f>
        <v/>
      </c>
    </row>
    <row r="401" spans="1:1" x14ac:dyDescent="0.2">
      <c r="A401" t="str">
        <f>IF(ISBLANK(B401), "","Country-400")</f>
        <v/>
      </c>
    </row>
    <row r="402" spans="1:1" x14ac:dyDescent="0.2">
      <c r="A402" t="str">
        <f>IF(ISBLANK(B402), "","Country-401")</f>
        <v/>
      </c>
    </row>
    <row r="403" spans="1:1" x14ac:dyDescent="0.2">
      <c r="A403" t="str">
        <f>IF(ISBLANK(B403), "","Country-402")</f>
        <v/>
      </c>
    </row>
    <row r="404" spans="1:1" x14ac:dyDescent="0.2">
      <c r="A404" t="str">
        <f>IF(ISBLANK(B404), "","Country-403")</f>
        <v/>
      </c>
    </row>
    <row r="405" spans="1:1" x14ac:dyDescent="0.2">
      <c r="A405" t="str">
        <f>IF(ISBLANK(B405), "","Country-404")</f>
        <v/>
      </c>
    </row>
    <row r="406" spans="1:1" x14ac:dyDescent="0.2">
      <c r="A406" t="str">
        <f>IF(ISBLANK(B406), "","Country-405")</f>
        <v/>
      </c>
    </row>
    <row r="407" spans="1:1" x14ac:dyDescent="0.2">
      <c r="A407" t="str">
        <f>IF(ISBLANK(B407), "","Country-406")</f>
        <v/>
      </c>
    </row>
    <row r="408" spans="1:1" x14ac:dyDescent="0.2">
      <c r="A408" t="str">
        <f>IF(ISBLANK(B408), "","Country-407")</f>
        <v/>
      </c>
    </row>
    <row r="409" spans="1:1" x14ac:dyDescent="0.2">
      <c r="A409" t="str">
        <f>IF(ISBLANK(B409), "","Country-408")</f>
        <v/>
      </c>
    </row>
    <row r="410" spans="1:1" x14ac:dyDescent="0.2">
      <c r="A410" t="str">
        <f>IF(ISBLANK(B410), "","Country-409")</f>
        <v/>
      </c>
    </row>
    <row r="411" spans="1:1" x14ac:dyDescent="0.2">
      <c r="A411" t="str">
        <f>IF(ISBLANK(B411), "","Country-410")</f>
        <v/>
      </c>
    </row>
    <row r="412" spans="1:1" x14ac:dyDescent="0.2">
      <c r="A412" t="str">
        <f>IF(ISBLANK(B412), "","Country-411")</f>
        <v/>
      </c>
    </row>
    <row r="413" spans="1:1" x14ac:dyDescent="0.2">
      <c r="A413" t="str">
        <f>IF(ISBLANK(B413), "","Country-412")</f>
        <v/>
      </c>
    </row>
    <row r="414" spans="1:1" x14ac:dyDescent="0.2">
      <c r="A414" t="str">
        <f>IF(ISBLANK(B414), "","Country-413")</f>
        <v/>
      </c>
    </row>
    <row r="415" spans="1:1" x14ac:dyDescent="0.2">
      <c r="A415" t="str">
        <f>IF(ISBLANK(B415), "","Country-414")</f>
        <v/>
      </c>
    </row>
    <row r="416" spans="1:1" x14ac:dyDescent="0.2">
      <c r="A416" t="str">
        <f>IF(ISBLANK(B416), "","Country-415")</f>
        <v/>
      </c>
    </row>
    <row r="417" spans="1:1" x14ac:dyDescent="0.2">
      <c r="A417" t="str">
        <f>IF(ISBLANK(B417), "","Country-416")</f>
        <v/>
      </c>
    </row>
    <row r="418" spans="1:1" x14ac:dyDescent="0.2">
      <c r="A418" t="str">
        <f>IF(ISBLANK(B418), "","Country-417")</f>
        <v/>
      </c>
    </row>
    <row r="419" spans="1:1" x14ac:dyDescent="0.2">
      <c r="A419" t="str">
        <f>IF(ISBLANK(B419), "","Country-418")</f>
        <v/>
      </c>
    </row>
    <row r="420" spans="1:1" x14ac:dyDescent="0.2">
      <c r="A420" t="str">
        <f>IF(ISBLANK(B420), "","Country-419")</f>
        <v/>
      </c>
    </row>
    <row r="421" spans="1:1" x14ac:dyDescent="0.2">
      <c r="A421" t="str">
        <f>IF(ISBLANK(B421), "","Country-420")</f>
        <v/>
      </c>
    </row>
    <row r="422" spans="1:1" x14ac:dyDescent="0.2">
      <c r="A422" t="str">
        <f>IF(ISBLANK(B422), "","Country-421")</f>
        <v/>
      </c>
    </row>
    <row r="423" spans="1:1" x14ac:dyDescent="0.2">
      <c r="A423" t="str">
        <f>IF(ISBLANK(B423), "","Country-422")</f>
        <v/>
      </c>
    </row>
    <row r="424" spans="1:1" x14ac:dyDescent="0.2">
      <c r="A424" t="str">
        <f>IF(ISBLANK(B424), "","Country-423")</f>
        <v/>
      </c>
    </row>
    <row r="425" spans="1:1" x14ac:dyDescent="0.2">
      <c r="A425" t="str">
        <f>IF(ISBLANK(B425), "","Country-424")</f>
        <v/>
      </c>
    </row>
    <row r="426" spans="1:1" x14ac:dyDescent="0.2">
      <c r="A426" t="str">
        <f>IF(ISBLANK(B426), "","Country-425")</f>
        <v/>
      </c>
    </row>
    <row r="427" spans="1:1" x14ac:dyDescent="0.2">
      <c r="A427" t="str">
        <f>IF(ISBLANK(B427), "","Country-426")</f>
        <v/>
      </c>
    </row>
    <row r="428" spans="1:1" x14ac:dyDescent="0.2">
      <c r="A428" t="str">
        <f>IF(ISBLANK(B428), "","Country-427")</f>
        <v/>
      </c>
    </row>
    <row r="429" spans="1:1" x14ac:dyDescent="0.2">
      <c r="A429" t="str">
        <f>IF(ISBLANK(B429), "","Country-428")</f>
        <v/>
      </c>
    </row>
    <row r="430" spans="1:1" x14ac:dyDescent="0.2">
      <c r="A430" t="str">
        <f>IF(ISBLANK(B430), "","Country-429")</f>
        <v/>
      </c>
    </row>
    <row r="431" spans="1:1" x14ac:dyDescent="0.2">
      <c r="A431" t="str">
        <f>IF(ISBLANK(B431), "","Country-430")</f>
        <v/>
      </c>
    </row>
    <row r="432" spans="1:1" x14ac:dyDescent="0.2">
      <c r="A432" t="str">
        <f>IF(ISBLANK(B432), "","Country-431")</f>
        <v/>
      </c>
    </row>
    <row r="433" spans="1:1" x14ac:dyDescent="0.2">
      <c r="A433" t="str">
        <f>IF(ISBLANK(B433), "","Country-432")</f>
        <v/>
      </c>
    </row>
    <row r="434" spans="1:1" x14ac:dyDescent="0.2">
      <c r="A434" t="str">
        <f>IF(ISBLANK(B434), "","Country-433")</f>
        <v/>
      </c>
    </row>
    <row r="435" spans="1:1" x14ac:dyDescent="0.2">
      <c r="A435" t="str">
        <f>IF(ISBLANK(B435), "","Country-434")</f>
        <v/>
      </c>
    </row>
    <row r="436" spans="1:1" x14ac:dyDescent="0.2">
      <c r="A436" t="str">
        <f>IF(ISBLANK(B436), "","Country-435")</f>
        <v/>
      </c>
    </row>
    <row r="437" spans="1:1" x14ac:dyDescent="0.2">
      <c r="A437" t="str">
        <f>IF(ISBLANK(B437), "","Country-436")</f>
        <v/>
      </c>
    </row>
    <row r="438" spans="1:1" x14ac:dyDescent="0.2">
      <c r="A438" t="str">
        <f>IF(ISBLANK(B438), "","Country-437")</f>
        <v/>
      </c>
    </row>
    <row r="439" spans="1:1" x14ac:dyDescent="0.2">
      <c r="A439" t="str">
        <f>IF(ISBLANK(B439), "","Country-438")</f>
        <v/>
      </c>
    </row>
    <row r="440" spans="1:1" x14ac:dyDescent="0.2">
      <c r="A440" t="str">
        <f>IF(ISBLANK(B440), "","Country-439")</f>
        <v/>
      </c>
    </row>
    <row r="441" spans="1:1" x14ac:dyDescent="0.2">
      <c r="A441" t="str">
        <f>IF(ISBLANK(B441), "","Country-440")</f>
        <v/>
      </c>
    </row>
    <row r="442" spans="1:1" x14ac:dyDescent="0.2">
      <c r="A442" t="str">
        <f>IF(ISBLANK(B442), "","Country-441")</f>
        <v/>
      </c>
    </row>
    <row r="443" spans="1:1" x14ac:dyDescent="0.2">
      <c r="A443" t="str">
        <f>IF(ISBLANK(B443), "","Country-442")</f>
        <v/>
      </c>
    </row>
    <row r="444" spans="1:1" x14ac:dyDescent="0.2">
      <c r="A444" t="str">
        <f>IF(ISBLANK(B444), "","Country-443")</f>
        <v/>
      </c>
    </row>
    <row r="445" spans="1:1" x14ac:dyDescent="0.2">
      <c r="A445" t="str">
        <f>IF(ISBLANK(B445), "","Country-444")</f>
        <v/>
      </c>
    </row>
    <row r="446" spans="1:1" x14ac:dyDescent="0.2">
      <c r="A446" t="str">
        <f>IF(ISBLANK(B446), "","Country-445")</f>
        <v/>
      </c>
    </row>
    <row r="447" spans="1:1" x14ac:dyDescent="0.2">
      <c r="A447" t="str">
        <f>IF(ISBLANK(B447), "","Country-446")</f>
        <v/>
      </c>
    </row>
    <row r="448" spans="1:1" x14ac:dyDescent="0.2">
      <c r="A448" t="str">
        <f>IF(ISBLANK(B448), "","Country-447")</f>
        <v/>
      </c>
    </row>
    <row r="449" spans="1:1" x14ac:dyDescent="0.2">
      <c r="A449" t="str">
        <f>IF(ISBLANK(B449), "","Country-448")</f>
        <v/>
      </c>
    </row>
    <row r="450" spans="1:1" x14ac:dyDescent="0.2">
      <c r="A450" t="str">
        <f>IF(ISBLANK(B450), "","Country-449")</f>
        <v/>
      </c>
    </row>
    <row r="451" spans="1:1" x14ac:dyDescent="0.2">
      <c r="A451" t="str">
        <f>IF(ISBLANK(B451), "","Country-450")</f>
        <v/>
      </c>
    </row>
    <row r="452" spans="1:1" x14ac:dyDescent="0.2">
      <c r="A452" t="str">
        <f>IF(ISBLANK(B452), "","Country-451")</f>
        <v/>
      </c>
    </row>
    <row r="453" spans="1:1" x14ac:dyDescent="0.2">
      <c r="A453" t="str">
        <f>IF(ISBLANK(B453), "","Country-452")</f>
        <v/>
      </c>
    </row>
    <row r="454" spans="1:1" x14ac:dyDescent="0.2">
      <c r="A454" t="str">
        <f>IF(ISBLANK(B454), "","Country-453")</f>
        <v/>
      </c>
    </row>
    <row r="455" spans="1:1" x14ac:dyDescent="0.2">
      <c r="A455" t="str">
        <f>IF(ISBLANK(B455), "","Country-454")</f>
        <v/>
      </c>
    </row>
    <row r="456" spans="1:1" x14ac:dyDescent="0.2">
      <c r="A456" t="str">
        <f>IF(ISBLANK(B456), "","Country-455")</f>
        <v/>
      </c>
    </row>
    <row r="457" spans="1:1" x14ac:dyDescent="0.2">
      <c r="A457" t="str">
        <f>IF(ISBLANK(B457), "","Country-456")</f>
        <v/>
      </c>
    </row>
    <row r="458" spans="1:1" x14ac:dyDescent="0.2">
      <c r="A458" t="str">
        <f>IF(ISBLANK(B458), "","Country-457")</f>
        <v/>
      </c>
    </row>
    <row r="459" spans="1:1" x14ac:dyDescent="0.2">
      <c r="A459" t="str">
        <f>IF(ISBLANK(B459), "","Country-458")</f>
        <v/>
      </c>
    </row>
    <row r="460" spans="1:1" x14ac:dyDescent="0.2">
      <c r="A460" t="str">
        <f>IF(ISBLANK(B460), "","Country-459")</f>
        <v/>
      </c>
    </row>
    <row r="461" spans="1:1" x14ac:dyDescent="0.2">
      <c r="A461" t="str">
        <f>IF(ISBLANK(B461), "","Country-460")</f>
        <v/>
      </c>
    </row>
    <row r="462" spans="1:1" x14ac:dyDescent="0.2">
      <c r="A462" t="str">
        <f>IF(ISBLANK(B462), "","Country-461")</f>
        <v/>
      </c>
    </row>
    <row r="463" spans="1:1" x14ac:dyDescent="0.2">
      <c r="A463" t="str">
        <f>IF(ISBLANK(B463), "","Country-462")</f>
        <v/>
      </c>
    </row>
    <row r="464" spans="1:1" x14ac:dyDescent="0.2">
      <c r="A464" t="str">
        <f>IF(ISBLANK(B464), "","Country-463")</f>
        <v/>
      </c>
    </row>
    <row r="465" spans="1:1" x14ac:dyDescent="0.2">
      <c r="A465" t="str">
        <f>IF(ISBLANK(B465), "","Country-464")</f>
        <v/>
      </c>
    </row>
    <row r="466" spans="1:1" x14ac:dyDescent="0.2">
      <c r="A466" t="str">
        <f>IF(ISBLANK(B466), "","Country-465")</f>
        <v/>
      </c>
    </row>
    <row r="467" spans="1:1" x14ac:dyDescent="0.2">
      <c r="A467" t="str">
        <f>IF(ISBLANK(B467), "","Country-466")</f>
        <v/>
      </c>
    </row>
    <row r="468" spans="1:1" x14ac:dyDescent="0.2">
      <c r="A468" t="str">
        <f>IF(ISBLANK(B468), "","Country-467")</f>
        <v/>
      </c>
    </row>
    <row r="469" spans="1:1" x14ac:dyDescent="0.2">
      <c r="A469" t="str">
        <f>IF(ISBLANK(B469), "","Country-468")</f>
        <v/>
      </c>
    </row>
    <row r="470" spans="1:1" x14ac:dyDescent="0.2">
      <c r="A470" t="str">
        <f>IF(ISBLANK(B470), "","Country-469")</f>
        <v/>
      </c>
    </row>
    <row r="471" spans="1:1" x14ac:dyDescent="0.2">
      <c r="A471" t="str">
        <f>IF(ISBLANK(B471), "","Country-470")</f>
        <v/>
      </c>
    </row>
    <row r="472" spans="1:1" x14ac:dyDescent="0.2">
      <c r="A472" t="str">
        <f>IF(ISBLANK(B472), "","Country-471")</f>
        <v/>
      </c>
    </row>
    <row r="473" spans="1:1" x14ac:dyDescent="0.2">
      <c r="A473" t="str">
        <f>IF(ISBLANK(B473), "","Country-472")</f>
        <v/>
      </c>
    </row>
    <row r="474" spans="1:1" x14ac:dyDescent="0.2">
      <c r="A474" t="str">
        <f>IF(ISBLANK(B474), "","Country-473")</f>
        <v/>
      </c>
    </row>
    <row r="475" spans="1:1" x14ac:dyDescent="0.2">
      <c r="A475" t="str">
        <f>IF(ISBLANK(B475), "","Country-474")</f>
        <v/>
      </c>
    </row>
    <row r="476" spans="1:1" x14ac:dyDescent="0.2">
      <c r="A476" t="str">
        <f>IF(ISBLANK(B476), "","Country-475")</f>
        <v/>
      </c>
    </row>
    <row r="477" spans="1:1" x14ac:dyDescent="0.2">
      <c r="A477" t="str">
        <f>IF(ISBLANK(B477), "","Country-476")</f>
        <v/>
      </c>
    </row>
    <row r="478" spans="1:1" x14ac:dyDescent="0.2">
      <c r="A478" t="str">
        <f>IF(ISBLANK(B478), "","Country-477")</f>
        <v/>
      </c>
    </row>
    <row r="479" spans="1:1" x14ac:dyDescent="0.2">
      <c r="A479" t="str">
        <f>IF(ISBLANK(B479), "","Country-478")</f>
        <v/>
      </c>
    </row>
    <row r="480" spans="1:1" x14ac:dyDescent="0.2">
      <c r="A480" t="str">
        <f>IF(ISBLANK(B480), "","Country-479")</f>
        <v/>
      </c>
    </row>
    <row r="481" spans="1:1" x14ac:dyDescent="0.2">
      <c r="A481" t="str">
        <f>IF(ISBLANK(B481), "","Country-480")</f>
        <v/>
      </c>
    </row>
    <row r="482" spans="1:1" x14ac:dyDescent="0.2">
      <c r="A482" t="str">
        <f>IF(ISBLANK(B482), "","Country-481")</f>
        <v/>
      </c>
    </row>
    <row r="483" spans="1:1" x14ac:dyDescent="0.2">
      <c r="A483" t="str">
        <f>IF(ISBLANK(B483), "","Country-482")</f>
        <v/>
      </c>
    </row>
    <row r="484" spans="1:1" x14ac:dyDescent="0.2">
      <c r="A484" t="str">
        <f>IF(ISBLANK(B484), "","Country-483")</f>
        <v/>
      </c>
    </row>
    <row r="485" spans="1:1" x14ac:dyDescent="0.2">
      <c r="A485" t="str">
        <f>IF(ISBLANK(B485), "","Country-484")</f>
        <v/>
      </c>
    </row>
    <row r="486" spans="1:1" x14ac:dyDescent="0.2">
      <c r="A486" t="str">
        <f>IF(ISBLANK(B486), "","Country-485")</f>
        <v/>
      </c>
    </row>
    <row r="487" spans="1:1" x14ac:dyDescent="0.2">
      <c r="A487" t="str">
        <f>IF(ISBLANK(B487), "","Country-486")</f>
        <v/>
      </c>
    </row>
    <row r="488" spans="1:1" x14ac:dyDescent="0.2">
      <c r="A488" t="str">
        <f>IF(ISBLANK(B488), "","Country-487")</f>
        <v/>
      </c>
    </row>
    <row r="489" spans="1:1" x14ac:dyDescent="0.2">
      <c r="A489" t="str">
        <f>IF(ISBLANK(B489), "","Country-488")</f>
        <v/>
      </c>
    </row>
    <row r="490" spans="1:1" x14ac:dyDescent="0.2">
      <c r="A490" t="str">
        <f>IF(ISBLANK(B490), "","Country-489")</f>
        <v/>
      </c>
    </row>
    <row r="491" spans="1:1" x14ac:dyDescent="0.2">
      <c r="A491" t="str">
        <f>IF(ISBLANK(B491), "","Country-490")</f>
        <v/>
      </c>
    </row>
    <row r="492" spans="1:1" x14ac:dyDescent="0.2">
      <c r="A492" t="str">
        <f>IF(ISBLANK(B492), "","Country-491")</f>
        <v/>
      </c>
    </row>
    <row r="493" spans="1:1" x14ac:dyDescent="0.2">
      <c r="A493" t="str">
        <f>IF(ISBLANK(B493), "","Country-492")</f>
        <v/>
      </c>
    </row>
    <row r="494" spans="1:1" x14ac:dyDescent="0.2">
      <c r="A494" t="str">
        <f>IF(ISBLANK(B494), "","Country-493")</f>
        <v/>
      </c>
    </row>
    <row r="495" spans="1:1" x14ac:dyDescent="0.2">
      <c r="A495" t="str">
        <f>IF(ISBLANK(B495), "","Country-494")</f>
        <v/>
      </c>
    </row>
    <row r="496" spans="1:1" x14ac:dyDescent="0.2">
      <c r="A496" t="str">
        <f>IF(ISBLANK(B496), "","Country-495")</f>
        <v/>
      </c>
    </row>
    <row r="497" spans="1:1" x14ac:dyDescent="0.2">
      <c r="A497" t="str">
        <f>IF(ISBLANK(B497), "","Country-496")</f>
        <v/>
      </c>
    </row>
    <row r="498" spans="1:1" x14ac:dyDescent="0.2">
      <c r="A498" t="str">
        <f>IF(ISBLANK(B498), "","Country-497")</f>
        <v/>
      </c>
    </row>
    <row r="499" spans="1:1" x14ac:dyDescent="0.2">
      <c r="A499" t="str">
        <f>IF(ISBLANK(B499), "","Country-498")</f>
        <v/>
      </c>
    </row>
    <row r="500" spans="1:1" x14ac:dyDescent="0.2">
      <c r="A500" t="str">
        <f>IF(ISBLANK(B500), "","Country-499")</f>
        <v/>
      </c>
    </row>
    <row r="501" spans="1:1" x14ac:dyDescent="0.2">
      <c r="A501" t="str">
        <f>IF(ISBLANK(B501), "","Country-500")</f>
        <v/>
      </c>
    </row>
    <row r="502" spans="1:1" x14ac:dyDescent="0.2">
      <c r="A502" t="str">
        <f>IF(ISBLANK(B502), "","Country-501")</f>
        <v/>
      </c>
    </row>
    <row r="503" spans="1:1" x14ac:dyDescent="0.2">
      <c r="A503" t="str">
        <f>IF(ISBLANK(B503), "","Country-502")</f>
        <v/>
      </c>
    </row>
    <row r="504" spans="1:1" x14ac:dyDescent="0.2">
      <c r="A504" t="str">
        <f>IF(ISBLANK(B504), "","Country-503")</f>
        <v/>
      </c>
    </row>
    <row r="505" spans="1:1" x14ac:dyDescent="0.2">
      <c r="A505" t="str">
        <f>IF(ISBLANK(B505), "","Country-504")</f>
        <v/>
      </c>
    </row>
    <row r="506" spans="1:1" x14ac:dyDescent="0.2">
      <c r="A506" t="str">
        <f>IF(ISBLANK(B506), "","Country-505")</f>
        <v/>
      </c>
    </row>
    <row r="507" spans="1:1" x14ac:dyDescent="0.2">
      <c r="A507" t="str">
        <f>IF(ISBLANK(B507), "","Country-506")</f>
        <v/>
      </c>
    </row>
    <row r="508" spans="1:1" x14ac:dyDescent="0.2">
      <c r="A508" t="str">
        <f>IF(ISBLANK(B508), "","Country-507")</f>
        <v/>
      </c>
    </row>
    <row r="509" spans="1:1" x14ac:dyDescent="0.2">
      <c r="A509" t="str">
        <f>IF(ISBLANK(B509), "","Country-508")</f>
        <v/>
      </c>
    </row>
    <row r="510" spans="1:1" x14ac:dyDescent="0.2">
      <c r="A510" t="str">
        <f>IF(ISBLANK(B510), "","Country-509")</f>
        <v/>
      </c>
    </row>
    <row r="511" spans="1:1" x14ac:dyDescent="0.2">
      <c r="A511" t="str">
        <f>IF(ISBLANK(B511), "","Country-510")</f>
        <v/>
      </c>
    </row>
    <row r="512" spans="1:1" x14ac:dyDescent="0.2">
      <c r="A512" t="str">
        <f>IF(ISBLANK(B512), "","Country-511")</f>
        <v/>
      </c>
    </row>
    <row r="513" spans="1:1" x14ac:dyDescent="0.2">
      <c r="A513" t="str">
        <f>IF(ISBLANK(B513), "","Country-512")</f>
        <v/>
      </c>
    </row>
    <row r="514" spans="1:1" x14ac:dyDescent="0.2">
      <c r="A514" t="str">
        <f>IF(ISBLANK(B514), "","Country-513")</f>
        <v/>
      </c>
    </row>
    <row r="515" spans="1:1" x14ac:dyDescent="0.2">
      <c r="A515" t="str">
        <f>IF(ISBLANK(B515), "","Country-514")</f>
        <v/>
      </c>
    </row>
    <row r="516" spans="1:1" x14ac:dyDescent="0.2">
      <c r="A516" t="str">
        <f>IF(ISBLANK(B516), "","Country-515")</f>
        <v/>
      </c>
    </row>
    <row r="517" spans="1:1" x14ac:dyDescent="0.2">
      <c r="A517" t="str">
        <f>IF(ISBLANK(B517), "","Country-516")</f>
        <v/>
      </c>
    </row>
    <row r="518" spans="1:1" x14ac:dyDescent="0.2">
      <c r="A518" t="str">
        <f>IF(ISBLANK(B518), "","Country-517")</f>
        <v/>
      </c>
    </row>
    <row r="519" spans="1:1" x14ac:dyDescent="0.2">
      <c r="A519" t="str">
        <f>IF(ISBLANK(B519), "","Country-518")</f>
        <v/>
      </c>
    </row>
    <row r="520" spans="1:1" x14ac:dyDescent="0.2">
      <c r="A520" t="str">
        <f>IF(ISBLANK(B520), "","Country-519")</f>
        <v/>
      </c>
    </row>
    <row r="521" spans="1:1" x14ac:dyDescent="0.2">
      <c r="A521" t="str">
        <f>IF(ISBLANK(B521), "","Country-520")</f>
        <v/>
      </c>
    </row>
    <row r="522" spans="1:1" x14ac:dyDescent="0.2">
      <c r="A522" t="str">
        <f>IF(ISBLANK(B522), "","Country-521")</f>
        <v/>
      </c>
    </row>
    <row r="523" spans="1:1" x14ac:dyDescent="0.2">
      <c r="A523" t="str">
        <f>IF(ISBLANK(B523), "","Country-522")</f>
        <v/>
      </c>
    </row>
    <row r="524" spans="1:1" x14ac:dyDescent="0.2">
      <c r="A524" t="str">
        <f>IF(ISBLANK(B524), "","Country-523")</f>
        <v/>
      </c>
    </row>
    <row r="525" spans="1:1" x14ac:dyDescent="0.2">
      <c r="A525" t="str">
        <f>IF(ISBLANK(B525), "","Country-524")</f>
        <v/>
      </c>
    </row>
    <row r="526" spans="1:1" x14ac:dyDescent="0.2">
      <c r="A526" t="str">
        <f>IF(ISBLANK(B526), "","Country-525")</f>
        <v/>
      </c>
    </row>
    <row r="527" spans="1:1" x14ac:dyDescent="0.2">
      <c r="A527" t="str">
        <f>IF(ISBLANK(B527), "","Country-526")</f>
        <v/>
      </c>
    </row>
    <row r="528" spans="1:1" x14ac:dyDescent="0.2">
      <c r="A528" t="str">
        <f>IF(ISBLANK(B528), "","Country-527")</f>
        <v/>
      </c>
    </row>
    <row r="529" spans="1:1" x14ac:dyDescent="0.2">
      <c r="A529" t="str">
        <f>IF(ISBLANK(B529), "","Country-528")</f>
        <v/>
      </c>
    </row>
    <row r="530" spans="1:1" x14ac:dyDescent="0.2">
      <c r="A530" t="str">
        <f>IF(ISBLANK(B530), "","Country-529")</f>
        <v/>
      </c>
    </row>
    <row r="531" spans="1:1" x14ac:dyDescent="0.2">
      <c r="A531" t="str">
        <f>IF(ISBLANK(B531), "","Country-530")</f>
        <v/>
      </c>
    </row>
    <row r="532" spans="1:1" x14ac:dyDescent="0.2">
      <c r="A532" t="str">
        <f>IF(ISBLANK(B532), "","Country-531")</f>
        <v/>
      </c>
    </row>
    <row r="533" spans="1:1" x14ac:dyDescent="0.2">
      <c r="A533" t="str">
        <f>IF(ISBLANK(B533), "","Country-532")</f>
        <v/>
      </c>
    </row>
    <row r="534" spans="1:1" x14ac:dyDescent="0.2">
      <c r="A534" t="str">
        <f>IF(ISBLANK(B534), "","Country-533")</f>
        <v/>
      </c>
    </row>
    <row r="535" spans="1:1" x14ac:dyDescent="0.2">
      <c r="A535" t="str">
        <f>IF(ISBLANK(B535), "","Country-534")</f>
        <v/>
      </c>
    </row>
    <row r="536" spans="1:1" x14ac:dyDescent="0.2">
      <c r="A536" t="str">
        <f>IF(ISBLANK(B536), "","Country-535")</f>
        <v/>
      </c>
    </row>
    <row r="537" spans="1:1" x14ac:dyDescent="0.2">
      <c r="A537" t="str">
        <f>IF(ISBLANK(B537), "","Country-536")</f>
        <v/>
      </c>
    </row>
    <row r="538" spans="1:1" x14ac:dyDescent="0.2">
      <c r="A538" t="str">
        <f>IF(ISBLANK(B538), "","Country-537")</f>
        <v/>
      </c>
    </row>
    <row r="539" spans="1:1" x14ac:dyDescent="0.2">
      <c r="A539" t="str">
        <f>IF(ISBLANK(B539), "","Country-538")</f>
        <v/>
      </c>
    </row>
    <row r="540" spans="1:1" x14ac:dyDescent="0.2">
      <c r="A540" t="str">
        <f>IF(ISBLANK(B540), "","Country-539")</f>
        <v/>
      </c>
    </row>
    <row r="541" spans="1:1" x14ac:dyDescent="0.2">
      <c r="A541" t="str">
        <f>IF(ISBLANK(B541), "","Country-540")</f>
        <v/>
      </c>
    </row>
    <row r="542" spans="1:1" x14ac:dyDescent="0.2">
      <c r="A542" t="str">
        <f>IF(ISBLANK(B542), "","Country-541")</f>
        <v/>
      </c>
    </row>
    <row r="543" spans="1:1" x14ac:dyDescent="0.2">
      <c r="A543" t="str">
        <f>IF(ISBLANK(B543), "","Country-542")</f>
        <v/>
      </c>
    </row>
    <row r="544" spans="1:1" x14ac:dyDescent="0.2">
      <c r="A544" t="str">
        <f>IF(ISBLANK(B544), "","Country-543")</f>
        <v/>
      </c>
    </row>
    <row r="545" spans="1:1" x14ac:dyDescent="0.2">
      <c r="A545" t="str">
        <f>IF(ISBLANK(B545), "","Country-544")</f>
        <v/>
      </c>
    </row>
    <row r="546" spans="1:1" x14ac:dyDescent="0.2">
      <c r="A546" t="str">
        <f>IF(ISBLANK(B546), "","Country-545")</f>
        <v/>
      </c>
    </row>
    <row r="547" spans="1:1" x14ac:dyDescent="0.2">
      <c r="A547" t="str">
        <f>IF(ISBLANK(B547), "","Country-546")</f>
        <v/>
      </c>
    </row>
    <row r="548" spans="1:1" x14ac:dyDescent="0.2">
      <c r="A548" t="str">
        <f>IF(ISBLANK(B548), "","Country-547")</f>
        <v/>
      </c>
    </row>
    <row r="549" spans="1:1" x14ac:dyDescent="0.2">
      <c r="A549" t="str">
        <f>IF(ISBLANK(B549), "","Country-548")</f>
        <v/>
      </c>
    </row>
    <row r="550" spans="1:1" x14ac:dyDescent="0.2">
      <c r="A550" t="str">
        <f>IF(ISBLANK(B550), "","Country-549")</f>
        <v/>
      </c>
    </row>
    <row r="551" spans="1:1" x14ac:dyDescent="0.2">
      <c r="A551" t="str">
        <f>IF(ISBLANK(B551), "","Country-550")</f>
        <v/>
      </c>
    </row>
    <row r="552" spans="1:1" x14ac:dyDescent="0.2">
      <c r="A552" t="str">
        <f>IF(ISBLANK(B552), "","Country-551")</f>
        <v/>
      </c>
    </row>
    <row r="553" spans="1:1" x14ac:dyDescent="0.2">
      <c r="A553" t="str">
        <f>IF(ISBLANK(B553), "","Country-552")</f>
        <v/>
      </c>
    </row>
    <row r="554" spans="1:1" x14ac:dyDescent="0.2">
      <c r="A554" t="str">
        <f>IF(ISBLANK(B554), "","Country-553")</f>
        <v/>
      </c>
    </row>
    <row r="555" spans="1:1" x14ac:dyDescent="0.2">
      <c r="A555" t="str">
        <f>IF(ISBLANK(B555), "","Country-554")</f>
        <v/>
      </c>
    </row>
    <row r="556" spans="1:1" x14ac:dyDescent="0.2">
      <c r="A556" t="str">
        <f>IF(ISBLANK(B556), "","Country-555")</f>
        <v/>
      </c>
    </row>
    <row r="557" spans="1:1" x14ac:dyDescent="0.2">
      <c r="A557" t="str">
        <f>IF(ISBLANK(B557), "","Country-556")</f>
        <v/>
      </c>
    </row>
    <row r="558" spans="1:1" x14ac:dyDescent="0.2">
      <c r="A558" t="str">
        <f>IF(ISBLANK(B558), "","Country-557")</f>
        <v/>
      </c>
    </row>
    <row r="559" spans="1:1" x14ac:dyDescent="0.2">
      <c r="A559" t="str">
        <f>IF(ISBLANK(B559), "","Country-558")</f>
        <v/>
      </c>
    </row>
    <row r="560" spans="1:1" x14ac:dyDescent="0.2">
      <c r="A560" t="str">
        <f>IF(ISBLANK(B560), "","Country-559")</f>
        <v/>
      </c>
    </row>
    <row r="561" spans="1:1" x14ac:dyDescent="0.2">
      <c r="A561" t="str">
        <f>IF(ISBLANK(B561), "","Country-560")</f>
        <v/>
      </c>
    </row>
    <row r="562" spans="1:1" x14ac:dyDescent="0.2">
      <c r="A562" t="str">
        <f>IF(ISBLANK(B562), "","Country-561")</f>
        <v/>
      </c>
    </row>
    <row r="563" spans="1:1" x14ac:dyDescent="0.2">
      <c r="A563" t="str">
        <f>IF(ISBLANK(B563), "","Country-562")</f>
        <v/>
      </c>
    </row>
    <row r="564" spans="1:1" x14ac:dyDescent="0.2">
      <c r="A564" t="str">
        <f>IF(ISBLANK(B564), "","Country-563")</f>
        <v/>
      </c>
    </row>
    <row r="565" spans="1:1" x14ac:dyDescent="0.2">
      <c r="A565" t="str">
        <f>IF(ISBLANK(B565), "","Country-564")</f>
        <v/>
      </c>
    </row>
    <row r="566" spans="1:1" x14ac:dyDescent="0.2">
      <c r="A566" t="str">
        <f>IF(ISBLANK(B566), "","Country-565")</f>
        <v/>
      </c>
    </row>
    <row r="567" spans="1:1" x14ac:dyDescent="0.2">
      <c r="A567" t="str">
        <f>IF(ISBLANK(B567), "","Country-566")</f>
        <v/>
      </c>
    </row>
    <row r="568" spans="1:1" x14ac:dyDescent="0.2">
      <c r="A568" t="str">
        <f>IF(ISBLANK(B568), "","Country-567")</f>
        <v/>
      </c>
    </row>
    <row r="569" spans="1:1" x14ac:dyDescent="0.2">
      <c r="A569" t="str">
        <f>IF(ISBLANK(B569), "","Country-568")</f>
        <v/>
      </c>
    </row>
    <row r="570" spans="1:1" x14ac:dyDescent="0.2">
      <c r="A570" t="str">
        <f>IF(ISBLANK(B570), "","Country-569")</f>
        <v/>
      </c>
    </row>
    <row r="571" spans="1:1" x14ac:dyDescent="0.2">
      <c r="A571" t="str">
        <f>IF(ISBLANK(B571), "","Country-570")</f>
        <v/>
      </c>
    </row>
    <row r="572" spans="1:1" x14ac:dyDescent="0.2">
      <c r="A572" t="str">
        <f>IF(ISBLANK(B572), "","Country-571")</f>
        <v/>
      </c>
    </row>
    <row r="573" spans="1:1" x14ac:dyDescent="0.2">
      <c r="A573" t="str">
        <f>IF(ISBLANK(B573), "","Country-572")</f>
        <v/>
      </c>
    </row>
    <row r="574" spans="1:1" x14ac:dyDescent="0.2">
      <c r="A574" t="str">
        <f>IF(ISBLANK(B574), "","Country-573")</f>
        <v/>
      </c>
    </row>
    <row r="575" spans="1:1" x14ac:dyDescent="0.2">
      <c r="A575" t="str">
        <f>IF(ISBLANK(B575), "","Country-574")</f>
        <v/>
      </c>
    </row>
    <row r="576" spans="1:1" x14ac:dyDescent="0.2">
      <c r="A576" t="str">
        <f>IF(ISBLANK(B576), "","Country-575")</f>
        <v/>
      </c>
    </row>
    <row r="577" spans="1:1" x14ac:dyDescent="0.2">
      <c r="A577" t="str">
        <f>IF(ISBLANK(B577), "","Country-576")</f>
        <v/>
      </c>
    </row>
    <row r="578" spans="1:1" x14ac:dyDescent="0.2">
      <c r="A578" t="str">
        <f>IF(ISBLANK(B578), "","Country-577")</f>
        <v/>
      </c>
    </row>
    <row r="579" spans="1:1" x14ac:dyDescent="0.2">
      <c r="A579" t="str">
        <f>IF(ISBLANK(B579), "","Country-578")</f>
        <v/>
      </c>
    </row>
    <row r="580" spans="1:1" x14ac:dyDescent="0.2">
      <c r="A580" t="str">
        <f>IF(ISBLANK(B580), "","Country-579")</f>
        <v/>
      </c>
    </row>
    <row r="581" spans="1:1" x14ac:dyDescent="0.2">
      <c r="A581" t="str">
        <f>IF(ISBLANK(B581), "","Country-580")</f>
        <v/>
      </c>
    </row>
    <row r="582" spans="1:1" x14ac:dyDescent="0.2">
      <c r="A582" t="str">
        <f>IF(ISBLANK(B582), "","Country-581")</f>
        <v/>
      </c>
    </row>
    <row r="583" spans="1:1" x14ac:dyDescent="0.2">
      <c r="A583" t="str">
        <f>IF(ISBLANK(B583), "","Country-582")</f>
        <v/>
      </c>
    </row>
    <row r="584" spans="1:1" x14ac:dyDescent="0.2">
      <c r="A584" t="str">
        <f>IF(ISBLANK(B584), "","Country-583")</f>
        <v/>
      </c>
    </row>
    <row r="585" spans="1:1" x14ac:dyDescent="0.2">
      <c r="A585" t="str">
        <f>IF(ISBLANK(B585), "","Country-584")</f>
        <v/>
      </c>
    </row>
    <row r="586" spans="1:1" x14ac:dyDescent="0.2">
      <c r="A586" t="str">
        <f>IF(ISBLANK(B586), "","Country-585")</f>
        <v/>
      </c>
    </row>
    <row r="587" spans="1:1" x14ac:dyDescent="0.2">
      <c r="A587" t="str">
        <f>IF(ISBLANK(B587), "","Country-586")</f>
        <v/>
      </c>
    </row>
    <row r="588" spans="1:1" x14ac:dyDescent="0.2">
      <c r="A588" t="str">
        <f>IF(ISBLANK(B588), "","Country-587")</f>
        <v/>
      </c>
    </row>
    <row r="589" spans="1:1" x14ac:dyDescent="0.2">
      <c r="A589" t="str">
        <f>IF(ISBLANK(B589), "","Country-588")</f>
        <v/>
      </c>
    </row>
    <row r="590" spans="1:1" x14ac:dyDescent="0.2">
      <c r="A590" t="str">
        <f>IF(ISBLANK(B590), "","Country-589")</f>
        <v/>
      </c>
    </row>
    <row r="591" spans="1:1" x14ac:dyDescent="0.2">
      <c r="A591" t="str">
        <f>IF(ISBLANK(B591), "","Country-590")</f>
        <v/>
      </c>
    </row>
    <row r="592" spans="1:1" x14ac:dyDescent="0.2">
      <c r="A592" t="str">
        <f>IF(ISBLANK(B592), "","Country-591")</f>
        <v/>
      </c>
    </row>
    <row r="593" spans="1:1" x14ac:dyDescent="0.2">
      <c r="A593" t="str">
        <f>IF(ISBLANK(B593), "","Country-592")</f>
        <v/>
      </c>
    </row>
    <row r="594" spans="1:1" x14ac:dyDescent="0.2">
      <c r="A594" t="str">
        <f>IF(ISBLANK(B594), "","Country-593")</f>
        <v/>
      </c>
    </row>
    <row r="595" spans="1:1" x14ac:dyDescent="0.2">
      <c r="A595" t="str">
        <f>IF(ISBLANK(B595), "","Country-594")</f>
        <v/>
      </c>
    </row>
    <row r="596" spans="1:1" x14ac:dyDescent="0.2">
      <c r="A596" t="str">
        <f>IF(ISBLANK(B596), "","Country-595")</f>
        <v/>
      </c>
    </row>
    <row r="597" spans="1:1" x14ac:dyDescent="0.2">
      <c r="A597" t="str">
        <f>IF(ISBLANK(B597), "","Country-596")</f>
        <v/>
      </c>
    </row>
    <row r="598" spans="1:1" x14ac:dyDescent="0.2">
      <c r="A598" t="str">
        <f>IF(ISBLANK(B598), "","Country-597")</f>
        <v/>
      </c>
    </row>
    <row r="599" spans="1:1" x14ac:dyDescent="0.2">
      <c r="A599" t="str">
        <f>IF(ISBLANK(B599), "","Country-598")</f>
        <v/>
      </c>
    </row>
    <row r="600" spans="1:1" x14ac:dyDescent="0.2">
      <c r="A600" t="str">
        <f>IF(ISBLANK(B600), "","Country-599")</f>
        <v/>
      </c>
    </row>
    <row r="601" spans="1:1" x14ac:dyDescent="0.2">
      <c r="A601" t="str">
        <f>IF(ISBLANK(B601), "","Country-600")</f>
        <v/>
      </c>
    </row>
    <row r="602" spans="1:1" x14ac:dyDescent="0.2">
      <c r="A602" t="str">
        <f>IF(ISBLANK(B602), "","Country-601")</f>
        <v/>
      </c>
    </row>
    <row r="603" spans="1:1" x14ac:dyDescent="0.2">
      <c r="A603" t="str">
        <f>IF(ISBLANK(B603), "","Country-602")</f>
        <v/>
      </c>
    </row>
    <row r="604" spans="1:1" x14ac:dyDescent="0.2">
      <c r="A604" t="str">
        <f>IF(ISBLANK(B604), "","Country-603")</f>
        <v/>
      </c>
    </row>
    <row r="605" spans="1:1" x14ac:dyDescent="0.2">
      <c r="A605" t="str">
        <f>IF(ISBLANK(B605), "","Country-604")</f>
        <v/>
      </c>
    </row>
    <row r="606" spans="1:1" x14ac:dyDescent="0.2">
      <c r="A606" t="str">
        <f>IF(ISBLANK(B606), "","Country-605")</f>
        <v/>
      </c>
    </row>
    <row r="607" spans="1:1" x14ac:dyDescent="0.2">
      <c r="A607" t="str">
        <f>IF(ISBLANK(B607), "","Country-606")</f>
        <v/>
      </c>
    </row>
    <row r="608" spans="1:1" x14ac:dyDescent="0.2">
      <c r="A608" t="str">
        <f>IF(ISBLANK(B608), "","Country-607")</f>
        <v/>
      </c>
    </row>
    <row r="609" spans="1:1" x14ac:dyDescent="0.2">
      <c r="A609" t="str">
        <f>IF(ISBLANK(B609), "","Country-608")</f>
        <v/>
      </c>
    </row>
    <row r="610" spans="1:1" x14ac:dyDescent="0.2">
      <c r="A610" t="str">
        <f>IF(ISBLANK(B610), "","Country-609")</f>
        <v/>
      </c>
    </row>
    <row r="611" spans="1:1" x14ac:dyDescent="0.2">
      <c r="A611" t="str">
        <f>IF(ISBLANK(B611), "","Country-610")</f>
        <v/>
      </c>
    </row>
    <row r="612" spans="1:1" x14ac:dyDescent="0.2">
      <c r="A612" t="str">
        <f>IF(ISBLANK(B612), "","Country-611")</f>
        <v/>
      </c>
    </row>
    <row r="613" spans="1:1" x14ac:dyDescent="0.2">
      <c r="A613" t="str">
        <f>IF(ISBLANK(B613), "","Country-612")</f>
        <v/>
      </c>
    </row>
    <row r="614" spans="1:1" x14ac:dyDescent="0.2">
      <c r="A614" t="str">
        <f>IF(ISBLANK(B614), "","Country-613")</f>
        <v/>
      </c>
    </row>
    <row r="615" spans="1:1" x14ac:dyDescent="0.2">
      <c r="A615" t="str">
        <f>IF(ISBLANK(B615), "","Country-614")</f>
        <v/>
      </c>
    </row>
    <row r="616" spans="1:1" x14ac:dyDescent="0.2">
      <c r="A616" t="str">
        <f>IF(ISBLANK(B616), "","Country-615")</f>
        <v/>
      </c>
    </row>
    <row r="617" spans="1:1" x14ac:dyDescent="0.2">
      <c r="A617" t="str">
        <f>IF(ISBLANK(B617), "","Country-616")</f>
        <v/>
      </c>
    </row>
    <row r="618" spans="1:1" x14ac:dyDescent="0.2">
      <c r="A618" t="str">
        <f>IF(ISBLANK(B618), "","Country-617")</f>
        <v/>
      </c>
    </row>
    <row r="619" spans="1:1" x14ac:dyDescent="0.2">
      <c r="A619" t="str">
        <f>IF(ISBLANK(B619), "","Country-618")</f>
        <v/>
      </c>
    </row>
    <row r="620" spans="1:1" x14ac:dyDescent="0.2">
      <c r="A620" t="str">
        <f>IF(ISBLANK(B620), "","Country-619")</f>
        <v/>
      </c>
    </row>
    <row r="621" spans="1:1" x14ac:dyDescent="0.2">
      <c r="A621" t="str">
        <f>IF(ISBLANK(B621), "","Country-620")</f>
        <v/>
      </c>
    </row>
    <row r="622" spans="1:1" x14ac:dyDescent="0.2">
      <c r="A622" t="str">
        <f>IF(ISBLANK(B622), "","Country-621")</f>
        <v/>
      </c>
    </row>
    <row r="623" spans="1:1" x14ac:dyDescent="0.2">
      <c r="A623" t="str">
        <f>IF(ISBLANK(B623), "","Country-622")</f>
        <v/>
      </c>
    </row>
    <row r="624" spans="1:1" x14ac:dyDescent="0.2">
      <c r="A624" t="str">
        <f>IF(ISBLANK(B624), "","Country-623")</f>
        <v/>
      </c>
    </row>
    <row r="625" spans="1:1" x14ac:dyDescent="0.2">
      <c r="A625" t="str">
        <f>IF(ISBLANK(B625), "","Country-624")</f>
        <v/>
      </c>
    </row>
    <row r="626" spans="1:1" x14ac:dyDescent="0.2">
      <c r="A626" t="str">
        <f>IF(ISBLANK(B626), "","Country-625")</f>
        <v/>
      </c>
    </row>
    <row r="627" spans="1:1" x14ac:dyDescent="0.2">
      <c r="A627" t="str">
        <f>IF(ISBLANK(B627), "","Country-626")</f>
        <v/>
      </c>
    </row>
    <row r="628" spans="1:1" x14ac:dyDescent="0.2">
      <c r="A628" t="str">
        <f>IF(ISBLANK(B628), "","Country-627")</f>
        <v/>
      </c>
    </row>
    <row r="629" spans="1:1" x14ac:dyDescent="0.2">
      <c r="A629" t="str">
        <f>IF(ISBLANK(B629), "","Country-628")</f>
        <v/>
      </c>
    </row>
    <row r="630" spans="1:1" x14ac:dyDescent="0.2">
      <c r="A630" t="str">
        <f>IF(ISBLANK(B630), "","Country-629")</f>
        <v/>
      </c>
    </row>
    <row r="631" spans="1:1" x14ac:dyDescent="0.2">
      <c r="A631" t="str">
        <f>IF(ISBLANK(B631), "","Country-630")</f>
        <v/>
      </c>
    </row>
    <row r="632" spans="1:1" x14ac:dyDescent="0.2">
      <c r="A632" t="str">
        <f>IF(ISBLANK(B632), "","Country-631")</f>
        <v/>
      </c>
    </row>
    <row r="633" spans="1:1" x14ac:dyDescent="0.2">
      <c r="A633" t="str">
        <f>IF(ISBLANK(B633), "","Country-632")</f>
        <v/>
      </c>
    </row>
    <row r="634" spans="1:1" x14ac:dyDescent="0.2">
      <c r="A634" t="str">
        <f>IF(ISBLANK(B634), "","Country-633")</f>
        <v/>
      </c>
    </row>
    <row r="635" spans="1:1" x14ac:dyDescent="0.2">
      <c r="A635" t="str">
        <f>IF(ISBLANK(B635), "","Country-634")</f>
        <v/>
      </c>
    </row>
    <row r="636" spans="1:1" x14ac:dyDescent="0.2">
      <c r="A636" t="str">
        <f>IF(ISBLANK(B636), "","Country-635")</f>
        <v/>
      </c>
    </row>
    <row r="637" spans="1:1" x14ac:dyDescent="0.2">
      <c r="A637" t="str">
        <f>IF(ISBLANK(B637), "","Country-636")</f>
        <v/>
      </c>
    </row>
    <row r="638" spans="1:1" x14ac:dyDescent="0.2">
      <c r="A638" t="str">
        <f>IF(ISBLANK(B638), "","Country-637")</f>
        <v/>
      </c>
    </row>
    <row r="639" spans="1:1" x14ac:dyDescent="0.2">
      <c r="A639" t="str">
        <f>IF(ISBLANK(B639), "","Country-638")</f>
        <v/>
      </c>
    </row>
    <row r="640" spans="1:1" x14ac:dyDescent="0.2">
      <c r="A640" t="str">
        <f>IF(ISBLANK(B640), "","Country-639")</f>
        <v/>
      </c>
    </row>
    <row r="641" spans="1:1" x14ac:dyDescent="0.2">
      <c r="A641" t="str">
        <f>IF(ISBLANK(B641), "","Country-640")</f>
        <v/>
      </c>
    </row>
    <row r="642" spans="1:1" x14ac:dyDescent="0.2">
      <c r="A642" t="str">
        <f>IF(ISBLANK(B642), "","Country-641")</f>
        <v/>
      </c>
    </row>
    <row r="643" spans="1:1" x14ac:dyDescent="0.2">
      <c r="A643" t="str">
        <f>IF(ISBLANK(B643), "","Country-642")</f>
        <v/>
      </c>
    </row>
    <row r="644" spans="1:1" x14ac:dyDescent="0.2">
      <c r="A644" t="str">
        <f>IF(ISBLANK(B644), "","Country-643")</f>
        <v/>
      </c>
    </row>
    <row r="645" spans="1:1" x14ac:dyDescent="0.2">
      <c r="A645" t="str">
        <f>IF(ISBLANK(B645), "","Country-644")</f>
        <v/>
      </c>
    </row>
    <row r="646" spans="1:1" x14ac:dyDescent="0.2">
      <c r="A646" t="str">
        <f>IF(ISBLANK(B646), "","Country-645")</f>
        <v/>
      </c>
    </row>
    <row r="647" spans="1:1" x14ac:dyDescent="0.2">
      <c r="A647" t="str">
        <f>IF(ISBLANK(B647), "","Country-646")</f>
        <v/>
      </c>
    </row>
    <row r="648" spans="1:1" x14ac:dyDescent="0.2">
      <c r="A648" t="str">
        <f>IF(ISBLANK(B648), "","Country-647")</f>
        <v/>
      </c>
    </row>
    <row r="649" spans="1:1" x14ac:dyDescent="0.2">
      <c r="A649" t="str">
        <f>IF(ISBLANK(B649), "","Country-648")</f>
        <v/>
      </c>
    </row>
    <row r="650" spans="1:1" x14ac:dyDescent="0.2">
      <c r="A650" t="str">
        <f>IF(ISBLANK(B650), "","Country-649")</f>
        <v/>
      </c>
    </row>
    <row r="651" spans="1:1" x14ac:dyDescent="0.2">
      <c r="A651" t="str">
        <f>IF(ISBLANK(B651), "","Country-650")</f>
        <v/>
      </c>
    </row>
    <row r="652" spans="1:1" x14ac:dyDescent="0.2">
      <c r="A652" t="str">
        <f>IF(ISBLANK(B652), "","Country-651")</f>
        <v/>
      </c>
    </row>
    <row r="653" spans="1:1" x14ac:dyDescent="0.2">
      <c r="A653" t="str">
        <f>IF(ISBLANK(B653), "","Country-652")</f>
        <v/>
      </c>
    </row>
    <row r="654" spans="1:1" x14ac:dyDescent="0.2">
      <c r="A654" t="str">
        <f>IF(ISBLANK(B654), "","Country-653")</f>
        <v/>
      </c>
    </row>
    <row r="655" spans="1:1" x14ac:dyDescent="0.2">
      <c r="A655" t="str">
        <f>IF(ISBLANK(B655), "","Country-654")</f>
        <v/>
      </c>
    </row>
    <row r="656" spans="1:1" x14ac:dyDescent="0.2">
      <c r="A656" t="str">
        <f>IF(ISBLANK(B656), "","Country-655")</f>
        <v/>
      </c>
    </row>
    <row r="657" spans="1:1" x14ac:dyDescent="0.2">
      <c r="A657" t="str">
        <f>IF(ISBLANK(B657), "","Country-656")</f>
        <v/>
      </c>
    </row>
    <row r="658" spans="1:1" x14ac:dyDescent="0.2">
      <c r="A658" t="str">
        <f>IF(ISBLANK(B658), "","Country-657")</f>
        <v/>
      </c>
    </row>
    <row r="659" spans="1:1" x14ac:dyDescent="0.2">
      <c r="A659" t="str">
        <f>IF(ISBLANK(B659), "","Country-658")</f>
        <v/>
      </c>
    </row>
    <row r="660" spans="1:1" x14ac:dyDescent="0.2">
      <c r="A660" t="str">
        <f>IF(ISBLANK(B660), "","Country-659")</f>
        <v/>
      </c>
    </row>
    <row r="661" spans="1:1" x14ac:dyDescent="0.2">
      <c r="A661" t="str">
        <f>IF(ISBLANK(B661), "","Country-660")</f>
        <v/>
      </c>
    </row>
    <row r="662" spans="1:1" x14ac:dyDescent="0.2">
      <c r="A662" t="str">
        <f>IF(ISBLANK(B662), "","Country-661")</f>
        <v/>
      </c>
    </row>
    <row r="663" spans="1:1" x14ac:dyDescent="0.2">
      <c r="A663" t="str">
        <f>IF(ISBLANK(B663), "","Country-662")</f>
        <v/>
      </c>
    </row>
    <row r="664" spans="1:1" x14ac:dyDescent="0.2">
      <c r="A664" t="str">
        <f>IF(ISBLANK(B664), "","Country-663")</f>
        <v/>
      </c>
    </row>
    <row r="665" spans="1:1" x14ac:dyDescent="0.2">
      <c r="A665" t="str">
        <f>IF(ISBLANK(B665), "","Country-664")</f>
        <v/>
      </c>
    </row>
    <row r="666" spans="1:1" x14ac:dyDescent="0.2">
      <c r="A666" t="str">
        <f>IF(ISBLANK(B666), "","Country-665")</f>
        <v/>
      </c>
    </row>
    <row r="667" spans="1:1" x14ac:dyDescent="0.2">
      <c r="A667" t="str">
        <f>IF(ISBLANK(B667), "","Country-666")</f>
        <v/>
      </c>
    </row>
    <row r="668" spans="1:1" x14ac:dyDescent="0.2">
      <c r="A668" t="str">
        <f>IF(ISBLANK(B668), "","Country-667")</f>
        <v/>
      </c>
    </row>
    <row r="669" spans="1:1" x14ac:dyDescent="0.2">
      <c r="A669" t="str">
        <f>IF(ISBLANK(B669), "","Country-668")</f>
        <v/>
      </c>
    </row>
    <row r="670" spans="1:1" x14ac:dyDescent="0.2">
      <c r="A670" t="str">
        <f>IF(ISBLANK(B670), "","Country-669")</f>
        <v/>
      </c>
    </row>
    <row r="671" spans="1:1" x14ac:dyDescent="0.2">
      <c r="A671" t="str">
        <f>IF(ISBLANK(B671), "","Country-670")</f>
        <v/>
      </c>
    </row>
    <row r="672" spans="1:1" x14ac:dyDescent="0.2">
      <c r="A672" t="str">
        <f>IF(ISBLANK(B672), "","Country-671")</f>
        <v/>
      </c>
    </row>
    <row r="673" spans="1:1" x14ac:dyDescent="0.2">
      <c r="A673" t="str">
        <f>IF(ISBLANK(B673), "","Country-672")</f>
        <v/>
      </c>
    </row>
    <row r="674" spans="1:1" x14ac:dyDescent="0.2">
      <c r="A674" t="str">
        <f>IF(ISBLANK(B674), "","Country-673")</f>
        <v/>
      </c>
    </row>
    <row r="675" spans="1:1" x14ac:dyDescent="0.2">
      <c r="A675" t="str">
        <f>IF(ISBLANK(B675), "","Country-674")</f>
        <v/>
      </c>
    </row>
    <row r="676" spans="1:1" x14ac:dyDescent="0.2">
      <c r="A676" t="str">
        <f>IF(ISBLANK(B676), "","Country-675")</f>
        <v/>
      </c>
    </row>
    <row r="677" spans="1:1" x14ac:dyDescent="0.2">
      <c r="A677" t="str">
        <f>IF(ISBLANK(B677), "","Country-676")</f>
        <v/>
      </c>
    </row>
    <row r="678" spans="1:1" x14ac:dyDescent="0.2">
      <c r="A678" t="str">
        <f>IF(ISBLANK(B678), "","Country-677")</f>
        <v/>
      </c>
    </row>
    <row r="679" spans="1:1" x14ac:dyDescent="0.2">
      <c r="A679" t="str">
        <f>IF(ISBLANK(B679), "","Country-678")</f>
        <v/>
      </c>
    </row>
    <row r="680" spans="1:1" x14ac:dyDescent="0.2">
      <c r="A680" t="str">
        <f>IF(ISBLANK(B680), "","Country-679")</f>
        <v/>
      </c>
    </row>
    <row r="681" spans="1:1" x14ac:dyDescent="0.2">
      <c r="A681" t="str">
        <f>IF(ISBLANK(B681), "","Country-680")</f>
        <v/>
      </c>
    </row>
    <row r="682" spans="1:1" x14ac:dyDescent="0.2">
      <c r="A682" t="str">
        <f>IF(ISBLANK(B682), "","Country-681")</f>
        <v/>
      </c>
    </row>
    <row r="683" spans="1:1" x14ac:dyDescent="0.2">
      <c r="A683" t="str">
        <f>IF(ISBLANK(B683), "","Country-682")</f>
        <v/>
      </c>
    </row>
    <row r="684" spans="1:1" x14ac:dyDescent="0.2">
      <c r="A684" t="str">
        <f>IF(ISBLANK(B684), "","Country-683")</f>
        <v/>
      </c>
    </row>
    <row r="685" spans="1:1" x14ac:dyDescent="0.2">
      <c r="A685" t="str">
        <f>IF(ISBLANK(B685), "","Country-684")</f>
        <v/>
      </c>
    </row>
    <row r="686" spans="1:1" x14ac:dyDescent="0.2">
      <c r="A686" t="str">
        <f>IF(ISBLANK(B686), "","Country-685")</f>
        <v/>
      </c>
    </row>
    <row r="687" spans="1:1" x14ac:dyDescent="0.2">
      <c r="A687" t="str">
        <f>IF(ISBLANK(B687), "","Country-686")</f>
        <v/>
      </c>
    </row>
    <row r="688" spans="1:1" x14ac:dyDescent="0.2">
      <c r="A688" t="str">
        <f>IF(ISBLANK(B688), "","Country-687")</f>
        <v/>
      </c>
    </row>
    <row r="689" spans="1:1" x14ac:dyDescent="0.2">
      <c r="A689" t="str">
        <f>IF(ISBLANK(B689), "","Country-688")</f>
        <v/>
      </c>
    </row>
    <row r="690" spans="1:1" x14ac:dyDescent="0.2">
      <c r="A690" t="str">
        <f>IF(ISBLANK(B690), "","Country-689")</f>
        <v/>
      </c>
    </row>
    <row r="691" spans="1:1" x14ac:dyDescent="0.2">
      <c r="A691" t="str">
        <f>IF(ISBLANK(B691), "","Country-690")</f>
        <v/>
      </c>
    </row>
    <row r="692" spans="1:1" x14ac:dyDescent="0.2">
      <c r="A692" t="str">
        <f>IF(ISBLANK(B692), "","Country-691")</f>
        <v/>
      </c>
    </row>
    <row r="693" spans="1:1" x14ac:dyDescent="0.2">
      <c r="A693" t="str">
        <f>IF(ISBLANK(B693), "","Country-692")</f>
        <v/>
      </c>
    </row>
    <row r="694" spans="1:1" x14ac:dyDescent="0.2">
      <c r="A694" t="str">
        <f>IF(ISBLANK(B694), "","Country-693")</f>
        <v/>
      </c>
    </row>
    <row r="695" spans="1:1" x14ac:dyDescent="0.2">
      <c r="A695" t="str">
        <f>IF(ISBLANK(B695), "","Country-694")</f>
        <v/>
      </c>
    </row>
    <row r="696" spans="1:1" x14ac:dyDescent="0.2">
      <c r="A696" t="str">
        <f>IF(ISBLANK(B696), "","Country-695")</f>
        <v/>
      </c>
    </row>
    <row r="697" spans="1:1" x14ac:dyDescent="0.2">
      <c r="A697" t="str">
        <f>IF(ISBLANK(B697), "","Country-696")</f>
        <v/>
      </c>
    </row>
    <row r="698" spans="1:1" x14ac:dyDescent="0.2">
      <c r="A698" t="str">
        <f>IF(ISBLANK(B698), "","Country-697")</f>
        <v/>
      </c>
    </row>
    <row r="699" spans="1:1" x14ac:dyDescent="0.2">
      <c r="A699" t="str">
        <f>IF(ISBLANK(B699), "","Country-698")</f>
        <v/>
      </c>
    </row>
    <row r="700" spans="1:1" x14ac:dyDescent="0.2">
      <c r="A700" t="str">
        <f>IF(ISBLANK(B700), "","Country-699")</f>
        <v/>
      </c>
    </row>
    <row r="701" spans="1:1" x14ac:dyDescent="0.2">
      <c r="A701" t="str">
        <f>IF(ISBLANK(B701), "","Country-700")</f>
        <v/>
      </c>
    </row>
    <row r="702" spans="1:1" x14ac:dyDescent="0.2">
      <c r="A702" t="str">
        <f>IF(ISBLANK(B702), "","Country-701")</f>
        <v/>
      </c>
    </row>
    <row r="703" spans="1:1" x14ac:dyDescent="0.2">
      <c r="A703" t="str">
        <f>IF(ISBLANK(B703), "","Country-702")</f>
        <v/>
      </c>
    </row>
    <row r="704" spans="1:1" x14ac:dyDescent="0.2">
      <c r="A704" t="str">
        <f>IF(ISBLANK(B704), "","Country-703")</f>
        <v/>
      </c>
    </row>
    <row r="705" spans="1:1" x14ac:dyDescent="0.2">
      <c r="A705" t="str">
        <f>IF(ISBLANK(B705), "","Country-704")</f>
        <v/>
      </c>
    </row>
    <row r="706" spans="1:1" x14ac:dyDescent="0.2">
      <c r="A706" t="str">
        <f>IF(ISBLANK(B706), "","Country-705")</f>
        <v/>
      </c>
    </row>
    <row r="707" spans="1:1" x14ac:dyDescent="0.2">
      <c r="A707" t="str">
        <f>IF(ISBLANK(B707), "","Country-706")</f>
        <v/>
      </c>
    </row>
    <row r="708" spans="1:1" x14ac:dyDescent="0.2">
      <c r="A708" t="str">
        <f>IF(ISBLANK(B708), "","Country-707")</f>
        <v/>
      </c>
    </row>
    <row r="709" spans="1:1" x14ac:dyDescent="0.2">
      <c r="A709" t="str">
        <f>IF(ISBLANK(B709), "","Country-708")</f>
        <v/>
      </c>
    </row>
    <row r="710" spans="1:1" x14ac:dyDescent="0.2">
      <c r="A710" t="str">
        <f>IF(ISBLANK(B710), "","Country-709")</f>
        <v/>
      </c>
    </row>
    <row r="711" spans="1:1" x14ac:dyDescent="0.2">
      <c r="A711" t="str">
        <f>IF(ISBLANK(B711), "","Country-710")</f>
        <v/>
      </c>
    </row>
    <row r="712" spans="1:1" x14ac:dyDescent="0.2">
      <c r="A712" t="str">
        <f>IF(ISBLANK(B712), "","Country-711")</f>
        <v/>
      </c>
    </row>
    <row r="713" spans="1:1" x14ac:dyDescent="0.2">
      <c r="A713" t="str">
        <f>IF(ISBLANK(B713), "","Country-712")</f>
        <v/>
      </c>
    </row>
    <row r="714" spans="1:1" x14ac:dyDescent="0.2">
      <c r="A714" t="str">
        <f>IF(ISBLANK(B714), "","Country-713")</f>
        <v/>
      </c>
    </row>
    <row r="715" spans="1:1" x14ac:dyDescent="0.2">
      <c r="A715" t="str">
        <f>IF(ISBLANK(B715), "","Country-714")</f>
        <v/>
      </c>
    </row>
    <row r="716" spans="1:1" x14ac:dyDescent="0.2">
      <c r="A716" t="str">
        <f>IF(ISBLANK(B716), "","Country-715")</f>
        <v/>
      </c>
    </row>
    <row r="717" spans="1:1" x14ac:dyDescent="0.2">
      <c r="A717" t="str">
        <f>IF(ISBLANK(B717), "","Country-716")</f>
        <v/>
      </c>
    </row>
    <row r="718" spans="1:1" x14ac:dyDescent="0.2">
      <c r="A718" t="str">
        <f>IF(ISBLANK(B718), "","Country-717")</f>
        <v/>
      </c>
    </row>
    <row r="719" spans="1:1" x14ac:dyDescent="0.2">
      <c r="A719" t="str">
        <f>IF(ISBLANK(B719), "","Country-718")</f>
        <v/>
      </c>
    </row>
    <row r="720" spans="1:1" x14ac:dyDescent="0.2">
      <c r="A720" t="str">
        <f>IF(ISBLANK(B720), "","Country-719")</f>
        <v/>
      </c>
    </row>
    <row r="721" spans="1:1" x14ac:dyDescent="0.2">
      <c r="A721" t="str">
        <f>IF(ISBLANK(B721), "","Country-720")</f>
        <v/>
      </c>
    </row>
    <row r="722" spans="1:1" x14ac:dyDescent="0.2">
      <c r="A722" t="str">
        <f>IF(ISBLANK(B722), "","Country-721")</f>
        <v/>
      </c>
    </row>
    <row r="723" spans="1:1" x14ac:dyDescent="0.2">
      <c r="A723" t="str">
        <f>IF(ISBLANK(B723), "","Country-722")</f>
        <v/>
      </c>
    </row>
    <row r="724" spans="1:1" x14ac:dyDescent="0.2">
      <c r="A724" t="str">
        <f>IF(ISBLANK(B724), "","Country-723")</f>
        <v/>
      </c>
    </row>
    <row r="725" spans="1:1" x14ac:dyDescent="0.2">
      <c r="A725" t="str">
        <f>IF(ISBLANK(B725), "","Country-724")</f>
        <v/>
      </c>
    </row>
    <row r="726" spans="1:1" x14ac:dyDescent="0.2">
      <c r="A726" t="str">
        <f>IF(ISBLANK(B726), "","Country-725")</f>
        <v/>
      </c>
    </row>
    <row r="727" spans="1:1" x14ac:dyDescent="0.2">
      <c r="A727" t="str">
        <f>IF(ISBLANK(B727), "","Country-726")</f>
        <v/>
      </c>
    </row>
    <row r="728" spans="1:1" x14ac:dyDescent="0.2">
      <c r="A728" t="str">
        <f>IF(ISBLANK(B728), "","Country-727")</f>
        <v/>
      </c>
    </row>
    <row r="729" spans="1:1" x14ac:dyDescent="0.2">
      <c r="A729" t="str">
        <f>IF(ISBLANK(B729), "","Country-728")</f>
        <v/>
      </c>
    </row>
    <row r="730" spans="1:1" x14ac:dyDescent="0.2">
      <c r="A730" t="str">
        <f>IF(ISBLANK(B730), "","Country-729")</f>
        <v/>
      </c>
    </row>
    <row r="731" spans="1:1" x14ac:dyDescent="0.2">
      <c r="A731" t="str">
        <f>IF(ISBLANK(B731), "","Country-730")</f>
        <v/>
      </c>
    </row>
    <row r="732" spans="1:1" x14ac:dyDescent="0.2">
      <c r="A732" t="str">
        <f>IF(ISBLANK(B732), "","Country-731")</f>
        <v/>
      </c>
    </row>
    <row r="733" spans="1:1" x14ac:dyDescent="0.2">
      <c r="A733" t="str">
        <f>IF(ISBLANK(B733), "","Country-732")</f>
        <v/>
      </c>
    </row>
    <row r="734" spans="1:1" x14ac:dyDescent="0.2">
      <c r="A734" t="str">
        <f>IF(ISBLANK(B734), "","Country-733")</f>
        <v/>
      </c>
    </row>
    <row r="735" spans="1:1" x14ac:dyDescent="0.2">
      <c r="A735" t="str">
        <f>IF(ISBLANK(B735), "","Country-734")</f>
        <v/>
      </c>
    </row>
    <row r="736" spans="1:1" x14ac:dyDescent="0.2">
      <c r="A736" t="str">
        <f>IF(ISBLANK(B736), "","Country-735")</f>
        <v/>
      </c>
    </row>
    <row r="737" spans="1:1" x14ac:dyDescent="0.2">
      <c r="A737" t="str">
        <f>IF(ISBLANK(B737), "","Country-736")</f>
        <v/>
      </c>
    </row>
    <row r="738" spans="1:1" x14ac:dyDescent="0.2">
      <c r="A738" t="str">
        <f>IF(ISBLANK(B738), "","Country-737")</f>
        <v/>
      </c>
    </row>
    <row r="739" spans="1:1" x14ac:dyDescent="0.2">
      <c r="A739" t="str">
        <f>IF(ISBLANK(B739), "","Country-738")</f>
        <v/>
      </c>
    </row>
    <row r="740" spans="1:1" x14ac:dyDescent="0.2">
      <c r="A740" t="str">
        <f>IF(ISBLANK(B740), "","Country-739")</f>
        <v/>
      </c>
    </row>
    <row r="741" spans="1:1" x14ac:dyDescent="0.2">
      <c r="A741" t="str">
        <f>IF(ISBLANK(B741), "","Country-740")</f>
        <v/>
      </c>
    </row>
    <row r="742" spans="1:1" x14ac:dyDescent="0.2">
      <c r="A742" t="str">
        <f>IF(ISBLANK(B742), "","Country-741")</f>
        <v/>
      </c>
    </row>
    <row r="743" spans="1:1" x14ac:dyDescent="0.2">
      <c r="A743" t="str">
        <f>IF(ISBLANK(B743), "","Country-742")</f>
        <v/>
      </c>
    </row>
    <row r="744" spans="1:1" x14ac:dyDescent="0.2">
      <c r="A744" t="str">
        <f>IF(ISBLANK(B744), "","Country-743")</f>
        <v/>
      </c>
    </row>
    <row r="745" spans="1:1" x14ac:dyDescent="0.2">
      <c r="A745" t="str">
        <f>IF(ISBLANK(B745), "","Country-744")</f>
        <v/>
      </c>
    </row>
    <row r="746" spans="1:1" x14ac:dyDescent="0.2">
      <c r="A746" t="str">
        <f>IF(ISBLANK(B746), "","Country-745")</f>
        <v/>
      </c>
    </row>
    <row r="747" spans="1:1" x14ac:dyDescent="0.2">
      <c r="A747" t="str">
        <f>IF(ISBLANK(B747), "","Country-746")</f>
        <v/>
      </c>
    </row>
    <row r="748" spans="1:1" x14ac:dyDescent="0.2">
      <c r="A748" t="str">
        <f>IF(ISBLANK(B748), "","Country-747")</f>
        <v/>
      </c>
    </row>
    <row r="749" spans="1:1" x14ac:dyDescent="0.2">
      <c r="A749" t="str">
        <f>IF(ISBLANK(B749), "","Country-748")</f>
        <v/>
      </c>
    </row>
    <row r="750" spans="1:1" x14ac:dyDescent="0.2">
      <c r="A750" t="str">
        <f>IF(ISBLANK(B750), "","Country-749")</f>
        <v/>
      </c>
    </row>
    <row r="751" spans="1:1" x14ac:dyDescent="0.2">
      <c r="A751" t="str">
        <f>IF(ISBLANK(B751), "","Country-750")</f>
        <v/>
      </c>
    </row>
    <row r="752" spans="1:1" x14ac:dyDescent="0.2">
      <c r="A752" t="str">
        <f>IF(ISBLANK(B752), "","Country-751")</f>
        <v/>
      </c>
    </row>
    <row r="753" spans="1:1" x14ac:dyDescent="0.2">
      <c r="A753" t="str">
        <f>IF(ISBLANK(B753), "","Country-752")</f>
        <v/>
      </c>
    </row>
    <row r="754" spans="1:1" x14ac:dyDescent="0.2">
      <c r="A754" t="str">
        <f>IF(ISBLANK(B754), "","Country-753")</f>
        <v/>
      </c>
    </row>
    <row r="755" spans="1:1" x14ac:dyDescent="0.2">
      <c r="A755" t="str">
        <f>IF(ISBLANK(B755), "","Country-754")</f>
        <v/>
      </c>
    </row>
    <row r="756" spans="1:1" x14ac:dyDescent="0.2">
      <c r="A756" t="str">
        <f>IF(ISBLANK(B756), "","Country-755")</f>
        <v/>
      </c>
    </row>
    <row r="757" spans="1:1" x14ac:dyDescent="0.2">
      <c r="A757" t="str">
        <f>IF(ISBLANK(B757), "","Country-756")</f>
        <v/>
      </c>
    </row>
    <row r="758" spans="1:1" x14ac:dyDescent="0.2">
      <c r="A758" t="str">
        <f>IF(ISBLANK(B758), "","Country-757")</f>
        <v/>
      </c>
    </row>
    <row r="759" spans="1:1" x14ac:dyDescent="0.2">
      <c r="A759" t="str">
        <f>IF(ISBLANK(B759), "","Country-758")</f>
        <v/>
      </c>
    </row>
    <row r="760" spans="1:1" x14ac:dyDescent="0.2">
      <c r="A760" t="str">
        <f>IF(ISBLANK(B760), "","Country-759")</f>
        <v/>
      </c>
    </row>
    <row r="761" spans="1:1" x14ac:dyDescent="0.2">
      <c r="A761" t="str">
        <f>IF(ISBLANK(B761), "","Country-760")</f>
        <v/>
      </c>
    </row>
    <row r="762" spans="1:1" x14ac:dyDescent="0.2">
      <c r="A762" t="str">
        <f>IF(ISBLANK(B762), "","Country-761")</f>
        <v/>
      </c>
    </row>
    <row r="763" spans="1:1" x14ac:dyDescent="0.2">
      <c r="A763" t="str">
        <f>IF(ISBLANK(B763), "","Country-762")</f>
        <v/>
      </c>
    </row>
    <row r="764" spans="1:1" x14ac:dyDescent="0.2">
      <c r="A764" t="str">
        <f>IF(ISBLANK(B764), "","Country-763")</f>
        <v/>
      </c>
    </row>
    <row r="765" spans="1:1" x14ac:dyDescent="0.2">
      <c r="A765" t="str">
        <f>IF(ISBLANK(B765), "","Country-764")</f>
        <v/>
      </c>
    </row>
    <row r="766" spans="1:1" x14ac:dyDescent="0.2">
      <c r="A766" t="str">
        <f>IF(ISBLANK(B766), "","Country-765")</f>
        <v/>
      </c>
    </row>
    <row r="767" spans="1:1" x14ac:dyDescent="0.2">
      <c r="A767" t="str">
        <f>IF(ISBLANK(B767), "","Country-766")</f>
        <v/>
      </c>
    </row>
    <row r="768" spans="1:1" x14ac:dyDescent="0.2">
      <c r="A768" t="str">
        <f>IF(ISBLANK(B768), "","Country-767")</f>
        <v/>
      </c>
    </row>
    <row r="769" spans="1:1" x14ac:dyDescent="0.2">
      <c r="A769" t="str">
        <f>IF(ISBLANK(B769), "","Country-768")</f>
        <v/>
      </c>
    </row>
    <row r="770" spans="1:1" x14ac:dyDescent="0.2">
      <c r="A770" t="str">
        <f>IF(ISBLANK(B770), "","Country-769")</f>
        <v/>
      </c>
    </row>
    <row r="771" spans="1:1" x14ac:dyDescent="0.2">
      <c r="A771" t="str">
        <f>IF(ISBLANK(B771), "","Country-770")</f>
        <v/>
      </c>
    </row>
    <row r="772" spans="1:1" x14ac:dyDescent="0.2">
      <c r="A772" t="str">
        <f>IF(ISBLANK(B772), "","Country-771")</f>
        <v/>
      </c>
    </row>
    <row r="773" spans="1:1" x14ac:dyDescent="0.2">
      <c r="A773" t="str">
        <f>IF(ISBLANK(B773), "","Country-772")</f>
        <v/>
      </c>
    </row>
    <row r="774" spans="1:1" x14ac:dyDescent="0.2">
      <c r="A774" t="str">
        <f>IF(ISBLANK(B774), "","Country-773")</f>
        <v/>
      </c>
    </row>
    <row r="775" spans="1:1" x14ac:dyDescent="0.2">
      <c r="A775" t="str">
        <f>IF(ISBLANK(B775), "","Country-774")</f>
        <v/>
      </c>
    </row>
    <row r="776" spans="1:1" x14ac:dyDescent="0.2">
      <c r="A776" t="str">
        <f>IF(ISBLANK(B776), "","Country-775")</f>
        <v/>
      </c>
    </row>
    <row r="777" spans="1:1" x14ac:dyDescent="0.2">
      <c r="A777" t="str">
        <f>IF(ISBLANK(B777), "","Country-776")</f>
        <v/>
      </c>
    </row>
    <row r="778" spans="1:1" x14ac:dyDescent="0.2">
      <c r="A778" t="str">
        <f>IF(ISBLANK(B778), "","Country-777")</f>
        <v/>
      </c>
    </row>
    <row r="779" spans="1:1" x14ac:dyDescent="0.2">
      <c r="A779" t="str">
        <f>IF(ISBLANK(B779), "","Country-778")</f>
        <v/>
      </c>
    </row>
    <row r="780" spans="1:1" x14ac:dyDescent="0.2">
      <c r="A780" t="str">
        <f>IF(ISBLANK(B780), "","Country-779")</f>
        <v/>
      </c>
    </row>
    <row r="781" spans="1:1" x14ac:dyDescent="0.2">
      <c r="A781" t="str">
        <f>IF(ISBLANK(B781), "","Country-780")</f>
        <v/>
      </c>
    </row>
    <row r="782" spans="1:1" x14ac:dyDescent="0.2">
      <c r="A782" t="str">
        <f>IF(ISBLANK(B782), "","Country-781")</f>
        <v/>
      </c>
    </row>
    <row r="783" spans="1:1" x14ac:dyDescent="0.2">
      <c r="A783" t="str">
        <f>IF(ISBLANK(B783), "","Country-782")</f>
        <v/>
      </c>
    </row>
    <row r="784" spans="1:1" x14ac:dyDescent="0.2">
      <c r="A784" t="str">
        <f>IF(ISBLANK(B784), "","Country-783")</f>
        <v/>
      </c>
    </row>
    <row r="785" spans="1:1" x14ac:dyDescent="0.2">
      <c r="A785" t="str">
        <f>IF(ISBLANK(B785), "","Country-784")</f>
        <v/>
      </c>
    </row>
    <row r="786" spans="1:1" x14ac:dyDescent="0.2">
      <c r="A786" t="str">
        <f>IF(ISBLANK(B786), "","Country-785")</f>
        <v/>
      </c>
    </row>
    <row r="787" spans="1:1" x14ac:dyDescent="0.2">
      <c r="A787" t="str">
        <f>IF(ISBLANK(B787), "","Country-786")</f>
        <v/>
      </c>
    </row>
    <row r="788" spans="1:1" x14ac:dyDescent="0.2">
      <c r="A788" t="str">
        <f>IF(ISBLANK(B788), "","Country-787")</f>
        <v/>
      </c>
    </row>
    <row r="789" spans="1:1" x14ac:dyDescent="0.2">
      <c r="A789" t="str">
        <f>IF(ISBLANK(B789), "","Country-788")</f>
        <v/>
      </c>
    </row>
    <row r="790" spans="1:1" x14ac:dyDescent="0.2">
      <c r="A790" t="str">
        <f>IF(ISBLANK(B790), "","Country-789")</f>
        <v/>
      </c>
    </row>
    <row r="791" spans="1:1" x14ac:dyDescent="0.2">
      <c r="A791" t="str">
        <f>IF(ISBLANK(B791), "","Country-790")</f>
        <v/>
      </c>
    </row>
    <row r="792" spans="1:1" x14ac:dyDescent="0.2">
      <c r="A792" t="str">
        <f>IF(ISBLANK(B792), "","Country-791")</f>
        <v/>
      </c>
    </row>
    <row r="793" spans="1:1" x14ac:dyDescent="0.2">
      <c r="A793" t="str">
        <f>IF(ISBLANK(B793), "","Country-792")</f>
        <v/>
      </c>
    </row>
    <row r="794" spans="1:1" x14ac:dyDescent="0.2">
      <c r="A794" t="str">
        <f>IF(ISBLANK(B794), "","Country-793")</f>
        <v/>
      </c>
    </row>
    <row r="795" spans="1:1" x14ac:dyDescent="0.2">
      <c r="A795" t="str">
        <f>IF(ISBLANK(B795), "","Country-794")</f>
        <v/>
      </c>
    </row>
    <row r="796" spans="1:1" x14ac:dyDescent="0.2">
      <c r="A796" t="str">
        <f>IF(ISBLANK(B796), "","Country-795")</f>
        <v/>
      </c>
    </row>
    <row r="797" spans="1:1" x14ac:dyDescent="0.2">
      <c r="A797" t="str">
        <f>IF(ISBLANK(B797), "","Country-796")</f>
        <v/>
      </c>
    </row>
    <row r="798" spans="1:1" x14ac:dyDescent="0.2">
      <c r="A798" t="str">
        <f>IF(ISBLANK(B798), "","Country-797")</f>
        <v/>
      </c>
    </row>
    <row r="799" spans="1:1" x14ac:dyDescent="0.2">
      <c r="A799" t="str">
        <f>IF(ISBLANK(B799), "","Country-798")</f>
        <v/>
      </c>
    </row>
    <row r="800" spans="1:1" x14ac:dyDescent="0.2">
      <c r="A800" t="str">
        <f>IF(ISBLANK(B800), "","Country-799")</f>
        <v/>
      </c>
    </row>
    <row r="801" spans="1:1" x14ac:dyDescent="0.2">
      <c r="A801" t="str">
        <f>IF(ISBLANK(B801), "","Country-800")</f>
        <v/>
      </c>
    </row>
    <row r="802" spans="1:1" x14ac:dyDescent="0.2">
      <c r="A802" t="str">
        <f>IF(ISBLANK(B802), "","Country-801")</f>
        <v/>
      </c>
    </row>
    <row r="803" spans="1:1" x14ac:dyDescent="0.2">
      <c r="A803" t="str">
        <f>IF(ISBLANK(B803), "","Country-802")</f>
        <v/>
      </c>
    </row>
    <row r="804" spans="1:1" x14ac:dyDescent="0.2">
      <c r="A804" t="str">
        <f>IF(ISBLANK(B804), "","Country-803")</f>
        <v/>
      </c>
    </row>
    <row r="805" spans="1:1" x14ac:dyDescent="0.2">
      <c r="A805" t="str">
        <f>IF(ISBLANK(B805), "","Country-804")</f>
        <v/>
      </c>
    </row>
    <row r="806" spans="1:1" x14ac:dyDescent="0.2">
      <c r="A806" t="str">
        <f>IF(ISBLANK(B806), "","Country-805")</f>
        <v/>
      </c>
    </row>
    <row r="807" spans="1:1" x14ac:dyDescent="0.2">
      <c r="A807" t="str">
        <f>IF(ISBLANK(B807), "","Country-806")</f>
        <v/>
      </c>
    </row>
    <row r="808" spans="1:1" x14ac:dyDescent="0.2">
      <c r="A808" t="str">
        <f>IF(ISBLANK(B808), "","Country-807")</f>
        <v/>
      </c>
    </row>
    <row r="809" spans="1:1" x14ac:dyDescent="0.2">
      <c r="A809" t="str">
        <f>IF(ISBLANK(B809), "","Country-808")</f>
        <v/>
      </c>
    </row>
    <row r="810" spans="1:1" x14ac:dyDescent="0.2">
      <c r="A810" t="str">
        <f>IF(ISBLANK(B810), "","Country-809")</f>
        <v/>
      </c>
    </row>
    <row r="811" spans="1:1" x14ac:dyDescent="0.2">
      <c r="A811" t="str">
        <f>IF(ISBLANK(B811), "","Country-810")</f>
        <v/>
      </c>
    </row>
    <row r="812" spans="1:1" x14ac:dyDescent="0.2">
      <c r="A812" t="str">
        <f>IF(ISBLANK(B812), "","Country-811")</f>
        <v/>
      </c>
    </row>
    <row r="813" spans="1:1" x14ac:dyDescent="0.2">
      <c r="A813" t="str">
        <f>IF(ISBLANK(B813), "","Country-812")</f>
        <v/>
      </c>
    </row>
    <row r="814" spans="1:1" x14ac:dyDescent="0.2">
      <c r="A814" t="str">
        <f>IF(ISBLANK(B814), "","Country-813")</f>
        <v/>
      </c>
    </row>
    <row r="815" spans="1:1" x14ac:dyDescent="0.2">
      <c r="A815" t="str">
        <f>IF(ISBLANK(B815), "","Country-814")</f>
        <v/>
      </c>
    </row>
    <row r="816" spans="1:1" x14ac:dyDescent="0.2">
      <c r="A816" t="str">
        <f>IF(ISBLANK(B816), "","Country-815")</f>
        <v/>
      </c>
    </row>
    <row r="817" spans="1:1" x14ac:dyDescent="0.2">
      <c r="A817" t="str">
        <f>IF(ISBLANK(B817), "","Country-816")</f>
        <v/>
      </c>
    </row>
    <row r="818" spans="1:1" x14ac:dyDescent="0.2">
      <c r="A818" t="str">
        <f>IF(ISBLANK(B818), "","Country-817")</f>
        <v/>
      </c>
    </row>
    <row r="819" spans="1:1" x14ac:dyDescent="0.2">
      <c r="A819" t="str">
        <f>IF(ISBLANK(B819), "","Country-818")</f>
        <v/>
      </c>
    </row>
    <row r="820" spans="1:1" x14ac:dyDescent="0.2">
      <c r="A820" t="str">
        <f>IF(ISBLANK(B820), "","Country-819")</f>
        <v/>
      </c>
    </row>
    <row r="821" spans="1:1" x14ac:dyDescent="0.2">
      <c r="A821" t="str">
        <f>IF(ISBLANK(B821), "","Country-820")</f>
        <v/>
      </c>
    </row>
    <row r="822" spans="1:1" x14ac:dyDescent="0.2">
      <c r="A822" t="str">
        <f>IF(ISBLANK(B822), "","Country-821")</f>
        <v/>
      </c>
    </row>
    <row r="823" spans="1:1" x14ac:dyDescent="0.2">
      <c r="A823" t="str">
        <f>IF(ISBLANK(B823), "","Country-822")</f>
        <v/>
      </c>
    </row>
    <row r="824" spans="1:1" x14ac:dyDescent="0.2">
      <c r="A824" t="str">
        <f>IF(ISBLANK(B824), "","Country-823")</f>
        <v/>
      </c>
    </row>
    <row r="825" spans="1:1" x14ac:dyDescent="0.2">
      <c r="A825" t="str">
        <f>IF(ISBLANK(B825), "","Country-824")</f>
        <v/>
      </c>
    </row>
    <row r="826" spans="1:1" x14ac:dyDescent="0.2">
      <c r="A826" t="str">
        <f>IF(ISBLANK(B826), "","Country-825")</f>
        <v/>
      </c>
    </row>
    <row r="827" spans="1:1" x14ac:dyDescent="0.2">
      <c r="A827" t="str">
        <f>IF(ISBLANK(B827), "","Country-826")</f>
        <v/>
      </c>
    </row>
    <row r="828" spans="1:1" x14ac:dyDescent="0.2">
      <c r="A828" t="str">
        <f>IF(ISBLANK(B828), "","Country-827")</f>
        <v/>
      </c>
    </row>
    <row r="829" spans="1:1" x14ac:dyDescent="0.2">
      <c r="A829" t="str">
        <f>IF(ISBLANK(B829), "","Country-828")</f>
        <v/>
      </c>
    </row>
    <row r="830" spans="1:1" x14ac:dyDescent="0.2">
      <c r="A830" t="str">
        <f>IF(ISBLANK(B830), "","Country-829")</f>
        <v/>
      </c>
    </row>
    <row r="831" spans="1:1" x14ac:dyDescent="0.2">
      <c r="A831" t="str">
        <f>IF(ISBLANK(B831), "","Country-830")</f>
        <v/>
      </c>
    </row>
    <row r="832" spans="1:1" x14ac:dyDescent="0.2">
      <c r="A832" t="str">
        <f>IF(ISBLANK(B832), "","Country-831")</f>
        <v/>
      </c>
    </row>
    <row r="833" spans="1:1" x14ac:dyDescent="0.2">
      <c r="A833" t="str">
        <f>IF(ISBLANK(B833), "","Country-832")</f>
        <v/>
      </c>
    </row>
    <row r="834" spans="1:1" x14ac:dyDescent="0.2">
      <c r="A834" t="str">
        <f>IF(ISBLANK(B834), "","Country-833")</f>
        <v/>
      </c>
    </row>
    <row r="835" spans="1:1" x14ac:dyDescent="0.2">
      <c r="A835" t="str">
        <f>IF(ISBLANK(B835), "","Country-834")</f>
        <v/>
      </c>
    </row>
    <row r="836" spans="1:1" x14ac:dyDescent="0.2">
      <c r="A836" t="str">
        <f>IF(ISBLANK(B836), "","Country-835")</f>
        <v/>
      </c>
    </row>
    <row r="837" spans="1:1" x14ac:dyDescent="0.2">
      <c r="A837" t="str">
        <f>IF(ISBLANK(B837), "","Country-836")</f>
        <v/>
      </c>
    </row>
    <row r="838" spans="1:1" x14ac:dyDescent="0.2">
      <c r="A838" t="str">
        <f>IF(ISBLANK(B838), "","Country-837")</f>
        <v/>
      </c>
    </row>
    <row r="839" spans="1:1" x14ac:dyDescent="0.2">
      <c r="A839" t="str">
        <f>IF(ISBLANK(B839), "","Country-838")</f>
        <v/>
      </c>
    </row>
    <row r="840" spans="1:1" x14ac:dyDescent="0.2">
      <c r="A840" t="str">
        <f>IF(ISBLANK(B840), "","Country-839")</f>
        <v/>
      </c>
    </row>
    <row r="841" spans="1:1" x14ac:dyDescent="0.2">
      <c r="A841" t="str">
        <f>IF(ISBLANK(B841), "","Country-840")</f>
        <v/>
      </c>
    </row>
    <row r="842" spans="1:1" x14ac:dyDescent="0.2">
      <c r="A842" t="str">
        <f>IF(ISBLANK(B842), "","Country-841")</f>
        <v/>
      </c>
    </row>
    <row r="843" spans="1:1" x14ac:dyDescent="0.2">
      <c r="A843" t="str">
        <f>IF(ISBLANK(B843), "","Country-842")</f>
        <v/>
      </c>
    </row>
    <row r="844" spans="1:1" x14ac:dyDescent="0.2">
      <c r="A844" t="str">
        <f>IF(ISBLANK(B844), "","Country-843")</f>
        <v/>
      </c>
    </row>
    <row r="845" spans="1:1" x14ac:dyDescent="0.2">
      <c r="A845" t="str">
        <f>IF(ISBLANK(B845), "","Country-844")</f>
        <v/>
      </c>
    </row>
    <row r="846" spans="1:1" x14ac:dyDescent="0.2">
      <c r="A846" t="str">
        <f>IF(ISBLANK(B846), "","Country-845")</f>
        <v/>
      </c>
    </row>
    <row r="847" spans="1:1" x14ac:dyDescent="0.2">
      <c r="A847" t="str">
        <f>IF(ISBLANK(B847), "","Country-846")</f>
        <v/>
      </c>
    </row>
    <row r="848" spans="1:1" x14ac:dyDescent="0.2">
      <c r="A848" t="str">
        <f>IF(ISBLANK(B848), "","Country-847")</f>
        <v/>
      </c>
    </row>
    <row r="849" spans="1:1" x14ac:dyDescent="0.2">
      <c r="A849" t="str">
        <f>IF(ISBLANK(B849), "","Country-848")</f>
        <v/>
      </c>
    </row>
    <row r="850" spans="1:1" x14ac:dyDescent="0.2">
      <c r="A850" t="str">
        <f>IF(ISBLANK(B850), "","Country-849")</f>
        <v/>
      </c>
    </row>
    <row r="851" spans="1:1" x14ac:dyDescent="0.2">
      <c r="A851" t="str">
        <f>IF(ISBLANK(B851), "","Country-850")</f>
        <v/>
      </c>
    </row>
    <row r="852" spans="1:1" x14ac:dyDescent="0.2">
      <c r="A852" t="str">
        <f>IF(ISBLANK(B852), "","Country-851")</f>
        <v/>
      </c>
    </row>
    <row r="853" spans="1:1" x14ac:dyDescent="0.2">
      <c r="A853" t="str">
        <f>IF(ISBLANK(B853), "","Country-852")</f>
        <v/>
      </c>
    </row>
    <row r="854" spans="1:1" x14ac:dyDescent="0.2">
      <c r="A854" t="str">
        <f>IF(ISBLANK(B854), "","Country-853")</f>
        <v/>
      </c>
    </row>
    <row r="855" spans="1:1" x14ac:dyDescent="0.2">
      <c r="A855" t="str">
        <f>IF(ISBLANK(B855), "","Country-854")</f>
        <v/>
      </c>
    </row>
    <row r="856" spans="1:1" x14ac:dyDescent="0.2">
      <c r="A856" t="str">
        <f>IF(ISBLANK(B856), "","Country-855")</f>
        <v/>
      </c>
    </row>
    <row r="857" spans="1:1" x14ac:dyDescent="0.2">
      <c r="A857" t="str">
        <f>IF(ISBLANK(B857), "","Country-856")</f>
        <v/>
      </c>
    </row>
    <row r="858" spans="1:1" x14ac:dyDescent="0.2">
      <c r="A858" t="str">
        <f>IF(ISBLANK(B858), "","Country-857")</f>
        <v/>
      </c>
    </row>
    <row r="859" spans="1:1" x14ac:dyDescent="0.2">
      <c r="A859" t="str">
        <f>IF(ISBLANK(B859), "","Country-858")</f>
        <v/>
      </c>
    </row>
    <row r="860" spans="1:1" x14ac:dyDescent="0.2">
      <c r="A860" t="str">
        <f>IF(ISBLANK(B860), "","Country-859")</f>
        <v/>
      </c>
    </row>
    <row r="861" spans="1:1" x14ac:dyDescent="0.2">
      <c r="A861" t="str">
        <f>IF(ISBLANK(B861), "","Country-860")</f>
        <v/>
      </c>
    </row>
    <row r="862" spans="1:1" x14ac:dyDescent="0.2">
      <c r="A862" t="str">
        <f>IF(ISBLANK(B862), "","Country-861")</f>
        <v/>
      </c>
    </row>
    <row r="863" spans="1:1" x14ac:dyDescent="0.2">
      <c r="A863" t="str">
        <f>IF(ISBLANK(B863), "","Country-862")</f>
        <v/>
      </c>
    </row>
    <row r="864" spans="1:1" x14ac:dyDescent="0.2">
      <c r="A864" t="str">
        <f>IF(ISBLANK(B864), "","Country-863")</f>
        <v/>
      </c>
    </row>
    <row r="865" spans="1:1" x14ac:dyDescent="0.2">
      <c r="A865" t="str">
        <f>IF(ISBLANK(B865), "","Country-864")</f>
        <v/>
      </c>
    </row>
    <row r="866" spans="1:1" x14ac:dyDescent="0.2">
      <c r="A866" t="str">
        <f>IF(ISBLANK(B866), "","Country-865")</f>
        <v/>
      </c>
    </row>
    <row r="867" spans="1:1" x14ac:dyDescent="0.2">
      <c r="A867" t="str">
        <f>IF(ISBLANK(B867), "","Country-866")</f>
        <v/>
      </c>
    </row>
    <row r="868" spans="1:1" x14ac:dyDescent="0.2">
      <c r="A868" t="str">
        <f>IF(ISBLANK(B868), "","Country-867")</f>
        <v/>
      </c>
    </row>
    <row r="869" spans="1:1" x14ac:dyDescent="0.2">
      <c r="A869" t="str">
        <f>IF(ISBLANK(B869), "","Country-868")</f>
        <v/>
      </c>
    </row>
    <row r="870" spans="1:1" x14ac:dyDescent="0.2">
      <c r="A870" t="str">
        <f>IF(ISBLANK(B870), "","Country-869")</f>
        <v/>
      </c>
    </row>
    <row r="871" spans="1:1" x14ac:dyDescent="0.2">
      <c r="A871" t="str">
        <f>IF(ISBLANK(B871), "","Country-870")</f>
        <v/>
      </c>
    </row>
    <row r="872" spans="1:1" x14ac:dyDescent="0.2">
      <c r="A872" t="str">
        <f>IF(ISBLANK(B872), "","Country-871")</f>
        <v/>
      </c>
    </row>
    <row r="873" spans="1:1" x14ac:dyDescent="0.2">
      <c r="A873" t="str">
        <f>IF(ISBLANK(B873), "","Country-872")</f>
        <v/>
      </c>
    </row>
    <row r="874" spans="1:1" x14ac:dyDescent="0.2">
      <c r="A874" t="str">
        <f>IF(ISBLANK(B874), "","Country-873")</f>
        <v/>
      </c>
    </row>
    <row r="875" spans="1:1" x14ac:dyDescent="0.2">
      <c r="A875" t="str">
        <f>IF(ISBLANK(B875), "","Country-874")</f>
        <v/>
      </c>
    </row>
    <row r="876" spans="1:1" x14ac:dyDescent="0.2">
      <c r="A876" t="str">
        <f>IF(ISBLANK(B876), "","Country-875")</f>
        <v/>
      </c>
    </row>
    <row r="877" spans="1:1" x14ac:dyDescent="0.2">
      <c r="A877" t="str">
        <f>IF(ISBLANK(B877), "","Country-876")</f>
        <v/>
      </c>
    </row>
    <row r="878" spans="1:1" x14ac:dyDescent="0.2">
      <c r="A878" t="str">
        <f>IF(ISBLANK(B878), "","Country-877")</f>
        <v/>
      </c>
    </row>
    <row r="879" spans="1:1" x14ac:dyDescent="0.2">
      <c r="A879" t="str">
        <f>IF(ISBLANK(B879), "","Country-878")</f>
        <v/>
      </c>
    </row>
    <row r="880" spans="1:1" x14ac:dyDescent="0.2">
      <c r="A880" t="str">
        <f>IF(ISBLANK(B880), "","Country-879")</f>
        <v/>
      </c>
    </row>
    <row r="881" spans="1:1" x14ac:dyDescent="0.2">
      <c r="A881" t="str">
        <f>IF(ISBLANK(B881), "","Country-880")</f>
        <v/>
      </c>
    </row>
    <row r="882" spans="1:1" x14ac:dyDescent="0.2">
      <c r="A882" t="str">
        <f>IF(ISBLANK(B882), "","Country-881")</f>
        <v/>
      </c>
    </row>
    <row r="883" spans="1:1" x14ac:dyDescent="0.2">
      <c r="A883" t="str">
        <f>IF(ISBLANK(B883), "","Country-882")</f>
        <v/>
      </c>
    </row>
    <row r="884" spans="1:1" x14ac:dyDescent="0.2">
      <c r="A884" t="str">
        <f>IF(ISBLANK(B884), "","Country-883")</f>
        <v/>
      </c>
    </row>
    <row r="885" spans="1:1" x14ac:dyDescent="0.2">
      <c r="A885" t="str">
        <f>IF(ISBLANK(B885), "","Country-884")</f>
        <v/>
      </c>
    </row>
    <row r="886" spans="1:1" x14ac:dyDescent="0.2">
      <c r="A886" t="str">
        <f>IF(ISBLANK(B886), "","Country-885")</f>
        <v/>
      </c>
    </row>
    <row r="887" spans="1:1" x14ac:dyDescent="0.2">
      <c r="A887" t="str">
        <f>IF(ISBLANK(B887), "","Country-886")</f>
        <v/>
      </c>
    </row>
    <row r="888" spans="1:1" x14ac:dyDescent="0.2">
      <c r="A888" t="str">
        <f>IF(ISBLANK(B888), "","Country-887")</f>
        <v/>
      </c>
    </row>
    <row r="889" spans="1:1" x14ac:dyDescent="0.2">
      <c r="A889" t="str">
        <f>IF(ISBLANK(B889), "","Country-888")</f>
        <v/>
      </c>
    </row>
    <row r="890" spans="1:1" x14ac:dyDescent="0.2">
      <c r="A890" t="str">
        <f>IF(ISBLANK(B890), "","Country-889")</f>
        <v/>
      </c>
    </row>
    <row r="891" spans="1:1" x14ac:dyDescent="0.2">
      <c r="A891" t="str">
        <f>IF(ISBLANK(B891), "","Country-890")</f>
        <v/>
      </c>
    </row>
    <row r="892" spans="1:1" x14ac:dyDescent="0.2">
      <c r="A892" t="str">
        <f>IF(ISBLANK(B892), "","Country-891")</f>
        <v/>
      </c>
    </row>
    <row r="893" spans="1:1" x14ac:dyDescent="0.2">
      <c r="A893" t="str">
        <f>IF(ISBLANK(B893), "","Country-892")</f>
        <v/>
      </c>
    </row>
    <row r="894" spans="1:1" x14ac:dyDescent="0.2">
      <c r="A894" t="str">
        <f>IF(ISBLANK(B894), "","Country-893")</f>
        <v/>
      </c>
    </row>
    <row r="895" spans="1:1" x14ac:dyDescent="0.2">
      <c r="A895" t="str">
        <f>IF(ISBLANK(B895), "","Country-894")</f>
        <v/>
      </c>
    </row>
    <row r="896" spans="1:1" x14ac:dyDescent="0.2">
      <c r="A896" t="str">
        <f>IF(ISBLANK(B896), "","Country-895")</f>
        <v/>
      </c>
    </row>
    <row r="897" spans="1:1" x14ac:dyDescent="0.2">
      <c r="A897" t="str">
        <f>IF(ISBLANK(B897), "","Country-896")</f>
        <v/>
      </c>
    </row>
    <row r="898" spans="1:1" x14ac:dyDescent="0.2">
      <c r="A898" t="str">
        <f>IF(ISBLANK(B898), "","Country-897")</f>
        <v/>
      </c>
    </row>
    <row r="899" spans="1:1" x14ac:dyDescent="0.2">
      <c r="A899" t="str">
        <f>IF(ISBLANK(B899), "","Country-898")</f>
        <v/>
      </c>
    </row>
    <row r="900" spans="1:1" x14ac:dyDescent="0.2">
      <c r="A900" t="str">
        <f>IF(ISBLANK(B900), "","Country-899")</f>
        <v/>
      </c>
    </row>
    <row r="901" spans="1:1" x14ac:dyDescent="0.2">
      <c r="A901" t="str">
        <f>IF(ISBLANK(B901), "","Country-900")</f>
        <v/>
      </c>
    </row>
    <row r="902" spans="1:1" x14ac:dyDescent="0.2">
      <c r="A902" t="str">
        <f>IF(ISBLANK(B902), "","Country-901")</f>
        <v/>
      </c>
    </row>
    <row r="903" spans="1:1" x14ac:dyDescent="0.2">
      <c r="A903" t="str">
        <f>IF(ISBLANK(B903), "","Country-902")</f>
        <v/>
      </c>
    </row>
    <row r="904" spans="1:1" x14ac:dyDescent="0.2">
      <c r="A904" t="str">
        <f>IF(ISBLANK(B904), "","Country-903")</f>
        <v/>
      </c>
    </row>
    <row r="905" spans="1:1" x14ac:dyDescent="0.2">
      <c r="A905" t="str">
        <f>IF(ISBLANK(B905), "","Country-904")</f>
        <v/>
      </c>
    </row>
    <row r="906" spans="1:1" x14ac:dyDescent="0.2">
      <c r="A906" t="str">
        <f>IF(ISBLANK(B906), "","Country-905")</f>
        <v/>
      </c>
    </row>
    <row r="907" spans="1:1" x14ac:dyDescent="0.2">
      <c r="A907" t="str">
        <f>IF(ISBLANK(B907), "","Country-906")</f>
        <v/>
      </c>
    </row>
    <row r="908" spans="1:1" x14ac:dyDescent="0.2">
      <c r="A908" t="str">
        <f>IF(ISBLANK(B908), "","Country-907")</f>
        <v/>
      </c>
    </row>
    <row r="909" spans="1:1" x14ac:dyDescent="0.2">
      <c r="A909" t="str">
        <f>IF(ISBLANK(B909), "","Country-908")</f>
        <v/>
      </c>
    </row>
    <row r="910" spans="1:1" x14ac:dyDescent="0.2">
      <c r="A910" t="str">
        <f>IF(ISBLANK(B910), "","Country-909")</f>
        <v/>
      </c>
    </row>
    <row r="911" spans="1:1" x14ac:dyDescent="0.2">
      <c r="A911" t="str">
        <f>IF(ISBLANK(B911), "","Country-910")</f>
        <v/>
      </c>
    </row>
    <row r="912" spans="1:1" x14ac:dyDescent="0.2">
      <c r="A912" t="str">
        <f>IF(ISBLANK(B912), "","Country-911")</f>
        <v/>
      </c>
    </row>
    <row r="913" spans="1:1" x14ac:dyDescent="0.2">
      <c r="A913" t="str">
        <f>IF(ISBLANK(B913), "","Country-912")</f>
        <v/>
      </c>
    </row>
    <row r="914" spans="1:1" x14ac:dyDescent="0.2">
      <c r="A914" t="str">
        <f>IF(ISBLANK(B914), "","Country-913")</f>
        <v/>
      </c>
    </row>
    <row r="915" spans="1:1" x14ac:dyDescent="0.2">
      <c r="A915" t="str">
        <f>IF(ISBLANK(B915), "","Country-914")</f>
        <v/>
      </c>
    </row>
    <row r="916" spans="1:1" x14ac:dyDescent="0.2">
      <c r="A916" t="str">
        <f>IF(ISBLANK(B916), "","Country-915")</f>
        <v/>
      </c>
    </row>
    <row r="917" spans="1:1" x14ac:dyDescent="0.2">
      <c r="A917" t="str">
        <f>IF(ISBLANK(B917), "","Country-916")</f>
        <v/>
      </c>
    </row>
    <row r="918" spans="1:1" x14ac:dyDescent="0.2">
      <c r="A918" t="str">
        <f>IF(ISBLANK(B918), "","Country-917")</f>
        <v/>
      </c>
    </row>
    <row r="919" spans="1:1" x14ac:dyDescent="0.2">
      <c r="A919" t="str">
        <f>IF(ISBLANK(B919), "","Country-918")</f>
        <v/>
      </c>
    </row>
    <row r="920" spans="1:1" x14ac:dyDescent="0.2">
      <c r="A920" t="str">
        <f>IF(ISBLANK(B920), "","Country-919")</f>
        <v/>
      </c>
    </row>
    <row r="921" spans="1:1" x14ac:dyDescent="0.2">
      <c r="A921" t="str">
        <f>IF(ISBLANK(B921), "","Country-920")</f>
        <v/>
      </c>
    </row>
    <row r="922" spans="1:1" x14ac:dyDescent="0.2">
      <c r="A922" t="str">
        <f>IF(ISBLANK(B922), "","Country-921")</f>
        <v/>
      </c>
    </row>
    <row r="923" spans="1:1" x14ac:dyDescent="0.2">
      <c r="A923" t="str">
        <f>IF(ISBLANK(B923), "","Country-922")</f>
        <v/>
      </c>
    </row>
    <row r="924" spans="1:1" x14ac:dyDescent="0.2">
      <c r="A924" t="str">
        <f>IF(ISBLANK(B924), "","Country-923")</f>
        <v/>
      </c>
    </row>
    <row r="925" spans="1:1" x14ac:dyDescent="0.2">
      <c r="A925" t="str">
        <f>IF(ISBLANK(B925), "","Country-924")</f>
        <v/>
      </c>
    </row>
    <row r="926" spans="1:1" x14ac:dyDescent="0.2">
      <c r="A926" t="str">
        <f>IF(ISBLANK(B926), "","Country-925")</f>
        <v/>
      </c>
    </row>
    <row r="927" spans="1:1" x14ac:dyDescent="0.2">
      <c r="A927" t="str">
        <f>IF(ISBLANK(B927), "","Country-926")</f>
        <v/>
      </c>
    </row>
    <row r="928" spans="1:1" x14ac:dyDescent="0.2">
      <c r="A928" t="str">
        <f>IF(ISBLANK(B928), "","Country-927")</f>
        <v/>
      </c>
    </row>
    <row r="929" spans="1:1" x14ac:dyDescent="0.2">
      <c r="A929" t="str">
        <f>IF(ISBLANK(B929), "","Country-928")</f>
        <v/>
      </c>
    </row>
    <row r="930" spans="1:1" x14ac:dyDescent="0.2">
      <c r="A930" t="str">
        <f>IF(ISBLANK(B930), "","Country-929")</f>
        <v/>
      </c>
    </row>
    <row r="931" spans="1:1" x14ac:dyDescent="0.2">
      <c r="A931" t="str">
        <f>IF(ISBLANK(B931), "","Country-930")</f>
        <v/>
      </c>
    </row>
    <row r="932" spans="1:1" x14ac:dyDescent="0.2">
      <c r="A932" t="str">
        <f>IF(ISBLANK(B932), "","Country-931")</f>
        <v/>
      </c>
    </row>
    <row r="933" spans="1:1" x14ac:dyDescent="0.2">
      <c r="A933" t="str">
        <f>IF(ISBLANK(B933), "","Country-932")</f>
        <v/>
      </c>
    </row>
    <row r="934" spans="1:1" x14ac:dyDescent="0.2">
      <c r="A934" t="str">
        <f>IF(ISBLANK(B934), "","Country-933")</f>
        <v/>
      </c>
    </row>
    <row r="935" spans="1:1" x14ac:dyDescent="0.2">
      <c r="A935" t="str">
        <f>IF(ISBLANK(B935), "","Country-934")</f>
        <v/>
      </c>
    </row>
    <row r="936" spans="1:1" x14ac:dyDescent="0.2">
      <c r="A936" t="str">
        <f>IF(ISBLANK(B936), "","Country-935")</f>
        <v/>
      </c>
    </row>
    <row r="937" spans="1:1" x14ac:dyDescent="0.2">
      <c r="A937" t="str">
        <f>IF(ISBLANK(B937), "","Country-936")</f>
        <v/>
      </c>
    </row>
    <row r="938" spans="1:1" x14ac:dyDescent="0.2">
      <c r="A938" t="str">
        <f>IF(ISBLANK(B938), "","Country-937")</f>
        <v/>
      </c>
    </row>
    <row r="939" spans="1:1" x14ac:dyDescent="0.2">
      <c r="A939" t="str">
        <f>IF(ISBLANK(B939), "","Country-938")</f>
        <v/>
      </c>
    </row>
    <row r="940" spans="1:1" x14ac:dyDescent="0.2">
      <c r="A940" t="str">
        <f>IF(ISBLANK(B940), "","Country-939")</f>
        <v/>
      </c>
    </row>
    <row r="941" spans="1:1" x14ac:dyDescent="0.2">
      <c r="A941" t="str">
        <f>IF(ISBLANK(B941), "","Country-940")</f>
        <v/>
      </c>
    </row>
    <row r="942" spans="1:1" x14ac:dyDescent="0.2">
      <c r="A942" t="str">
        <f>IF(ISBLANK(B942), "","Country-941")</f>
        <v/>
      </c>
    </row>
    <row r="943" spans="1:1" x14ac:dyDescent="0.2">
      <c r="A943" t="str">
        <f>IF(ISBLANK(B943), "","Country-942")</f>
        <v/>
      </c>
    </row>
    <row r="944" spans="1:1" x14ac:dyDescent="0.2">
      <c r="A944" t="str">
        <f>IF(ISBLANK(B944), "","Country-943")</f>
        <v/>
      </c>
    </row>
    <row r="945" spans="1:1" x14ac:dyDescent="0.2">
      <c r="A945" t="str">
        <f>IF(ISBLANK(B945), "","Country-944")</f>
        <v/>
      </c>
    </row>
    <row r="946" spans="1:1" x14ac:dyDescent="0.2">
      <c r="A946" t="str">
        <f>IF(ISBLANK(B946), "","Country-945")</f>
        <v/>
      </c>
    </row>
    <row r="947" spans="1:1" x14ac:dyDescent="0.2">
      <c r="A947" t="str">
        <f>IF(ISBLANK(B947), "","Country-946")</f>
        <v/>
      </c>
    </row>
    <row r="948" spans="1:1" x14ac:dyDescent="0.2">
      <c r="A948" t="str">
        <f>IF(ISBLANK(B948), "","Country-947")</f>
        <v/>
      </c>
    </row>
    <row r="949" spans="1:1" x14ac:dyDescent="0.2">
      <c r="A949" t="str">
        <f>IF(ISBLANK(B949), "","Country-948")</f>
        <v/>
      </c>
    </row>
    <row r="950" spans="1:1" x14ac:dyDescent="0.2">
      <c r="A950" t="str">
        <f>IF(ISBLANK(B950), "","Country-949")</f>
        <v/>
      </c>
    </row>
    <row r="951" spans="1:1" x14ac:dyDescent="0.2">
      <c r="A951" t="str">
        <f>IF(ISBLANK(B951), "","Country-950")</f>
        <v/>
      </c>
    </row>
    <row r="952" spans="1:1" x14ac:dyDescent="0.2">
      <c r="A952" t="str">
        <f>IF(ISBLANK(B952), "","Country-951")</f>
        <v/>
      </c>
    </row>
    <row r="953" spans="1:1" x14ac:dyDescent="0.2">
      <c r="A953" t="str">
        <f>IF(ISBLANK(B953), "","Country-952")</f>
        <v/>
      </c>
    </row>
    <row r="954" spans="1:1" x14ac:dyDescent="0.2">
      <c r="A954" t="str">
        <f>IF(ISBLANK(B954), "","Country-953")</f>
        <v/>
      </c>
    </row>
    <row r="955" spans="1:1" x14ac:dyDescent="0.2">
      <c r="A955" t="str">
        <f>IF(ISBLANK(B955), "","Country-954")</f>
        <v/>
      </c>
    </row>
    <row r="956" spans="1:1" x14ac:dyDescent="0.2">
      <c r="A956" t="str">
        <f>IF(ISBLANK(B956), "","Country-955")</f>
        <v/>
      </c>
    </row>
    <row r="957" spans="1:1" x14ac:dyDescent="0.2">
      <c r="A957" t="str">
        <f>IF(ISBLANK(B957), "","Country-956")</f>
        <v/>
      </c>
    </row>
    <row r="958" spans="1:1" x14ac:dyDescent="0.2">
      <c r="A958" t="str">
        <f>IF(ISBLANK(B958), "","Country-957")</f>
        <v/>
      </c>
    </row>
    <row r="959" spans="1:1" x14ac:dyDescent="0.2">
      <c r="A959" t="str">
        <f>IF(ISBLANK(B959), "","Country-958")</f>
        <v/>
      </c>
    </row>
    <row r="960" spans="1:1" x14ac:dyDescent="0.2">
      <c r="A960" t="str">
        <f>IF(ISBLANK(B960), "","Country-959")</f>
        <v/>
      </c>
    </row>
    <row r="961" spans="1:1" x14ac:dyDescent="0.2">
      <c r="A961" t="str">
        <f>IF(ISBLANK(B961), "","Country-960")</f>
        <v/>
      </c>
    </row>
    <row r="962" spans="1:1" x14ac:dyDescent="0.2">
      <c r="A962" t="str">
        <f>IF(ISBLANK(B962), "","Country-961")</f>
        <v/>
      </c>
    </row>
    <row r="963" spans="1:1" x14ac:dyDescent="0.2">
      <c r="A963" t="str">
        <f>IF(ISBLANK(B963), "","Country-962")</f>
        <v/>
      </c>
    </row>
    <row r="964" spans="1:1" x14ac:dyDescent="0.2">
      <c r="A964" t="str">
        <f>IF(ISBLANK(B964), "","Country-963")</f>
        <v/>
      </c>
    </row>
    <row r="965" spans="1:1" x14ac:dyDescent="0.2">
      <c r="A965" t="str">
        <f>IF(ISBLANK(B965), "","Country-964")</f>
        <v/>
      </c>
    </row>
    <row r="966" spans="1:1" x14ac:dyDescent="0.2">
      <c r="A966" t="str">
        <f>IF(ISBLANK(B966), "","Country-965")</f>
        <v/>
      </c>
    </row>
    <row r="967" spans="1:1" x14ac:dyDescent="0.2">
      <c r="A967" t="str">
        <f>IF(ISBLANK(B967), "","Country-966")</f>
        <v/>
      </c>
    </row>
    <row r="968" spans="1:1" x14ac:dyDescent="0.2">
      <c r="A968" t="str">
        <f>IF(ISBLANK(B968), "","Country-967")</f>
        <v/>
      </c>
    </row>
    <row r="969" spans="1:1" x14ac:dyDescent="0.2">
      <c r="A969" t="str">
        <f>IF(ISBLANK(B969), "","Country-968")</f>
        <v/>
      </c>
    </row>
    <row r="970" spans="1:1" x14ac:dyDescent="0.2">
      <c r="A970" t="str">
        <f>IF(ISBLANK(B970), "","Country-969")</f>
        <v/>
      </c>
    </row>
    <row r="971" spans="1:1" x14ac:dyDescent="0.2">
      <c r="A971" t="str">
        <f>IF(ISBLANK(B971), "","Country-970")</f>
        <v/>
      </c>
    </row>
    <row r="972" spans="1:1" x14ac:dyDescent="0.2">
      <c r="A972" t="str">
        <f>IF(ISBLANK(B972), "","Country-971")</f>
        <v/>
      </c>
    </row>
    <row r="973" spans="1:1" x14ac:dyDescent="0.2">
      <c r="A973" t="str">
        <f>IF(ISBLANK(B973), "","Country-972")</f>
        <v/>
      </c>
    </row>
    <row r="974" spans="1:1" x14ac:dyDescent="0.2">
      <c r="A974" t="str">
        <f>IF(ISBLANK(B974), "","Country-973")</f>
        <v/>
      </c>
    </row>
    <row r="975" spans="1:1" x14ac:dyDescent="0.2">
      <c r="A975" t="str">
        <f>IF(ISBLANK(B975), "","Country-974")</f>
        <v/>
      </c>
    </row>
    <row r="976" spans="1:1" x14ac:dyDescent="0.2">
      <c r="A976" t="str">
        <f>IF(ISBLANK(B976), "","Country-975")</f>
        <v/>
      </c>
    </row>
    <row r="977" spans="1:1" x14ac:dyDescent="0.2">
      <c r="A977" t="str">
        <f>IF(ISBLANK(B977), "","Country-976")</f>
        <v/>
      </c>
    </row>
    <row r="978" spans="1:1" x14ac:dyDescent="0.2">
      <c r="A978" t="str">
        <f>IF(ISBLANK(B978), "","Country-977")</f>
        <v/>
      </c>
    </row>
    <row r="979" spans="1:1" x14ac:dyDescent="0.2">
      <c r="A979" t="str">
        <f>IF(ISBLANK(B979), "","Country-978")</f>
        <v/>
      </c>
    </row>
    <row r="980" spans="1:1" x14ac:dyDescent="0.2">
      <c r="A980" t="str">
        <f>IF(ISBLANK(B980), "","Country-979")</f>
        <v/>
      </c>
    </row>
    <row r="981" spans="1:1" x14ac:dyDescent="0.2">
      <c r="A981" t="str">
        <f>IF(ISBLANK(B981), "","Country-980")</f>
        <v/>
      </c>
    </row>
    <row r="982" spans="1:1" x14ac:dyDescent="0.2">
      <c r="A982" t="str">
        <f>IF(ISBLANK(B982), "","Country-981")</f>
        <v/>
      </c>
    </row>
    <row r="983" spans="1:1" x14ac:dyDescent="0.2">
      <c r="A983" t="str">
        <f>IF(ISBLANK(B983), "","Country-982")</f>
        <v/>
      </c>
    </row>
    <row r="984" spans="1:1" x14ac:dyDescent="0.2">
      <c r="A984" t="str">
        <f>IF(ISBLANK(B984), "","Country-983")</f>
        <v/>
      </c>
    </row>
    <row r="985" spans="1:1" x14ac:dyDescent="0.2">
      <c r="A985" t="str">
        <f>IF(ISBLANK(B985), "","Country-984")</f>
        <v/>
      </c>
    </row>
    <row r="986" spans="1:1" x14ac:dyDescent="0.2">
      <c r="A986" t="str">
        <f>IF(ISBLANK(B986), "","Country-985")</f>
        <v/>
      </c>
    </row>
    <row r="987" spans="1:1" x14ac:dyDescent="0.2">
      <c r="A987" t="str">
        <f>IF(ISBLANK(B987), "","Country-986")</f>
        <v/>
      </c>
    </row>
    <row r="988" spans="1:1" x14ac:dyDescent="0.2">
      <c r="A988" t="str">
        <f>IF(ISBLANK(B988), "","Country-987")</f>
        <v/>
      </c>
    </row>
    <row r="989" spans="1:1" x14ac:dyDescent="0.2">
      <c r="A989" t="str">
        <f>IF(ISBLANK(B989), "","Country-988")</f>
        <v/>
      </c>
    </row>
    <row r="990" spans="1:1" x14ac:dyDescent="0.2">
      <c r="A990" t="str">
        <f>IF(ISBLANK(B990), "","Country-989")</f>
        <v/>
      </c>
    </row>
    <row r="991" spans="1:1" x14ac:dyDescent="0.2">
      <c r="A991" t="str">
        <f>IF(ISBLANK(B991), "","Country-990")</f>
        <v/>
      </c>
    </row>
    <row r="992" spans="1:1" x14ac:dyDescent="0.2">
      <c r="A992" t="str">
        <f>IF(ISBLANK(B992), "","Country-991")</f>
        <v/>
      </c>
    </row>
    <row r="993" spans="1:1" x14ac:dyDescent="0.2">
      <c r="A993" t="str">
        <f>IF(ISBLANK(B993), "","Country-992")</f>
        <v/>
      </c>
    </row>
    <row r="994" spans="1:1" x14ac:dyDescent="0.2">
      <c r="A994" t="str">
        <f>IF(ISBLANK(B994), "","Country-993")</f>
        <v/>
      </c>
    </row>
    <row r="995" spans="1:1" x14ac:dyDescent="0.2">
      <c r="A995" t="str">
        <f>IF(ISBLANK(B995), "","Country-994")</f>
        <v/>
      </c>
    </row>
    <row r="996" spans="1:1" x14ac:dyDescent="0.2">
      <c r="A996" t="str">
        <f>IF(ISBLANK(B996), "","Country-995")</f>
        <v/>
      </c>
    </row>
    <row r="997" spans="1:1" x14ac:dyDescent="0.2">
      <c r="A997" t="str">
        <f>IF(ISBLANK(B997), "","Country-996")</f>
        <v/>
      </c>
    </row>
    <row r="998" spans="1:1" x14ac:dyDescent="0.2">
      <c r="A998" t="str">
        <f>IF(ISBLANK(B998), "","Country-997")</f>
        <v/>
      </c>
    </row>
    <row r="999" spans="1:1" x14ac:dyDescent="0.2">
      <c r="A999" t="str">
        <f>IF(ISBLANK(B999), "","Country-998")</f>
        <v/>
      </c>
    </row>
    <row r="1000" spans="1:1" x14ac:dyDescent="0.2">
      <c r="A1000" t="str">
        <f>IF(ISBLANK(B1000), "","Country-999")</f>
        <v/>
      </c>
    </row>
    <row r="1001" spans="1:1" x14ac:dyDescent="0.2">
      <c r="A1001" t="str">
        <f>IF(ISBLANK(B1001), "","Country-1000")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00">
        <x14:dataValidation type="list" allowBlank="1" showInputMessage="1" showErrorMessage="1" xr:uid="{00000000-0002-0000-0100-000000000000}">
          <x14:formula1>
            <xm:f>CountryGroup!A2:A1000</xm:f>
          </x14:formula1>
          <xm:sqref>C2</xm:sqref>
        </x14:dataValidation>
        <x14:dataValidation type="list" allowBlank="1" showInputMessage="1" showErrorMessage="1" xr:uid="{00000000-0002-0000-0100-000001000000}">
          <x14:formula1>
            <xm:f>CountryGroup!A2:A1000</xm:f>
          </x14:formula1>
          <xm:sqref>C3</xm:sqref>
        </x14:dataValidation>
        <x14:dataValidation type="list" allowBlank="1" showInputMessage="1" showErrorMessage="1" xr:uid="{00000000-0002-0000-0100-000002000000}">
          <x14:formula1>
            <xm:f>CountryGroup!A2:A1000</xm:f>
          </x14:formula1>
          <xm:sqref>C4</xm:sqref>
        </x14:dataValidation>
        <x14:dataValidation type="list" allowBlank="1" showInputMessage="1" showErrorMessage="1" xr:uid="{00000000-0002-0000-0100-000003000000}">
          <x14:formula1>
            <xm:f>CountryGroup!A2:A1000</xm:f>
          </x14:formula1>
          <xm:sqref>C5</xm:sqref>
        </x14:dataValidation>
        <x14:dataValidation type="list" allowBlank="1" showInputMessage="1" showErrorMessage="1" xr:uid="{00000000-0002-0000-0100-000004000000}">
          <x14:formula1>
            <xm:f>CountryGroup!A2:A1000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CountryGroup!A2:A1000</xm:f>
          </x14:formula1>
          <xm:sqref>C7</xm:sqref>
        </x14:dataValidation>
        <x14:dataValidation type="list" allowBlank="1" showInputMessage="1" showErrorMessage="1" xr:uid="{00000000-0002-0000-0100-000006000000}">
          <x14:formula1>
            <xm:f>CountryGroup!A2:A1000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CountryGroup!A2:A1000</xm:f>
          </x14:formula1>
          <xm:sqref>C9</xm:sqref>
        </x14:dataValidation>
        <x14:dataValidation type="list" allowBlank="1" showInputMessage="1" showErrorMessage="1" xr:uid="{00000000-0002-0000-0100-000008000000}">
          <x14:formula1>
            <xm:f>CountryGroup!A2:A1000</xm:f>
          </x14:formula1>
          <xm:sqref>C10</xm:sqref>
        </x14:dataValidation>
        <x14:dataValidation type="list" allowBlank="1" showInputMessage="1" showErrorMessage="1" xr:uid="{00000000-0002-0000-0100-000009000000}">
          <x14:formula1>
            <xm:f>CountryGroup!A2:A1000</xm:f>
          </x14:formula1>
          <xm:sqref>C11</xm:sqref>
        </x14:dataValidation>
        <x14:dataValidation type="list" allowBlank="1" showInputMessage="1" showErrorMessage="1" xr:uid="{00000000-0002-0000-0100-00000A000000}">
          <x14:formula1>
            <xm:f>CountryGroup!A2:A1000</xm:f>
          </x14:formula1>
          <xm:sqref>C12</xm:sqref>
        </x14:dataValidation>
        <x14:dataValidation type="list" allowBlank="1" showInputMessage="1" showErrorMessage="1" xr:uid="{00000000-0002-0000-0100-00000B000000}">
          <x14:formula1>
            <xm:f>CountryGroup!A2:A1000</xm:f>
          </x14:formula1>
          <xm:sqref>C13</xm:sqref>
        </x14:dataValidation>
        <x14:dataValidation type="list" allowBlank="1" showInputMessage="1" showErrorMessage="1" xr:uid="{00000000-0002-0000-0100-00000C000000}">
          <x14:formula1>
            <xm:f>CountryGroup!A2:A1000</xm:f>
          </x14:formula1>
          <xm:sqref>C14</xm:sqref>
        </x14:dataValidation>
        <x14:dataValidation type="list" allowBlank="1" showInputMessage="1" showErrorMessage="1" xr:uid="{00000000-0002-0000-0100-00000D000000}">
          <x14:formula1>
            <xm:f>CountryGroup!A2:A1000</xm:f>
          </x14:formula1>
          <xm:sqref>C15</xm:sqref>
        </x14:dataValidation>
        <x14:dataValidation type="list" allowBlank="1" showInputMessage="1" showErrorMessage="1" xr:uid="{00000000-0002-0000-0100-00000E000000}">
          <x14:formula1>
            <xm:f>CountryGroup!A2:A1000</xm:f>
          </x14:formula1>
          <xm:sqref>C16</xm:sqref>
        </x14:dataValidation>
        <x14:dataValidation type="list" allowBlank="1" showInputMessage="1" showErrorMessage="1" xr:uid="{00000000-0002-0000-0100-00000F000000}">
          <x14:formula1>
            <xm:f>CountryGroup!A2:A1000</xm:f>
          </x14:formula1>
          <xm:sqref>C17</xm:sqref>
        </x14:dataValidation>
        <x14:dataValidation type="list" allowBlank="1" showInputMessage="1" showErrorMessage="1" xr:uid="{00000000-0002-0000-0100-000010000000}">
          <x14:formula1>
            <xm:f>CountryGroup!A2:A1000</xm:f>
          </x14:formula1>
          <xm:sqref>C18</xm:sqref>
        </x14:dataValidation>
        <x14:dataValidation type="list" allowBlank="1" showInputMessage="1" showErrorMessage="1" xr:uid="{00000000-0002-0000-0100-000011000000}">
          <x14:formula1>
            <xm:f>CountryGroup!A2:A1000</xm:f>
          </x14:formula1>
          <xm:sqref>C19</xm:sqref>
        </x14:dataValidation>
        <x14:dataValidation type="list" allowBlank="1" showInputMessage="1" showErrorMessage="1" xr:uid="{00000000-0002-0000-0100-000012000000}">
          <x14:formula1>
            <xm:f>CountryGroup!A2:A1000</xm:f>
          </x14:formula1>
          <xm:sqref>C20</xm:sqref>
        </x14:dataValidation>
        <x14:dataValidation type="list" allowBlank="1" showInputMessage="1" showErrorMessage="1" xr:uid="{00000000-0002-0000-0100-000013000000}">
          <x14:formula1>
            <xm:f>CountryGroup!A2:A1000</xm:f>
          </x14:formula1>
          <xm:sqref>C21</xm:sqref>
        </x14:dataValidation>
        <x14:dataValidation type="list" allowBlank="1" showInputMessage="1" showErrorMessage="1" xr:uid="{00000000-0002-0000-0100-000014000000}">
          <x14:formula1>
            <xm:f>CountryGroup!A2:A1000</xm:f>
          </x14:formula1>
          <xm:sqref>C22</xm:sqref>
        </x14:dataValidation>
        <x14:dataValidation type="list" allowBlank="1" showInputMessage="1" showErrorMessage="1" xr:uid="{00000000-0002-0000-0100-000015000000}">
          <x14:formula1>
            <xm:f>CountryGroup!A2:A1000</xm:f>
          </x14:formula1>
          <xm:sqref>C23</xm:sqref>
        </x14:dataValidation>
        <x14:dataValidation type="list" allowBlank="1" showInputMessage="1" showErrorMessage="1" xr:uid="{00000000-0002-0000-0100-000016000000}">
          <x14:formula1>
            <xm:f>CountryGroup!A2:A1000</xm:f>
          </x14:formula1>
          <xm:sqref>C24</xm:sqref>
        </x14:dataValidation>
        <x14:dataValidation type="list" allowBlank="1" showInputMessage="1" showErrorMessage="1" xr:uid="{00000000-0002-0000-0100-000017000000}">
          <x14:formula1>
            <xm:f>CountryGroup!A2:A1000</xm:f>
          </x14:formula1>
          <xm:sqref>C25</xm:sqref>
        </x14:dataValidation>
        <x14:dataValidation type="list" allowBlank="1" showInputMessage="1" showErrorMessage="1" xr:uid="{00000000-0002-0000-0100-000018000000}">
          <x14:formula1>
            <xm:f>CountryGroup!A2:A1000</xm:f>
          </x14:formula1>
          <xm:sqref>C26</xm:sqref>
        </x14:dataValidation>
        <x14:dataValidation type="list" allowBlank="1" showInputMessage="1" showErrorMessage="1" xr:uid="{00000000-0002-0000-0100-000019000000}">
          <x14:formula1>
            <xm:f>CountryGroup!A2:A1000</xm:f>
          </x14:formula1>
          <xm:sqref>C27</xm:sqref>
        </x14:dataValidation>
        <x14:dataValidation type="list" allowBlank="1" showInputMessage="1" showErrorMessage="1" xr:uid="{00000000-0002-0000-0100-00001A000000}">
          <x14:formula1>
            <xm:f>CountryGroup!A2:A1000</xm:f>
          </x14:formula1>
          <xm:sqref>C28</xm:sqref>
        </x14:dataValidation>
        <x14:dataValidation type="list" allowBlank="1" showInputMessage="1" showErrorMessage="1" xr:uid="{00000000-0002-0000-0100-00001B000000}">
          <x14:formula1>
            <xm:f>CountryGroup!A2:A1000</xm:f>
          </x14:formula1>
          <xm:sqref>C29</xm:sqref>
        </x14:dataValidation>
        <x14:dataValidation type="list" allowBlank="1" showInputMessage="1" showErrorMessage="1" xr:uid="{00000000-0002-0000-0100-00001C000000}">
          <x14:formula1>
            <xm:f>CountryGroup!A2:A1000</xm:f>
          </x14:formula1>
          <xm:sqref>C30</xm:sqref>
        </x14:dataValidation>
        <x14:dataValidation type="list" allowBlank="1" showInputMessage="1" showErrorMessage="1" xr:uid="{00000000-0002-0000-0100-00001D000000}">
          <x14:formula1>
            <xm:f>CountryGroup!A2:A1000</xm:f>
          </x14:formula1>
          <xm:sqref>C31</xm:sqref>
        </x14:dataValidation>
        <x14:dataValidation type="list" allowBlank="1" showInputMessage="1" showErrorMessage="1" xr:uid="{00000000-0002-0000-0100-00001E000000}">
          <x14:formula1>
            <xm:f>CountryGroup!A2:A1000</xm:f>
          </x14:formula1>
          <xm:sqref>C32</xm:sqref>
        </x14:dataValidation>
        <x14:dataValidation type="list" allowBlank="1" showInputMessage="1" showErrorMessage="1" xr:uid="{00000000-0002-0000-0100-00001F000000}">
          <x14:formula1>
            <xm:f>CountryGroup!A2:A1000</xm:f>
          </x14:formula1>
          <xm:sqref>C33</xm:sqref>
        </x14:dataValidation>
        <x14:dataValidation type="list" allowBlank="1" showInputMessage="1" showErrorMessage="1" xr:uid="{00000000-0002-0000-0100-000020000000}">
          <x14:formula1>
            <xm:f>CountryGroup!A2:A1000</xm:f>
          </x14:formula1>
          <xm:sqref>C34</xm:sqref>
        </x14:dataValidation>
        <x14:dataValidation type="list" allowBlank="1" showInputMessage="1" showErrorMessage="1" xr:uid="{00000000-0002-0000-0100-000021000000}">
          <x14:formula1>
            <xm:f>CountryGroup!A2:A1000</xm:f>
          </x14:formula1>
          <xm:sqref>C35</xm:sqref>
        </x14:dataValidation>
        <x14:dataValidation type="list" allowBlank="1" showInputMessage="1" showErrorMessage="1" xr:uid="{00000000-0002-0000-0100-000022000000}">
          <x14:formula1>
            <xm:f>CountryGroup!A2:A1000</xm:f>
          </x14:formula1>
          <xm:sqref>C36</xm:sqref>
        </x14:dataValidation>
        <x14:dataValidation type="list" allowBlank="1" showInputMessage="1" showErrorMessage="1" xr:uid="{00000000-0002-0000-0100-000023000000}">
          <x14:formula1>
            <xm:f>CountryGroup!A2:A1000</xm:f>
          </x14:formula1>
          <xm:sqref>C37</xm:sqref>
        </x14:dataValidation>
        <x14:dataValidation type="list" allowBlank="1" showInputMessage="1" showErrorMessage="1" xr:uid="{00000000-0002-0000-0100-000024000000}">
          <x14:formula1>
            <xm:f>CountryGroup!A2:A1000</xm:f>
          </x14:formula1>
          <xm:sqref>C38</xm:sqref>
        </x14:dataValidation>
        <x14:dataValidation type="list" allowBlank="1" showInputMessage="1" showErrorMessage="1" xr:uid="{00000000-0002-0000-0100-000025000000}">
          <x14:formula1>
            <xm:f>CountryGroup!A2:A1000</xm:f>
          </x14:formula1>
          <xm:sqref>C39</xm:sqref>
        </x14:dataValidation>
        <x14:dataValidation type="list" allowBlank="1" showInputMessage="1" showErrorMessage="1" xr:uid="{00000000-0002-0000-0100-000026000000}">
          <x14:formula1>
            <xm:f>CountryGroup!A2:A1000</xm:f>
          </x14:formula1>
          <xm:sqref>C40</xm:sqref>
        </x14:dataValidation>
        <x14:dataValidation type="list" allowBlank="1" showInputMessage="1" showErrorMessage="1" xr:uid="{00000000-0002-0000-0100-000027000000}">
          <x14:formula1>
            <xm:f>CountryGroup!A2:A1000</xm:f>
          </x14:formula1>
          <xm:sqref>C41</xm:sqref>
        </x14:dataValidation>
        <x14:dataValidation type="list" allowBlank="1" showInputMessage="1" showErrorMessage="1" xr:uid="{00000000-0002-0000-0100-000028000000}">
          <x14:formula1>
            <xm:f>CountryGroup!A2:A1000</xm:f>
          </x14:formula1>
          <xm:sqref>C42</xm:sqref>
        </x14:dataValidation>
        <x14:dataValidation type="list" allowBlank="1" showInputMessage="1" showErrorMessage="1" xr:uid="{00000000-0002-0000-0100-000029000000}">
          <x14:formula1>
            <xm:f>CountryGroup!A2:A1000</xm:f>
          </x14:formula1>
          <xm:sqref>C43</xm:sqref>
        </x14:dataValidation>
        <x14:dataValidation type="list" allowBlank="1" showInputMessage="1" showErrorMessage="1" xr:uid="{00000000-0002-0000-0100-00002A000000}">
          <x14:formula1>
            <xm:f>CountryGroup!A2:A1000</xm:f>
          </x14:formula1>
          <xm:sqref>C44</xm:sqref>
        </x14:dataValidation>
        <x14:dataValidation type="list" allowBlank="1" showInputMessage="1" showErrorMessage="1" xr:uid="{00000000-0002-0000-0100-00002B000000}">
          <x14:formula1>
            <xm:f>CountryGroup!A2:A1000</xm:f>
          </x14:formula1>
          <xm:sqref>C45</xm:sqref>
        </x14:dataValidation>
        <x14:dataValidation type="list" allowBlank="1" showInputMessage="1" showErrorMessage="1" xr:uid="{00000000-0002-0000-0100-00002C000000}">
          <x14:formula1>
            <xm:f>CountryGroup!A2:A1000</xm:f>
          </x14:formula1>
          <xm:sqref>C46</xm:sqref>
        </x14:dataValidation>
        <x14:dataValidation type="list" allowBlank="1" showInputMessage="1" showErrorMessage="1" xr:uid="{00000000-0002-0000-0100-00002D000000}">
          <x14:formula1>
            <xm:f>CountryGroup!A2:A1000</xm:f>
          </x14:formula1>
          <xm:sqref>C47</xm:sqref>
        </x14:dataValidation>
        <x14:dataValidation type="list" allowBlank="1" showInputMessage="1" showErrorMessage="1" xr:uid="{00000000-0002-0000-0100-00002E000000}">
          <x14:formula1>
            <xm:f>CountryGroup!A2:A1000</xm:f>
          </x14:formula1>
          <xm:sqref>C48</xm:sqref>
        </x14:dataValidation>
        <x14:dataValidation type="list" allowBlank="1" showInputMessage="1" showErrorMessage="1" xr:uid="{00000000-0002-0000-0100-00002F000000}">
          <x14:formula1>
            <xm:f>CountryGroup!A2:A1000</xm:f>
          </x14:formula1>
          <xm:sqref>C49</xm:sqref>
        </x14:dataValidation>
        <x14:dataValidation type="list" allowBlank="1" showInputMessage="1" showErrorMessage="1" xr:uid="{00000000-0002-0000-0100-000030000000}">
          <x14:formula1>
            <xm:f>CountryGroup!A2:A1000</xm:f>
          </x14:formula1>
          <xm:sqref>C50</xm:sqref>
        </x14:dataValidation>
        <x14:dataValidation type="list" allowBlank="1" showInputMessage="1" showErrorMessage="1" xr:uid="{00000000-0002-0000-0100-000031000000}">
          <x14:formula1>
            <xm:f>CountryGroup!A2:A1000</xm:f>
          </x14:formula1>
          <xm:sqref>C51</xm:sqref>
        </x14:dataValidation>
        <x14:dataValidation type="list" allowBlank="1" showInputMessage="1" showErrorMessage="1" xr:uid="{00000000-0002-0000-0100-000032000000}">
          <x14:formula1>
            <xm:f>CountryGroup!A2:A1000</xm:f>
          </x14:formula1>
          <xm:sqref>C52</xm:sqref>
        </x14:dataValidation>
        <x14:dataValidation type="list" allowBlank="1" showInputMessage="1" showErrorMessage="1" xr:uid="{00000000-0002-0000-0100-000033000000}">
          <x14:formula1>
            <xm:f>CountryGroup!A2:A1000</xm:f>
          </x14:formula1>
          <xm:sqref>C53</xm:sqref>
        </x14:dataValidation>
        <x14:dataValidation type="list" allowBlank="1" showInputMessage="1" showErrorMessage="1" xr:uid="{00000000-0002-0000-0100-000034000000}">
          <x14:formula1>
            <xm:f>CountryGroup!A2:A1000</xm:f>
          </x14:formula1>
          <xm:sqref>C54</xm:sqref>
        </x14:dataValidation>
        <x14:dataValidation type="list" allowBlank="1" showInputMessage="1" showErrorMessage="1" xr:uid="{00000000-0002-0000-0100-000035000000}">
          <x14:formula1>
            <xm:f>CountryGroup!A2:A1000</xm:f>
          </x14:formula1>
          <xm:sqref>C55</xm:sqref>
        </x14:dataValidation>
        <x14:dataValidation type="list" allowBlank="1" showInputMessage="1" showErrorMessage="1" xr:uid="{00000000-0002-0000-0100-000036000000}">
          <x14:formula1>
            <xm:f>CountryGroup!A2:A1000</xm:f>
          </x14:formula1>
          <xm:sqref>C56</xm:sqref>
        </x14:dataValidation>
        <x14:dataValidation type="list" allowBlank="1" showInputMessage="1" showErrorMessage="1" xr:uid="{00000000-0002-0000-0100-000037000000}">
          <x14:formula1>
            <xm:f>CountryGroup!A2:A1000</xm:f>
          </x14:formula1>
          <xm:sqref>C57</xm:sqref>
        </x14:dataValidation>
        <x14:dataValidation type="list" allowBlank="1" showInputMessage="1" showErrorMessage="1" xr:uid="{00000000-0002-0000-0100-000038000000}">
          <x14:formula1>
            <xm:f>CountryGroup!A2:A1000</xm:f>
          </x14:formula1>
          <xm:sqref>C58</xm:sqref>
        </x14:dataValidation>
        <x14:dataValidation type="list" allowBlank="1" showInputMessage="1" showErrorMessage="1" xr:uid="{00000000-0002-0000-0100-000039000000}">
          <x14:formula1>
            <xm:f>CountryGroup!A2:A1000</xm:f>
          </x14:formula1>
          <xm:sqref>C59</xm:sqref>
        </x14:dataValidation>
        <x14:dataValidation type="list" allowBlank="1" showInputMessage="1" showErrorMessage="1" xr:uid="{00000000-0002-0000-0100-00003A000000}">
          <x14:formula1>
            <xm:f>CountryGroup!A2:A1000</xm:f>
          </x14:formula1>
          <xm:sqref>C60</xm:sqref>
        </x14:dataValidation>
        <x14:dataValidation type="list" allowBlank="1" showInputMessage="1" showErrorMessage="1" xr:uid="{00000000-0002-0000-0100-00003B000000}">
          <x14:formula1>
            <xm:f>CountryGroup!A2:A1000</xm:f>
          </x14:formula1>
          <xm:sqref>C61</xm:sqref>
        </x14:dataValidation>
        <x14:dataValidation type="list" allowBlank="1" showInputMessage="1" showErrorMessage="1" xr:uid="{00000000-0002-0000-0100-00003C000000}">
          <x14:formula1>
            <xm:f>CountryGroup!A2:A1000</xm:f>
          </x14:formula1>
          <xm:sqref>C62</xm:sqref>
        </x14:dataValidation>
        <x14:dataValidation type="list" allowBlank="1" showInputMessage="1" showErrorMessage="1" xr:uid="{00000000-0002-0000-0100-00003D000000}">
          <x14:formula1>
            <xm:f>CountryGroup!A2:A1000</xm:f>
          </x14:formula1>
          <xm:sqref>C63</xm:sqref>
        </x14:dataValidation>
        <x14:dataValidation type="list" allowBlank="1" showInputMessage="1" showErrorMessage="1" xr:uid="{00000000-0002-0000-0100-00003E000000}">
          <x14:formula1>
            <xm:f>CountryGroup!A2:A1000</xm:f>
          </x14:formula1>
          <xm:sqref>C64</xm:sqref>
        </x14:dataValidation>
        <x14:dataValidation type="list" allowBlank="1" showInputMessage="1" showErrorMessage="1" xr:uid="{00000000-0002-0000-0100-00003F000000}">
          <x14:formula1>
            <xm:f>CountryGroup!A2:A1000</xm:f>
          </x14:formula1>
          <xm:sqref>C65</xm:sqref>
        </x14:dataValidation>
        <x14:dataValidation type="list" allowBlank="1" showInputMessage="1" showErrorMessage="1" xr:uid="{00000000-0002-0000-0100-000040000000}">
          <x14:formula1>
            <xm:f>CountryGroup!A2:A1000</xm:f>
          </x14:formula1>
          <xm:sqref>C66</xm:sqref>
        </x14:dataValidation>
        <x14:dataValidation type="list" allowBlank="1" showInputMessage="1" showErrorMessage="1" xr:uid="{00000000-0002-0000-0100-000041000000}">
          <x14:formula1>
            <xm:f>CountryGroup!A2:A1000</xm:f>
          </x14:formula1>
          <xm:sqref>C67</xm:sqref>
        </x14:dataValidation>
        <x14:dataValidation type="list" allowBlank="1" showInputMessage="1" showErrorMessage="1" xr:uid="{00000000-0002-0000-0100-000042000000}">
          <x14:formula1>
            <xm:f>CountryGroup!A2:A1000</xm:f>
          </x14:formula1>
          <xm:sqref>C68</xm:sqref>
        </x14:dataValidation>
        <x14:dataValidation type="list" allowBlank="1" showInputMessage="1" showErrorMessage="1" xr:uid="{00000000-0002-0000-0100-000043000000}">
          <x14:formula1>
            <xm:f>CountryGroup!A2:A1000</xm:f>
          </x14:formula1>
          <xm:sqref>C69</xm:sqref>
        </x14:dataValidation>
        <x14:dataValidation type="list" allowBlank="1" showInputMessage="1" showErrorMessage="1" xr:uid="{00000000-0002-0000-0100-000044000000}">
          <x14:formula1>
            <xm:f>CountryGroup!A2:A1000</xm:f>
          </x14:formula1>
          <xm:sqref>C70</xm:sqref>
        </x14:dataValidation>
        <x14:dataValidation type="list" allowBlank="1" showInputMessage="1" showErrorMessage="1" xr:uid="{00000000-0002-0000-0100-000045000000}">
          <x14:formula1>
            <xm:f>CountryGroup!A2:A1000</xm:f>
          </x14:formula1>
          <xm:sqref>C71</xm:sqref>
        </x14:dataValidation>
        <x14:dataValidation type="list" allowBlank="1" showInputMessage="1" showErrorMessage="1" xr:uid="{00000000-0002-0000-0100-000046000000}">
          <x14:formula1>
            <xm:f>CountryGroup!A2:A1000</xm:f>
          </x14:formula1>
          <xm:sqref>C72</xm:sqref>
        </x14:dataValidation>
        <x14:dataValidation type="list" allowBlank="1" showInputMessage="1" showErrorMessage="1" xr:uid="{00000000-0002-0000-0100-000047000000}">
          <x14:formula1>
            <xm:f>CountryGroup!A2:A1000</xm:f>
          </x14:formula1>
          <xm:sqref>C73</xm:sqref>
        </x14:dataValidation>
        <x14:dataValidation type="list" allowBlank="1" showInputMessage="1" showErrorMessage="1" xr:uid="{00000000-0002-0000-0100-000048000000}">
          <x14:formula1>
            <xm:f>CountryGroup!A2:A1000</xm:f>
          </x14:formula1>
          <xm:sqref>C74</xm:sqref>
        </x14:dataValidation>
        <x14:dataValidation type="list" allowBlank="1" showInputMessage="1" showErrorMessage="1" xr:uid="{00000000-0002-0000-0100-000049000000}">
          <x14:formula1>
            <xm:f>CountryGroup!A2:A1000</xm:f>
          </x14:formula1>
          <xm:sqref>C75</xm:sqref>
        </x14:dataValidation>
        <x14:dataValidation type="list" allowBlank="1" showInputMessage="1" showErrorMessage="1" xr:uid="{00000000-0002-0000-0100-00004A000000}">
          <x14:formula1>
            <xm:f>CountryGroup!A2:A1000</xm:f>
          </x14:formula1>
          <xm:sqref>C76</xm:sqref>
        </x14:dataValidation>
        <x14:dataValidation type="list" allowBlank="1" showInputMessage="1" showErrorMessage="1" xr:uid="{00000000-0002-0000-0100-00004B000000}">
          <x14:formula1>
            <xm:f>CountryGroup!A2:A1000</xm:f>
          </x14:formula1>
          <xm:sqref>C77</xm:sqref>
        </x14:dataValidation>
        <x14:dataValidation type="list" allowBlank="1" showInputMessage="1" showErrorMessage="1" xr:uid="{00000000-0002-0000-0100-00004C000000}">
          <x14:formula1>
            <xm:f>CountryGroup!A2:A1000</xm:f>
          </x14:formula1>
          <xm:sqref>C78</xm:sqref>
        </x14:dataValidation>
        <x14:dataValidation type="list" allowBlank="1" showInputMessage="1" showErrorMessage="1" xr:uid="{00000000-0002-0000-0100-00004D000000}">
          <x14:formula1>
            <xm:f>CountryGroup!A2:A1000</xm:f>
          </x14:formula1>
          <xm:sqref>C79</xm:sqref>
        </x14:dataValidation>
        <x14:dataValidation type="list" allowBlank="1" showInputMessage="1" showErrorMessage="1" xr:uid="{00000000-0002-0000-0100-00004E000000}">
          <x14:formula1>
            <xm:f>CountryGroup!A2:A1000</xm:f>
          </x14:formula1>
          <xm:sqref>C80</xm:sqref>
        </x14:dataValidation>
        <x14:dataValidation type="list" allowBlank="1" showInputMessage="1" showErrorMessage="1" xr:uid="{00000000-0002-0000-0100-00004F000000}">
          <x14:formula1>
            <xm:f>CountryGroup!A2:A1000</xm:f>
          </x14:formula1>
          <xm:sqref>C81</xm:sqref>
        </x14:dataValidation>
        <x14:dataValidation type="list" allowBlank="1" showInputMessage="1" showErrorMessage="1" xr:uid="{00000000-0002-0000-0100-000050000000}">
          <x14:formula1>
            <xm:f>CountryGroup!A2:A1000</xm:f>
          </x14:formula1>
          <xm:sqref>C82</xm:sqref>
        </x14:dataValidation>
        <x14:dataValidation type="list" allowBlank="1" showInputMessage="1" showErrorMessage="1" xr:uid="{00000000-0002-0000-0100-000051000000}">
          <x14:formula1>
            <xm:f>CountryGroup!A2:A1000</xm:f>
          </x14:formula1>
          <xm:sqref>C83</xm:sqref>
        </x14:dataValidation>
        <x14:dataValidation type="list" allowBlank="1" showInputMessage="1" showErrorMessage="1" xr:uid="{00000000-0002-0000-0100-000052000000}">
          <x14:formula1>
            <xm:f>CountryGroup!A2:A1000</xm:f>
          </x14:formula1>
          <xm:sqref>C84</xm:sqref>
        </x14:dataValidation>
        <x14:dataValidation type="list" allowBlank="1" showInputMessage="1" showErrorMessage="1" xr:uid="{00000000-0002-0000-0100-000053000000}">
          <x14:formula1>
            <xm:f>CountryGroup!A2:A1000</xm:f>
          </x14:formula1>
          <xm:sqref>C85</xm:sqref>
        </x14:dataValidation>
        <x14:dataValidation type="list" allowBlank="1" showInputMessage="1" showErrorMessage="1" xr:uid="{00000000-0002-0000-0100-000054000000}">
          <x14:formula1>
            <xm:f>CountryGroup!A2:A1000</xm:f>
          </x14:formula1>
          <xm:sqref>C86</xm:sqref>
        </x14:dataValidation>
        <x14:dataValidation type="list" allowBlank="1" showInputMessage="1" showErrorMessage="1" xr:uid="{00000000-0002-0000-0100-000055000000}">
          <x14:formula1>
            <xm:f>CountryGroup!A2:A1000</xm:f>
          </x14:formula1>
          <xm:sqref>C87</xm:sqref>
        </x14:dataValidation>
        <x14:dataValidation type="list" allowBlank="1" showInputMessage="1" showErrorMessage="1" xr:uid="{00000000-0002-0000-0100-000056000000}">
          <x14:formula1>
            <xm:f>CountryGroup!A2:A1000</xm:f>
          </x14:formula1>
          <xm:sqref>C88</xm:sqref>
        </x14:dataValidation>
        <x14:dataValidation type="list" allowBlank="1" showInputMessage="1" showErrorMessage="1" xr:uid="{00000000-0002-0000-0100-000057000000}">
          <x14:formula1>
            <xm:f>CountryGroup!A2:A1000</xm:f>
          </x14:formula1>
          <xm:sqref>C89</xm:sqref>
        </x14:dataValidation>
        <x14:dataValidation type="list" allowBlank="1" showInputMessage="1" showErrorMessage="1" xr:uid="{00000000-0002-0000-0100-000058000000}">
          <x14:formula1>
            <xm:f>CountryGroup!A2:A1000</xm:f>
          </x14:formula1>
          <xm:sqref>C90</xm:sqref>
        </x14:dataValidation>
        <x14:dataValidation type="list" allowBlank="1" showInputMessage="1" showErrorMessage="1" xr:uid="{00000000-0002-0000-0100-000059000000}">
          <x14:formula1>
            <xm:f>CountryGroup!A2:A1000</xm:f>
          </x14:formula1>
          <xm:sqref>C91</xm:sqref>
        </x14:dataValidation>
        <x14:dataValidation type="list" allowBlank="1" showInputMessage="1" showErrorMessage="1" xr:uid="{00000000-0002-0000-0100-00005A000000}">
          <x14:formula1>
            <xm:f>CountryGroup!A2:A1000</xm:f>
          </x14:formula1>
          <xm:sqref>C92</xm:sqref>
        </x14:dataValidation>
        <x14:dataValidation type="list" allowBlank="1" showInputMessage="1" showErrorMessage="1" xr:uid="{00000000-0002-0000-0100-00005B000000}">
          <x14:formula1>
            <xm:f>CountryGroup!A2:A1000</xm:f>
          </x14:formula1>
          <xm:sqref>C93</xm:sqref>
        </x14:dataValidation>
        <x14:dataValidation type="list" allowBlank="1" showInputMessage="1" showErrorMessage="1" xr:uid="{00000000-0002-0000-0100-00005C000000}">
          <x14:formula1>
            <xm:f>CountryGroup!A2:A1000</xm:f>
          </x14:formula1>
          <xm:sqref>C94</xm:sqref>
        </x14:dataValidation>
        <x14:dataValidation type="list" allowBlank="1" showInputMessage="1" showErrorMessage="1" xr:uid="{00000000-0002-0000-0100-00005D000000}">
          <x14:formula1>
            <xm:f>CountryGroup!A2:A1000</xm:f>
          </x14:formula1>
          <xm:sqref>C95</xm:sqref>
        </x14:dataValidation>
        <x14:dataValidation type="list" allowBlank="1" showInputMessage="1" showErrorMessage="1" xr:uid="{00000000-0002-0000-0100-00005E000000}">
          <x14:formula1>
            <xm:f>CountryGroup!A2:A1000</xm:f>
          </x14:formula1>
          <xm:sqref>C96</xm:sqref>
        </x14:dataValidation>
        <x14:dataValidation type="list" allowBlank="1" showInputMessage="1" showErrorMessage="1" xr:uid="{00000000-0002-0000-0100-00005F000000}">
          <x14:formula1>
            <xm:f>CountryGroup!A2:A1000</xm:f>
          </x14:formula1>
          <xm:sqref>C97</xm:sqref>
        </x14:dataValidation>
        <x14:dataValidation type="list" allowBlank="1" showInputMessage="1" showErrorMessage="1" xr:uid="{00000000-0002-0000-0100-000060000000}">
          <x14:formula1>
            <xm:f>CountryGroup!A2:A1000</xm:f>
          </x14:formula1>
          <xm:sqref>C98</xm:sqref>
        </x14:dataValidation>
        <x14:dataValidation type="list" allowBlank="1" showInputMessage="1" showErrorMessage="1" xr:uid="{00000000-0002-0000-0100-000061000000}">
          <x14:formula1>
            <xm:f>CountryGroup!A2:A1000</xm:f>
          </x14:formula1>
          <xm:sqref>C99</xm:sqref>
        </x14:dataValidation>
        <x14:dataValidation type="list" allowBlank="1" showInputMessage="1" showErrorMessage="1" xr:uid="{00000000-0002-0000-0100-000062000000}">
          <x14:formula1>
            <xm:f>CountryGroup!A2:A1000</xm:f>
          </x14:formula1>
          <xm:sqref>C100</xm:sqref>
        </x14:dataValidation>
        <x14:dataValidation type="list" allowBlank="1" showInputMessage="1" showErrorMessage="1" xr:uid="{00000000-0002-0000-0100-000063000000}">
          <x14:formula1>
            <xm:f>CountryGroup!A2:A1000</xm:f>
          </x14:formula1>
          <xm:sqref>C101</xm:sqref>
        </x14:dataValidation>
        <x14:dataValidation type="list" allowBlank="1" showInputMessage="1" showErrorMessage="1" xr:uid="{00000000-0002-0000-0100-000064000000}">
          <x14:formula1>
            <xm:f>CountryGroup!A2:A1000</xm:f>
          </x14:formula1>
          <xm:sqref>C102</xm:sqref>
        </x14:dataValidation>
        <x14:dataValidation type="list" allowBlank="1" showInputMessage="1" showErrorMessage="1" xr:uid="{00000000-0002-0000-0100-000065000000}">
          <x14:formula1>
            <xm:f>CountryGroup!A2:A1000</xm:f>
          </x14:formula1>
          <xm:sqref>C103</xm:sqref>
        </x14:dataValidation>
        <x14:dataValidation type="list" allowBlank="1" showInputMessage="1" showErrorMessage="1" xr:uid="{00000000-0002-0000-0100-000066000000}">
          <x14:formula1>
            <xm:f>CountryGroup!A2:A1000</xm:f>
          </x14:formula1>
          <xm:sqref>C104</xm:sqref>
        </x14:dataValidation>
        <x14:dataValidation type="list" allowBlank="1" showInputMessage="1" showErrorMessage="1" xr:uid="{00000000-0002-0000-0100-000067000000}">
          <x14:formula1>
            <xm:f>CountryGroup!A2:A1000</xm:f>
          </x14:formula1>
          <xm:sqref>C105</xm:sqref>
        </x14:dataValidation>
        <x14:dataValidation type="list" allowBlank="1" showInputMessage="1" showErrorMessage="1" xr:uid="{00000000-0002-0000-0100-000068000000}">
          <x14:formula1>
            <xm:f>CountryGroup!A2:A1000</xm:f>
          </x14:formula1>
          <xm:sqref>C106</xm:sqref>
        </x14:dataValidation>
        <x14:dataValidation type="list" allowBlank="1" showInputMessage="1" showErrorMessage="1" xr:uid="{00000000-0002-0000-0100-000069000000}">
          <x14:formula1>
            <xm:f>CountryGroup!A2:A1000</xm:f>
          </x14:formula1>
          <xm:sqref>C107</xm:sqref>
        </x14:dataValidation>
        <x14:dataValidation type="list" allowBlank="1" showInputMessage="1" showErrorMessage="1" xr:uid="{00000000-0002-0000-0100-00006A000000}">
          <x14:formula1>
            <xm:f>CountryGroup!A2:A1000</xm:f>
          </x14:formula1>
          <xm:sqref>C108</xm:sqref>
        </x14:dataValidation>
        <x14:dataValidation type="list" allowBlank="1" showInputMessage="1" showErrorMessage="1" xr:uid="{00000000-0002-0000-0100-00006B000000}">
          <x14:formula1>
            <xm:f>CountryGroup!A2:A1000</xm:f>
          </x14:formula1>
          <xm:sqref>C109</xm:sqref>
        </x14:dataValidation>
        <x14:dataValidation type="list" allowBlank="1" showInputMessage="1" showErrorMessage="1" xr:uid="{00000000-0002-0000-0100-00006C000000}">
          <x14:formula1>
            <xm:f>CountryGroup!A2:A1000</xm:f>
          </x14:formula1>
          <xm:sqref>C110</xm:sqref>
        </x14:dataValidation>
        <x14:dataValidation type="list" allowBlank="1" showInputMessage="1" showErrorMessage="1" xr:uid="{00000000-0002-0000-0100-00006D000000}">
          <x14:formula1>
            <xm:f>CountryGroup!A2:A1000</xm:f>
          </x14:formula1>
          <xm:sqref>C111</xm:sqref>
        </x14:dataValidation>
        <x14:dataValidation type="list" allowBlank="1" showInputMessage="1" showErrorMessage="1" xr:uid="{00000000-0002-0000-0100-00006E000000}">
          <x14:formula1>
            <xm:f>CountryGroup!A2:A1000</xm:f>
          </x14:formula1>
          <xm:sqref>C112</xm:sqref>
        </x14:dataValidation>
        <x14:dataValidation type="list" allowBlank="1" showInputMessage="1" showErrorMessage="1" xr:uid="{00000000-0002-0000-0100-00006F000000}">
          <x14:formula1>
            <xm:f>CountryGroup!A2:A1000</xm:f>
          </x14:formula1>
          <xm:sqref>C113</xm:sqref>
        </x14:dataValidation>
        <x14:dataValidation type="list" allowBlank="1" showInputMessage="1" showErrorMessage="1" xr:uid="{00000000-0002-0000-0100-000070000000}">
          <x14:formula1>
            <xm:f>CountryGroup!A2:A1000</xm:f>
          </x14:formula1>
          <xm:sqref>C114</xm:sqref>
        </x14:dataValidation>
        <x14:dataValidation type="list" allowBlank="1" showInputMessage="1" showErrorMessage="1" xr:uid="{00000000-0002-0000-0100-000071000000}">
          <x14:formula1>
            <xm:f>CountryGroup!A2:A1000</xm:f>
          </x14:formula1>
          <xm:sqref>C115</xm:sqref>
        </x14:dataValidation>
        <x14:dataValidation type="list" allowBlank="1" showInputMessage="1" showErrorMessage="1" xr:uid="{00000000-0002-0000-0100-000072000000}">
          <x14:formula1>
            <xm:f>CountryGroup!A2:A1000</xm:f>
          </x14:formula1>
          <xm:sqref>C116</xm:sqref>
        </x14:dataValidation>
        <x14:dataValidation type="list" allowBlank="1" showInputMessage="1" showErrorMessage="1" xr:uid="{00000000-0002-0000-0100-000073000000}">
          <x14:formula1>
            <xm:f>CountryGroup!A2:A1000</xm:f>
          </x14:formula1>
          <xm:sqref>C117</xm:sqref>
        </x14:dataValidation>
        <x14:dataValidation type="list" allowBlank="1" showInputMessage="1" showErrorMessage="1" xr:uid="{00000000-0002-0000-0100-000074000000}">
          <x14:formula1>
            <xm:f>CountryGroup!A2:A1000</xm:f>
          </x14:formula1>
          <xm:sqref>C118</xm:sqref>
        </x14:dataValidation>
        <x14:dataValidation type="list" allowBlank="1" showInputMessage="1" showErrorMessage="1" xr:uid="{00000000-0002-0000-0100-000075000000}">
          <x14:formula1>
            <xm:f>CountryGroup!A2:A1000</xm:f>
          </x14:formula1>
          <xm:sqref>C119</xm:sqref>
        </x14:dataValidation>
        <x14:dataValidation type="list" allowBlank="1" showInputMessage="1" showErrorMessage="1" xr:uid="{00000000-0002-0000-0100-000076000000}">
          <x14:formula1>
            <xm:f>CountryGroup!A2:A1000</xm:f>
          </x14:formula1>
          <xm:sqref>C120</xm:sqref>
        </x14:dataValidation>
        <x14:dataValidation type="list" allowBlank="1" showInputMessage="1" showErrorMessage="1" xr:uid="{00000000-0002-0000-0100-000077000000}">
          <x14:formula1>
            <xm:f>CountryGroup!A2:A1000</xm:f>
          </x14:formula1>
          <xm:sqref>C121</xm:sqref>
        </x14:dataValidation>
        <x14:dataValidation type="list" allowBlank="1" showInputMessage="1" showErrorMessage="1" xr:uid="{00000000-0002-0000-0100-000078000000}">
          <x14:formula1>
            <xm:f>CountryGroup!A2:A1000</xm:f>
          </x14:formula1>
          <xm:sqref>C122</xm:sqref>
        </x14:dataValidation>
        <x14:dataValidation type="list" allowBlank="1" showInputMessage="1" showErrorMessage="1" xr:uid="{00000000-0002-0000-0100-000079000000}">
          <x14:formula1>
            <xm:f>CountryGroup!A2:A1000</xm:f>
          </x14:formula1>
          <xm:sqref>C123</xm:sqref>
        </x14:dataValidation>
        <x14:dataValidation type="list" allowBlank="1" showInputMessage="1" showErrorMessage="1" xr:uid="{00000000-0002-0000-0100-00007A000000}">
          <x14:formula1>
            <xm:f>CountryGroup!A2:A1000</xm:f>
          </x14:formula1>
          <xm:sqref>C124</xm:sqref>
        </x14:dataValidation>
        <x14:dataValidation type="list" allowBlank="1" showInputMessage="1" showErrorMessage="1" xr:uid="{00000000-0002-0000-0100-00007B000000}">
          <x14:formula1>
            <xm:f>CountryGroup!A2:A1000</xm:f>
          </x14:formula1>
          <xm:sqref>C125</xm:sqref>
        </x14:dataValidation>
        <x14:dataValidation type="list" allowBlank="1" showInputMessage="1" showErrorMessage="1" xr:uid="{00000000-0002-0000-0100-00007C000000}">
          <x14:formula1>
            <xm:f>CountryGroup!A2:A1000</xm:f>
          </x14:formula1>
          <xm:sqref>C126</xm:sqref>
        </x14:dataValidation>
        <x14:dataValidation type="list" allowBlank="1" showInputMessage="1" showErrorMessage="1" xr:uid="{00000000-0002-0000-0100-00007D000000}">
          <x14:formula1>
            <xm:f>CountryGroup!A2:A1000</xm:f>
          </x14:formula1>
          <xm:sqref>C127</xm:sqref>
        </x14:dataValidation>
        <x14:dataValidation type="list" allowBlank="1" showInputMessage="1" showErrorMessage="1" xr:uid="{00000000-0002-0000-0100-00007E000000}">
          <x14:formula1>
            <xm:f>CountryGroup!A2:A1000</xm:f>
          </x14:formula1>
          <xm:sqref>C128</xm:sqref>
        </x14:dataValidation>
        <x14:dataValidation type="list" allowBlank="1" showInputMessage="1" showErrorMessage="1" xr:uid="{00000000-0002-0000-0100-00007F000000}">
          <x14:formula1>
            <xm:f>CountryGroup!A2:A1000</xm:f>
          </x14:formula1>
          <xm:sqref>C129</xm:sqref>
        </x14:dataValidation>
        <x14:dataValidation type="list" allowBlank="1" showInputMessage="1" showErrorMessage="1" xr:uid="{00000000-0002-0000-0100-000080000000}">
          <x14:formula1>
            <xm:f>CountryGroup!A2:A1000</xm:f>
          </x14:formula1>
          <xm:sqref>C130</xm:sqref>
        </x14:dataValidation>
        <x14:dataValidation type="list" allowBlank="1" showInputMessage="1" showErrorMessage="1" xr:uid="{00000000-0002-0000-0100-000081000000}">
          <x14:formula1>
            <xm:f>CountryGroup!A2:A1000</xm:f>
          </x14:formula1>
          <xm:sqref>C131</xm:sqref>
        </x14:dataValidation>
        <x14:dataValidation type="list" allowBlank="1" showInputMessage="1" showErrorMessage="1" xr:uid="{00000000-0002-0000-0100-000082000000}">
          <x14:formula1>
            <xm:f>CountryGroup!A2:A1000</xm:f>
          </x14:formula1>
          <xm:sqref>C132</xm:sqref>
        </x14:dataValidation>
        <x14:dataValidation type="list" allowBlank="1" showInputMessage="1" showErrorMessage="1" xr:uid="{00000000-0002-0000-0100-000083000000}">
          <x14:formula1>
            <xm:f>CountryGroup!A2:A1000</xm:f>
          </x14:formula1>
          <xm:sqref>C133</xm:sqref>
        </x14:dataValidation>
        <x14:dataValidation type="list" allowBlank="1" showInputMessage="1" showErrorMessage="1" xr:uid="{00000000-0002-0000-0100-000084000000}">
          <x14:formula1>
            <xm:f>CountryGroup!A2:A1000</xm:f>
          </x14:formula1>
          <xm:sqref>C134</xm:sqref>
        </x14:dataValidation>
        <x14:dataValidation type="list" allowBlank="1" showInputMessage="1" showErrorMessage="1" xr:uid="{00000000-0002-0000-0100-000085000000}">
          <x14:formula1>
            <xm:f>CountryGroup!A2:A1000</xm:f>
          </x14:formula1>
          <xm:sqref>C135</xm:sqref>
        </x14:dataValidation>
        <x14:dataValidation type="list" allowBlank="1" showInputMessage="1" showErrorMessage="1" xr:uid="{00000000-0002-0000-0100-000086000000}">
          <x14:formula1>
            <xm:f>CountryGroup!A2:A1000</xm:f>
          </x14:formula1>
          <xm:sqref>C136</xm:sqref>
        </x14:dataValidation>
        <x14:dataValidation type="list" allowBlank="1" showInputMessage="1" showErrorMessage="1" xr:uid="{00000000-0002-0000-0100-000087000000}">
          <x14:formula1>
            <xm:f>CountryGroup!A2:A1000</xm:f>
          </x14:formula1>
          <xm:sqref>C137</xm:sqref>
        </x14:dataValidation>
        <x14:dataValidation type="list" allowBlank="1" showInputMessage="1" showErrorMessage="1" xr:uid="{00000000-0002-0000-0100-000088000000}">
          <x14:formula1>
            <xm:f>CountryGroup!A2:A1000</xm:f>
          </x14:formula1>
          <xm:sqref>C138</xm:sqref>
        </x14:dataValidation>
        <x14:dataValidation type="list" allowBlank="1" showInputMessage="1" showErrorMessage="1" xr:uid="{00000000-0002-0000-0100-000089000000}">
          <x14:formula1>
            <xm:f>CountryGroup!A2:A1000</xm:f>
          </x14:formula1>
          <xm:sqref>C139</xm:sqref>
        </x14:dataValidation>
        <x14:dataValidation type="list" allowBlank="1" showInputMessage="1" showErrorMessage="1" xr:uid="{00000000-0002-0000-0100-00008A000000}">
          <x14:formula1>
            <xm:f>CountryGroup!A2:A1000</xm:f>
          </x14:formula1>
          <xm:sqref>C140</xm:sqref>
        </x14:dataValidation>
        <x14:dataValidation type="list" allowBlank="1" showInputMessage="1" showErrorMessage="1" xr:uid="{00000000-0002-0000-0100-00008B000000}">
          <x14:formula1>
            <xm:f>CountryGroup!A2:A1000</xm:f>
          </x14:formula1>
          <xm:sqref>C141</xm:sqref>
        </x14:dataValidation>
        <x14:dataValidation type="list" allowBlank="1" showInputMessage="1" showErrorMessage="1" xr:uid="{00000000-0002-0000-0100-00008C000000}">
          <x14:formula1>
            <xm:f>CountryGroup!A2:A1000</xm:f>
          </x14:formula1>
          <xm:sqref>C142</xm:sqref>
        </x14:dataValidation>
        <x14:dataValidation type="list" allowBlank="1" showInputMessage="1" showErrorMessage="1" xr:uid="{00000000-0002-0000-0100-00008D000000}">
          <x14:formula1>
            <xm:f>CountryGroup!A2:A1000</xm:f>
          </x14:formula1>
          <xm:sqref>C143</xm:sqref>
        </x14:dataValidation>
        <x14:dataValidation type="list" allowBlank="1" showInputMessage="1" showErrorMessage="1" xr:uid="{00000000-0002-0000-0100-00008E000000}">
          <x14:formula1>
            <xm:f>CountryGroup!A2:A1000</xm:f>
          </x14:formula1>
          <xm:sqref>C144</xm:sqref>
        </x14:dataValidation>
        <x14:dataValidation type="list" allowBlank="1" showInputMessage="1" showErrorMessage="1" xr:uid="{00000000-0002-0000-0100-00008F000000}">
          <x14:formula1>
            <xm:f>CountryGroup!A2:A1000</xm:f>
          </x14:formula1>
          <xm:sqref>C145</xm:sqref>
        </x14:dataValidation>
        <x14:dataValidation type="list" allowBlank="1" showInputMessage="1" showErrorMessage="1" xr:uid="{00000000-0002-0000-0100-000090000000}">
          <x14:formula1>
            <xm:f>CountryGroup!A2:A1000</xm:f>
          </x14:formula1>
          <xm:sqref>C146</xm:sqref>
        </x14:dataValidation>
        <x14:dataValidation type="list" allowBlank="1" showInputMessage="1" showErrorMessage="1" xr:uid="{00000000-0002-0000-0100-000091000000}">
          <x14:formula1>
            <xm:f>CountryGroup!A2:A1000</xm:f>
          </x14:formula1>
          <xm:sqref>C147</xm:sqref>
        </x14:dataValidation>
        <x14:dataValidation type="list" allowBlank="1" showInputMessage="1" showErrorMessage="1" xr:uid="{00000000-0002-0000-0100-000092000000}">
          <x14:formula1>
            <xm:f>CountryGroup!A2:A1000</xm:f>
          </x14:formula1>
          <xm:sqref>C148</xm:sqref>
        </x14:dataValidation>
        <x14:dataValidation type="list" allowBlank="1" showInputMessage="1" showErrorMessage="1" xr:uid="{00000000-0002-0000-0100-000093000000}">
          <x14:formula1>
            <xm:f>CountryGroup!A2:A1000</xm:f>
          </x14:formula1>
          <xm:sqref>C149</xm:sqref>
        </x14:dataValidation>
        <x14:dataValidation type="list" allowBlank="1" showInputMessage="1" showErrorMessage="1" xr:uid="{00000000-0002-0000-0100-000094000000}">
          <x14:formula1>
            <xm:f>CountryGroup!A2:A1000</xm:f>
          </x14:formula1>
          <xm:sqref>C150</xm:sqref>
        </x14:dataValidation>
        <x14:dataValidation type="list" allowBlank="1" showInputMessage="1" showErrorMessage="1" xr:uid="{00000000-0002-0000-0100-000095000000}">
          <x14:formula1>
            <xm:f>CountryGroup!A2:A1000</xm:f>
          </x14:formula1>
          <xm:sqref>C151</xm:sqref>
        </x14:dataValidation>
        <x14:dataValidation type="list" allowBlank="1" showInputMessage="1" showErrorMessage="1" xr:uid="{00000000-0002-0000-0100-000096000000}">
          <x14:formula1>
            <xm:f>CountryGroup!A2:A1000</xm:f>
          </x14:formula1>
          <xm:sqref>C152</xm:sqref>
        </x14:dataValidation>
        <x14:dataValidation type="list" allowBlank="1" showInputMessage="1" showErrorMessage="1" xr:uid="{00000000-0002-0000-0100-000097000000}">
          <x14:formula1>
            <xm:f>CountryGroup!A2:A1000</xm:f>
          </x14:formula1>
          <xm:sqref>C153</xm:sqref>
        </x14:dataValidation>
        <x14:dataValidation type="list" allowBlank="1" showInputMessage="1" showErrorMessage="1" xr:uid="{00000000-0002-0000-0100-000098000000}">
          <x14:formula1>
            <xm:f>CountryGroup!A2:A1000</xm:f>
          </x14:formula1>
          <xm:sqref>C154</xm:sqref>
        </x14:dataValidation>
        <x14:dataValidation type="list" allowBlank="1" showInputMessage="1" showErrorMessage="1" xr:uid="{00000000-0002-0000-0100-000099000000}">
          <x14:formula1>
            <xm:f>CountryGroup!A2:A1000</xm:f>
          </x14:formula1>
          <xm:sqref>C155</xm:sqref>
        </x14:dataValidation>
        <x14:dataValidation type="list" allowBlank="1" showInputMessage="1" showErrorMessage="1" xr:uid="{00000000-0002-0000-0100-00009A000000}">
          <x14:formula1>
            <xm:f>CountryGroup!A2:A1000</xm:f>
          </x14:formula1>
          <xm:sqref>C156</xm:sqref>
        </x14:dataValidation>
        <x14:dataValidation type="list" allowBlank="1" showInputMessage="1" showErrorMessage="1" xr:uid="{00000000-0002-0000-0100-00009B000000}">
          <x14:formula1>
            <xm:f>CountryGroup!A2:A1000</xm:f>
          </x14:formula1>
          <xm:sqref>C157</xm:sqref>
        </x14:dataValidation>
        <x14:dataValidation type="list" allowBlank="1" showInputMessage="1" showErrorMessage="1" xr:uid="{00000000-0002-0000-0100-00009C000000}">
          <x14:formula1>
            <xm:f>CountryGroup!A2:A1000</xm:f>
          </x14:formula1>
          <xm:sqref>C158</xm:sqref>
        </x14:dataValidation>
        <x14:dataValidation type="list" allowBlank="1" showInputMessage="1" showErrorMessage="1" xr:uid="{00000000-0002-0000-0100-00009D000000}">
          <x14:formula1>
            <xm:f>CountryGroup!A2:A1000</xm:f>
          </x14:formula1>
          <xm:sqref>C159</xm:sqref>
        </x14:dataValidation>
        <x14:dataValidation type="list" allowBlank="1" showInputMessage="1" showErrorMessage="1" xr:uid="{00000000-0002-0000-0100-00009E000000}">
          <x14:formula1>
            <xm:f>CountryGroup!A2:A1000</xm:f>
          </x14:formula1>
          <xm:sqref>C160</xm:sqref>
        </x14:dataValidation>
        <x14:dataValidation type="list" allowBlank="1" showInputMessage="1" showErrorMessage="1" xr:uid="{00000000-0002-0000-0100-00009F000000}">
          <x14:formula1>
            <xm:f>CountryGroup!A2:A1000</xm:f>
          </x14:formula1>
          <xm:sqref>C161</xm:sqref>
        </x14:dataValidation>
        <x14:dataValidation type="list" allowBlank="1" showInputMessage="1" showErrorMessage="1" xr:uid="{00000000-0002-0000-0100-0000A0000000}">
          <x14:formula1>
            <xm:f>CountryGroup!A2:A1000</xm:f>
          </x14:formula1>
          <xm:sqref>C162</xm:sqref>
        </x14:dataValidation>
        <x14:dataValidation type="list" allowBlank="1" showInputMessage="1" showErrorMessage="1" xr:uid="{00000000-0002-0000-0100-0000A1000000}">
          <x14:formula1>
            <xm:f>CountryGroup!A2:A1000</xm:f>
          </x14:formula1>
          <xm:sqref>C163</xm:sqref>
        </x14:dataValidation>
        <x14:dataValidation type="list" allowBlank="1" showInputMessage="1" showErrorMessage="1" xr:uid="{00000000-0002-0000-0100-0000A2000000}">
          <x14:formula1>
            <xm:f>CountryGroup!A2:A1000</xm:f>
          </x14:formula1>
          <xm:sqref>C164</xm:sqref>
        </x14:dataValidation>
        <x14:dataValidation type="list" allowBlank="1" showInputMessage="1" showErrorMessage="1" xr:uid="{00000000-0002-0000-0100-0000A3000000}">
          <x14:formula1>
            <xm:f>CountryGroup!A2:A1000</xm:f>
          </x14:formula1>
          <xm:sqref>C165</xm:sqref>
        </x14:dataValidation>
        <x14:dataValidation type="list" allowBlank="1" showInputMessage="1" showErrorMessage="1" xr:uid="{00000000-0002-0000-0100-0000A4000000}">
          <x14:formula1>
            <xm:f>CountryGroup!A2:A1000</xm:f>
          </x14:formula1>
          <xm:sqref>C166</xm:sqref>
        </x14:dataValidation>
        <x14:dataValidation type="list" allowBlank="1" showInputMessage="1" showErrorMessage="1" xr:uid="{00000000-0002-0000-0100-0000A5000000}">
          <x14:formula1>
            <xm:f>CountryGroup!A2:A1000</xm:f>
          </x14:formula1>
          <xm:sqref>C167</xm:sqref>
        </x14:dataValidation>
        <x14:dataValidation type="list" allowBlank="1" showInputMessage="1" showErrorMessage="1" xr:uid="{00000000-0002-0000-0100-0000A6000000}">
          <x14:formula1>
            <xm:f>CountryGroup!A2:A1000</xm:f>
          </x14:formula1>
          <xm:sqref>C168</xm:sqref>
        </x14:dataValidation>
        <x14:dataValidation type="list" allowBlank="1" showInputMessage="1" showErrorMessage="1" xr:uid="{00000000-0002-0000-0100-0000A7000000}">
          <x14:formula1>
            <xm:f>CountryGroup!A2:A1000</xm:f>
          </x14:formula1>
          <xm:sqref>C169</xm:sqref>
        </x14:dataValidation>
        <x14:dataValidation type="list" allowBlank="1" showInputMessage="1" showErrorMessage="1" xr:uid="{00000000-0002-0000-0100-0000A8000000}">
          <x14:formula1>
            <xm:f>CountryGroup!A2:A1000</xm:f>
          </x14:formula1>
          <xm:sqref>C170</xm:sqref>
        </x14:dataValidation>
        <x14:dataValidation type="list" allowBlank="1" showInputMessage="1" showErrorMessage="1" xr:uid="{00000000-0002-0000-0100-0000A9000000}">
          <x14:formula1>
            <xm:f>CountryGroup!A2:A1000</xm:f>
          </x14:formula1>
          <xm:sqref>C171</xm:sqref>
        </x14:dataValidation>
        <x14:dataValidation type="list" allowBlank="1" showInputMessage="1" showErrorMessage="1" xr:uid="{00000000-0002-0000-0100-0000AA000000}">
          <x14:formula1>
            <xm:f>CountryGroup!A2:A1000</xm:f>
          </x14:formula1>
          <xm:sqref>C172</xm:sqref>
        </x14:dataValidation>
        <x14:dataValidation type="list" allowBlank="1" showInputMessage="1" showErrorMessage="1" xr:uid="{00000000-0002-0000-0100-0000AB000000}">
          <x14:formula1>
            <xm:f>CountryGroup!A2:A1000</xm:f>
          </x14:formula1>
          <xm:sqref>C173</xm:sqref>
        </x14:dataValidation>
        <x14:dataValidation type="list" allowBlank="1" showInputMessage="1" showErrorMessage="1" xr:uid="{00000000-0002-0000-0100-0000AC000000}">
          <x14:formula1>
            <xm:f>CountryGroup!A2:A1000</xm:f>
          </x14:formula1>
          <xm:sqref>C174</xm:sqref>
        </x14:dataValidation>
        <x14:dataValidation type="list" allowBlank="1" showInputMessage="1" showErrorMessage="1" xr:uid="{00000000-0002-0000-0100-0000AD000000}">
          <x14:formula1>
            <xm:f>CountryGroup!A2:A1000</xm:f>
          </x14:formula1>
          <xm:sqref>C175</xm:sqref>
        </x14:dataValidation>
        <x14:dataValidation type="list" allowBlank="1" showInputMessage="1" showErrorMessage="1" xr:uid="{00000000-0002-0000-0100-0000AE000000}">
          <x14:formula1>
            <xm:f>CountryGroup!A2:A1000</xm:f>
          </x14:formula1>
          <xm:sqref>C176</xm:sqref>
        </x14:dataValidation>
        <x14:dataValidation type="list" allowBlank="1" showInputMessage="1" showErrorMessage="1" xr:uid="{00000000-0002-0000-0100-0000AF000000}">
          <x14:formula1>
            <xm:f>CountryGroup!A2:A1000</xm:f>
          </x14:formula1>
          <xm:sqref>C177</xm:sqref>
        </x14:dataValidation>
        <x14:dataValidation type="list" allowBlank="1" showInputMessage="1" showErrorMessage="1" xr:uid="{00000000-0002-0000-0100-0000B0000000}">
          <x14:formula1>
            <xm:f>CountryGroup!A2:A1000</xm:f>
          </x14:formula1>
          <xm:sqref>C178</xm:sqref>
        </x14:dataValidation>
        <x14:dataValidation type="list" allowBlank="1" showInputMessage="1" showErrorMessage="1" xr:uid="{00000000-0002-0000-0100-0000B1000000}">
          <x14:formula1>
            <xm:f>CountryGroup!A2:A1000</xm:f>
          </x14:formula1>
          <xm:sqref>C179</xm:sqref>
        </x14:dataValidation>
        <x14:dataValidation type="list" allowBlank="1" showInputMessage="1" showErrorMessage="1" xr:uid="{00000000-0002-0000-0100-0000B2000000}">
          <x14:formula1>
            <xm:f>CountryGroup!A2:A1000</xm:f>
          </x14:formula1>
          <xm:sqref>C180</xm:sqref>
        </x14:dataValidation>
        <x14:dataValidation type="list" allowBlank="1" showInputMessage="1" showErrorMessage="1" xr:uid="{00000000-0002-0000-0100-0000B3000000}">
          <x14:formula1>
            <xm:f>CountryGroup!A2:A1000</xm:f>
          </x14:formula1>
          <xm:sqref>C181</xm:sqref>
        </x14:dataValidation>
        <x14:dataValidation type="list" allowBlank="1" showInputMessage="1" showErrorMessage="1" xr:uid="{00000000-0002-0000-0100-0000B4000000}">
          <x14:formula1>
            <xm:f>CountryGroup!A2:A1000</xm:f>
          </x14:formula1>
          <xm:sqref>C182</xm:sqref>
        </x14:dataValidation>
        <x14:dataValidation type="list" allowBlank="1" showInputMessage="1" showErrorMessage="1" xr:uid="{00000000-0002-0000-0100-0000B5000000}">
          <x14:formula1>
            <xm:f>CountryGroup!A2:A1000</xm:f>
          </x14:formula1>
          <xm:sqref>C183</xm:sqref>
        </x14:dataValidation>
        <x14:dataValidation type="list" allowBlank="1" showInputMessage="1" showErrorMessage="1" xr:uid="{00000000-0002-0000-0100-0000B6000000}">
          <x14:formula1>
            <xm:f>CountryGroup!A2:A1000</xm:f>
          </x14:formula1>
          <xm:sqref>C184</xm:sqref>
        </x14:dataValidation>
        <x14:dataValidation type="list" allowBlank="1" showInputMessage="1" showErrorMessage="1" xr:uid="{00000000-0002-0000-0100-0000B7000000}">
          <x14:formula1>
            <xm:f>CountryGroup!A2:A1000</xm:f>
          </x14:formula1>
          <xm:sqref>C185</xm:sqref>
        </x14:dataValidation>
        <x14:dataValidation type="list" allowBlank="1" showInputMessage="1" showErrorMessage="1" xr:uid="{00000000-0002-0000-0100-0000B8000000}">
          <x14:formula1>
            <xm:f>CountryGroup!A2:A1000</xm:f>
          </x14:formula1>
          <xm:sqref>C186</xm:sqref>
        </x14:dataValidation>
        <x14:dataValidation type="list" allowBlank="1" showInputMessage="1" showErrorMessage="1" xr:uid="{00000000-0002-0000-0100-0000B9000000}">
          <x14:formula1>
            <xm:f>CountryGroup!A2:A1000</xm:f>
          </x14:formula1>
          <xm:sqref>C187</xm:sqref>
        </x14:dataValidation>
        <x14:dataValidation type="list" allowBlank="1" showInputMessage="1" showErrorMessage="1" xr:uid="{00000000-0002-0000-0100-0000BA000000}">
          <x14:formula1>
            <xm:f>CountryGroup!A2:A1000</xm:f>
          </x14:formula1>
          <xm:sqref>C188</xm:sqref>
        </x14:dataValidation>
        <x14:dataValidation type="list" allowBlank="1" showInputMessage="1" showErrorMessage="1" xr:uid="{00000000-0002-0000-0100-0000BB000000}">
          <x14:formula1>
            <xm:f>CountryGroup!A2:A1000</xm:f>
          </x14:formula1>
          <xm:sqref>C189</xm:sqref>
        </x14:dataValidation>
        <x14:dataValidation type="list" allowBlank="1" showInputMessage="1" showErrorMessage="1" xr:uid="{00000000-0002-0000-0100-0000BC000000}">
          <x14:formula1>
            <xm:f>CountryGroup!A2:A1000</xm:f>
          </x14:formula1>
          <xm:sqref>C190</xm:sqref>
        </x14:dataValidation>
        <x14:dataValidation type="list" allowBlank="1" showInputMessage="1" showErrorMessage="1" xr:uid="{00000000-0002-0000-0100-0000BD000000}">
          <x14:formula1>
            <xm:f>CountryGroup!A2:A1000</xm:f>
          </x14:formula1>
          <xm:sqref>C191</xm:sqref>
        </x14:dataValidation>
        <x14:dataValidation type="list" allowBlank="1" showInputMessage="1" showErrorMessage="1" xr:uid="{00000000-0002-0000-0100-0000BE000000}">
          <x14:formula1>
            <xm:f>CountryGroup!A2:A1000</xm:f>
          </x14:formula1>
          <xm:sqref>C192</xm:sqref>
        </x14:dataValidation>
        <x14:dataValidation type="list" allowBlank="1" showInputMessage="1" showErrorMessage="1" xr:uid="{00000000-0002-0000-0100-0000BF000000}">
          <x14:formula1>
            <xm:f>CountryGroup!A2:A1000</xm:f>
          </x14:formula1>
          <xm:sqref>C193</xm:sqref>
        </x14:dataValidation>
        <x14:dataValidation type="list" allowBlank="1" showInputMessage="1" showErrorMessage="1" xr:uid="{00000000-0002-0000-0100-0000C0000000}">
          <x14:formula1>
            <xm:f>CountryGroup!A2:A1000</xm:f>
          </x14:formula1>
          <xm:sqref>C194</xm:sqref>
        </x14:dataValidation>
        <x14:dataValidation type="list" allowBlank="1" showInputMessage="1" showErrorMessage="1" xr:uid="{00000000-0002-0000-0100-0000C1000000}">
          <x14:formula1>
            <xm:f>CountryGroup!A2:A1000</xm:f>
          </x14:formula1>
          <xm:sqref>C195</xm:sqref>
        </x14:dataValidation>
        <x14:dataValidation type="list" allowBlank="1" showInputMessage="1" showErrorMessage="1" xr:uid="{00000000-0002-0000-0100-0000C2000000}">
          <x14:formula1>
            <xm:f>CountryGroup!A2:A1000</xm:f>
          </x14:formula1>
          <xm:sqref>C196</xm:sqref>
        </x14:dataValidation>
        <x14:dataValidation type="list" allowBlank="1" showInputMessage="1" showErrorMessage="1" xr:uid="{00000000-0002-0000-0100-0000C3000000}">
          <x14:formula1>
            <xm:f>CountryGroup!A2:A1000</xm:f>
          </x14:formula1>
          <xm:sqref>C197</xm:sqref>
        </x14:dataValidation>
        <x14:dataValidation type="list" allowBlank="1" showInputMessage="1" showErrorMessage="1" xr:uid="{00000000-0002-0000-0100-0000C4000000}">
          <x14:formula1>
            <xm:f>CountryGroup!A2:A1000</xm:f>
          </x14:formula1>
          <xm:sqref>C198</xm:sqref>
        </x14:dataValidation>
        <x14:dataValidation type="list" allowBlank="1" showInputMessage="1" showErrorMessage="1" xr:uid="{00000000-0002-0000-0100-0000C5000000}">
          <x14:formula1>
            <xm:f>CountryGroup!A2:A1000</xm:f>
          </x14:formula1>
          <xm:sqref>C199</xm:sqref>
        </x14:dataValidation>
        <x14:dataValidation type="list" allowBlank="1" showInputMessage="1" showErrorMessage="1" xr:uid="{00000000-0002-0000-0100-0000C6000000}">
          <x14:formula1>
            <xm:f>CountryGroup!A2:A1000</xm:f>
          </x14:formula1>
          <xm:sqref>C200</xm:sqref>
        </x14:dataValidation>
        <x14:dataValidation type="list" allowBlank="1" showInputMessage="1" showErrorMessage="1" xr:uid="{00000000-0002-0000-0100-0000C7000000}">
          <x14:formula1>
            <xm:f>CountryGroup!A2:A1000</xm:f>
          </x14:formula1>
          <xm:sqref>C201</xm:sqref>
        </x14:dataValidation>
        <x14:dataValidation type="list" allowBlank="1" showInputMessage="1" showErrorMessage="1" xr:uid="{00000000-0002-0000-0100-0000C8000000}">
          <x14:formula1>
            <xm:f>CountryGroup!A2:A1000</xm:f>
          </x14:formula1>
          <xm:sqref>C202</xm:sqref>
        </x14:dataValidation>
        <x14:dataValidation type="list" allowBlank="1" showInputMessage="1" showErrorMessage="1" xr:uid="{00000000-0002-0000-0100-0000C9000000}">
          <x14:formula1>
            <xm:f>CountryGroup!A2:A1000</xm:f>
          </x14:formula1>
          <xm:sqref>C203</xm:sqref>
        </x14:dataValidation>
        <x14:dataValidation type="list" allowBlank="1" showInputMessage="1" showErrorMessage="1" xr:uid="{00000000-0002-0000-0100-0000CA000000}">
          <x14:formula1>
            <xm:f>CountryGroup!A2:A1000</xm:f>
          </x14:formula1>
          <xm:sqref>C204</xm:sqref>
        </x14:dataValidation>
        <x14:dataValidation type="list" allowBlank="1" showInputMessage="1" showErrorMessage="1" xr:uid="{00000000-0002-0000-0100-0000CB000000}">
          <x14:formula1>
            <xm:f>CountryGroup!A2:A1000</xm:f>
          </x14:formula1>
          <xm:sqref>C205</xm:sqref>
        </x14:dataValidation>
        <x14:dataValidation type="list" allowBlank="1" showInputMessage="1" showErrorMessage="1" xr:uid="{00000000-0002-0000-0100-0000CC000000}">
          <x14:formula1>
            <xm:f>CountryGroup!A2:A1000</xm:f>
          </x14:formula1>
          <xm:sqref>C206</xm:sqref>
        </x14:dataValidation>
        <x14:dataValidation type="list" allowBlank="1" showInputMessage="1" showErrorMessage="1" xr:uid="{00000000-0002-0000-0100-0000CD000000}">
          <x14:formula1>
            <xm:f>CountryGroup!A2:A1000</xm:f>
          </x14:formula1>
          <xm:sqref>C207</xm:sqref>
        </x14:dataValidation>
        <x14:dataValidation type="list" allowBlank="1" showInputMessage="1" showErrorMessage="1" xr:uid="{00000000-0002-0000-0100-0000CE000000}">
          <x14:formula1>
            <xm:f>CountryGroup!A2:A1000</xm:f>
          </x14:formula1>
          <xm:sqref>C208</xm:sqref>
        </x14:dataValidation>
        <x14:dataValidation type="list" allowBlank="1" showInputMessage="1" showErrorMessage="1" xr:uid="{00000000-0002-0000-0100-0000CF000000}">
          <x14:formula1>
            <xm:f>CountryGroup!A2:A1000</xm:f>
          </x14:formula1>
          <xm:sqref>C209</xm:sqref>
        </x14:dataValidation>
        <x14:dataValidation type="list" allowBlank="1" showInputMessage="1" showErrorMessage="1" xr:uid="{00000000-0002-0000-0100-0000D0000000}">
          <x14:formula1>
            <xm:f>CountryGroup!A2:A1000</xm:f>
          </x14:formula1>
          <xm:sqref>C210</xm:sqref>
        </x14:dataValidation>
        <x14:dataValidation type="list" allowBlank="1" showInputMessage="1" showErrorMessage="1" xr:uid="{00000000-0002-0000-0100-0000D1000000}">
          <x14:formula1>
            <xm:f>CountryGroup!A2:A1000</xm:f>
          </x14:formula1>
          <xm:sqref>C211</xm:sqref>
        </x14:dataValidation>
        <x14:dataValidation type="list" allowBlank="1" showInputMessage="1" showErrorMessage="1" xr:uid="{00000000-0002-0000-0100-0000D2000000}">
          <x14:formula1>
            <xm:f>CountryGroup!A2:A1000</xm:f>
          </x14:formula1>
          <xm:sqref>C212</xm:sqref>
        </x14:dataValidation>
        <x14:dataValidation type="list" allowBlank="1" showInputMessage="1" showErrorMessage="1" xr:uid="{00000000-0002-0000-0100-0000D3000000}">
          <x14:formula1>
            <xm:f>CountryGroup!A2:A1000</xm:f>
          </x14:formula1>
          <xm:sqref>C213</xm:sqref>
        </x14:dataValidation>
        <x14:dataValidation type="list" allowBlank="1" showInputMessage="1" showErrorMessage="1" xr:uid="{00000000-0002-0000-0100-0000D4000000}">
          <x14:formula1>
            <xm:f>CountryGroup!A2:A1000</xm:f>
          </x14:formula1>
          <xm:sqref>C214</xm:sqref>
        </x14:dataValidation>
        <x14:dataValidation type="list" allowBlank="1" showInputMessage="1" showErrorMessage="1" xr:uid="{00000000-0002-0000-0100-0000D5000000}">
          <x14:formula1>
            <xm:f>CountryGroup!A2:A1000</xm:f>
          </x14:formula1>
          <xm:sqref>C215</xm:sqref>
        </x14:dataValidation>
        <x14:dataValidation type="list" allowBlank="1" showInputMessage="1" showErrorMessage="1" xr:uid="{00000000-0002-0000-0100-0000D6000000}">
          <x14:formula1>
            <xm:f>CountryGroup!A2:A1000</xm:f>
          </x14:formula1>
          <xm:sqref>C216</xm:sqref>
        </x14:dataValidation>
        <x14:dataValidation type="list" allowBlank="1" showInputMessage="1" showErrorMessage="1" xr:uid="{00000000-0002-0000-0100-0000D7000000}">
          <x14:formula1>
            <xm:f>CountryGroup!A2:A1000</xm:f>
          </x14:formula1>
          <xm:sqref>C217</xm:sqref>
        </x14:dataValidation>
        <x14:dataValidation type="list" allowBlank="1" showInputMessage="1" showErrorMessage="1" xr:uid="{00000000-0002-0000-0100-0000D8000000}">
          <x14:formula1>
            <xm:f>CountryGroup!A2:A1000</xm:f>
          </x14:formula1>
          <xm:sqref>C218</xm:sqref>
        </x14:dataValidation>
        <x14:dataValidation type="list" allowBlank="1" showInputMessage="1" showErrorMessage="1" xr:uid="{00000000-0002-0000-0100-0000D9000000}">
          <x14:formula1>
            <xm:f>CountryGroup!A2:A1000</xm:f>
          </x14:formula1>
          <xm:sqref>C219</xm:sqref>
        </x14:dataValidation>
        <x14:dataValidation type="list" allowBlank="1" showInputMessage="1" showErrorMessage="1" xr:uid="{00000000-0002-0000-0100-0000DA000000}">
          <x14:formula1>
            <xm:f>CountryGroup!A2:A1000</xm:f>
          </x14:formula1>
          <xm:sqref>C220</xm:sqref>
        </x14:dataValidation>
        <x14:dataValidation type="list" allowBlank="1" showInputMessage="1" showErrorMessage="1" xr:uid="{00000000-0002-0000-0100-0000DB000000}">
          <x14:formula1>
            <xm:f>CountryGroup!A2:A1000</xm:f>
          </x14:formula1>
          <xm:sqref>C221</xm:sqref>
        </x14:dataValidation>
        <x14:dataValidation type="list" allowBlank="1" showInputMessage="1" showErrorMessage="1" xr:uid="{00000000-0002-0000-0100-0000DC000000}">
          <x14:formula1>
            <xm:f>CountryGroup!A2:A1000</xm:f>
          </x14:formula1>
          <xm:sqref>C222</xm:sqref>
        </x14:dataValidation>
        <x14:dataValidation type="list" allowBlank="1" showInputMessage="1" showErrorMessage="1" xr:uid="{00000000-0002-0000-0100-0000DD000000}">
          <x14:formula1>
            <xm:f>CountryGroup!A2:A1000</xm:f>
          </x14:formula1>
          <xm:sqref>C223</xm:sqref>
        </x14:dataValidation>
        <x14:dataValidation type="list" allowBlank="1" showInputMessage="1" showErrorMessage="1" xr:uid="{00000000-0002-0000-0100-0000DE000000}">
          <x14:formula1>
            <xm:f>CountryGroup!A2:A1000</xm:f>
          </x14:formula1>
          <xm:sqref>C224</xm:sqref>
        </x14:dataValidation>
        <x14:dataValidation type="list" allowBlank="1" showInputMessage="1" showErrorMessage="1" xr:uid="{00000000-0002-0000-0100-0000DF000000}">
          <x14:formula1>
            <xm:f>CountryGroup!A2:A1000</xm:f>
          </x14:formula1>
          <xm:sqref>C225</xm:sqref>
        </x14:dataValidation>
        <x14:dataValidation type="list" allowBlank="1" showInputMessage="1" showErrorMessage="1" xr:uid="{00000000-0002-0000-0100-0000E0000000}">
          <x14:formula1>
            <xm:f>CountryGroup!A2:A1000</xm:f>
          </x14:formula1>
          <xm:sqref>C226</xm:sqref>
        </x14:dataValidation>
        <x14:dataValidation type="list" allowBlank="1" showInputMessage="1" showErrorMessage="1" xr:uid="{00000000-0002-0000-0100-0000E1000000}">
          <x14:formula1>
            <xm:f>CountryGroup!A2:A1000</xm:f>
          </x14:formula1>
          <xm:sqref>C227</xm:sqref>
        </x14:dataValidation>
        <x14:dataValidation type="list" allowBlank="1" showInputMessage="1" showErrorMessage="1" xr:uid="{00000000-0002-0000-0100-0000E2000000}">
          <x14:formula1>
            <xm:f>CountryGroup!A2:A1000</xm:f>
          </x14:formula1>
          <xm:sqref>C228</xm:sqref>
        </x14:dataValidation>
        <x14:dataValidation type="list" allowBlank="1" showInputMessage="1" showErrorMessage="1" xr:uid="{00000000-0002-0000-0100-0000E3000000}">
          <x14:formula1>
            <xm:f>CountryGroup!A2:A1000</xm:f>
          </x14:formula1>
          <xm:sqref>C229</xm:sqref>
        </x14:dataValidation>
        <x14:dataValidation type="list" allowBlank="1" showInputMessage="1" showErrorMessage="1" xr:uid="{00000000-0002-0000-0100-0000E4000000}">
          <x14:formula1>
            <xm:f>CountryGroup!A2:A1000</xm:f>
          </x14:formula1>
          <xm:sqref>C230</xm:sqref>
        </x14:dataValidation>
        <x14:dataValidation type="list" allowBlank="1" showInputMessage="1" showErrorMessage="1" xr:uid="{00000000-0002-0000-0100-0000E5000000}">
          <x14:formula1>
            <xm:f>CountryGroup!A2:A1000</xm:f>
          </x14:formula1>
          <xm:sqref>C231</xm:sqref>
        </x14:dataValidation>
        <x14:dataValidation type="list" allowBlank="1" showInputMessage="1" showErrorMessage="1" xr:uid="{00000000-0002-0000-0100-0000E6000000}">
          <x14:formula1>
            <xm:f>CountryGroup!A2:A1000</xm:f>
          </x14:formula1>
          <xm:sqref>C232</xm:sqref>
        </x14:dataValidation>
        <x14:dataValidation type="list" allowBlank="1" showInputMessage="1" showErrorMessage="1" xr:uid="{00000000-0002-0000-0100-0000E7000000}">
          <x14:formula1>
            <xm:f>CountryGroup!A2:A1000</xm:f>
          </x14:formula1>
          <xm:sqref>C233</xm:sqref>
        </x14:dataValidation>
        <x14:dataValidation type="list" allowBlank="1" showInputMessage="1" showErrorMessage="1" xr:uid="{00000000-0002-0000-0100-0000E8000000}">
          <x14:formula1>
            <xm:f>CountryGroup!A2:A1000</xm:f>
          </x14:formula1>
          <xm:sqref>C234</xm:sqref>
        </x14:dataValidation>
        <x14:dataValidation type="list" allowBlank="1" showInputMessage="1" showErrorMessage="1" xr:uid="{00000000-0002-0000-0100-0000E9000000}">
          <x14:formula1>
            <xm:f>CountryGroup!A2:A1000</xm:f>
          </x14:formula1>
          <xm:sqref>C235</xm:sqref>
        </x14:dataValidation>
        <x14:dataValidation type="list" allowBlank="1" showInputMessage="1" showErrorMessage="1" xr:uid="{00000000-0002-0000-0100-0000EA000000}">
          <x14:formula1>
            <xm:f>CountryGroup!A2:A1000</xm:f>
          </x14:formula1>
          <xm:sqref>C236</xm:sqref>
        </x14:dataValidation>
        <x14:dataValidation type="list" allowBlank="1" showInputMessage="1" showErrorMessage="1" xr:uid="{00000000-0002-0000-0100-0000EB000000}">
          <x14:formula1>
            <xm:f>CountryGroup!A2:A1000</xm:f>
          </x14:formula1>
          <xm:sqref>C237</xm:sqref>
        </x14:dataValidation>
        <x14:dataValidation type="list" allowBlank="1" showInputMessage="1" showErrorMessage="1" xr:uid="{00000000-0002-0000-0100-0000EC000000}">
          <x14:formula1>
            <xm:f>CountryGroup!A2:A1000</xm:f>
          </x14:formula1>
          <xm:sqref>C238</xm:sqref>
        </x14:dataValidation>
        <x14:dataValidation type="list" allowBlank="1" showInputMessage="1" showErrorMessage="1" xr:uid="{00000000-0002-0000-0100-0000ED000000}">
          <x14:formula1>
            <xm:f>CountryGroup!A2:A1000</xm:f>
          </x14:formula1>
          <xm:sqref>C239</xm:sqref>
        </x14:dataValidation>
        <x14:dataValidation type="list" allowBlank="1" showInputMessage="1" showErrorMessage="1" xr:uid="{00000000-0002-0000-0100-0000EE000000}">
          <x14:formula1>
            <xm:f>CountryGroup!A2:A1000</xm:f>
          </x14:formula1>
          <xm:sqref>C240</xm:sqref>
        </x14:dataValidation>
        <x14:dataValidation type="list" allowBlank="1" showInputMessage="1" showErrorMessage="1" xr:uid="{00000000-0002-0000-0100-0000EF000000}">
          <x14:formula1>
            <xm:f>CountryGroup!A2:A1000</xm:f>
          </x14:formula1>
          <xm:sqref>C241</xm:sqref>
        </x14:dataValidation>
        <x14:dataValidation type="list" allowBlank="1" showInputMessage="1" showErrorMessage="1" xr:uid="{00000000-0002-0000-0100-0000F0000000}">
          <x14:formula1>
            <xm:f>CountryGroup!A2:A1000</xm:f>
          </x14:formula1>
          <xm:sqref>C242</xm:sqref>
        </x14:dataValidation>
        <x14:dataValidation type="list" allowBlank="1" showInputMessage="1" showErrorMessage="1" xr:uid="{00000000-0002-0000-0100-0000F1000000}">
          <x14:formula1>
            <xm:f>CountryGroup!A2:A1000</xm:f>
          </x14:formula1>
          <xm:sqref>C243</xm:sqref>
        </x14:dataValidation>
        <x14:dataValidation type="list" allowBlank="1" showInputMessage="1" showErrorMessage="1" xr:uid="{00000000-0002-0000-0100-0000F2000000}">
          <x14:formula1>
            <xm:f>CountryGroup!A2:A1000</xm:f>
          </x14:formula1>
          <xm:sqref>C244</xm:sqref>
        </x14:dataValidation>
        <x14:dataValidation type="list" allowBlank="1" showInputMessage="1" showErrorMessage="1" xr:uid="{00000000-0002-0000-0100-0000F3000000}">
          <x14:formula1>
            <xm:f>CountryGroup!A2:A1000</xm:f>
          </x14:formula1>
          <xm:sqref>C245</xm:sqref>
        </x14:dataValidation>
        <x14:dataValidation type="list" allowBlank="1" showInputMessage="1" showErrorMessage="1" xr:uid="{00000000-0002-0000-0100-0000F4000000}">
          <x14:formula1>
            <xm:f>CountryGroup!A2:A1000</xm:f>
          </x14:formula1>
          <xm:sqref>C246</xm:sqref>
        </x14:dataValidation>
        <x14:dataValidation type="list" allowBlank="1" showInputMessage="1" showErrorMessage="1" xr:uid="{00000000-0002-0000-0100-0000F5000000}">
          <x14:formula1>
            <xm:f>CountryGroup!A2:A1000</xm:f>
          </x14:formula1>
          <xm:sqref>C247</xm:sqref>
        </x14:dataValidation>
        <x14:dataValidation type="list" allowBlank="1" showInputMessage="1" showErrorMessage="1" xr:uid="{00000000-0002-0000-0100-0000F6000000}">
          <x14:formula1>
            <xm:f>CountryGroup!A2:A1000</xm:f>
          </x14:formula1>
          <xm:sqref>C248</xm:sqref>
        </x14:dataValidation>
        <x14:dataValidation type="list" allowBlank="1" showInputMessage="1" showErrorMessage="1" xr:uid="{00000000-0002-0000-0100-0000F7000000}">
          <x14:formula1>
            <xm:f>CountryGroup!A2:A1000</xm:f>
          </x14:formula1>
          <xm:sqref>C249</xm:sqref>
        </x14:dataValidation>
        <x14:dataValidation type="list" allowBlank="1" showInputMessage="1" showErrorMessage="1" xr:uid="{00000000-0002-0000-0100-0000F8000000}">
          <x14:formula1>
            <xm:f>CountryGroup!A2:A1000</xm:f>
          </x14:formula1>
          <xm:sqref>C250</xm:sqref>
        </x14:dataValidation>
        <x14:dataValidation type="list" allowBlank="1" showInputMessage="1" showErrorMessage="1" xr:uid="{00000000-0002-0000-0100-0000F9000000}">
          <x14:formula1>
            <xm:f>CountryGroup!A2:A1000</xm:f>
          </x14:formula1>
          <xm:sqref>C251</xm:sqref>
        </x14:dataValidation>
        <x14:dataValidation type="list" allowBlank="1" showInputMessage="1" showErrorMessage="1" xr:uid="{00000000-0002-0000-0100-0000FA000000}">
          <x14:formula1>
            <xm:f>CountryGroup!A2:A1000</xm:f>
          </x14:formula1>
          <xm:sqref>C252</xm:sqref>
        </x14:dataValidation>
        <x14:dataValidation type="list" allowBlank="1" showInputMessage="1" showErrorMessage="1" xr:uid="{00000000-0002-0000-0100-0000FB000000}">
          <x14:formula1>
            <xm:f>CountryGroup!A2:A1000</xm:f>
          </x14:formula1>
          <xm:sqref>C253</xm:sqref>
        </x14:dataValidation>
        <x14:dataValidation type="list" allowBlank="1" showInputMessage="1" showErrorMessage="1" xr:uid="{00000000-0002-0000-0100-0000FC000000}">
          <x14:formula1>
            <xm:f>CountryGroup!A2:A1000</xm:f>
          </x14:formula1>
          <xm:sqref>C254</xm:sqref>
        </x14:dataValidation>
        <x14:dataValidation type="list" allowBlank="1" showInputMessage="1" showErrorMessage="1" xr:uid="{00000000-0002-0000-0100-0000FD000000}">
          <x14:formula1>
            <xm:f>CountryGroup!A2:A1000</xm:f>
          </x14:formula1>
          <xm:sqref>C255</xm:sqref>
        </x14:dataValidation>
        <x14:dataValidation type="list" allowBlank="1" showInputMessage="1" showErrorMessage="1" xr:uid="{00000000-0002-0000-0100-0000FE000000}">
          <x14:formula1>
            <xm:f>CountryGroup!A2:A1000</xm:f>
          </x14:formula1>
          <xm:sqref>C256</xm:sqref>
        </x14:dataValidation>
        <x14:dataValidation type="list" allowBlank="1" showInputMessage="1" showErrorMessage="1" xr:uid="{00000000-0002-0000-0100-0000FF000000}">
          <x14:formula1>
            <xm:f>CountryGroup!A2:A1000</xm:f>
          </x14:formula1>
          <xm:sqref>C257</xm:sqref>
        </x14:dataValidation>
        <x14:dataValidation type="list" allowBlank="1" showInputMessage="1" showErrorMessage="1" xr:uid="{00000000-0002-0000-0100-000000010000}">
          <x14:formula1>
            <xm:f>CountryGroup!A2:A1000</xm:f>
          </x14:formula1>
          <xm:sqref>C258</xm:sqref>
        </x14:dataValidation>
        <x14:dataValidation type="list" allowBlank="1" showInputMessage="1" showErrorMessage="1" xr:uid="{00000000-0002-0000-0100-000001010000}">
          <x14:formula1>
            <xm:f>CountryGroup!A2:A1000</xm:f>
          </x14:formula1>
          <xm:sqref>C259</xm:sqref>
        </x14:dataValidation>
        <x14:dataValidation type="list" allowBlank="1" showInputMessage="1" showErrorMessage="1" xr:uid="{00000000-0002-0000-0100-000002010000}">
          <x14:formula1>
            <xm:f>CountryGroup!A2:A1000</xm:f>
          </x14:formula1>
          <xm:sqref>C260</xm:sqref>
        </x14:dataValidation>
        <x14:dataValidation type="list" allowBlank="1" showInputMessage="1" showErrorMessage="1" xr:uid="{00000000-0002-0000-0100-000003010000}">
          <x14:formula1>
            <xm:f>CountryGroup!A2:A1000</xm:f>
          </x14:formula1>
          <xm:sqref>C261</xm:sqref>
        </x14:dataValidation>
        <x14:dataValidation type="list" allowBlank="1" showInputMessage="1" showErrorMessage="1" xr:uid="{00000000-0002-0000-0100-000004010000}">
          <x14:formula1>
            <xm:f>CountryGroup!A2:A1000</xm:f>
          </x14:formula1>
          <xm:sqref>C262</xm:sqref>
        </x14:dataValidation>
        <x14:dataValidation type="list" allowBlank="1" showInputMessage="1" showErrorMessage="1" xr:uid="{00000000-0002-0000-0100-000005010000}">
          <x14:formula1>
            <xm:f>CountryGroup!A2:A1000</xm:f>
          </x14:formula1>
          <xm:sqref>C263</xm:sqref>
        </x14:dataValidation>
        <x14:dataValidation type="list" allowBlank="1" showInputMessage="1" showErrorMessage="1" xr:uid="{00000000-0002-0000-0100-000006010000}">
          <x14:formula1>
            <xm:f>CountryGroup!A2:A1000</xm:f>
          </x14:formula1>
          <xm:sqref>C264</xm:sqref>
        </x14:dataValidation>
        <x14:dataValidation type="list" allowBlank="1" showInputMessage="1" showErrorMessage="1" xr:uid="{00000000-0002-0000-0100-000007010000}">
          <x14:formula1>
            <xm:f>CountryGroup!A2:A1000</xm:f>
          </x14:formula1>
          <xm:sqref>C265</xm:sqref>
        </x14:dataValidation>
        <x14:dataValidation type="list" allowBlank="1" showInputMessage="1" showErrorMessage="1" xr:uid="{00000000-0002-0000-0100-000008010000}">
          <x14:formula1>
            <xm:f>CountryGroup!A2:A1000</xm:f>
          </x14:formula1>
          <xm:sqref>C266</xm:sqref>
        </x14:dataValidation>
        <x14:dataValidation type="list" allowBlank="1" showInputMessage="1" showErrorMessage="1" xr:uid="{00000000-0002-0000-0100-000009010000}">
          <x14:formula1>
            <xm:f>CountryGroup!A2:A1000</xm:f>
          </x14:formula1>
          <xm:sqref>C267</xm:sqref>
        </x14:dataValidation>
        <x14:dataValidation type="list" allowBlank="1" showInputMessage="1" showErrorMessage="1" xr:uid="{00000000-0002-0000-0100-00000A010000}">
          <x14:formula1>
            <xm:f>CountryGroup!A2:A1000</xm:f>
          </x14:formula1>
          <xm:sqref>C268</xm:sqref>
        </x14:dataValidation>
        <x14:dataValidation type="list" allowBlank="1" showInputMessage="1" showErrorMessage="1" xr:uid="{00000000-0002-0000-0100-00000B010000}">
          <x14:formula1>
            <xm:f>CountryGroup!A2:A1000</xm:f>
          </x14:formula1>
          <xm:sqref>C269</xm:sqref>
        </x14:dataValidation>
        <x14:dataValidation type="list" allowBlank="1" showInputMessage="1" showErrorMessage="1" xr:uid="{00000000-0002-0000-0100-00000C010000}">
          <x14:formula1>
            <xm:f>CountryGroup!A2:A1000</xm:f>
          </x14:formula1>
          <xm:sqref>C270</xm:sqref>
        </x14:dataValidation>
        <x14:dataValidation type="list" allowBlank="1" showInputMessage="1" showErrorMessage="1" xr:uid="{00000000-0002-0000-0100-00000D010000}">
          <x14:formula1>
            <xm:f>CountryGroup!A2:A1000</xm:f>
          </x14:formula1>
          <xm:sqref>C271</xm:sqref>
        </x14:dataValidation>
        <x14:dataValidation type="list" allowBlank="1" showInputMessage="1" showErrorMessage="1" xr:uid="{00000000-0002-0000-0100-00000E010000}">
          <x14:formula1>
            <xm:f>CountryGroup!A2:A1000</xm:f>
          </x14:formula1>
          <xm:sqref>C272</xm:sqref>
        </x14:dataValidation>
        <x14:dataValidation type="list" allowBlank="1" showInputMessage="1" showErrorMessage="1" xr:uid="{00000000-0002-0000-0100-00000F010000}">
          <x14:formula1>
            <xm:f>CountryGroup!A2:A1000</xm:f>
          </x14:formula1>
          <xm:sqref>C273</xm:sqref>
        </x14:dataValidation>
        <x14:dataValidation type="list" allowBlank="1" showInputMessage="1" showErrorMessage="1" xr:uid="{00000000-0002-0000-0100-000010010000}">
          <x14:formula1>
            <xm:f>CountryGroup!A2:A1000</xm:f>
          </x14:formula1>
          <xm:sqref>C274</xm:sqref>
        </x14:dataValidation>
        <x14:dataValidation type="list" allowBlank="1" showInputMessage="1" showErrorMessage="1" xr:uid="{00000000-0002-0000-0100-000011010000}">
          <x14:formula1>
            <xm:f>CountryGroup!A2:A1000</xm:f>
          </x14:formula1>
          <xm:sqref>C275</xm:sqref>
        </x14:dataValidation>
        <x14:dataValidation type="list" allowBlank="1" showInputMessage="1" showErrorMessage="1" xr:uid="{00000000-0002-0000-0100-000012010000}">
          <x14:formula1>
            <xm:f>CountryGroup!A2:A1000</xm:f>
          </x14:formula1>
          <xm:sqref>C276</xm:sqref>
        </x14:dataValidation>
        <x14:dataValidation type="list" allowBlank="1" showInputMessage="1" showErrorMessage="1" xr:uid="{00000000-0002-0000-0100-000013010000}">
          <x14:formula1>
            <xm:f>CountryGroup!A2:A1000</xm:f>
          </x14:formula1>
          <xm:sqref>C277</xm:sqref>
        </x14:dataValidation>
        <x14:dataValidation type="list" allowBlank="1" showInputMessage="1" showErrorMessage="1" xr:uid="{00000000-0002-0000-0100-000014010000}">
          <x14:formula1>
            <xm:f>CountryGroup!A2:A1000</xm:f>
          </x14:formula1>
          <xm:sqref>C278</xm:sqref>
        </x14:dataValidation>
        <x14:dataValidation type="list" allowBlank="1" showInputMessage="1" showErrorMessage="1" xr:uid="{00000000-0002-0000-0100-000015010000}">
          <x14:formula1>
            <xm:f>CountryGroup!A2:A1000</xm:f>
          </x14:formula1>
          <xm:sqref>C279</xm:sqref>
        </x14:dataValidation>
        <x14:dataValidation type="list" allowBlank="1" showInputMessage="1" showErrorMessage="1" xr:uid="{00000000-0002-0000-0100-000016010000}">
          <x14:formula1>
            <xm:f>CountryGroup!A2:A1000</xm:f>
          </x14:formula1>
          <xm:sqref>C280</xm:sqref>
        </x14:dataValidation>
        <x14:dataValidation type="list" allowBlank="1" showInputMessage="1" showErrorMessage="1" xr:uid="{00000000-0002-0000-0100-000017010000}">
          <x14:formula1>
            <xm:f>CountryGroup!A2:A1000</xm:f>
          </x14:formula1>
          <xm:sqref>C281</xm:sqref>
        </x14:dataValidation>
        <x14:dataValidation type="list" allowBlank="1" showInputMessage="1" showErrorMessage="1" xr:uid="{00000000-0002-0000-0100-000018010000}">
          <x14:formula1>
            <xm:f>CountryGroup!A2:A1000</xm:f>
          </x14:formula1>
          <xm:sqref>C282</xm:sqref>
        </x14:dataValidation>
        <x14:dataValidation type="list" allowBlank="1" showInputMessage="1" showErrorMessage="1" xr:uid="{00000000-0002-0000-0100-000019010000}">
          <x14:formula1>
            <xm:f>CountryGroup!A2:A1000</xm:f>
          </x14:formula1>
          <xm:sqref>C283</xm:sqref>
        </x14:dataValidation>
        <x14:dataValidation type="list" allowBlank="1" showInputMessage="1" showErrorMessage="1" xr:uid="{00000000-0002-0000-0100-00001A010000}">
          <x14:formula1>
            <xm:f>CountryGroup!A2:A1000</xm:f>
          </x14:formula1>
          <xm:sqref>C284</xm:sqref>
        </x14:dataValidation>
        <x14:dataValidation type="list" allowBlank="1" showInputMessage="1" showErrorMessage="1" xr:uid="{00000000-0002-0000-0100-00001B010000}">
          <x14:formula1>
            <xm:f>CountryGroup!A2:A1000</xm:f>
          </x14:formula1>
          <xm:sqref>C285</xm:sqref>
        </x14:dataValidation>
        <x14:dataValidation type="list" allowBlank="1" showInputMessage="1" showErrorMessage="1" xr:uid="{00000000-0002-0000-0100-00001C010000}">
          <x14:formula1>
            <xm:f>CountryGroup!A2:A1000</xm:f>
          </x14:formula1>
          <xm:sqref>C286</xm:sqref>
        </x14:dataValidation>
        <x14:dataValidation type="list" allowBlank="1" showInputMessage="1" showErrorMessage="1" xr:uid="{00000000-0002-0000-0100-00001D010000}">
          <x14:formula1>
            <xm:f>CountryGroup!A2:A1000</xm:f>
          </x14:formula1>
          <xm:sqref>C287</xm:sqref>
        </x14:dataValidation>
        <x14:dataValidation type="list" allowBlank="1" showInputMessage="1" showErrorMessage="1" xr:uid="{00000000-0002-0000-0100-00001E010000}">
          <x14:formula1>
            <xm:f>CountryGroup!A2:A1000</xm:f>
          </x14:formula1>
          <xm:sqref>C288</xm:sqref>
        </x14:dataValidation>
        <x14:dataValidation type="list" allowBlank="1" showInputMessage="1" showErrorMessage="1" xr:uid="{00000000-0002-0000-0100-00001F010000}">
          <x14:formula1>
            <xm:f>CountryGroup!A2:A1000</xm:f>
          </x14:formula1>
          <xm:sqref>C289</xm:sqref>
        </x14:dataValidation>
        <x14:dataValidation type="list" allowBlank="1" showInputMessage="1" showErrorMessage="1" xr:uid="{00000000-0002-0000-0100-000020010000}">
          <x14:formula1>
            <xm:f>CountryGroup!A2:A1000</xm:f>
          </x14:formula1>
          <xm:sqref>C290</xm:sqref>
        </x14:dataValidation>
        <x14:dataValidation type="list" allowBlank="1" showInputMessage="1" showErrorMessage="1" xr:uid="{00000000-0002-0000-0100-000021010000}">
          <x14:formula1>
            <xm:f>CountryGroup!A2:A1000</xm:f>
          </x14:formula1>
          <xm:sqref>C291</xm:sqref>
        </x14:dataValidation>
        <x14:dataValidation type="list" allowBlank="1" showInputMessage="1" showErrorMessage="1" xr:uid="{00000000-0002-0000-0100-000022010000}">
          <x14:formula1>
            <xm:f>CountryGroup!A2:A1000</xm:f>
          </x14:formula1>
          <xm:sqref>C292</xm:sqref>
        </x14:dataValidation>
        <x14:dataValidation type="list" allowBlank="1" showInputMessage="1" showErrorMessage="1" xr:uid="{00000000-0002-0000-0100-000023010000}">
          <x14:formula1>
            <xm:f>CountryGroup!A2:A1000</xm:f>
          </x14:formula1>
          <xm:sqref>C293</xm:sqref>
        </x14:dataValidation>
        <x14:dataValidation type="list" allowBlank="1" showInputMessage="1" showErrorMessage="1" xr:uid="{00000000-0002-0000-0100-000024010000}">
          <x14:formula1>
            <xm:f>CountryGroup!A2:A1000</xm:f>
          </x14:formula1>
          <xm:sqref>C294</xm:sqref>
        </x14:dataValidation>
        <x14:dataValidation type="list" allowBlank="1" showInputMessage="1" showErrorMessage="1" xr:uid="{00000000-0002-0000-0100-000025010000}">
          <x14:formula1>
            <xm:f>CountryGroup!A2:A1000</xm:f>
          </x14:formula1>
          <xm:sqref>C295</xm:sqref>
        </x14:dataValidation>
        <x14:dataValidation type="list" allowBlank="1" showInputMessage="1" showErrorMessage="1" xr:uid="{00000000-0002-0000-0100-000026010000}">
          <x14:formula1>
            <xm:f>CountryGroup!A2:A1000</xm:f>
          </x14:formula1>
          <xm:sqref>C296</xm:sqref>
        </x14:dataValidation>
        <x14:dataValidation type="list" allowBlank="1" showInputMessage="1" showErrorMessage="1" xr:uid="{00000000-0002-0000-0100-000027010000}">
          <x14:formula1>
            <xm:f>CountryGroup!A2:A1000</xm:f>
          </x14:formula1>
          <xm:sqref>C297</xm:sqref>
        </x14:dataValidation>
        <x14:dataValidation type="list" allowBlank="1" showInputMessage="1" showErrorMessage="1" xr:uid="{00000000-0002-0000-0100-000028010000}">
          <x14:formula1>
            <xm:f>CountryGroup!A2:A1000</xm:f>
          </x14:formula1>
          <xm:sqref>C298</xm:sqref>
        </x14:dataValidation>
        <x14:dataValidation type="list" allowBlank="1" showInputMessage="1" showErrorMessage="1" xr:uid="{00000000-0002-0000-0100-000029010000}">
          <x14:formula1>
            <xm:f>CountryGroup!A2:A1000</xm:f>
          </x14:formula1>
          <xm:sqref>C299</xm:sqref>
        </x14:dataValidation>
        <x14:dataValidation type="list" allowBlank="1" showInputMessage="1" showErrorMessage="1" xr:uid="{00000000-0002-0000-0100-00002A010000}">
          <x14:formula1>
            <xm:f>CountryGroup!A2:A1000</xm:f>
          </x14:formula1>
          <xm:sqref>C300</xm:sqref>
        </x14:dataValidation>
        <x14:dataValidation type="list" allowBlank="1" showInputMessage="1" showErrorMessage="1" xr:uid="{00000000-0002-0000-0100-00002B010000}">
          <x14:formula1>
            <xm:f>CountryGroup!A2:A1000</xm:f>
          </x14:formula1>
          <xm:sqref>C301</xm:sqref>
        </x14:dataValidation>
        <x14:dataValidation type="list" allowBlank="1" showInputMessage="1" showErrorMessage="1" xr:uid="{00000000-0002-0000-0100-00002C010000}">
          <x14:formula1>
            <xm:f>CountryGroup!A2:A1000</xm:f>
          </x14:formula1>
          <xm:sqref>C302</xm:sqref>
        </x14:dataValidation>
        <x14:dataValidation type="list" allowBlank="1" showInputMessage="1" showErrorMessage="1" xr:uid="{00000000-0002-0000-0100-00002D010000}">
          <x14:formula1>
            <xm:f>CountryGroup!A2:A1000</xm:f>
          </x14:formula1>
          <xm:sqref>C303</xm:sqref>
        </x14:dataValidation>
        <x14:dataValidation type="list" allowBlank="1" showInputMessage="1" showErrorMessage="1" xr:uid="{00000000-0002-0000-0100-00002E010000}">
          <x14:formula1>
            <xm:f>CountryGroup!A2:A1000</xm:f>
          </x14:formula1>
          <xm:sqref>C304</xm:sqref>
        </x14:dataValidation>
        <x14:dataValidation type="list" allowBlank="1" showInputMessage="1" showErrorMessage="1" xr:uid="{00000000-0002-0000-0100-00002F010000}">
          <x14:formula1>
            <xm:f>CountryGroup!A2:A1000</xm:f>
          </x14:formula1>
          <xm:sqref>C305</xm:sqref>
        </x14:dataValidation>
        <x14:dataValidation type="list" allowBlank="1" showInputMessage="1" showErrorMessage="1" xr:uid="{00000000-0002-0000-0100-000030010000}">
          <x14:formula1>
            <xm:f>CountryGroup!A2:A1000</xm:f>
          </x14:formula1>
          <xm:sqref>C306</xm:sqref>
        </x14:dataValidation>
        <x14:dataValidation type="list" allowBlank="1" showInputMessage="1" showErrorMessage="1" xr:uid="{00000000-0002-0000-0100-000031010000}">
          <x14:formula1>
            <xm:f>CountryGroup!A2:A1000</xm:f>
          </x14:formula1>
          <xm:sqref>C307</xm:sqref>
        </x14:dataValidation>
        <x14:dataValidation type="list" allowBlank="1" showInputMessage="1" showErrorMessage="1" xr:uid="{00000000-0002-0000-0100-000032010000}">
          <x14:formula1>
            <xm:f>CountryGroup!A2:A1000</xm:f>
          </x14:formula1>
          <xm:sqref>C308</xm:sqref>
        </x14:dataValidation>
        <x14:dataValidation type="list" allowBlank="1" showInputMessage="1" showErrorMessage="1" xr:uid="{00000000-0002-0000-0100-000033010000}">
          <x14:formula1>
            <xm:f>CountryGroup!A2:A1000</xm:f>
          </x14:formula1>
          <xm:sqref>C309</xm:sqref>
        </x14:dataValidation>
        <x14:dataValidation type="list" allowBlank="1" showInputMessage="1" showErrorMessage="1" xr:uid="{00000000-0002-0000-0100-000034010000}">
          <x14:formula1>
            <xm:f>CountryGroup!A2:A1000</xm:f>
          </x14:formula1>
          <xm:sqref>C310</xm:sqref>
        </x14:dataValidation>
        <x14:dataValidation type="list" allowBlank="1" showInputMessage="1" showErrorMessage="1" xr:uid="{00000000-0002-0000-0100-000035010000}">
          <x14:formula1>
            <xm:f>CountryGroup!A2:A1000</xm:f>
          </x14:formula1>
          <xm:sqref>C311</xm:sqref>
        </x14:dataValidation>
        <x14:dataValidation type="list" allowBlank="1" showInputMessage="1" showErrorMessage="1" xr:uid="{00000000-0002-0000-0100-000036010000}">
          <x14:formula1>
            <xm:f>CountryGroup!A2:A1000</xm:f>
          </x14:formula1>
          <xm:sqref>C312</xm:sqref>
        </x14:dataValidation>
        <x14:dataValidation type="list" allowBlank="1" showInputMessage="1" showErrorMessage="1" xr:uid="{00000000-0002-0000-0100-000037010000}">
          <x14:formula1>
            <xm:f>CountryGroup!A2:A1000</xm:f>
          </x14:formula1>
          <xm:sqref>C313</xm:sqref>
        </x14:dataValidation>
        <x14:dataValidation type="list" allowBlank="1" showInputMessage="1" showErrorMessage="1" xr:uid="{00000000-0002-0000-0100-000038010000}">
          <x14:formula1>
            <xm:f>CountryGroup!A2:A1000</xm:f>
          </x14:formula1>
          <xm:sqref>C314</xm:sqref>
        </x14:dataValidation>
        <x14:dataValidation type="list" allowBlank="1" showInputMessage="1" showErrorMessage="1" xr:uid="{00000000-0002-0000-0100-000039010000}">
          <x14:formula1>
            <xm:f>CountryGroup!A2:A1000</xm:f>
          </x14:formula1>
          <xm:sqref>C315</xm:sqref>
        </x14:dataValidation>
        <x14:dataValidation type="list" allowBlank="1" showInputMessage="1" showErrorMessage="1" xr:uid="{00000000-0002-0000-0100-00003A010000}">
          <x14:formula1>
            <xm:f>CountryGroup!A2:A1000</xm:f>
          </x14:formula1>
          <xm:sqref>C316</xm:sqref>
        </x14:dataValidation>
        <x14:dataValidation type="list" allowBlank="1" showInputMessage="1" showErrorMessage="1" xr:uid="{00000000-0002-0000-0100-00003B010000}">
          <x14:formula1>
            <xm:f>CountryGroup!A2:A1000</xm:f>
          </x14:formula1>
          <xm:sqref>C317</xm:sqref>
        </x14:dataValidation>
        <x14:dataValidation type="list" allowBlank="1" showInputMessage="1" showErrorMessage="1" xr:uid="{00000000-0002-0000-0100-00003C010000}">
          <x14:formula1>
            <xm:f>CountryGroup!A2:A1000</xm:f>
          </x14:formula1>
          <xm:sqref>C318</xm:sqref>
        </x14:dataValidation>
        <x14:dataValidation type="list" allowBlank="1" showInputMessage="1" showErrorMessage="1" xr:uid="{00000000-0002-0000-0100-00003D010000}">
          <x14:formula1>
            <xm:f>CountryGroup!A2:A1000</xm:f>
          </x14:formula1>
          <xm:sqref>C319</xm:sqref>
        </x14:dataValidation>
        <x14:dataValidation type="list" allowBlank="1" showInputMessage="1" showErrorMessage="1" xr:uid="{00000000-0002-0000-0100-00003E010000}">
          <x14:formula1>
            <xm:f>CountryGroup!A2:A1000</xm:f>
          </x14:formula1>
          <xm:sqref>C320</xm:sqref>
        </x14:dataValidation>
        <x14:dataValidation type="list" allowBlank="1" showInputMessage="1" showErrorMessage="1" xr:uid="{00000000-0002-0000-0100-00003F010000}">
          <x14:formula1>
            <xm:f>CountryGroup!A2:A1000</xm:f>
          </x14:formula1>
          <xm:sqref>C321</xm:sqref>
        </x14:dataValidation>
        <x14:dataValidation type="list" allowBlank="1" showInputMessage="1" showErrorMessage="1" xr:uid="{00000000-0002-0000-0100-000040010000}">
          <x14:formula1>
            <xm:f>CountryGroup!A2:A1000</xm:f>
          </x14:formula1>
          <xm:sqref>C322</xm:sqref>
        </x14:dataValidation>
        <x14:dataValidation type="list" allowBlank="1" showInputMessage="1" showErrorMessage="1" xr:uid="{00000000-0002-0000-0100-000041010000}">
          <x14:formula1>
            <xm:f>CountryGroup!A2:A1000</xm:f>
          </x14:formula1>
          <xm:sqref>C323</xm:sqref>
        </x14:dataValidation>
        <x14:dataValidation type="list" allowBlank="1" showInputMessage="1" showErrorMessage="1" xr:uid="{00000000-0002-0000-0100-000042010000}">
          <x14:formula1>
            <xm:f>CountryGroup!A2:A1000</xm:f>
          </x14:formula1>
          <xm:sqref>C324</xm:sqref>
        </x14:dataValidation>
        <x14:dataValidation type="list" allowBlank="1" showInputMessage="1" showErrorMessage="1" xr:uid="{00000000-0002-0000-0100-000043010000}">
          <x14:formula1>
            <xm:f>CountryGroup!A2:A1000</xm:f>
          </x14:formula1>
          <xm:sqref>C325</xm:sqref>
        </x14:dataValidation>
        <x14:dataValidation type="list" allowBlank="1" showInputMessage="1" showErrorMessage="1" xr:uid="{00000000-0002-0000-0100-000044010000}">
          <x14:formula1>
            <xm:f>CountryGroup!A2:A1000</xm:f>
          </x14:formula1>
          <xm:sqref>C326</xm:sqref>
        </x14:dataValidation>
        <x14:dataValidation type="list" allowBlank="1" showInputMessage="1" showErrorMessage="1" xr:uid="{00000000-0002-0000-0100-000045010000}">
          <x14:formula1>
            <xm:f>CountryGroup!A2:A1000</xm:f>
          </x14:formula1>
          <xm:sqref>C327</xm:sqref>
        </x14:dataValidation>
        <x14:dataValidation type="list" allowBlank="1" showInputMessage="1" showErrorMessage="1" xr:uid="{00000000-0002-0000-0100-000046010000}">
          <x14:formula1>
            <xm:f>CountryGroup!A2:A1000</xm:f>
          </x14:formula1>
          <xm:sqref>C328</xm:sqref>
        </x14:dataValidation>
        <x14:dataValidation type="list" allowBlank="1" showInputMessage="1" showErrorMessage="1" xr:uid="{00000000-0002-0000-0100-000047010000}">
          <x14:formula1>
            <xm:f>CountryGroup!A2:A1000</xm:f>
          </x14:formula1>
          <xm:sqref>C329</xm:sqref>
        </x14:dataValidation>
        <x14:dataValidation type="list" allowBlank="1" showInputMessage="1" showErrorMessage="1" xr:uid="{00000000-0002-0000-0100-000048010000}">
          <x14:formula1>
            <xm:f>CountryGroup!A2:A1000</xm:f>
          </x14:formula1>
          <xm:sqref>C330</xm:sqref>
        </x14:dataValidation>
        <x14:dataValidation type="list" allowBlank="1" showInputMessage="1" showErrorMessage="1" xr:uid="{00000000-0002-0000-0100-000049010000}">
          <x14:formula1>
            <xm:f>CountryGroup!A2:A1000</xm:f>
          </x14:formula1>
          <xm:sqref>C331</xm:sqref>
        </x14:dataValidation>
        <x14:dataValidation type="list" allowBlank="1" showInputMessage="1" showErrorMessage="1" xr:uid="{00000000-0002-0000-0100-00004A010000}">
          <x14:formula1>
            <xm:f>CountryGroup!A2:A1000</xm:f>
          </x14:formula1>
          <xm:sqref>C332</xm:sqref>
        </x14:dataValidation>
        <x14:dataValidation type="list" allowBlank="1" showInputMessage="1" showErrorMessage="1" xr:uid="{00000000-0002-0000-0100-00004B010000}">
          <x14:formula1>
            <xm:f>CountryGroup!A2:A1000</xm:f>
          </x14:formula1>
          <xm:sqref>C333</xm:sqref>
        </x14:dataValidation>
        <x14:dataValidation type="list" allowBlank="1" showInputMessage="1" showErrorMessage="1" xr:uid="{00000000-0002-0000-0100-00004C010000}">
          <x14:formula1>
            <xm:f>CountryGroup!A2:A1000</xm:f>
          </x14:formula1>
          <xm:sqref>C334</xm:sqref>
        </x14:dataValidation>
        <x14:dataValidation type="list" allowBlank="1" showInputMessage="1" showErrorMessage="1" xr:uid="{00000000-0002-0000-0100-00004D010000}">
          <x14:formula1>
            <xm:f>CountryGroup!A2:A1000</xm:f>
          </x14:formula1>
          <xm:sqref>C335</xm:sqref>
        </x14:dataValidation>
        <x14:dataValidation type="list" allowBlank="1" showInputMessage="1" showErrorMessage="1" xr:uid="{00000000-0002-0000-0100-00004E010000}">
          <x14:formula1>
            <xm:f>CountryGroup!A2:A1000</xm:f>
          </x14:formula1>
          <xm:sqref>C336</xm:sqref>
        </x14:dataValidation>
        <x14:dataValidation type="list" allowBlank="1" showInputMessage="1" showErrorMessage="1" xr:uid="{00000000-0002-0000-0100-00004F010000}">
          <x14:formula1>
            <xm:f>CountryGroup!A2:A1000</xm:f>
          </x14:formula1>
          <xm:sqref>C337</xm:sqref>
        </x14:dataValidation>
        <x14:dataValidation type="list" allowBlank="1" showInputMessage="1" showErrorMessage="1" xr:uid="{00000000-0002-0000-0100-000050010000}">
          <x14:formula1>
            <xm:f>CountryGroup!A2:A1000</xm:f>
          </x14:formula1>
          <xm:sqref>C338</xm:sqref>
        </x14:dataValidation>
        <x14:dataValidation type="list" allowBlank="1" showInputMessage="1" showErrorMessage="1" xr:uid="{00000000-0002-0000-0100-000051010000}">
          <x14:formula1>
            <xm:f>CountryGroup!A2:A1000</xm:f>
          </x14:formula1>
          <xm:sqref>C339</xm:sqref>
        </x14:dataValidation>
        <x14:dataValidation type="list" allowBlank="1" showInputMessage="1" showErrorMessage="1" xr:uid="{00000000-0002-0000-0100-000052010000}">
          <x14:formula1>
            <xm:f>CountryGroup!A2:A1000</xm:f>
          </x14:formula1>
          <xm:sqref>C340</xm:sqref>
        </x14:dataValidation>
        <x14:dataValidation type="list" allowBlank="1" showInputMessage="1" showErrorMessage="1" xr:uid="{00000000-0002-0000-0100-000053010000}">
          <x14:formula1>
            <xm:f>CountryGroup!A2:A1000</xm:f>
          </x14:formula1>
          <xm:sqref>C341</xm:sqref>
        </x14:dataValidation>
        <x14:dataValidation type="list" allowBlank="1" showInputMessage="1" showErrorMessage="1" xr:uid="{00000000-0002-0000-0100-000054010000}">
          <x14:formula1>
            <xm:f>CountryGroup!A2:A1000</xm:f>
          </x14:formula1>
          <xm:sqref>C342</xm:sqref>
        </x14:dataValidation>
        <x14:dataValidation type="list" allowBlank="1" showInputMessage="1" showErrorMessage="1" xr:uid="{00000000-0002-0000-0100-000055010000}">
          <x14:formula1>
            <xm:f>CountryGroup!A2:A1000</xm:f>
          </x14:formula1>
          <xm:sqref>C343</xm:sqref>
        </x14:dataValidation>
        <x14:dataValidation type="list" allowBlank="1" showInputMessage="1" showErrorMessage="1" xr:uid="{00000000-0002-0000-0100-000056010000}">
          <x14:formula1>
            <xm:f>CountryGroup!A2:A1000</xm:f>
          </x14:formula1>
          <xm:sqref>C344</xm:sqref>
        </x14:dataValidation>
        <x14:dataValidation type="list" allowBlank="1" showInputMessage="1" showErrorMessage="1" xr:uid="{00000000-0002-0000-0100-000057010000}">
          <x14:formula1>
            <xm:f>CountryGroup!A2:A1000</xm:f>
          </x14:formula1>
          <xm:sqref>C345</xm:sqref>
        </x14:dataValidation>
        <x14:dataValidation type="list" allowBlank="1" showInputMessage="1" showErrorMessage="1" xr:uid="{00000000-0002-0000-0100-000058010000}">
          <x14:formula1>
            <xm:f>CountryGroup!A2:A1000</xm:f>
          </x14:formula1>
          <xm:sqref>C346</xm:sqref>
        </x14:dataValidation>
        <x14:dataValidation type="list" allowBlank="1" showInputMessage="1" showErrorMessage="1" xr:uid="{00000000-0002-0000-0100-000059010000}">
          <x14:formula1>
            <xm:f>CountryGroup!A2:A1000</xm:f>
          </x14:formula1>
          <xm:sqref>C347</xm:sqref>
        </x14:dataValidation>
        <x14:dataValidation type="list" allowBlank="1" showInputMessage="1" showErrorMessage="1" xr:uid="{00000000-0002-0000-0100-00005A010000}">
          <x14:formula1>
            <xm:f>CountryGroup!A2:A1000</xm:f>
          </x14:formula1>
          <xm:sqref>C348</xm:sqref>
        </x14:dataValidation>
        <x14:dataValidation type="list" allowBlank="1" showInputMessage="1" showErrorMessage="1" xr:uid="{00000000-0002-0000-0100-00005B010000}">
          <x14:formula1>
            <xm:f>CountryGroup!A2:A1000</xm:f>
          </x14:formula1>
          <xm:sqref>C349</xm:sqref>
        </x14:dataValidation>
        <x14:dataValidation type="list" allowBlank="1" showInputMessage="1" showErrorMessage="1" xr:uid="{00000000-0002-0000-0100-00005C010000}">
          <x14:formula1>
            <xm:f>CountryGroup!A2:A1000</xm:f>
          </x14:formula1>
          <xm:sqref>C350</xm:sqref>
        </x14:dataValidation>
        <x14:dataValidation type="list" allowBlank="1" showInputMessage="1" showErrorMessage="1" xr:uid="{00000000-0002-0000-0100-00005D010000}">
          <x14:formula1>
            <xm:f>CountryGroup!A2:A1000</xm:f>
          </x14:formula1>
          <xm:sqref>C351</xm:sqref>
        </x14:dataValidation>
        <x14:dataValidation type="list" allowBlank="1" showInputMessage="1" showErrorMessage="1" xr:uid="{00000000-0002-0000-0100-00005E010000}">
          <x14:formula1>
            <xm:f>CountryGroup!A2:A1000</xm:f>
          </x14:formula1>
          <xm:sqref>C352</xm:sqref>
        </x14:dataValidation>
        <x14:dataValidation type="list" allowBlank="1" showInputMessage="1" showErrorMessage="1" xr:uid="{00000000-0002-0000-0100-00005F010000}">
          <x14:formula1>
            <xm:f>CountryGroup!A2:A1000</xm:f>
          </x14:formula1>
          <xm:sqref>C353</xm:sqref>
        </x14:dataValidation>
        <x14:dataValidation type="list" allowBlank="1" showInputMessage="1" showErrorMessage="1" xr:uid="{00000000-0002-0000-0100-000060010000}">
          <x14:formula1>
            <xm:f>CountryGroup!A2:A1000</xm:f>
          </x14:formula1>
          <xm:sqref>C354</xm:sqref>
        </x14:dataValidation>
        <x14:dataValidation type="list" allowBlank="1" showInputMessage="1" showErrorMessage="1" xr:uid="{00000000-0002-0000-0100-000061010000}">
          <x14:formula1>
            <xm:f>CountryGroup!A2:A1000</xm:f>
          </x14:formula1>
          <xm:sqref>C355</xm:sqref>
        </x14:dataValidation>
        <x14:dataValidation type="list" allowBlank="1" showInputMessage="1" showErrorMessage="1" xr:uid="{00000000-0002-0000-0100-000062010000}">
          <x14:formula1>
            <xm:f>CountryGroup!A2:A1000</xm:f>
          </x14:formula1>
          <xm:sqref>C356</xm:sqref>
        </x14:dataValidation>
        <x14:dataValidation type="list" allowBlank="1" showInputMessage="1" showErrorMessage="1" xr:uid="{00000000-0002-0000-0100-000063010000}">
          <x14:formula1>
            <xm:f>CountryGroup!A2:A1000</xm:f>
          </x14:formula1>
          <xm:sqref>C357</xm:sqref>
        </x14:dataValidation>
        <x14:dataValidation type="list" allowBlank="1" showInputMessage="1" showErrorMessage="1" xr:uid="{00000000-0002-0000-0100-000064010000}">
          <x14:formula1>
            <xm:f>CountryGroup!A2:A1000</xm:f>
          </x14:formula1>
          <xm:sqref>C358</xm:sqref>
        </x14:dataValidation>
        <x14:dataValidation type="list" allowBlank="1" showInputMessage="1" showErrorMessage="1" xr:uid="{00000000-0002-0000-0100-000065010000}">
          <x14:formula1>
            <xm:f>CountryGroup!A2:A1000</xm:f>
          </x14:formula1>
          <xm:sqref>C359</xm:sqref>
        </x14:dataValidation>
        <x14:dataValidation type="list" allowBlank="1" showInputMessage="1" showErrorMessage="1" xr:uid="{00000000-0002-0000-0100-000066010000}">
          <x14:formula1>
            <xm:f>CountryGroup!A2:A1000</xm:f>
          </x14:formula1>
          <xm:sqref>C360</xm:sqref>
        </x14:dataValidation>
        <x14:dataValidation type="list" allowBlank="1" showInputMessage="1" showErrorMessage="1" xr:uid="{00000000-0002-0000-0100-000067010000}">
          <x14:formula1>
            <xm:f>CountryGroup!A2:A1000</xm:f>
          </x14:formula1>
          <xm:sqref>C361</xm:sqref>
        </x14:dataValidation>
        <x14:dataValidation type="list" allowBlank="1" showInputMessage="1" showErrorMessage="1" xr:uid="{00000000-0002-0000-0100-000068010000}">
          <x14:formula1>
            <xm:f>CountryGroup!A2:A1000</xm:f>
          </x14:formula1>
          <xm:sqref>C362</xm:sqref>
        </x14:dataValidation>
        <x14:dataValidation type="list" allowBlank="1" showInputMessage="1" showErrorMessage="1" xr:uid="{00000000-0002-0000-0100-000069010000}">
          <x14:formula1>
            <xm:f>CountryGroup!A2:A1000</xm:f>
          </x14:formula1>
          <xm:sqref>C363</xm:sqref>
        </x14:dataValidation>
        <x14:dataValidation type="list" allowBlank="1" showInputMessage="1" showErrorMessage="1" xr:uid="{00000000-0002-0000-0100-00006A010000}">
          <x14:formula1>
            <xm:f>CountryGroup!A2:A1000</xm:f>
          </x14:formula1>
          <xm:sqref>C364</xm:sqref>
        </x14:dataValidation>
        <x14:dataValidation type="list" allowBlank="1" showInputMessage="1" showErrorMessage="1" xr:uid="{00000000-0002-0000-0100-00006B010000}">
          <x14:formula1>
            <xm:f>CountryGroup!A2:A1000</xm:f>
          </x14:formula1>
          <xm:sqref>C365</xm:sqref>
        </x14:dataValidation>
        <x14:dataValidation type="list" allowBlank="1" showInputMessage="1" showErrorMessage="1" xr:uid="{00000000-0002-0000-0100-00006C010000}">
          <x14:formula1>
            <xm:f>CountryGroup!A2:A1000</xm:f>
          </x14:formula1>
          <xm:sqref>C366</xm:sqref>
        </x14:dataValidation>
        <x14:dataValidation type="list" allowBlank="1" showInputMessage="1" showErrorMessage="1" xr:uid="{00000000-0002-0000-0100-00006D010000}">
          <x14:formula1>
            <xm:f>CountryGroup!A2:A1000</xm:f>
          </x14:formula1>
          <xm:sqref>C367</xm:sqref>
        </x14:dataValidation>
        <x14:dataValidation type="list" allowBlank="1" showInputMessage="1" showErrorMessage="1" xr:uid="{00000000-0002-0000-0100-00006E010000}">
          <x14:formula1>
            <xm:f>CountryGroup!A2:A1000</xm:f>
          </x14:formula1>
          <xm:sqref>C368</xm:sqref>
        </x14:dataValidation>
        <x14:dataValidation type="list" allowBlank="1" showInputMessage="1" showErrorMessage="1" xr:uid="{00000000-0002-0000-0100-00006F010000}">
          <x14:formula1>
            <xm:f>CountryGroup!A2:A1000</xm:f>
          </x14:formula1>
          <xm:sqref>C369</xm:sqref>
        </x14:dataValidation>
        <x14:dataValidation type="list" allowBlank="1" showInputMessage="1" showErrorMessage="1" xr:uid="{00000000-0002-0000-0100-000070010000}">
          <x14:formula1>
            <xm:f>CountryGroup!A2:A1000</xm:f>
          </x14:formula1>
          <xm:sqref>C370</xm:sqref>
        </x14:dataValidation>
        <x14:dataValidation type="list" allowBlank="1" showInputMessage="1" showErrorMessage="1" xr:uid="{00000000-0002-0000-0100-000071010000}">
          <x14:formula1>
            <xm:f>CountryGroup!A2:A1000</xm:f>
          </x14:formula1>
          <xm:sqref>C371</xm:sqref>
        </x14:dataValidation>
        <x14:dataValidation type="list" allowBlank="1" showInputMessage="1" showErrorMessage="1" xr:uid="{00000000-0002-0000-0100-000072010000}">
          <x14:formula1>
            <xm:f>CountryGroup!A2:A1000</xm:f>
          </x14:formula1>
          <xm:sqref>C372</xm:sqref>
        </x14:dataValidation>
        <x14:dataValidation type="list" allowBlank="1" showInputMessage="1" showErrorMessage="1" xr:uid="{00000000-0002-0000-0100-000073010000}">
          <x14:formula1>
            <xm:f>CountryGroup!A2:A1000</xm:f>
          </x14:formula1>
          <xm:sqref>C373</xm:sqref>
        </x14:dataValidation>
        <x14:dataValidation type="list" allowBlank="1" showInputMessage="1" showErrorMessage="1" xr:uid="{00000000-0002-0000-0100-000074010000}">
          <x14:formula1>
            <xm:f>CountryGroup!A2:A1000</xm:f>
          </x14:formula1>
          <xm:sqref>C374</xm:sqref>
        </x14:dataValidation>
        <x14:dataValidation type="list" allowBlank="1" showInputMessage="1" showErrorMessage="1" xr:uid="{00000000-0002-0000-0100-000075010000}">
          <x14:formula1>
            <xm:f>CountryGroup!A2:A1000</xm:f>
          </x14:formula1>
          <xm:sqref>C375</xm:sqref>
        </x14:dataValidation>
        <x14:dataValidation type="list" allowBlank="1" showInputMessage="1" showErrorMessage="1" xr:uid="{00000000-0002-0000-0100-000076010000}">
          <x14:formula1>
            <xm:f>CountryGroup!A2:A1000</xm:f>
          </x14:formula1>
          <xm:sqref>C376</xm:sqref>
        </x14:dataValidation>
        <x14:dataValidation type="list" allowBlank="1" showInputMessage="1" showErrorMessage="1" xr:uid="{00000000-0002-0000-0100-000077010000}">
          <x14:formula1>
            <xm:f>CountryGroup!A2:A1000</xm:f>
          </x14:formula1>
          <xm:sqref>C377</xm:sqref>
        </x14:dataValidation>
        <x14:dataValidation type="list" allowBlank="1" showInputMessage="1" showErrorMessage="1" xr:uid="{00000000-0002-0000-0100-000078010000}">
          <x14:formula1>
            <xm:f>CountryGroup!A2:A1000</xm:f>
          </x14:formula1>
          <xm:sqref>C378</xm:sqref>
        </x14:dataValidation>
        <x14:dataValidation type="list" allowBlank="1" showInputMessage="1" showErrorMessage="1" xr:uid="{00000000-0002-0000-0100-000079010000}">
          <x14:formula1>
            <xm:f>CountryGroup!A2:A1000</xm:f>
          </x14:formula1>
          <xm:sqref>C379</xm:sqref>
        </x14:dataValidation>
        <x14:dataValidation type="list" allowBlank="1" showInputMessage="1" showErrorMessage="1" xr:uid="{00000000-0002-0000-0100-00007A010000}">
          <x14:formula1>
            <xm:f>CountryGroup!A2:A1000</xm:f>
          </x14:formula1>
          <xm:sqref>C380</xm:sqref>
        </x14:dataValidation>
        <x14:dataValidation type="list" allowBlank="1" showInputMessage="1" showErrorMessage="1" xr:uid="{00000000-0002-0000-0100-00007B010000}">
          <x14:formula1>
            <xm:f>CountryGroup!A2:A1000</xm:f>
          </x14:formula1>
          <xm:sqref>C381</xm:sqref>
        </x14:dataValidation>
        <x14:dataValidation type="list" allowBlank="1" showInputMessage="1" showErrorMessage="1" xr:uid="{00000000-0002-0000-0100-00007C010000}">
          <x14:formula1>
            <xm:f>CountryGroup!A2:A1000</xm:f>
          </x14:formula1>
          <xm:sqref>C382</xm:sqref>
        </x14:dataValidation>
        <x14:dataValidation type="list" allowBlank="1" showInputMessage="1" showErrorMessage="1" xr:uid="{00000000-0002-0000-0100-00007D010000}">
          <x14:formula1>
            <xm:f>CountryGroup!A2:A1000</xm:f>
          </x14:formula1>
          <xm:sqref>C383</xm:sqref>
        </x14:dataValidation>
        <x14:dataValidation type="list" allowBlank="1" showInputMessage="1" showErrorMessage="1" xr:uid="{00000000-0002-0000-0100-00007E010000}">
          <x14:formula1>
            <xm:f>CountryGroup!A2:A1000</xm:f>
          </x14:formula1>
          <xm:sqref>C384</xm:sqref>
        </x14:dataValidation>
        <x14:dataValidation type="list" allowBlank="1" showInputMessage="1" showErrorMessage="1" xr:uid="{00000000-0002-0000-0100-00007F010000}">
          <x14:formula1>
            <xm:f>CountryGroup!A2:A1000</xm:f>
          </x14:formula1>
          <xm:sqref>C385</xm:sqref>
        </x14:dataValidation>
        <x14:dataValidation type="list" allowBlank="1" showInputMessage="1" showErrorMessage="1" xr:uid="{00000000-0002-0000-0100-000080010000}">
          <x14:formula1>
            <xm:f>CountryGroup!A2:A1000</xm:f>
          </x14:formula1>
          <xm:sqref>C386</xm:sqref>
        </x14:dataValidation>
        <x14:dataValidation type="list" allowBlank="1" showInputMessage="1" showErrorMessage="1" xr:uid="{00000000-0002-0000-0100-000081010000}">
          <x14:formula1>
            <xm:f>CountryGroup!A2:A1000</xm:f>
          </x14:formula1>
          <xm:sqref>C387</xm:sqref>
        </x14:dataValidation>
        <x14:dataValidation type="list" allowBlank="1" showInputMessage="1" showErrorMessage="1" xr:uid="{00000000-0002-0000-0100-000082010000}">
          <x14:formula1>
            <xm:f>CountryGroup!A2:A1000</xm:f>
          </x14:formula1>
          <xm:sqref>C388</xm:sqref>
        </x14:dataValidation>
        <x14:dataValidation type="list" allowBlank="1" showInputMessage="1" showErrorMessage="1" xr:uid="{00000000-0002-0000-0100-000083010000}">
          <x14:formula1>
            <xm:f>CountryGroup!A2:A1000</xm:f>
          </x14:formula1>
          <xm:sqref>C389</xm:sqref>
        </x14:dataValidation>
        <x14:dataValidation type="list" allowBlank="1" showInputMessage="1" showErrorMessage="1" xr:uid="{00000000-0002-0000-0100-000084010000}">
          <x14:formula1>
            <xm:f>CountryGroup!A2:A1000</xm:f>
          </x14:formula1>
          <xm:sqref>C390</xm:sqref>
        </x14:dataValidation>
        <x14:dataValidation type="list" allowBlank="1" showInputMessage="1" showErrorMessage="1" xr:uid="{00000000-0002-0000-0100-000085010000}">
          <x14:formula1>
            <xm:f>CountryGroup!A2:A1000</xm:f>
          </x14:formula1>
          <xm:sqref>C391</xm:sqref>
        </x14:dataValidation>
        <x14:dataValidation type="list" allowBlank="1" showInputMessage="1" showErrorMessage="1" xr:uid="{00000000-0002-0000-0100-000086010000}">
          <x14:formula1>
            <xm:f>CountryGroup!A2:A1000</xm:f>
          </x14:formula1>
          <xm:sqref>C392</xm:sqref>
        </x14:dataValidation>
        <x14:dataValidation type="list" allowBlank="1" showInputMessage="1" showErrorMessage="1" xr:uid="{00000000-0002-0000-0100-000087010000}">
          <x14:formula1>
            <xm:f>CountryGroup!A2:A1000</xm:f>
          </x14:formula1>
          <xm:sqref>C393</xm:sqref>
        </x14:dataValidation>
        <x14:dataValidation type="list" allowBlank="1" showInputMessage="1" showErrorMessage="1" xr:uid="{00000000-0002-0000-0100-000088010000}">
          <x14:formula1>
            <xm:f>CountryGroup!A2:A1000</xm:f>
          </x14:formula1>
          <xm:sqref>C394</xm:sqref>
        </x14:dataValidation>
        <x14:dataValidation type="list" allowBlank="1" showInputMessage="1" showErrorMessage="1" xr:uid="{00000000-0002-0000-0100-000089010000}">
          <x14:formula1>
            <xm:f>CountryGroup!A2:A1000</xm:f>
          </x14:formula1>
          <xm:sqref>C395</xm:sqref>
        </x14:dataValidation>
        <x14:dataValidation type="list" allowBlank="1" showInputMessage="1" showErrorMessage="1" xr:uid="{00000000-0002-0000-0100-00008A010000}">
          <x14:formula1>
            <xm:f>CountryGroup!A2:A1000</xm:f>
          </x14:formula1>
          <xm:sqref>C396</xm:sqref>
        </x14:dataValidation>
        <x14:dataValidation type="list" allowBlank="1" showInputMessage="1" showErrorMessage="1" xr:uid="{00000000-0002-0000-0100-00008B010000}">
          <x14:formula1>
            <xm:f>CountryGroup!A2:A1000</xm:f>
          </x14:formula1>
          <xm:sqref>C397</xm:sqref>
        </x14:dataValidation>
        <x14:dataValidation type="list" allowBlank="1" showInputMessage="1" showErrorMessage="1" xr:uid="{00000000-0002-0000-0100-00008C010000}">
          <x14:formula1>
            <xm:f>CountryGroup!A2:A1000</xm:f>
          </x14:formula1>
          <xm:sqref>C398</xm:sqref>
        </x14:dataValidation>
        <x14:dataValidation type="list" allowBlank="1" showInputMessage="1" showErrorMessage="1" xr:uid="{00000000-0002-0000-0100-00008D010000}">
          <x14:formula1>
            <xm:f>CountryGroup!A2:A1000</xm:f>
          </x14:formula1>
          <xm:sqref>C399</xm:sqref>
        </x14:dataValidation>
        <x14:dataValidation type="list" allowBlank="1" showInputMessage="1" showErrorMessage="1" xr:uid="{00000000-0002-0000-0100-00008E010000}">
          <x14:formula1>
            <xm:f>CountryGroup!A2:A1000</xm:f>
          </x14:formula1>
          <xm:sqref>C400</xm:sqref>
        </x14:dataValidation>
        <x14:dataValidation type="list" allowBlank="1" showInputMessage="1" showErrorMessage="1" xr:uid="{00000000-0002-0000-0100-00008F010000}">
          <x14:formula1>
            <xm:f>CountryGroup!A2:A1000</xm:f>
          </x14:formula1>
          <xm:sqref>C401</xm:sqref>
        </x14:dataValidation>
        <x14:dataValidation type="list" allowBlank="1" showInputMessage="1" showErrorMessage="1" xr:uid="{00000000-0002-0000-0100-000090010000}">
          <x14:formula1>
            <xm:f>CountryGroup!A2:A1000</xm:f>
          </x14:formula1>
          <xm:sqref>C402</xm:sqref>
        </x14:dataValidation>
        <x14:dataValidation type="list" allowBlank="1" showInputMessage="1" showErrorMessage="1" xr:uid="{00000000-0002-0000-0100-000091010000}">
          <x14:formula1>
            <xm:f>CountryGroup!A2:A1000</xm:f>
          </x14:formula1>
          <xm:sqref>C403</xm:sqref>
        </x14:dataValidation>
        <x14:dataValidation type="list" allowBlank="1" showInputMessage="1" showErrorMessage="1" xr:uid="{00000000-0002-0000-0100-000092010000}">
          <x14:formula1>
            <xm:f>CountryGroup!A2:A1000</xm:f>
          </x14:formula1>
          <xm:sqref>C404</xm:sqref>
        </x14:dataValidation>
        <x14:dataValidation type="list" allowBlank="1" showInputMessage="1" showErrorMessage="1" xr:uid="{00000000-0002-0000-0100-000093010000}">
          <x14:formula1>
            <xm:f>CountryGroup!A2:A1000</xm:f>
          </x14:formula1>
          <xm:sqref>C405</xm:sqref>
        </x14:dataValidation>
        <x14:dataValidation type="list" allowBlank="1" showInputMessage="1" showErrorMessage="1" xr:uid="{00000000-0002-0000-0100-000094010000}">
          <x14:formula1>
            <xm:f>CountryGroup!A2:A1000</xm:f>
          </x14:formula1>
          <xm:sqref>C406</xm:sqref>
        </x14:dataValidation>
        <x14:dataValidation type="list" allowBlank="1" showInputMessage="1" showErrorMessage="1" xr:uid="{00000000-0002-0000-0100-000095010000}">
          <x14:formula1>
            <xm:f>CountryGroup!A2:A1000</xm:f>
          </x14:formula1>
          <xm:sqref>C407</xm:sqref>
        </x14:dataValidation>
        <x14:dataValidation type="list" allowBlank="1" showInputMessage="1" showErrorMessage="1" xr:uid="{00000000-0002-0000-0100-000096010000}">
          <x14:formula1>
            <xm:f>CountryGroup!A2:A1000</xm:f>
          </x14:formula1>
          <xm:sqref>C408</xm:sqref>
        </x14:dataValidation>
        <x14:dataValidation type="list" allowBlank="1" showInputMessage="1" showErrorMessage="1" xr:uid="{00000000-0002-0000-0100-000097010000}">
          <x14:formula1>
            <xm:f>CountryGroup!A2:A1000</xm:f>
          </x14:formula1>
          <xm:sqref>C409</xm:sqref>
        </x14:dataValidation>
        <x14:dataValidation type="list" allowBlank="1" showInputMessage="1" showErrorMessage="1" xr:uid="{00000000-0002-0000-0100-000098010000}">
          <x14:formula1>
            <xm:f>CountryGroup!A2:A1000</xm:f>
          </x14:formula1>
          <xm:sqref>C410</xm:sqref>
        </x14:dataValidation>
        <x14:dataValidation type="list" allowBlank="1" showInputMessage="1" showErrorMessage="1" xr:uid="{00000000-0002-0000-0100-000099010000}">
          <x14:formula1>
            <xm:f>CountryGroup!A2:A1000</xm:f>
          </x14:formula1>
          <xm:sqref>C411</xm:sqref>
        </x14:dataValidation>
        <x14:dataValidation type="list" allowBlank="1" showInputMessage="1" showErrorMessage="1" xr:uid="{00000000-0002-0000-0100-00009A010000}">
          <x14:formula1>
            <xm:f>CountryGroup!A2:A1000</xm:f>
          </x14:formula1>
          <xm:sqref>C412</xm:sqref>
        </x14:dataValidation>
        <x14:dataValidation type="list" allowBlank="1" showInputMessage="1" showErrorMessage="1" xr:uid="{00000000-0002-0000-0100-00009B010000}">
          <x14:formula1>
            <xm:f>CountryGroup!A2:A1000</xm:f>
          </x14:formula1>
          <xm:sqref>C413</xm:sqref>
        </x14:dataValidation>
        <x14:dataValidation type="list" allowBlank="1" showInputMessage="1" showErrorMessage="1" xr:uid="{00000000-0002-0000-0100-00009C010000}">
          <x14:formula1>
            <xm:f>CountryGroup!A2:A1000</xm:f>
          </x14:formula1>
          <xm:sqref>C414</xm:sqref>
        </x14:dataValidation>
        <x14:dataValidation type="list" allowBlank="1" showInputMessage="1" showErrorMessage="1" xr:uid="{00000000-0002-0000-0100-00009D010000}">
          <x14:formula1>
            <xm:f>CountryGroup!A2:A1000</xm:f>
          </x14:formula1>
          <xm:sqref>C415</xm:sqref>
        </x14:dataValidation>
        <x14:dataValidation type="list" allowBlank="1" showInputMessage="1" showErrorMessage="1" xr:uid="{00000000-0002-0000-0100-00009E010000}">
          <x14:formula1>
            <xm:f>CountryGroup!A2:A1000</xm:f>
          </x14:formula1>
          <xm:sqref>C416</xm:sqref>
        </x14:dataValidation>
        <x14:dataValidation type="list" allowBlank="1" showInputMessage="1" showErrorMessage="1" xr:uid="{00000000-0002-0000-0100-00009F010000}">
          <x14:formula1>
            <xm:f>CountryGroup!A2:A1000</xm:f>
          </x14:formula1>
          <xm:sqref>C417</xm:sqref>
        </x14:dataValidation>
        <x14:dataValidation type="list" allowBlank="1" showInputMessage="1" showErrorMessage="1" xr:uid="{00000000-0002-0000-0100-0000A0010000}">
          <x14:formula1>
            <xm:f>CountryGroup!A2:A1000</xm:f>
          </x14:formula1>
          <xm:sqref>C418</xm:sqref>
        </x14:dataValidation>
        <x14:dataValidation type="list" allowBlank="1" showInputMessage="1" showErrorMessage="1" xr:uid="{00000000-0002-0000-0100-0000A1010000}">
          <x14:formula1>
            <xm:f>CountryGroup!A2:A1000</xm:f>
          </x14:formula1>
          <xm:sqref>C419</xm:sqref>
        </x14:dataValidation>
        <x14:dataValidation type="list" allowBlank="1" showInputMessage="1" showErrorMessage="1" xr:uid="{00000000-0002-0000-0100-0000A2010000}">
          <x14:formula1>
            <xm:f>CountryGroup!A2:A1000</xm:f>
          </x14:formula1>
          <xm:sqref>C420</xm:sqref>
        </x14:dataValidation>
        <x14:dataValidation type="list" allowBlank="1" showInputMessage="1" showErrorMessage="1" xr:uid="{00000000-0002-0000-0100-0000A3010000}">
          <x14:formula1>
            <xm:f>CountryGroup!A2:A1000</xm:f>
          </x14:formula1>
          <xm:sqref>C421</xm:sqref>
        </x14:dataValidation>
        <x14:dataValidation type="list" allowBlank="1" showInputMessage="1" showErrorMessage="1" xr:uid="{00000000-0002-0000-0100-0000A4010000}">
          <x14:formula1>
            <xm:f>CountryGroup!A2:A1000</xm:f>
          </x14:formula1>
          <xm:sqref>C422</xm:sqref>
        </x14:dataValidation>
        <x14:dataValidation type="list" allowBlank="1" showInputMessage="1" showErrorMessage="1" xr:uid="{00000000-0002-0000-0100-0000A5010000}">
          <x14:formula1>
            <xm:f>CountryGroup!A2:A1000</xm:f>
          </x14:formula1>
          <xm:sqref>C423</xm:sqref>
        </x14:dataValidation>
        <x14:dataValidation type="list" allowBlank="1" showInputMessage="1" showErrorMessage="1" xr:uid="{00000000-0002-0000-0100-0000A6010000}">
          <x14:formula1>
            <xm:f>CountryGroup!A2:A1000</xm:f>
          </x14:formula1>
          <xm:sqref>C424</xm:sqref>
        </x14:dataValidation>
        <x14:dataValidation type="list" allowBlank="1" showInputMessage="1" showErrorMessage="1" xr:uid="{00000000-0002-0000-0100-0000A7010000}">
          <x14:formula1>
            <xm:f>CountryGroup!A2:A1000</xm:f>
          </x14:formula1>
          <xm:sqref>C425</xm:sqref>
        </x14:dataValidation>
        <x14:dataValidation type="list" allowBlank="1" showInputMessage="1" showErrorMessage="1" xr:uid="{00000000-0002-0000-0100-0000A8010000}">
          <x14:formula1>
            <xm:f>CountryGroup!A2:A1000</xm:f>
          </x14:formula1>
          <xm:sqref>C426</xm:sqref>
        </x14:dataValidation>
        <x14:dataValidation type="list" allowBlank="1" showInputMessage="1" showErrorMessage="1" xr:uid="{00000000-0002-0000-0100-0000A9010000}">
          <x14:formula1>
            <xm:f>CountryGroup!A2:A1000</xm:f>
          </x14:formula1>
          <xm:sqref>C427</xm:sqref>
        </x14:dataValidation>
        <x14:dataValidation type="list" allowBlank="1" showInputMessage="1" showErrorMessage="1" xr:uid="{00000000-0002-0000-0100-0000AA010000}">
          <x14:formula1>
            <xm:f>CountryGroup!A2:A1000</xm:f>
          </x14:formula1>
          <xm:sqref>C428</xm:sqref>
        </x14:dataValidation>
        <x14:dataValidation type="list" allowBlank="1" showInputMessage="1" showErrorMessage="1" xr:uid="{00000000-0002-0000-0100-0000AB010000}">
          <x14:formula1>
            <xm:f>CountryGroup!A2:A1000</xm:f>
          </x14:formula1>
          <xm:sqref>C429</xm:sqref>
        </x14:dataValidation>
        <x14:dataValidation type="list" allowBlank="1" showInputMessage="1" showErrorMessage="1" xr:uid="{00000000-0002-0000-0100-0000AC010000}">
          <x14:formula1>
            <xm:f>CountryGroup!A2:A1000</xm:f>
          </x14:formula1>
          <xm:sqref>C430</xm:sqref>
        </x14:dataValidation>
        <x14:dataValidation type="list" allowBlank="1" showInputMessage="1" showErrorMessage="1" xr:uid="{00000000-0002-0000-0100-0000AD010000}">
          <x14:formula1>
            <xm:f>CountryGroup!A2:A1000</xm:f>
          </x14:formula1>
          <xm:sqref>C431</xm:sqref>
        </x14:dataValidation>
        <x14:dataValidation type="list" allowBlank="1" showInputMessage="1" showErrorMessage="1" xr:uid="{00000000-0002-0000-0100-0000AE010000}">
          <x14:formula1>
            <xm:f>CountryGroup!A2:A1000</xm:f>
          </x14:formula1>
          <xm:sqref>C432</xm:sqref>
        </x14:dataValidation>
        <x14:dataValidation type="list" allowBlank="1" showInputMessage="1" showErrorMessage="1" xr:uid="{00000000-0002-0000-0100-0000AF010000}">
          <x14:formula1>
            <xm:f>CountryGroup!A2:A1000</xm:f>
          </x14:formula1>
          <xm:sqref>C433</xm:sqref>
        </x14:dataValidation>
        <x14:dataValidation type="list" allowBlank="1" showInputMessage="1" showErrorMessage="1" xr:uid="{00000000-0002-0000-0100-0000B0010000}">
          <x14:formula1>
            <xm:f>CountryGroup!A2:A1000</xm:f>
          </x14:formula1>
          <xm:sqref>C434</xm:sqref>
        </x14:dataValidation>
        <x14:dataValidation type="list" allowBlank="1" showInputMessage="1" showErrorMessage="1" xr:uid="{00000000-0002-0000-0100-0000B1010000}">
          <x14:formula1>
            <xm:f>CountryGroup!A2:A1000</xm:f>
          </x14:formula1>
          <xm:sqref>C435</xm:sqref>
        </x14:dataValidation>
        <x14:dataValidation type="list" allowBlank="1" showInputMessage="1" showErrorMessage="1" xr:uid="{00000000-0002-0000-0100-0000B2010000}">
          <x14:formula1>
            <xm:f>CountryGroup!A2:A1000</xm:f>
          </x14:formula1>
          <xm:sqref>C436</xm:sqref>
        </x14:dataValidation>
        <x14:dataValidation type="list" allowBlank="1" showInputMessage="1" showErrorMessage="1" xr:uid="{00000000-0002-0000-0100-0000B3010000}">
          <x14:formula1>
            <xm:f>CountryGroup!A2:A1000</xm:f>
          </x14:formula1>
          <xm:sqref>C437</xm:sqref>
        </x14:dataValidation>
        <x14:dataValidation type="list" allowBlank="1" showInputMessage="1" showErrorMessage="1" xr:uid="{00000000-0002-0000-0100-0000B4010000}">
          <x14:formula1>
            <xm:f>CountryGroup!A2:A1000</xm:f>
          </x14:formula1>
          <xm:sqref>C438</xm:sqref>
        </x14:dataValidation>
        <x14:dataValidation type="list" allowBlank="1" showInputMessage="1" showErrorMessage="1" xr:uid="{00000000-0002-0000-0100-0000B5010000}">
          <x14:formula1>
            <xm:f>CountryGroup!A2:A1000</xm:f>
          </x14:formula1>
          <xm:sqref>C439</xm:sqref>
        </x14:dataValidation>
        <x14:dataValidation type="list" allowBlank="1" showInputMessage="1" showErrorMessage="1" xr:uid="{00000000-0002-0000-0100-0000B6010000}">
          <x14:formula1>
            <xm:f>CountryGroup!A2:A1000</xm:f>
          </x14:formula1>
          <xm:sqref>C440</xm:sqref>
        </x14:dataValidation>
        <x14:dataValidation type="list" allowBlank="1" showInputMessage="1" showErrorMessage="1" xr:uid="{00000000-0002-0000-0100-0000B7010000}">
          <x14:formula1>
            <xm:f>CountryGroup!A2:A1000</xm:f>
          </x14:formula1>
          <xm:sqref>C441</xm:sqref>
        </x14:dataValidation>
        <x14:dataValidation type="list" allowBlank="1" showInputMessage="1" showErrorMessage="1" xr:uid="{00000000-0002-0000-0100-0000B8010000}">
          <x14:formula1>
            <xm:f>CountryGroup!A2:A1000</xm:f>
          </x14:formula1>
          <xm:sqref>C442</xm:sqref>
        </x14:dataValidation>
        <x14:dataValidation type="list" allowBlank="1" showInputMessage="1" showErrorMessage="1" xr:uid="{00000000-0002-0000-0100-0000B9010000}">
          <x14:formula1>
            <xm:f>CountryGroup!A2:A1000</xm:f>
          </x14:formula1>
          <xm:sqref>C443</xm:sqref>
        </x14:dataValidation>
        <x14:dataValidation type="list" allowBlank="1" showInputMessage="1" showErrorMessage="1" xr:uid="{00000000-0002-0000-0100-0000BA010000}">
          <x14:formula1>
            <xm:f>CountryGroup!A2:A1000</xm:f>
          </x14:formula1>
          <xm:sqref>C444</xm:sqref>
        </x14:dataValidation>
        <x14:dataValidation type="list" allowBlank="1" showInputMessage="1" showErrorMessage="1" xr:uid="{00000000-0002-0000-0100-0000BB010000}">
          <x14:formula1>
            <xm:f>CountryGroup!A2:A1000</xm:f>
          </x14:formula1>
          <xm:sqref>C445</xm:sqref>
        </x14:dataValidation>
        <x14:dataValidation type="list" allowBlank="1" showInputMessage="1" showErrorMessage="1" xr:uid="{00000000-0002-0000-0100-0000BC010000}">
          <x14:formula1>
            <xm:f>CountryGroup!A2:A1000</xm:f>
          </x14:formula1>
          <xm:sqref>C446</xm:sqref>
        </x14:dataValidation>
        <x14:dataValidation type="list" allowBlank="1" showInputMessage="1" showErrorMessage="1" xr:uid="{00000000-0002-0000-0100-0000BD010000}">
          <x14:formula1>
            <xm:f>CountryGroup!A2:A1000</xm:f>
          </x14:formula1>
          <xm:sqref>C447</xm:sqref>
        </x14:dataValidation>
        <x14:dataValidation type="list" allowBlank="1" showInputMessage="1" showErrorMessage="1" xr:uid="{00000000-0002-0000-0100-0000BE010000}">
          <x14:formula1>
            <xm:f>CountryGroup!A2:A1000</xm:f>
          </x14:formula1>
          <xm:sqref>C448</xm:sqref>
        </x14:dataValidation>
        <x14:dataValidation type="list" allowBlank="1" showInputMessage="1" showErrorMessage="1" xr:uid="{00000000-0002-0000-0100-0000BF010000}">
          <x14:formula1>
            <xm:f>CountryGroup!A2:A1000</xm:f>
          </x14:formula1>
          <xm:sqref>C449</xm:sqref>
        </x14:dataValidation>
        <x14:dataValidation type="list" allowBlank="1" showInputMessage="1" showErrorMessage="1" xr:uid="{00000000-0002-0000-0100-0000C0010000}">
          <x14:formula1>
            <xm:f>CountryGroup!A2:A1000</xm:f>
          </x14:formula1>
          <xm:sqref>C450</xm:sqref>
        </x14:dataValidation>
        <x14:dataValidation type="list" allowBlank="1" showInputMessage="1" showErrorMessage="1" xr:uid="{00000000-0002-0000-0100-0000C1010000}">
          <x14:formula1>
            <xm:f>CountryGroup!A2:A1000</xm:f>
          </x14:formula1>
          <xm:sqref>C451</xm:sqref>
        </x14:dataValidation>
        <x14:dataValidation type="list" allowBlank="1" showInputMessage="1" showErrorMessage="1" xr:uid="{00000000-0002-0000-0100-0000C2010000}">
          <x14:formula1>
            <xm:f>CountryGroup!A2:A1000</xm:f>
          </x14:formula1>
          <xm:sqref>C452</xm:sqref>
        </x14:dataValidation>
        <x14:dataValidation type="list" allowBlank="1" showInputMessage="1" showErrorMessage="1" xr:uid="{00000000-0002-0000-0100-0000C3010000}">
          <x14:formula1>
            <xm:f>CountryGroup!A2:A1000</xm:f>
          </x14:formula1>
          <xm:sqref>C453</xm:sqref>
        </x14:dataValidation>
        <x14:dataValidation type="list" allowBlank="1" showInputMessage="1" showErrorMessage="1" xr:uid="{00000000-0002-0000-0100-0000C4010000}">
          <x14:formula1>
            <xm:f>CountryGroup!A2:A1000</xm:f>
          </x14:formula1>
          <xm:sqref>C454</xm:sqref>
        </x14:dataValidation>
        <x14:dataValidation type="list" allowBlank="1" showInputMessage="1" showErrorMessage="1" xr:uid="{00000000-0002-0000-0100-0000C5010000}">
          <x14:formula1>
            <xm:f>CountryGroup!A2:A1000</xm:f>
          </x14:formula1>
          <xm:sqref>C455</xm:sqref>
        </x14:dataValidation>
        <x14:dataValidation type="list" allowBlank="1" showInputMessage="1" showErrorMessage="1" xr:uid="{00000000-0002-0000-0100-0000C6010000}">
          <x14:formula1>
            <xm:f>CountryGroup!A2:A1000</xm:f>
          </x14:formula1>
          <xm:sqref>C456</xm:sqref>
        </x14:dataValidation>
        <x14:dataValidation type="list" allowBlank="1" showInputMessage="1" showErrorMessage="1" xr:uid="{00000000-0002-0000-0100-0000C7010000}">
          <x14:formula1>
            <xm:f>CountryGroup!A2:A1000</xm:f>
          </x14:formula1>
          <xm:sqref>C457</xm:sqref>
        </x14:dataValidation>
        <x14:dataValidation type="list" allowBlank="1" showInputMessage="1" showErrorMessage="1" xr:uid="{00000000-0002-0000-0100-0000C8010000}">
          <x14:formula1>
            <xm:f>CountryGroup!A2:A1000</xm:f>
          </x14:formula1>
          <xm:sqref>C458</xm:sqref>
        </x14:dataValidation>
        <x14:dataValidation type="list" allowBlank="1" showInputMessage="1" showErrorMessage="1" xr:uid="{00000000-0002-0000-0100-0000C9010000}">
          <x14:formula1>
            <xm:f>CountryGroup!A2:A1000</xm:f>
          </x14:formula1>
          <xm:sqref>C459</xm:sqref>
        </x14:dataValidation>
        <x14:dataValidation type="list" allowBlank="1" showInputMessage="1" showErrorMessage="1" xr:uid="{00000000-0002-0000-0100-0000CA010000}">
          <x14:formula1>
            <xm:f>CountryGroup!A2:A1000</xm:f>
          </x14:formula1>
          <xm:sqref>C460</xm:sqref>
        </x14:dataValidation>
        <x14:dataValidation type="list" allowBlank="1" showInputMessage="1" showErrorMessage="1" xr:uid="{00000000-0002-0000-0100-0000CB010000}">
          <x14:formula1>
            <xm:f>CountryGroup!A2:A1000</xm:f>
          </x14:formula1>
          <xm:sqref>C461</xm:sqref>
        </x14:dataValidation>
        <x14:dataValidation type="list" allowBlank="1" showInputMessage="1" showErrorMessage="1" xr:uid="{00000000-0002-0000-0100-0000CC010000}">
          <x14:formula1>
            <xm:f>CountryGroup!A2:A1000</xm:f>
          </x14:formula1>
          <xm:sqref>C462</xm:sqref>
        </x14:dataValidation>
        <x14:dataValidation type="list" allowBlank="1" showInputMessage="1" showErrorMessage="1" xr:uid="{00000000-0002-0000-0100-0000CD010000}">
          <x14:formula1>
            <xm:f>CountryGroup!A2:A1000</xm:f>
          </x14:formula1>
          <xm:sqref>C463</xm:sqref>
        </x14:dataValidation>
        <x14:dataValidation type="list" allowBlank="1" showInputMessage="1" showErrorMessage="1" xr:uid="{00000000-0002-0000-0100-0000CE010000}">
          <x14:formula1>
            <xm:f>CountryGroup!A2:A1000</xm:f>
          </x14:formula1>
          <xm:sqref>C464</xm:sqref>
        </x14:dataValidation>
        <x14:dataValidation type="list" allowBlank="1" showInputMessage="1" showErrorMessage="1" xr:uid="{00000000-0002-0000-0100-0000CF010000}">
          <x14:formula1>
            <xm:f>CountryGroup!A2:A1000</xm:f>
          </x14:formula1>
          <xm:sqref>C465</xm:sqref>
        </x14:dataValidation>
        <x14:dataValidation type="list" allowBlank="1" showInputMessage="1" showErrorMessage="1" xr:uid="{00000000-0002-0000-0100-0000D0010000}">
          <x14:formula1>
            <xm:f>CountryGroup!A2:A1000</xm:f>
          </x14:formula1>
          <xm:sqref>C466</xm:sqref>
        </x14:dataValidation>
        <x14:dataValidation type="list" allowBlank="1" showInputMessage="1" showErrorMessage="1" xr:uid="{00000000-0002-0000-0100-0000D1010000}">
          <x14:formula1>
            <xm:f>CountryGroup!A2:A1000</xm:f>
          </x14:formula1>
          <xm:sqref>C467</xm:sqref>
        </x14:dataValidation>
        <x14:dataValidation type="list" allowBlank="1" showInputMessage="1" showErrorMessage="1" xr:uid="{00000000-0002-0000-0100-0000D2010000}">
          <x14:formula1>
            <xm:f>CountryGroup!A2:A1000</xm:f>
          </x14:formula1>
          <xm:sqref>C468</xm:sqref>
        </x14:dataValidation>
        <x14:dataValidation type="list" allowBlank="1" showInputMessage="1" showErrorMessage="1" xr:uid="{00000000-0002-0000-0100-0000D3010000}">
          <x14:formula1>
            <xm:f>CountryGroup!A2:A1000</xm:f>
          </x14:formula1>
          <xm:sqref>C469</xm:sqref>
        </x14:dataValidation>
        <x14:dataValidation type="list" allowBlank="1" showInputMessage="1" showErrorMessage="1" xr:uid="{00000000-0002-0000-0100-0000D4010000}">
          <x14:formula1>
            <xm:f>CountryGroup!A2:A1000</xm:f>
          </x14:formula1>
          <xm:sqref>C470</xm:sqref>
        </x14:dataValidation>
        <x14:dataValidation type="list" allowBlank="1" showInputMessage="1" showErrorMessage="1" xr:uid="{00000000-0002-0000-0100-0000D5010000}">
          <x14:formula1>
            <xm:f>CountryGroup!A2:A1000</xm:f>
          </x14:formula1>
          <xm:sqref>C471</xm:sqref>
        </x14:dataValidation>
        <x14:dataValidation type="list" allowBlank="1" showInputMessage="1" showErrorMessage="1" xr:uid="{00000000-0002-0000-0100-0000D6010000}">
          <x14:formula1>
            <xm:f>CountryGroup!A2:A1000</xm:f>
          </x14:formula1>
          <xm:sqref>C472</xm:sqref>
        </x14:dataValidation>
        <x14:dataValidation type="list" allowBlank="1" showInputMessage="1" showErrorMessage="1" xr:uid="{00000000-0002-0000-0100-0000D7010000}">
          <x14:formula1>
            <xm:f>CountryGroup!A2:A1000</xm:f>
          </x14:formula1>
          <xm:sqref>C473</xm:sqref>
        </x14:dataValidation>
        <x14:dataValidation type="list" allowBlank="1" showInputMessage="1" showErrorMessage="1" xr:uid="{00000000-0002-0000-0100-0000D8010000}">
          <x14:formula1>
            <xm:f>CountryGroup!A2:A1000</xm:f>
          </x14:formula1>
          <xm:sqref>C474</xm:sqref>
        </x14:dataValidation>
        <x14:dataValidation type="list" allowBlank="1" showInputMessage="1" showErrorMessage="1" xr:uid="{00000000-0002-0000-0100-0000D9010000}">
          <x14:formula1>
            <xm:f>CountryGroup!A2:A1000</xm:f>
          </x14:formula1>
          <xm:sqref>C475</xm:sqref>
        </x14:dataValidation>
        <x14:dataValidation type="list" allowBlank="1" showInputMessage="1" showErrorMessage="1" xr:uid="{00000000-0002-0000-0100-0000DA010000}">
          <x14:formula1>
            <xm:f>CountryGroup!A2:A1000</xm:f>
          </x14:formula1>
          <xm:sqref>C476</xm:sqref>
        </x14:dataValidation>
        <x14:dataValidation type="list" allowBlank="1" showInputMessage="1" showErrorMessage="1" xr:uid="{00000000-0002-0000-0100-0000DB010000}">
          <x14:formula1>
            <xm:f>CountryGroup!A2:A1000</xm:f>
          </x14:formula1>
          <xm:sqref>C477</xm:sqref>
        </x14:dataValidation>
        <x14:dataValidation type="list" allowBlank="1" showInputMessage="1" showErrorMessage="1" xr:uid="{00000000-0002-0000-0100-0000DC010000}">
          <x14:formula1>
            <xm:f>CountryGroup!A2:A1000</xm:f>
          </x14:formula1>
          <xm:sqref>C478</xm:sqref>
        </x14:dataValidation>
        <x14:dataValidation type="list" allowBlank="1" showInputMessage="1" showErrorMessage="1" xr:uid="{00000000-0002-0000-0100-0000DD010000}">
          <x14:formula1>
            <xm:f>CountryGroup!A2:A1000</xm:f>
          </x14:formula1>
          <xm:sqref>C479</xm:sqref>
        </x14:dataValidation>
        <x14:dataValidation type="list" allowBlank="1" showInputMessage="1" showErrorMessage="1" xr:uid="{00000000-0002-0000-0100-0000DE010000}">
          <x14:formula1>
            <xm:f>CountryGroup!A2:A1000</xm:f>
          </x14:formula1>
          <xm:sqref>C480</xm:sqref>
        </x14:dataValidation>
        <x14:dataValidation type="list" allowBlank="1" showInputMessage="1" showErrorMessage="1" xr:uid="{00000000-0002-0000-0100-0000DF010000}">
          <x14:formula1>
            <xm:f>CountryGroup!A2:A1000</xm:f>
          </x14:formula1>
          <xm:sqref>C481</xm:sqref>
        </x14:dataValidation>
        <x14:dataValidation type="list" allowBlank="1" showInputMessage="1" showErrorMessage="1" xr:uid="{00000000-0002-0000-0100-0000E0010000}">
          <x14:formula1>
            <xm:f>CountryGroup!A2:A1000</xm:f>
          </x14:formula1>
          <xm:sqref>C482</xm:sqref>
        </x14:dataValidation>
        <x14:dataValidation type="list" allowBlank="1" showInputMessage="1" showErrorMessage="1" xr:uid="{00000000-0002-0000-0100-0000E1010000}">
          <x14:formula1>
            <xm:f>CountryGroup!A2:A1000</xm:f>
          </x14:formula1>
          <xm:sqref>C483</xm:sqref>
        </x14:dataValidation>
        <x14:dataValidation type="list" allowBlank="1" showInputMessage="1" showErrorMessage="1" xr:uid="{00000000-0002-0000-0100-0000E2010000}">
          <x14:formula1>
            <xm:f>CountryGroup!A2:A1000</xm:f>
          </x14:formula1>
          <xm:sqref>C484</xm:sqref>
        </x14:dataValidation>
        <x14:dataValidation type="list" allowBlank="1" showInputMessage="1" showErrorMessage="1" xr:uid="{00000000-0002-0000-0100-0000E3010000}">
          <x14:formula1>
            <xm:f>CountryGroup!A2:A1000</xm:f>
          </x14:formula1>
          <xm:sqref>C485</xm:sqref>
        </x14:dataValidation>
        <x14:dataValidation type="list" allowBlank="1" showInputMessage="1" showErrorMessage="1" xr:uid="{00000000-0002-0000-0100-0000E4010000}">
          <x14:formula1>
            <xm:f>CountryGroup!A2:A1000</xm:f>
          </x14:formula1>
          <xm:sqref>C486</xm:sqref>
        </x14:dataValidation>
        <x14:dataValidation type="list" allowBlank="1" showInputMessage="1" showErrorMessage="1" xr:uid="{00000000-0002-0000-0100-0000E5010000}">
          <x14:formula1>
            <xm:f>CountryGroup!A2:A1000</xm:f>
          </x14:formula1>
          <xm:sqref>C487</xm:sqref>
        </x14:dataValidation>
        <x14:dataValidation type="list" allowBlank="1" showInputMessage="1" showErrorMessage="1" xr:uid="{00000000-0002-0000-0100-0000E6010000}">
          <x14:formula1>
            <xm:f>CountryGroup!A2:A1000</xm:f>
          </x14:formula1>
          <xm:sqref>C488</xm:sqref>
        </x14:dataValidation>
        <x14:dataValidation type="list" allowBlank="1" showInputMessage="1" showErrorMessage="1" xr:uid="{00000000-0002-0000-0100-0000E7010000}">
          <x14:formula1>
            <xm:f>CountryGroup!A2:A1000</xm:f>
          </x14:formula1>
          <xm:sqref>C489</xm:sqref>
        </x14:dataValidation>
        <x14:dataValidation type="list" allowBlank="1" showInputMessage="1" showErrorMessage="1" xr:uid="{00000000-0002-0000-0100-0000E8010000}">
          <x14:formula1>
            <xm:f>CountryGroup!A2:A1000</xm:f>
          </x14:formula1>
          <xm:sqref>C490</xm:sqref>
        </x14:dataValidation>
        <x14:dataValidation type="list" allowBlank="1" showInputMessage="1" showErrorMessage="1" xr:uid="{00000000-0002-0000-0100-0000E9010000}">
          <x14:formula1>
            <xm:f>CountryGroup!A2:A1000</xm:f>
          </x14:formula1>
          <xm:sqref>C491</xm:sqref>
        </x14:dataValidation>
        <x14:dataValidation type="list" allowBlank="1" showInputMessage="1" showErrorMessage="1" xr:uid="{00000000-0002-0000-0100-0000EA010000}">
          <x14:formula1>
            <xm:f>CountryGroup!A2:A1000</xm:f>
          </x14:formula1>
          <xm:sqref>C492</xm:sqref>
        </x14:dataValidation>
        <x14:dataValidation type="list" allowBlank="1" showInputMessage="1" showErrorMessage="1" xr:uid="{00000000-0002-0000-0100-0000EB010000}">
          <x14:formula1>
            <xm:f>CountryGroup!A2:A1000</xm:f>
          </x14:formula1>
          <xm:sqref>C493</xm:sqref>
        </x14:dataValidation>
        <x14:dataValidation type="list" allowBlank="1" showInputMessage="1" showErrorMessage="1" xr:uid="{00000000-0002-0000-0100-0000EC010000}">
          <x14:formula1>
            <xm:f>CountryGroup!A2:A1000</xm:f>
          </x14:formula1>
          <xm:sqref>C494</xm:sqref>
        </x14:dataValidation>
        <x14:dataValidation type="list" allowBlank="1" showInputMessage="1" showErrorMessage="1" xr:uid="{00000000-0002-0000-0100-0000ED010000}">
          <x14:formula1>
            <xm:f>CountryGroup!A2:A1000</xm:f>
          </x14:formula1>
          <xm:sqref>C495</xm:sqref>
        </x14:dataValidation>
        <x14:dataValidation type="list" allowBlank="1" showInputMessage="1" showErrorMessage="1" xr:uid="{00000000-0002-0000-0100-0000EE010000}">
          <x14:formula1>
            <xm:f>CountryGroup!A2:A1000</xm:f>
          </x14:formula1>
          <xm:sqref>C496</xm:sqref>
        </x14:dataValidation>
        <x14:dataValidation type="list" allowBlank="1" showInputMessage="1" showErrorMessage="1" xr:uid="{00000000-0002-0000-0100-0000EF010000}">
          <x14:formula1>
            <xm:f>CountryGroup!A2:A1000</xm:f>
          </x14:formula1>
          <xm:sqref>C497</xm:sqref>
        </x14:dataValidation>
        <x14:dataValidation type="list" allowBlank="1" showInputMessage="1" showErrorMessage="1" xr:uid="{00000000-0002-0000-0100-0000F0010000}">
          <x14:formula1>
            <xm:f>CountryGroup!A2:A1000</xm:f>
          </x14:formula1>
          <xm:sqref>C498</xm:sqref>
        </x14:dataValidation>
        <x14:dataValidation type="list" allowBlank="1" showInputMessage="1" showErrorMessage="1" xr:uid="{00000000-0002-0000-0100-0000F1010000}">
          <x14:formula1>
            <xm:f>CountryGroup!A2:A1000</xm:f>
          </x14:formula1>
          <xm:sqref>C499</xm:sqref>
        </x14:dataValidation>
        <x14:dataValidation type="list" allowBlank="1" showInputMessage="1" showErrorMessage="1" xr:uid="{00000000-0002-0000-0100-0000F2010000}">
          <x14:formula1>
            <xm:f>CountryGroup!A2:A1000</xm:f>
          </x14:formula1>
          <xm:sqref>C500</xm:sqref>
        </x14:dataValidation>
        <x14:dataValidation type="list" allowBlank="1" showInputMessage="1" showErrorMessage="1" xr:uid="{00000000-0002-0000-0100-0000F3010000}">
          <x14:formula1>
            <xm:f>CountryGroup!A2:A1000</xm:f>
          </x14:formula1>
          <xm:sqref>C501</xm:sqref>
        </x14:dataValidation>
        <x14:dataValidation type="list" allowBlank="1" showInputMessage="1" showErrorMessage="1" xr:uid="{00000000-0002-0000-0100-0000F4010000}">
          <x14:formula1>
            <xm:f>CountryGroup!A2:A1000</xm:f>
          </x14:formula1>
          <xm:sqref>C502</xm:sqref>
        </x14:dataValidation>
        <x14:dataValidation type="list" allowBlank="1" showInputMessage="1" showErrorMessage="1" xr:uid="{00000000-0002-0000-0100-0000F5010000}">
          <x14:formula1>
            <xm:f>CountryGroup!A2:A1000</xm:f>
          </x14:formula1>
          <xm:sqref>C503</xm:sqref>
        </x14:dataValidation>
        <x14:dataValidation type="list" allowBlank="1" showInputMessage="1" showErrorMessage="1" xr:uid="{00000000-0002-0000-0100-0000F6010000}">
          <x14:formula1>
            <xm:f>CountryGroup!A2:A1000</xm:f>
          </x14:formula1>
          <xm:sqref>C504</xm:sqref>
        </x14:dataValidation>
        <x14:dataValidation type="list" allowBlank="1" showInputMessage="1" showErrorMessage="1" xr:uid="{00000000-0002-0000-0100-0000F7010000}">
          <x14:formula1>
            <xm:f>CountryGroup!A2:A1000</xm:f>
          </x14:formula1>
          <xm:sqref>C505</xm:sqref>
        </x14:dataValidation>
        <x14:dataValidation type="list" allowBlank="1" showInputMessage="1" showErrorMessage="1" xr:uid="{00000000-0002-0000-0100-0000F8010000}">
          <x14:formula1>
            <xm:f>CountryGroup!A2:A1000</xm:f>
          </x14:formula1>
          <xm:sqref>C506</xm:sqref>
        </x14:dataValidation>
        <x14:dataValidation type="list" allowBlank="1" showInputMessage="1" showErrorMessage="1" xr:uid="{00000000-0002-0000-0100-0000F9010000}">
          <x14:formula1>
            <xm:f>CountryGroup!A2:A1000</xm:f>
          </x14:formula1>
          <xm:sqref>C507</xm:sqref>
        </x14:dataValidation>
        <x14:dataValidation type="list" allowBlank="1" showInputMessage="1" showErrorMessage="1" xr:uid="{00000000-0002-0000-0100-0000FA010000}">
          <x14:formula1>
            <xm:f>CountryGroup!A2:A1000</xm:f>
          </x14:formula1>
          <xm:sqref>C508</xm:sqref>
        </x14:dataValidation>
        <x14:dataValidation type="list" allowBlank="1" showInputMessage="1" showErrorMessage="1" xr:uid="{00000000-0002-0000-0100-0000FB010000}">
          <x14:formula1>
            <xm:f>CountryGroup!A2:A1000</xm:f>
          </x14:formula1>
          <xm:sqref>C509</xm:sqref>
        </x14:dataValidation>
        <x14:dataValidation type="list" allowBlank="1" showInputMessage="1" showErrorMessage="1" xr:uid="{00000000-0002-0000-0100-0000FC010000}">
          <x14:formula1>
            <xm:f>CountryGroup!A2:A1000</xm:f>
          </x14:formula1>
          <xm:sqref>C510</xm:sqref>
        </x14:dataValidation>
        <x14:dataValidation type="list" allowBlank="1" showInputMessage="1" showErrorMessage="1" xr:uid="{00000000-0002-0000-0100-0000FD010000}">
          <x14:formula1>
            <xm:f>CountryGroup!A2:A1000</xm:f>
          </x14:formula1>
          <xm:sqref>C511</xm:sqref>
        </x14:dataValidation>
        <x14:dataValidation type="list" allowBlank="1" showInputMessage="1" showErrorMessage="1" xr:uid="{00000000-0002-0000-0100-0000FE010000}">
          <x14:formula1>
            <xm:f>CountryGroup!A2:A1000</xm:f>
          </x14:formula1>
          <xm:sqref>C512</xm:sqref>
        </x14:dataValidation>
        <x14:dataValidation type="list" allowBlank="1" showInputMessage="1" showErrorMessage="1" xr:uid="{00000000-0002-0000-0100-0000FF010000}">
          <x14:formula1>
            <xm:f>CountryGroup!A2:A1000</xm:f>
          </x14:formula1>
          <xm:sqref>C513</xm:sqref>
        </x14:dataValidation>
        <x14:dataValidation type="list" allowBlank="1" showInputMessage="1" showErrorMessage="1" xr:uid="{00000000-0002-0000-0100-000000020000}">
          <x14:formula1>
            <xm:f>CountryGroup!A2:A1000</xm:f>
          </x14:formula1>
          <xm:sqref>C514</xm:sqref>
        </x14:dataValidation>
        <x14:dataValidation type="list" allowBlank="1" showInputMessage="1" showErrorMessage="1" xr:uid="{00000000-0002-0000-0100-000001020000}">
          <x14:formula1>
            <xm:f>CountryGroup!A2:A1000</xm:f>
          </x14:formula1>
          <xm:sqref>C515</xm:sqref>
        </x14:dataValidation>
        <x14:dataValidation type="list" allowBlank="1" showInputMessage="1" showErrorMessage="1" xr:uid="{00000000-0002-0000-0100-000002020000}">
          <x14:formula1>
            <xm:f>CountryGroup!A2:A1000</xm:f>
          </x14:formula1>
          <xm:sqref>C516</xm:sqref>
        </x14:dataValidation>
        <x14:dataValidation type="list" allowBlank="1" showInputMessage="1" showErrorMessage="1" xr:uid="{00000000-0002-0000-0100-000003020000}">
          <x14:formula1>
            <xm:f>CountryGroup!A2:A1000</xm:f>
          </x14:formula1>
          <xm:sqref>C517</xm:sqref>
        </x14:dataValidation>
        <x14:dataValidation type="list" allowBlank="1" showInputMessage="1" showErrorMessage="1" xr:uid="{00000000-0002-0000-0100-000004020000}">
          <x14:formula1>
            <xm:f>CountryGroup!A2:A1000</xm:f>
          </x14:formula1>
          <xm:sqref>C518</xm:sqref>
        </x14:dataValidation>
        <x14:dataValidation type="list" allowBlank="1" showInputMessage="1" showErrorMessage="1" xr:uid="{00000000-0002-0000-0100-000005020000}">
          <x14:formula1>
            <xm:f>CountryGroup!A2:A1000</xm:f>
          </x14:formula1>
          <xm:sqref>C519</xm:sqref>
        </x14:dataValidation>
        <x14:dataValidation type="list" allowBlank="1" showInputMessage="1" showErrorMessage="1" xr:uid="{00000000-0002-0000-0100-000006020000}">
          <x14:formula1>
            <xm:f>CountryGroup!A2:A1000</xm:f>
          </x14:formula1>
          <xm:sqref>C520</xm:sqref>
        </x14:dataValidation>
        <x14:dataValidation type="list" allowBlank="1" showInputMessage="1" showErrorMessage="1" xr:uid="{00000000-0002-0000-0100-000007020000}">
          <x14:formula1>
            <xm:f>CountryGroup!A2:A1000</xm:f>
          </x14:formula1>
          <xm:sqref>C521</xm:sqref>
        </x14:dataValidation>
        <x14:dataValidation type="list" allowBlank="1" showInputMessage="1" showErrorMessage="1" xr:uid="{00000000-0002-0000-0100-000008020000}">
          <x14:formula1>
            <xm:f>CountryGroup!A2:A1000</xm:f>
          </x14:formula1>
          <xm:sqref>C522</xm:sqref>
        </x14:dataValidation>
        <x14:dataValidation type="list" allowBlank="1" showInputMessage="1" showErrorMessage="1" xr:uid="{00000000-0002-0000-0100-000009020000}">
          <x14:formula1>
            <xm:f>CountryGroup!A2:A1000</xm:f>
          </x14:formula1>
          <xm:sqref>C523</xm:sqref>
        </x14:dataValidation>
        <x14:dataValidation type="list" allowBlank="1" showInputMessage="1" showErrorMessage="1" xr:uid="{00000000-0002-0000-0100-00000A020000}">
          <x14:formula1>
            <xm:f>CountryGroup!A2:A1000</xm:f>
          </x14:formula1>
          <xm:sqref>C524</xm:sqref>
        </x14:dataValidation>
        <x14:dataValidation type="list" allowBlank="1" showInputMessage="1" showErrorMessage="1" xr:uid="{00000000-0002-0000-0100-00000B020000}">
          <x14:formula1>
            <xm:f>CountryGroup!A2:A1000</xm:f>
          </x14:formula1>
          <xm:sqref>C525</xm:sqref>
        </x14:dataValidation>
        <x14:dataValidation type="list" allowBlank="1" showInputMessage="1" showErrorMessage="1" xr:uid="{00000000-0002-0000-0100-00000C020000}">
          <x14:formula1>
            <xm:f>CountryGroup!A2:A1000</xm:f>
          </x14:formula1>
          <xm:sqref>C526</xm:sqref>
        </x14:dataValidation>
        <x14:dataValidation type="list" allowBlank="1" showInputMessage="1" showErrorMessage="1" xr:uid="{00000000-0002-0000-0100-00000D020000}">
          <x14:formula1>
            <xm:f>CountryGroup!A2:A1000</xm:f>
          </x14:formula1>
          <xm:sqref>C527</xm:sqref>
        </x14:dataValidation>
        <x14:dataValidation type="list" allowBlank="1" showInputMessage="1" showErrorMessage="1" xr:uid="{00000000-0002-0000-0100-00000E020000}">
          <x14:formula1>
            <xm:f>CountryGroup!A2:A1000</xm:f>
          </x14:formula1>
          <xm:sqref>C528</xm:sqref>
        </x14:dataValidation>
        <x14:dataValidation type="list" allowBlank="1" showInputMessage="1" showErrorMessage="1" xr:uid="{00000000-0002-0000-0100-00000F020000}">
          <x14:formula1>
            <xm:f>CountryGroup!A2:A1000</xm:f>
          </x14:formula1>
          <xm:sqref>C529</xm:sqref>
        </x14:dataValidation>
        <x14:dataValidation type="list" allowBlank="1" showInputMessage="1" showErrorMessage="1" xr:uid="{00000000-0002-0000-0100-000010020000}">
          <x14:formula1>
            <xm:f>CountryGroup!A2:A1000</xm:f>
          </x14:formula1>
          <xm:sqref>C530</xm:sqref>
        </x14:dataValidation>
        <x14:dataValidation type="list" allowBlank="1" showInputMessage="1" showErrorMessage="1" xr:uid="{00000000-0002-0000-0100-000011020000}">
          <x14:formula1>
            <xm:f>CountryGroup!A2:A1000</xm:f>
          </x14:formula1>
          <xm:sqref>C531</xm:sqref>
        </x14:dataValidation>
        <x14:dataValidation type="list" allowBlank="1" showInputMessage="1" showErrorMessage="1" xr:uid="{00000000-0002-0000-0100-000012020000}">
          <x14:formula1>
            <xm:f>CountryGroup!A2:A1000</xm:f>
          </x14:formula1>
          <xm:sqref>C532</xm:sqref>
        </x14:dataValidation>
        <x14:dataValidation type="list" allowBlank="1" showInputMessage="1" showErrorMessage="1" xr:uid="{00000000-0002-0000-0100-000013020000}">
          <x14:formula1>
            <xm:f>CountryGroup!A2:A1000</xm:f>
          </x14:formula1>
          <xm:sqref>C533</xm:sqref>
        </x14:dataValidation>
        <x14:dataValidation type="list" allowBlank="1" showInputMessage="1" showErrorMessage="1" xr:uid="{00000000-0002-0000-0100-000014020000}">
          <x14:formula1>
            <xm:f>CountryGroup!A2:A1000</xm:f>
          </x14:formula1>
          <xm:sqref>C534</xm:sqref>
        </x14:dataValidation>
        <x14:dataValidation type="list" allowBlank="1" showInputMessage="1" showErrorMessage="1" xr:uid="{00000000-0002-0000-0100-000015020000}">
          <x14:formula1>
            <xm:f>CountryGroup!A2:A1000</xm:f>
          </x14:formula1>
          <xm:sqref>C535</xm:sqref>
        </x14:dataValidation>
        <x14:dataValidation type="list" allowBlank="1" showInputMessage="1" showErrorMessage="1" xr:uid="{00000000-0002-0000-0100-000016020000}">
          <x14:formula1>
            <xm:f>CountryGroup!A2:A1000</xm:f>
          </x14:formula1>
          <xm:sqref>C536</xm:sqref>
        </x14:dataValidation>
        <x14:dataValidation type="list" allowBlank="1" showInputMessage="1" showErrorMessage="1" xr:uid="{00000000-0002-0000-0100-000017020000}">
          <x14:formula1>
            <xm:f>CountryGroup!A2:A1000</xm:f>
          </x14:formula1>
          <xm:sqref>C537</xm:sqref>
        </x14:dataValidation>
        <x14:dataValidation type="list" allowBlank="1" showInputMessage="1" showErrorMessage="1" xr:uid="{00000000-0002-0000-0100-000018020000}">
          <x14:formula1>
            <xm:f>CountryGroup!A2:A1000</xm:f>
          </x14:formula1>
          <xm:sqref>C538</xm:sqref>
        </x14:dataValidation>
        <x14:dataValidation type="list" allowBlank="1" showInputMessage="1" showErrorMessage="1" xr:uid="{00000000-0002-0000-0100-000019020000}">
          <x14:formula1>
            <xm:f>CountryGroup!A2:A1000</xm:f>
          </x14:formula1>
          <xm:sqref>C539</xm:sqref>
        </x14:dataValidation>
        <x14:dataValidation type="list" allowBlank="1" showInputMessage="1" showErrorMessage="1" xr:uid="{00000000-0002-0000-0100-00001A020000}">
          <x14:formula1>
            <xm:f>CountryGroup!A2:A1000</xm:f>
          </x14:formula1>
          <xm:sqref>C540</xm:sqref>
        </x14:dataValidation>
        <x14:dataValidation type="list" allowBlank="1" showInputMessage="1" showErrorMessage="1" xr:uid="{00000000-0002-0000-0100-00001B020000}">
          <x14:formula1>
            <xm:f>CountryGroup!A2:A1000</xm:f>
          </x14:formula1>
          <xm:sqref>C541</xm:sqref>
        </x14:dataValidation>
        <x14:dataValidation type="list" allowBlank="1" showInputMessage="1" showErrorMessage="1" xr:uid="{00000000-0002-0000-0100-00001C020000}">
          <x14:formula1>
            <xm:f>CountryGroup!A2:A1000</xm:f>
          </x14:formula1>
          <xm:sqref>C542</xm:sqref>
        </x14:dataValidation>
        <x14:dataValidation type="list" allowBlank="1" showInputMessage="1" showErrorMessage="1" xr:uid="{00000000-0002-0000-0100-00001D020000}">
          <x14:formula1>
            <xm:f>CountryGroup!A2:A1000</xm:f>
          </x14:formula1>
          <xm:sqref>C543</xm:sqref>
        </x14:dataValidation>
        <x14:dataValidation type="list" allowBlank="1" showInputMessage="1" showErrorMessage="1" xr:uid="{00000000-0002-0000-0100-00001E020000}">
          <x14:formula1>
            <xm:f>CountryGroup!A2:A1000</xm:f>
          </x14:formula1>
          <xm:sqref>C544</xm:sqref>
        </x14:dataValidation>
        <x14:dataValidation type="list" allowBlank="1" showInputMessage="1" showErrorMessage="1" xr:uid="{00000000-0002-0000-0100-00001F020000}">
          <x14:formula1>
            <xm:f>CountryGroup!A2:A1000</xm:f>
          </x14:formula1>
          <xm:sqref>C545</xm:sqref>
        </x14:dataValidation>
        <x14:dataValidation type="list" allowBlank="1" showInputMessage="1" showErrorMessage="1" xr:uid="{00000000-0002-0000-0100-000020020000}">
          <x14:formula1>
            <xm:f>CountryGroup!A2:A1000</xm:f>
          </x14:formula1>
          <xm:sqref>C546</xm:sqref>
        </x14:dataValidation>
        <x14:dataValidation type="list" allowBlank="1" showInputMessage="1" showErrorMessage="1" xr:uid="{00000000-0002-0000-0100-000021020000}">
          <x14:formula1>
            <xm:f>CountryGroup!A2:A1000</xm:f>
          </x14:formula1>
          <xm:sqref>C547</xm:sqref>
        </x14:dataValidation>
        <x14:dataValidation type="list" allowBlank="1" showInputMessage="1" showErrorMessage="1" xr:uid="{00000000-0002-0000-0100-000022020000}">
          <x14:formula1>
            <xm:f>CountryGroup!A2:A1000</xm:f>
          </x14:formula1>
          <xm:sqref>C548</xm:sqref>
        </x14:dataValidation>
        <x14:dataValidation type="list" allowBlank="1" showInputMessage="1" showErrorMessage="1" xr:uid="{00000000-0002-0000-0100-000023020000}">
          <x14:formula1>
            <xm:f>CountryGroup!A2:A1000</xm:f>
          </x14:formula1>
          <xm:sqref>C549</xm:sqref>
        </x14:dataValidation>
        <x14:dataValidation type="list" allowBlank="1" showInputMessage="1" showErrorMessage="1" xr:uid="{00000000-0002-0000-0100-000024020000}">
          <x14:formula1>
            <xm:f>CountryGroup!A2:A1000</xm:f>
          </x14:formula1>
          <xm:sqref>C550</xm:sqref>
        </x14:dataValidation>
        <x14:dataValidation type="list" allowBlank="1" showInputMessage="1" showErrorMessage="1" xr:uid="{00000000-0002-0000-0100-000025020000}">
          <x14:formula1>
            <xm:f>CountryGroup!A2:A1000</xm:f>
          </x14:formula1>
          <xm:sqref>C551</xm:sqref>
        </x14:dataValidation>
        <x14:dataValidation type="list" allowBlank="1" showInputMessage="1" showErrorMessage="1" xr:uid="{00000000-0002-0000-0100-000026020000}">
          <x14:formula1>
            <xm:f>CountryGroup!A2:A1000</xm:f>
          </x14:formula1>
          <xm:sqref>C552</xm:sqref>
        </x14:dataValidation>
        <x14:dataValidation type="list" allowBlank="1" showInputMessage="1" showErrorMessage="1" xr:uid="{00000000-0002-0000-0100-000027020000}">
          <x14:formula1>
            <xm:f>CountryGroup!A2:A1000</xm:f>
          </x14:formula1>
          <xm:sqref>C553</xm:sqref>
        </x14:dataValidation>
        <x14:dataValidation type="list" allowBlank="1" showInputMessage="1" showErrorMessage="1" xr:uid="{00000000-0002-0000-0100-000028020000}">
          <x14:formula1>
            <xm:f>CountryGroup!A2:A1000</xm:f>
          </x14:formula1>
          <xm:sqref>C554</xm:sqref>
        </x14:dataValidation>
        <x14:dataValidation type="list" allowBlank="1" showInputMessage="1" showErrorMessage="1" xr:uid="{00000000-0002-0000-0100-000029020000}">
          <x14:formula1>
            <xm:f>CountryGroup!A2:A1000</xm:f>
          </x14:formula1>
          <xm:sqref>C555</xm:sqref>
        </x14:dataValidation>
        <x14:dataValidation type="list" allowBlank="1" showInputMessage="1" showErrorMessage="1" xr:uid="{00000000-0002-0000-0100-00002A020000}">
          <x14:formula1>
            <xm:f>CountryGroup!A2:A1000</xm:f>
          </x14:formula1>
          <xm:sqref>C556</xm:sqref>
        </x14:dataValidation>
        <x14:dataValidation type="list" allowBlank="1" showInputMessage="1" showErrorMessage="1" xr:uid="{00000000-0002-0000-0100-00002B020000}">
          <x14:formula1>
            <xm:f>CountryGroup!A2:A1000</xm:f>
          </x14:formula1>
          <xm:sqref>C557</xm:sqref>
        </x14:dataValidation>
        <x14:dataValidation type="list" allowBlank="1" showInputMessage="1" showErrorMessage="1" xr:uid="{00000000-0002-0000-0100-00002C020000}">
          <x14:formula1>
            <xm:f>CountryGroup!A2:A1000</xm:f>
          </x14:formula1>
          <xm:sqref>C558</xm:sqref>
        </x14:dataValidation>
        <x14:dataValidation type="list" allowBlank="1" showInputMessage="1" showErrorMessage="1" xr:uid="{00000000-0002-0000-0100-00002D020000}">
          <x14:formula1>
            <xm:f>CountryGroup!A2:A1000</xm:f>
          </x14:formula1>
          <xm:sqref>C559</xm:sqref>
        </x14:dataValidation>
        <x14:dataValidation type="list" allowBlank="1" showInputMessage="1" showErrorMessage="1" xr:uid="{00000000-0002-0000-0100-00002E020000}">
          <x14:formula1>
            <xm:f>CountryGroup!A2:A1000</xm:f>
          </x14:formula1>
          <xm:sqref>C560</xm:sqref>
        </x14:dataValidation>
        <x14:dataValidation type="list" allowBlank="1" showInputMessage="1" showErrorMessage="1" xr:uid="{00000000-0002-0000-0100-00002F020000}">
          <x14:formula1>
            <xm:f>CountryGroup!A2:A1000</xm:f>
          </x14:formula1>
          <xm:sqref>C561</xm:sqref>
        </x14:dataValidation>
        <x14:dataValidation type="list" allowBlank="1" showInputMessage="1" showErrorMessage="1" xr:uid="{00000000-0002-0000-0100-000030020000}">
          <x14:formula1>
            <xm:f>CountryGroup!A2:A1000</xm:f>
          </x14:formula1>
          <xm:sqref>C562</xm:sqref>
        </x14:dataValidation>
        <x14:dataValidation type="list" allowBlank="1" showInputMessage="1" showErrorMessage="1" xr:uid="{00000000-0002-0000-0100-000031020000}">
          <x14:formula1>
            <xm:f>CountryGroup!A2:A1000</xm:f>
          </x14:formula1>
          <xm:sqref>C563</xm:sqref>
        </x14:dataValidation>
        <x14:dataValidation type="list" allowBlank="1" showInputMessage="1" showErrorMessage="1" xr:uid="{00000000-0002-0000-0100-000032020000}">
          <x14:formula1>
            <xm:f>CountryGroup!A2:A1000</xm:f>
          </x14:formula1>
          <xm:sqref>C564</xm:sqref>
        </x14:dataValidation>
        <x14:dataValidation type="list" allowBlank="1" showInputMessage="1" showErrorMessage="1" xr:uid="{00000000-0002-0000-0100-000033020000}">
          <x14:formula1>
            <xm:f>CountryGroup!A2:A1000</xm:f>
          </x14:formula1>
          <xm:sqref>C565</xm:sqref>
        </x14:dataValidation>
        <x14:dataValidation type="list" allowBlank="1" showInputMessage="1" showErrorMessage="1" xr:uid="{00000000-0002-0000-0100-000034020000}">
          <x14:formula1>
            <xm:f>CountryGroup!A2:A1000</xm:f>
          </x14:formula1>
          <xm:sqref>C566</xm:sqref>
        </x14:dataValidation>
        <x14:dataValidation type="list" allowBlank="1" showInputMessage="1" showErrorMessage="1" xr:uid="{00000000-0002-0000-0100-000035020000}">
          <x14:formula1>
            <xm:f>CountryGroup!A2:A1000</xm:f>
          </x14:formula1>
          <xm:sqref>C567</xm:sqref>
        </x14:dataValidation>
        <x14:dataValidation type="list" allowBlank="1" showInputMessage="1" showErrorMessage="1" xr:uid="{00000000-0002-0000-0100-000036020000}">
          <x14:formula1>
            <xm:f>CountryGroup!A2:A1000</xm:f>
          </x14:formula1>
          <xm:sqref>C568</xm:sqref>
        </x14:dataValidation>
        <x14:dataValidation type="list" allowBlank="1" showInputMessage="1" showErrorMessage="1" xr:uid="{00000000-0002-0000-0100-000037020000}">
          <x14:formula1>
            <xm:f>CountryGroup!A2:A1000</xm:f>
          </x14:formula1>
          <xm:sqref>C569</xm:sqref>
        </x14:dataValidation>
        <x14:dataValidation type="list" allowBlank="1" showInputMessage="1" showErrorMessage="1" xr:uid="{00000000-0002-0000-0100-000038020000}">
          <x14:formula1>
            <xm:f>CountryGroup!A2:A1000</xm:f>
          </x14:formula1>
          <xm:sqref>C570</xm:sqref>
        </x14:dataValidation>
        <x14:dataValidation type="list" allowBlank="1" showInputMessage="1" showErrorMessage="1" xr:uid="{00000000-0002-0000-0100-000039020000}">
          <x14:formula1>
            <xm:f>CountryGroup!A2:A1000</xm:f>
          </x14:formula1>
          <xm:sqref>C571</xm:sqref>
        </x14:dataValidation>
        <x14:dataValidation type="list" allowBlank="1" showInputMessage="1" showErrorMessage="1" xr:uid="{00000000-0002-0000-0100-00003A020000}">
          <x14:formula1>
            <xm:f>CountryGroup!A2:A1000</xm:f>
          </x14:formula1>
          <xm:sqref>C572</xm:sqref>
        </x14:dataValidation>
        <x14:dataValidation type="list" allowBlank="1" showInputMessage="1" showErrorMessage="1" xr:uid="{00000000-0002-0000-0100-00003B020000}">
          <x14:formula1>
            <xm:f>CountryGroup!A2:A1000</xm:f>
          </x14:formula1>
          <xm:sqref>C573</xm:sqref>
        </x14:dataValidation>
        <x14:dataValidation type="list" allowBlank="1" showInputMessage="1" showErrorMessage="1" xr:uid="{00000000-0002-0000-0100-00003C020000}">
          <x14:formula1>
            <xm:f>CountryGroup!A2:A1000</xm:f>
          </x14:formula1>
          <xm:sqref>C574</xm:sqref>
        </x14:dataValidation>
        <x14:dataValidation type="list" allowBlank="1" showInputMessage="1" showErrorMessage="1" xr:uid="{00000000-0002-0000-0100-00003D020000}">
          <x14:formula1>
            <xm:f>CountryGroup!A2:A1000</xm:f>
          </x14:formula1>
          <xm:sqref>C575</xm:sqref>
        </x14:dataValidation>
        <x14:dataValidation type="list" allowBlank="1" showInputMessage="1" showErrorMessage="1" xr:uid="{00000000-0002-0000-0100-00003E020000}">
          <x14:formula1>
            <xm:f>CountryGroup!A2:A1000</xm:f>
          </x14:formula1>
          <xm:sqref>C576</xm:sqref>
        </x14:dataValidation>
        <x14:dataValidation type="list" allowBlank="1" showInputMessage="1" showErrorMessage="1" xr:uid="{00000000-0002-0000-0100-00003F020000}">
          <x14:formula1>
            <xm:f>CountryGroup!A2:A1000</xm:f>
          </x14:formula1>
          <xm:sqref>C577</xm:sqref>
        </x14:dataValidation>
        <x14:dataValidation type="list" allowBlank="1" showInputMessage="1" showErrorMessage="1" xr:uid="{00000000-0002-0000-0100-000040020000}">
          <x14:formula1>
            <xm:f>CountryGroup!A2:A1000</xm:f>
          </x14:formula1>
          <xm:sqref>C578</xm:sqref>
        </x14:dataValidation>
        <x14:dataValidation type="list" allowBlank="1" showInputMessage="1" showErrorMessage="1" xr:uid="{00000000-0002-0000-0100-000041020000}">
          <x14:formula1>
            <xm:f>CountryGroup!A2:A1000</xm:f>
          </x14:formula1>
          <xm:sqref>C579</xm:sqref>
        </x14:dataValidation>
        <x14:dataValidation type="list" allowBlank="1" showInputMessage="1" showErrorMessage="1" xr:uid="{00000000-0002-0000-0100-000042020000}">
          <x14:formula1>
            <xm:f>CountryGroup!A2:A1000</xm:f>
          </x14:formula1>
          <xm:sqref>C580</xm:sqref>
        </x14:dataValidation>
        <x14:dataValidation type="list" allowBlank="1" showInputMessage="1" showErrorMessage="1" xr:uid="{00000000-0002-0000-0100-000043020000}">
          <x14:formula1>
            <xm:f>CountryGroup!A2:A1000</xm:f>
          </x14:formula1>
          <xm:sqref>C581</xm:sqref>
        </x14:dataValidation>
        <x14:dataValidation type="list" allowBlank="1" showInputMessage="1" showErrorMessage="1" xr:uid="{00000000-0002-0000-0100-000044020000}">
          <x14:formula1>
            <xm:f>CountryGroup!A2:A1000</xm:f>
          </x14:formula1>
          <xm:sqref>C582</xm:sqref>
        </x14:dataValidation>
        <x14:dataValidation type="list" allowBlank="1" showInputMessage="1" showErrorMessage="1" xr:uid="{00000000-0002-0000-0100-000045020000}">
          <x14:formula1>
            <xm:f>CountryGroup!A2:A1000</xm:f>
          </x14:formula1>
          <xm:sqref>C583</xm:sqref>
        </x14:dataValidation>
        <x14:dataValidation type="list" allowBlank="1" showInputMessage="1" showErrorMessage="1" xr:uid="{00000000-0002-0000-0100-000046020000}">
          <x14:formula1>
            <xm:f>CountryGroup!A2:A1000</xm:f>
          </x14:formula1>
          <xm:sqref>C584</xm:sqref>
        </x14:dataValidation>
        <x14:dataValidation type="list" allowBlank="1" showInputMessage="1" showErrorMessage="1" xr:uid="{00000000-0002-0000-0100-000047020000}">
          <x14:formula1>
            <xm:f>CountryGroup!A2:A1000</xm:f>
          </x14:formula1>
          <xm:sqref>C585</xm:sqref>
        </x14:dataValidation>
        <x14:dataValidation type="list" allowBlank="1" showInputMessage="1" showErrorMessage="1" xr:uid="{00000000-0002-0000-0100-000048020000}">
          <x14:formula1>
            <xm:f>CountryGroup!A2:A1000</xm:f>
          </x14:formula1>
          <xm:sqref>C586</xm:sqref>
        </x14:dataValidation>
        <x14:dataValidation type="list" allowBlank="1" showInputMessage="1" showErrorMessage="1" xr:uid="{00000000-0002-0000-0100-000049020000}">
          <x14:formula1>
            <xm:f>CountryGroup!A2:A1000</xm:f>
          </x14:formula1>
          <xm:sqref>C587</xm:sqref>
        </x14:dataValidation>
        <x14:dataValidation type="list" allowBlank="1" showInputMessage="1" showErrorMessage="1" xr:uid="{00000000-0002-0000-0100-00004A020000}">
          <x14:formula1>
            <xm:f>CountryGroup!A2:A1000</xm:f>
          </x14:formula1>
          <xm:sqref>C588</xm:sqref>
        </x14:dataValidation>
        <x14:dataValidation type="list" allowBlank="1" showInputMessage="1" showErrorMessage="1" xr:uid="{00000000-0002-0000-0100-00004B020000}">
          <x14:formula1>
            <xm:f>CountryGroup!A2:A1000</xm:f>
          </x14:formula1>
          <xm:sqref>C589</xm:sqref>
        </x14:dataValidation>
        <x14:dataValidation type="list" allowBlank="1" showInputMessage="1" showErrorMessage="1" xr:uid="{00000000-0002-0000-0100-00004C020000}">
          <x14:formula1>
            <xm:f>CountryGroup!A2:A1000</xm:f>
          </x14:formula1>
          <xm:sqref>C590</xm:sqref>
        </x14:dataValidation>
        <x14:dataValidation type="list" allowBlank="1" showInputMessage="1" showErrorMessage="1" xr:uid="{00000000-0002-0000-0100-00004D020000}">
          <x14:formula1>
            <xm:f>CountryGroup!A2:A1000</xm:f>
          </x14:formula1>
          <xm:sqref>C591</xm:sqref>
        </x14:dataValidation>
        <x14:dataValidation type="list" allowBlank="1" showInputMessage="1" showErrorMessage="1" xr:uid="{00000000-0002-0000-0100-00004E020000}">
          <x14:formula1>
            <xm:f>CountryGroup!A2:A1000</xm:f>
          </x14:formula1>
          <xm:sqref>C592</xm:sqref>
        </x14:dataValidation>
        <x14:dataValidation type="list" allowBlank="1" showInputMessage="1" showErrorMessage="1" xr:uid="{00000000-0002-0000-0100-00004F020000}">
          <x14:formula1>
            <xm:f>CountryGroup!A2:A1000</xm:f>
          </x14:formula1>
          <xm:sqref>C593</xm:sqref>
        </x14:dataValidation>
        <x14:dataValidation type="list" allowBlank="1" showInputMessage="1" showErrorMessage="1" xr:uid="{00000000-0002-0000-0100-000050020000}">
          <x14:formula1>
            <xm:f>CountryGroup!A2:A1000</xm:f>
          </x14:formula1>
          <xm:sqref>C594</xm:sqref>
        </x14:dataValidation>
        <x14:dataValidation type="list" allowBlank="1" showInputMessage="1" showErrorMessage="1" xr:uid="{00000000-0002-0000-0100-000051020000}">
          <x14:formula1>
            <xm:f>CountryGroup!A2:A1000</xm:f>
          </x14:formula1>
          <xm:sqref>C595</xm:sqref>
        </x14:dataValidation>
        <x14:dataValidation type="list" allowBlank="1" showInputMessage="1" showErrorMessage="1" xr:uid="{00000000-0002-0000-0100-000052020000}">
          <x14:formula1>
            <xm:f>CountryGroup!A2:A1000</xm:f>
          </x14:formula1>
          <xm:sqref>C596</xm:sqref>
        </x14:dataValidation>
        <x14:dataValidation type="list" allowBlank="1" showInputMessage="1" showErrorMessage="1" xr:uid="{00000000-0002-0000-0100-000053020000}">
          <x14:formula1>
            <xm:f>CountryGroup!A2:A1000</xm:f>
          </x14:formula1>
          <xm:sqref>C597</xm:sqref>
        </x14:dataValidation>
        <x14:dataValidation type="list" allowBlank="1" showInputMessage="1" showErrorMessage="1" xr:uid="{00000000-0002-0000-0100-000054020000}">
          <x14:formula1>
            <xm:f>CountryGroup!A2:A1000</xm:f>
          </x14:formula1>
          <xm:sqref>C598</xm:sqref>
        </x14:dataValidation>
        <x14:dataValidation type="list" allowBlank="1" showInputMessage="1" showErrorMessage="1" xr:uid="{00000000-0002-0000-0100-000055020000}">
          <x14:formula1>
            <xm:f>CountryGroup!A2:A1000</xm:f>
          </x14:formula1>
          <xm:sqref>C599</xm:sqref>
        </x14:dataValidation>
        <x14:dataValidation type="list" allowBlank="1" showInputMessage="1" showErrorMessage="1" xr:uid="{00000000-0002-0000-0100-000056020000}">
          <x14:formula1>
            <xm:f>CountryGroup!A2:A1000</xm:f>
          </x14:formula1>
          <xm:sqref>C600</xm:sqref>
        </x14:dataValidation>
        <x14:dataValidation type="list" allowBlank="1" showInputMessage="1" showErrorMessage="1" xr:uid="{00000000-0002-0000-0100-000057020000}">
          <x14:formula1>
            <xm:f>CountryGroup!A2:A1000</xm:f>
          </x14:formula1>
          <xm:sqref>C601</xm:sqref>
        </x14:dataValidation>
        <x14:dataValidation type="list" allowBlank="1" showInputMessage="1" showErrorMessage="1" xr:uid="{00000000-0002-0000-0100-000058020000}">
          <x14:formula1>
            <xm:f>CountryGroup!A2:A1000</xm:f>
          </x14:formula1>
          <xm:sqref>C602</xm:sqref>
        </x14:dataValidation>
        <x14:dataValidation type="list" allowBlank="1" showInputMessage="1" showErrorMessage="1" xr:uid="{00000000-0002-0000-0100-000059020000}">
          <x14:formula1>
            <xm:f>CountryGroup!A2:A1000</xm:f>
          </x14:formula1>
          <xm:sqref>C603</xm:sqref>
        </x14:dataValidation>
        <x14:dataValidation type="list" allowBlank="1" showInputMessage="1" showErrorMessage="1" xr:uid="{00000000-0002-0000-0100-00005A020000}">
          <x14:formula1>
            <xm:f>CountryGroup!A2:A1000</xm:f>
          </x14:formula1>
          <xm:sqref>C604</xm:sqref>
        </x14:dataValidation>
        <x14:dataValidation type="list" allowBlank="1" showInputMessage="1" showErrorMessage="1" xr:uid="{00000000-0002-0000-0100-00005B020000}">
          <x14:formula1>
            <xm:f>CountryGroup!A2:A1000</xm:f>
          </x14:formula1>
          <xm:sqref>C605</xm:sqref>
        </x14:dataValidation>
        <x14:dataValidation type="list" allowBlank="1" showInputMessage="1" showErrorMessage="1" xr:uid="{00000000-0002-0000-0100-00005C020000}">
          <x14:formula1>
            <xm:f>CountryGroup!A2:A1000</xm:f>
          </x14:formula1>
          <xm:sqref>C606</xm:sqref>
        </x14:dataValidation>
        <x14:dataValidation type="list" allowBlank="1" showInputMessage="1" showErrorMessage="1" xr:uid="{00000000-0002-0000-0100-00005D020000}">
          <x14:formula1>
            <xm:f>CountryGroup!A2:A1000</xm:f>
          </x14:formula1>
          <xm:sqref>C607</xm:sqref>
        </x14:dataValidation>
        <x14:dataValidation type="list" allowBlank="1" showInputMessage="1" showErrorMessage="1" xr:uid="{00000000-0002-0000-0100-00005E020000}">
          <x14:formula1>
            <xm:f>CountryGroup!A2:A1000</xm:f>
          </x14:formula1>
          <xm:sqref>C608</xm:sqref>
        </x14:dataValidation>
        <x14:dataValidation type="list" allowBlank="1" showInputMessage="1" showErrorMessage="1" xr:uid="{00000000-0002-0000-0100-00005F020000}">
          <x14:formula1>
            <xm:f>CountryGroup!A2:A1000</xm:f>
          </x14:formula1>
          <xm:sqref>C609</xm:sqref>
        </x14:dataValidation>
        <x14:dataValidation type="list" allowBlank="1" showInputMessage="1" showErrorMessage="1" xr:uid="{00000000-0002-0000-0100-000060020000}">
          <x14:formula1>
            <xm:f>CountryGroup!A2:A1000</xm:f>
          </x14:formula1>
          <xm:sqref>C610</xm:sqref>
        </x14:dataValidation>
        <x14:dataValidation type="list" allowBlank="1" showInputMessage="1" showErrorMessage="1" xr:uid="{00000000-0002-0000-0100-000061020000}">
          <x14:formula1>
            <xm:f>CountryGroup!A2:A1000</xm:f>
          </x14:formula1>
          <xm:sqref>C611</xm:sqref>
        </x14:dataValidation>
        <x14:dataValidation type="list" allowBlank="1" showInputMessage="1" showErrorMessage="1" xr:uid="{00000000-0002-0000-0100-000062020000}">
          <x14:formula1>
            <xm:f>CountryGroup!A2:A1000</xm:f>
          </x14:formula1>
          <xm:sqref>C612</xm:sqref>
        </x14:dataValidation>
        <x14:dataValidation type="list" allowBlank="1" showInputMessage="1" showErrorMessage="1" xr:uid="{00000000-0002-0000-0100-000063020000}">
          <x14:formula1>
            <xm:f>CountryGroup!A2:A1000</xm:f>
          </x14:formula1>
          <xm:sqref>C613</xm:sqref>
        </x14:dataValidation>
        <x14:dataValidation type="list" allowBlank="1" showInputMessage="1" showErrorMessage="1" xr:uid="{00000000-0002-0000-0100-000064020000}">
          <x14:formula1>
            <xm:f>CountryGroup!A2:A1000</xm:f>
          </x14:formula1>
          <xm:sqref>C614</xm:sqref>
        </x14:dataValidation>
        <x14:dataValidation type="list" allowBlank="1" showInputMessage="1" showErrorMessage="1" xr:uid="{00000000-0002-0000-0100-000065020000}">
          <x14:formula1>
            <xm:f>CountryGroup!A2:A1000</xm:f>
          </x14:formula1>
          <xm:sqref>C615</xm:sqref>
        </x14:dataValidation>
        <x14:dataValidation type="list" allowBlank="1" showInputMessage="1" showErrorMessage="1" xr:uid="{00000000-0002-0000-0100-000066020000}">
          <x14:formula1>
            <xm:f>CountryGroup!A2:A1000</xm:f>
          </x14:formula1>
          <xm:sqref>C616</xm:sqref>
        </x14:dataValidation>
        <x14:dataValidation type="list" allowBlank="1" showInputMessage="1" showErrorMessage="1" xr:uid="{00000000-0002-0000-0100-000067020000}">
          <x14:formula1>
            <xm:f>CountryGroup!A2:A1000</xm:f>
          </x14:formula1>
          <xm:sqref>C617</xm:sqref>
        </x14:dataValidation>
        <x14:dataValidation type="list" allowBlank="1" showInputMessage="1" showErrorMessage="1" xr:uid="{00000000-0002-0000-0100-000068020000}">
          <x14:formula1>
            <xm:f>CountryGroup!A2:A1000</xm:f>
          </x14:formula1>
          <xm:sqref>C618</xm:sqref>
        </x14:dataValidation>
        <x14:dataValidation type="list" allowBlank="1" showInputMessage="1" showErrorMessage="1" xr:uid="{00000000-0002-0000-0100-000069020000}">
          <x14:formula1>
            <xm:f>CountryGroup!A2:A1000</xm:f>
          </x14:formula1>
          <xm:sqref>C619</xm:sqref>
        </x14:dataValidation>
        <x14:dataValidation type="list" allowBlank="1" showInputMessage="1" showErrorMessage="1" xr:uid="{00000000-0002-0000-0100-00006A020000}">
          <x14:formula1>
            <xm:f>CountryGroup!A2:A1000</xm:f>
          </x14:formula1>
          <xm:sqref>C620</xm:sqref>
        </x14:dataValidation>
        <x14:dataValidation type="list" allowBlank="1" showInputMessage="1" showErrorMessage="1" xr:uid="{00000000-0002-0000-0100-00006B020000}">
          <x14:formula1>
            <xm:f>CountryGroup!A2:A1000</xm:f>
          </x14:formula1>
          <xm:sqref>C621</xm:sqref>
        </x14:dataValidation>
        <x14:dataValidation type="list" allowBlank="1" showInputMessage="1" showErrorMessage="1" xr:uid="{00000000-0002-0000-0100-00006C020000}">
          <x14:formula1>
            <xm:f>CountryGroup!A2:A1000</xm:f>
          </x14:formula1>
          <xm:sqref>C622</xm:sqref>
        </x14:dataValidation>
        <x14:dataValidation type="list" allowBlank="1" showInputMessage="1" showErrorMessage="1" xr:uid="{00000000-0002-0000-0100-00006D020000}">
          <x14:formula1>
            <xm:f>CountryGroup!A2:A1000</xm:f>
          </x14:formula1>
          <xm:sqref>C623</xm:sqref>
        </x14:dataValidation>
        <x14:dataValidation type="list" allowBlank="1" showInputMessage="1" showErrorMessage="1" xr:uid="{00000000-0002-0000-0100-00006E020000}">
          <x14:formula1>
            <xm:f>CountryGroup!A2:A1000</xm:f>
          </x14:formula1>
          <xm:sqref>C624</xm:sqref>
        </x14:dataValidation>
        <x14:dataValidation type="list" allowBlank="1" showInputMessage="1" showErrorMessage="1" xr:uid="{00000000-0002-0000-0100-00006F020000}">
          <x14:formula1>
            <xm:f>CountryGroup!A2:A1000</xm:f>
          </x14:formula1>
          <xm:sqref>C625</xm:sqref>
        </x14:dataValidation>
        <x14:dataValidation type="list" allowBlank="1" showInputMessage="1" showErrorMessage="1" xr:uid="{00000000-0002-0000-0100-000070020000}">
          <x14:formula1>
            <xm:f>CountryGroup!A2:A1000</xm:f>
          </x14:formula1>
          <xm:sqref>C626</xm:sqref>
        </x14:dataValidation>
        <x14:dataValidation type="list" allowBlank="1" showInputMessage="1" showErrorMessage="1" xr:uid="{00000000-0002-0000-0100-000071020000}">
          <x14:formula1>
            <xm:f>CountryGroup!A2:A1000</xm:f>
          </x14:formula1>
          <xm:sqref>C627</xm:sqref>
        </x14:dataValidation>
        <x14:dataValidation type="list" allowBlank="1" showInputMessage="1" showErrorMessage="1" xr:uid="{00000000-0002-0000-0100-000072020000}">
          <x14:formula1>
            <xm:f>CountryGroup!A2:A1000</xm:f>
          </x14:formula1>
          <xm:sqref>C628</xm:sqref>
        </x14:dataValidation>
        <x14:dataValidation type="list" allowBlank="1" showInputMessage="1" showErrorMessage="1" xr:uid="{00000000-0002-0000-0100-000073020000}">
          <x14:formula1>
            <xm:f>CountryGroup!A2:A1000</xm:f>
          </x14:formula1>
          <xm:sqref>C629</xm:sqref>
        </x14:dataValidation>
        <x14:dataValidation type="list" allowBlank="1" showInputMessage="1" showErrorMessage="1" xr:uid="{00000000-0002-0000-0100-000074020000}">
          <x14:formula1>
            <xm:f>CountryGroup!A2:A1000</xm:f>
          </x14:formula1>
          <xm:sqref>C630</xm:sqref>
        </x14:dataValidation>
        <x14:dataValidation type="list" allowBlank="1" showInputMessage="1" showErrorMessage="1" xr:uid="{00000000-0002-0000-0100-000075020000}">
          <x14:formula1>
            <xm:f>CountryGroup!A2:A1000</xm:f>
          </x14:formula1>
          <xm:sqref>C631</xm:sqref>
        </x14:dataValidation>
        <x14:dataValidation type="list" allowBlank="1" showInputMessage="1" showErrorMessage="1" xr:uid="{00000000-0002-0000-0100-000076020000}">
          <x14:formula1>
            <xm:f>CountryGroup!A2:A1000</xm:f>
          </x14:formula1>
          <xm:sqref>C632</xm:sqref>
        </x14:dataValidation>
        <x14:dataValidation type="list" allowBlank="1" showInputMessage="1" showErrorMessage="1" xr:uid="{00000000-0002-0000-0100-000077020000}">
          <x14:formula1>
            <xm:f>CountryGroup!A2:A1000</xm:f>
          </x14:formula1>
          <xm:sqref>C633</xm:sqref>
        </x14:dataValidation>
        <x14:dataValidation type="list" allowBlank="1" showInputMessage="1" showErrorMessage="1" xr:uid="{00000000-0002-0000-0100-000078020000}">
          <x14:formula1>
            <xm:f>CountryGroup!A2:A1000</xm:f>
          </x14:formula1>
          <xm:sqref>C634</xm:sqref>
        </x14:dataValidation>
        <x14:dataValidation type="list" allowBlank="1" showInputMessage="1" showErrorMessage="1" xr:uid="{00000000-0002-0000-0100-000079020000}">
          <x14:formula1>
            <xm:f>CountryGroup!A2:A1000</xm:f>
          </x14:formula1>
          <xm:sqref>C635</xm:sqref>
        </x14:dataValidation>
        <x14:dataValidation type="list" allowBlank="1" showInputMessage="1" showErrorMessage="1" xr:uid="{00000000-0002-0000-0100-00007A020000}">
          <x14:formula1>
            <xm:f>CountryGroup!A2:A1000</xm:f>
          </x14:formula1>
          <xm:sqref>C636</xm:sqref>
        </x14:dataValidation>
        <x14:dataValidation type="list" allowBlank="1" showInputMessage="1" showErrorMessage="1" xr:uid="{00000000-0002-0000-0100-00007B020000}">
          <x14:formula1>
            <xm:f>CountryGroup!A2:A1000</xm:f>
          </x14:formula1>
          <xm:sqref>C637</xm:sqref>
        </x14:dataValidation>
        <x14:dataValidation type="list" allowBlank="1" showInputMessage="1" showErrorMessage="1" xr:uid="{00000000-0002-0000-0100-00007C020000}">
          <x14:formula1>
            <xm:f>CountryGroup!A2:A1000</xm:f>
          </x14:formula1>
          <xm:sqref>C638</xm:sqref>
        </x14:dataValidation>
        <x14:dataValidation type="list" allowBlank="1" showInputMessage="1" showErrorMessage="1" xr:uid="{00000000-0002-0000-0100-00007D020000}">
          <x14:formula1>
            <xm:f>CountryGroup!A2:A1000</xm:f>
          </x14:formula1>
          <xm:sqref>C639</xm:sqref>
        </x14:dataValidation>
        <x14:dataValidation type="list" allowBlank="1" showInputMessage="1" showErrorMessage="1" xr:uid="{00000000-0002-0000-0100-00007E020000}">
          <x14:formula1>
            <xm:f>CountryGroup!A2:A1000</xm:f>
          </x14:formula1>
          <xm:sqref>C640</xm:sqref>
        </x14:dataValidation>
        <x14:dataValidation type="list" allowBlank="1" showInputMessage="1" showErrorMessage="1" xr:uid="{00000000-0002-0000-0100-00007F020000}">
          <x14:formula1>
            <xm:f>CountryGroup!A2:A1000</xm:f>
          </x14:formula1>
          <xm:sqref>C641</xm:sqref>
        </x14:dataValidation>
        <x14:dataValidation type="list" allowBlank="1" showInputMessage="1" showErrorMessage="1" xr:uid="{00000000-0002-0000-0100-000080020000}">
          <x14:formula1>
            <xm:f>CountryGroup!A2:A1000</xm:f>
          </x14:formula1>
          <xm:sqref>C642</xm:sqref>
        </x14:dataValidation>
        <x14:dataValidation type="list" allowBlank="1" showInputMessage="1" showErrorMessage="1" xr:uid="{00000000-0002-0000-0100-000081020000}">
          <x14:formula1>
            <xm:f>CountryGroup!A2:A1000</xm:f>
          </x14:formula1>
          <xm:sqref>C643</xm:sqref>
        </x14:dataValidation>
        <x14:dataValidation type="list" allowBlank="1" showInputMessage="1" showErrorMessage="1" xr:uid="{00000000-0002-0000-0100-000082020000}">
          <x14:formula1>
            <xm:f>CountryGroup!A2:A1000</xm:f>
          </x14:formula1>
          <xm:sqref>C644</xm:sqref>
        </x14:dataValidation>
        <x14:dataValidation type="list" allowBlank="1" showInputMessage="1" showErrorMessage="1" xr:uid="{00000000-0002-0000-0100-000083020000}">
          <x14:formula1>
            <xm:f>CountryGroup!A2:A1000</xm:f>
          </x14:formula1>
          <xm:sqref>C645</xm:sqref>
        </x14:dataValidation>
        <x14:dataValidation type="list" allowBlank="1" showInputMessage="1" showErrorMessage="1" xr:uid="{00000000-0002-0000-0100-000084020000}">
          <x14:formula1>
            <xm:f>CountryGroup!A2:A1000</xm:f>
          </x14:formula1>
          <xm:sqref>C646</xm:sqref>
        </x14:dataValidation>
        <x14:dataValidation type="list" allowBlank="1" showInputMessage="1" showErrorMessage="1" xr:uid="{00000000-0002-0000-0100-000085020000}">
          <x14:formula1>
            <xm:f>CountryGroup!A2:A1000</xm:f>
          </x14:formula1>
          <xm:sqref>C647</xm:sqref>
        </x14:dataValidation>
        <x14:dataValidation type="list" allowBlank="1" showInputMessage="1" showErrorMessage="1" xr:uid="{00000000-0002-0000-0100-000086020000}">
          <x14:formula1>
            <xm:f>CountryGroup!A2:A1000</xm:f>
          </x14:formula1>
          <xm:sqref>C648</xm:sqref>
        </x14:dataValidation>
        <x14:dataValidation type="list" allowBlank="1" showInputMessage="1" showErrorMessage="1" xr:uid="{00000000-0002-0000-0100-000087020000}">
          <x14:formula1>
            <xm:f>CountryGroup!A2:A1000</xm:f>
          </x14:formula1>
          <xm:sqref>C649</xm:sqref>
        </x14:dataValidation>
        <x14:dataValidation type="list" allowBlank="1" showInputMessage="1" showErrorMessage="1" xr:uid="{00000000-0002-0000-0100-000088020000}">
          <x14:formula1>
            <xm:f>CountryGroup!A2:A1000</xm:f>
          </x14:formula1>
          <xm:sqref>C650</xm:sqref>
        </x14:dataValidation>
        <x14:dataValidation type="list" allowBlank="1" showInputMessage="1" showErrorMessage="1" xr:uid="{00000000-0002-0000-0100-000089020000}">
          <x14:formula1>
            <xm:f>CountryGroup!A2:A1000</xm:f>
          </x14:formula1>
          <xm:sqref>C651</xm:sqref>
        </x14:dataValidation>
        <x14:dataValidation type="list" allowBlank="1" showInputMessage="1" showErrorMessage="1" xr:uid="{00000000-0002-0000-0100-00008A020000}">
          <x14:formula1>
            <xm:f>CountryGroup!A2:A1000</xm:f>
          </x14:formula1>
          <xm:sqref>C652</xm:sqref>
        </x14:dataValidation>
        <x14:dataValidation type="list" allowBlank="1" showInputMessage="1" showErrorMessage="1" xr:uid="{00000000-0002-0000-0100-00008B020000}">
          <x14:formula1>
            <xm:f>CountryGroup!A2:A1000</xm:f>
          </x14:formula1>
          <xm:sqref>C653</xm:sqref>
        </x14:dataValidation>
        <x14:dataValidation type="list" allowBlank="1" showInputMessage="1" showErrorMessage="1" xr:uid="{00000000-0002-0000-0100-00008C020000}">
          <x14:formula1>
            <xm:f>CountryGroup!A2:A1000</xm:f>
          </x14:formula1>
          <xm:sqref>C654</xm:sqref>
        </x14:dataValidation>
        <x14:dataValidation type="list" allowBlank="1" showInputMessage="1" showErrorMessage="1" xr:uid="{00000000-0002-0000-0100-00008D020000}">
          <x14:formula1>
            <xm:f>CountryGroup!A2:A1000</xm:f>
          </x14:formula1>
          <xm:sqref>C655</xm:sqref>
        </x14:dataValidation>
        <x14:dataValidation type="list" allowBlank="1" showInputMessage="1" showErrorMessage="1" xr:uid="{00000000-0002-0000-0100-00008E020000}">
          <x14:formula1>
            <xm:f>CountryGroup!A2:A1000</xm:f>
          </x14:formula1>
          <xm:sqref>C656</xm:sqref>
        </x14:dataValidation>
        <x14:dataValidation type="list" allowBlank="1" showInputMessage="1" showErrorMessage="1" xr:uid="{00000000-0002-0000-0100-00008F020000}">
          <x14:formula1>
            <xm:f>CountryGroup!A2:A1000</xm:f>
          </x14:formula1>
          <xm:sqref>C657</xm:sqref>
        </x14:dataValidation>
        <x14:dataValidation type="list" allowBlank="1" showInputMessage="1" showErrorMessage="1" xr:uid="{00000000-0002-0000-0100-000090020000}">
          <x14:formula1>
            <xm:f>CountryGroup!A2:A1000</xm:f>
          </x14:formula1>
          <xm:sqref>C658</xm:sqref>
        </x14:dataValidation>
        <x14:dataValidation type="list" allowBlank="1" showInputMessage="1" showErrorMessage="1" xr:uid="{00000000-0002-0000-0100-000091020000}">
          <x14:formula1>
            <xm:f>CountryGroup!A2:A1000</xm:f>
          </x14:formula1>
          <xm:sqref>C659</xm:sqref>
        </x14:dataValidation>
        <x14:dataValidation type="list" allowBlank="1" showInputMessage="1" showErrorMessage="1" xr:uid="{00000000-0002-0000-0100-000092020000}">
          <x14:formula1>
            <xm:f>CountryGroup!A2:A1000</xm:f>
          </x14:formula1>
          <xm:sqref>C660</xm:sqref>
        </x14:dataValidation>
        <x14:dataValidation type="list" allowBlank="1" showInputMessage="1" showErrorMessage="1" xr:uid="{00000000-0002-0000-0100-000093020000}">
          <x14:formula1>
            <xm:f>CountryGroup!A2:A1000</xm:f>
          </x14:formula1>
          <xm:sqref>C661</xm:sqref>
        </x14:dataValidation>
        <x14:dataValidation type="list" allowBlank="1" showInputMessage="1" showErrorMessage="1" xr:uid="{00000000-0002-0000-0100-000094020000}">
          <x14:formula1>
            <xm:f>CountryGroup!A2:A1000</xm:f>
          </x14:formula1>
          <xm:sqref>C662</xm:sqref>
        </x14:dataValidation>
        <x14:dataValidation type="list" allowBlank="1" showInputMessage="1" showErrorMessage="1" xr:uid="{00000000-0002-0000-0100-000095020000}">
          <x14:formula1>
            <xm:f>CountryGroup!A2:A1000</xm:f>
          </x14:formula1>
          <xm:sqref>C663</xm:sqref>
        </x14:dataValidation>
        <x14:dataValidation type="list" allowBlank="1" showInputMessage="1" showErrorMessage="1" xr:uid="{00000000-0002-0000-0100-000096020000}">
          <x14:formula1>
            <xm:f>CountryGroup!A2:A1000</xm:f>
          </x14:formula1>
          <xm:sqref>C664</xm:sqref>
        </x14:dataValidation>
        <x14:dataValidation type="list" allowBlank="1" showInputMessage="1" showErrorMessage="1" xr:uid="{00000000-0002-0000-0100-000097020000}">
          <x14:formula1>
            <xm:f>CountryGroup!A2:A1000</xm:f>
          </x14:formula1>
          <xm:sqref>C665</xm:sqref>
        </x14:dataValidation>
        <x14:dataValidation type="list" allowBlank="1" showInputMessage="1" showErrorMessage="1" xr:uid="{00000000-0002-0000-0100-000098020000}">
          <x14:formula1>
            <xm:f>CountryGroup!A2:A1000</xm:f>
          </x14:formula1>
          <xm:sqref>C666</xm:sqref>
        </x14:dataValidation>
        <x14:dataValidation type="list" allowBlank="1" showInputMessage="1" showErrorMessage="1" xr:uid="{00000000-0002-0000-0100-000099020000}">
          <x14:formula1>
            <xm:f>CountryGroup!A2:A1000</xm:f>
          </x14:formula1>
          <xm:sqref>C667</xm:sqref>
        </x14:dataValidation>
        <x14:dataValidation type="list" allowBlank="1" showInputMessage="1" showErrorMessage="1" xr:uid="{00000000-0002-0000-0100-00009A020000}">
          <x14:formula1>
            <xm:f>CountryGroup!A2:A1000</xm:f>
          </x14:formula1>
          <xm:sqref>C668</xm:sqref>
        </x14:dataValidation>
        <x14:dataValidation type="list" allowBlank="1" showInputMessage="1" showErrorMessage="1" xr:uid="{00000000-0002-0000-0100-00009B020000}">
          <x14:formula1>
            <xm:f>CountryGroup!A2:A1000</xm:f>
          </x14:formula1>
          <xm:sqref>C669</xm:sqref>
        </x14:dataValidation>
        <x14:dataValidation type="list" allowBlank="1" showInputMessage="1" showErrorMessage="1" xr:uid="{00000000-0002-0000-0100-00009C020000}">
          <x14:formula1>
            <xm:f>CountryGroup!A2:A1000</xm:f>
          </x14:formula1>
          <xm:sqref>C670</xm:sqref>
        </x14:dataValidation>
        <x14:dataValidation type="list" allowBlank="1" showInputMessage="1" showErrorMessage="1" xr:uid="{00000000-0002-0000-0100-00009D020000}">
          <x14:formula1>
            <xm:f>CountryGroup!A2:A1000</xm:f>
          </x14:formula1>
          <xm:sqref>C671</xm:sqref>
        </x14:dataValidation>
        <x14:dataValidation type="list" allowBlank="1" showInputMessage="1" showErrorMessage="1" xr:uid="{00000000-0002-0000-0100-00009E020000}">
          <x14:formula1>
            <xm:f>CountryGroup!A2:A1000</xm:f>
          </x14:formula1>
          <xm:sqref>C672</xm:sqref>
        </x14:dataValidation>
        <x14:dataValidation type="list" allowBlank="1" showInputMessage="1" showErrorMessage="1" xr:uid="{00000000-0002-0000-0100-00009F020000}">
          <x14:formula1>
            <xm:f>CountryGroup!A2:A1000</xm:f>
          </x14:formula1>
          <xm:sqref>C673</xm:sqref>
        </x14:dataValidation>
        <x14:dataValidation type="list" allowBlank="1" showInputMessage="1" showErrorMessage="1" xr:uid="{00000000-0002-0000-0100-0000A0020000}">
          <x14:formula1>
            <xm:f>CountryGroup!A2:A1000</xm:f>
          </x14:formula1>
          <xm:sqref>C674</xm:sqref>
        </x14:dataValidation>
        <x14:dataValidation type="list" allowBlank="1" showInputMessage="1" showErrorMessage="1" xr:uid="{00000000-0002-0000-0100-0000A1020000}">
          <x14:formula1>
            <xm:f>CountryGroup!A2:A1000</xm:f>
          </x14:formula1>
          <xm:sqref>C675</xm:sqref>
        </x14:dataValidation>
        <x14:dataValidation type="list" allowBlank="1" showInputMessage="1" showErrorMessage="1" xr:uid="{00000000-0002-0000-0100-0000A2020000}">
          <x14:formula1>
            <xm:f>CountryGroup!A2:A1000</xm:f>
          </x14:formula1>
          <xm:sqref>C676</xm:sqref>
        </x14:dataValidation>
        <x14:dataValidation type="list" allowBlank="1" showInputMessage="1" showErrorMessage="1" xr:uid="{00000000-0002-0000-0100-0000A3020000}">
          <x14:formula1>
            <xm:f>CountryGroup!A2:A1000</xm:f>
          </x14:formula1>
          <xm:sqref>C677</xm:sqref>
        </x14:dataValidation>
        <x14:dataValidation type="list" allowBlank="1" showInputMessage="1" showErrorMessage="1" xr:uid="{00000000-0002-0000-0100-0000A4020000}">
          <x14:formula1>
            <xm:f>CountryGroup!A2:A1000</xm:f>
          </x14:formula1>
          <xm:sqref>C678</xm:sqref>
        </x14:dataValidation>
        <x14:dataValidation type="list" allowBlank="1" showInputMessage="1" showErrorMessage="1" xr:uid="{00000000-0002-0000-0100-0000A5020000}">
          <x14:formula1>
            <xm:f>CountryGroup!A2:A1000</xm:f>
          </x14:formula1>
          <xm:sqref>C679</xm:sqref>
        </x14:dataValidation>
        <x14:dataValidation type="list" allowBlank="1" showInputMessage="1" showErrorMessage="1" xr:uid="{00000000-0002-0000-0100-0000A6020000}">
          <x14:formula1>
            <xm:f>CountryGroup!A2:A1000</xm:f>
          </x14:formula1>
          <xm:sqref>C680</xm:sqref>
        </x14:dataValidation>
        <x14:dataValidation type="list" allowBlank="1" showInputMessage="1" showErrorMessage="1" xr:uid="{00000000-0002-0000-0100-0000A7020000}">
          <x14:formula1>
            <xm:f>CountryGroup!A2:A1000</xm:f>
          </x14:formula1>
          <xm:sqref>C681</xm:sqref>
        </x14:dataValidation>
        <x14:dataValidation type="list" allowBlank="1" showInputMessage="1" showErrorMessage="1" xr:uid="{00000000-0002-0000-0100-0000A8020000}">
          <x14:formula1>
            <xm:f>CountryGroup!A2:A1000</xm:f>
          </x14:formula1>
          <xm:sqref>C682</xm:sqref>
        </x14:dataValidation>
        <x14:dataValidation type="list" allowBlank="1" showInputMessage="1" showErrorMessage="1" xr:uid="{00000000-0002-0000-0100-0000A9020000}">
          <x14:formula1>
            <xm:f>CountryGroup!A2:A1000</xm:f>
          </x14:formula1>
          <xm:sqref>C683</xm:sqref>
        </x14:dataValidation>
        <x14:dataValidation type="list" allowBlank="1" showInputMessage="1" showErrorMessage="1" xr:uid="{00000000-0002-0000-0100-0000AA020000}">
          <x14:formula1>
            <xm:f>CountryGroup!A2:A1000</xm:f>
          </x14:formula1>
          <xm:sqref>C684</xm:sqref>
        </x14:dataValidation>
        <x14:dataValidation type="list" allowBlank="1" showInputMessage="1" showErrorMessage="1" xr:uid="{00000000-0002-0000-0100-0000AB020000}">
          <x14:formula1>
            <xm:f>CountryGroup!A2:A1000</xm:f>
          </x14:formula1>
          <xm:sqref>C685</xm:sqref>
        </x14:dataValidation>
        <x14:dataValidation type="list" allowBlank="1" showInputMessage="1" showErrorMessage="1" xr:uid="{00000000-0002-0000-0100-0000AC020000}">
          <x14:formula1>
            <xm:f>CountryGroup!A2:A1000</xm:f>
          </x14:formula1>
          <xm:sqref>C686</xm:sqref>
        </x14:dataValidation>
        <x14:dataValidation type="list" allowBlank="1" showInputMessage="1" showErrorMessage="1" xr:uid="{00000000-0002-0000-0100-0000AD020000}">
          <x14:formula1>
            <xm:f>CountryGroup!A2:A1000</xm:f>
          </x14:formula1>
          <xm:sqref>C687</xm:sqref>
        </x14:dataValidation>
        <x14:dataValidation type="list" allowBlank="1" showInputMessage="1" showErrorMessage="1" xr:uid="{00000000-0002-0000-0100-0000AE020000}">
          <x14:formula1>
            <xm:f>CountryGroup!A2:A1000</xm:f>
          </x14:formula1>
          <xm:sqref>C688</xm:sqref>
        </x14:dataValidation>
        <x14:dataValidation type="list" allowBlank="1" showInputMessage="1" showErrorMessage="1" xr:uid="{00000000-0002-0000-0100-0000AF020000}">
          <x14:formula1>
            <xm:f>CountryGroup!A2:A1000</xm:f>
          </x14:formula1>
          <xm:sqref>C689</xm:sqref>
        </x14:dataValidation>
        <x14:dataValidation type="list" allowBlank="1" showInputMessage="1" showErrorMessage="1" xr:uid="{00000000-0002-0000-0100-0000B0020000}">
          <x14:formula1>
            <xm:f>CountryGroup!A2:A1000</xm:f>
          </x14:formula1>
          <xm:sqref>C690</xm:sqref>
        </x14:dataValidation>
        <x14:dataValidation type="list" allowBlank="1" showInputMessage="1" showErrorMessage="1" xr:uid="{00000000-0002-0000-0100-0000B1020000}">
          <x14:formula1>
            <xm:f>CountryGroup!A2:A1000</xm:f>
          </x14:formula1>
          <xm:sqref>C691</xm:sqref>
        </x14:dataValidation>
        <x14:dataValidation type="list" allowBlank="1" showInputMessage="1" showErrorMessage="1" xr:uid="{00000000-0002-0000-0100-0000B2020000}">
          <x14:formula1>
            <xm:f>CountryGroup!A2:A1000</xm:f>
          </x14:formula1>
          <xm:sqref>C692</xm:sqref>
        </x14:dataValidation>
        <x14:dataValidation type="list" allowBlank="1" showInputMessage="1" showErrorMessage="1" xr:uid="{00000000-0002-0000-0100-0000B3020000}">
          <x14:formula1>
            <xm:f>CountryGroup!A2:A1000</xm:f>
          </x14:formula1>
          <xm:sqref>C693</xm:sqref>
        </x14:dataValidation>
        <x14:dataValidation type="list" allowBlank="1" showInputMessage="1" showErrorMessage="1" xr:uid="{00000000-0002-0000-0100-0000B4020000}">
          <x14:formula1>
            <xm:f>CountryGroup!A2:A1000</xm:f>
          </x14:formula1>
          <xm:sqref>C694</xm:sqref>
        </x14:dataValidation>
        <x14:dataValidation type="list" allowBlank="1" showInputMessage="1" showErrorMessage="1" xr:uid="{00000000-0002-0000-0100-0000B5020000}">
          <x14:formula1>
            <xm:f>CountryGroup!A2:A1000</xm:f>
          </x14:formula1>
          <xm:sqref>C695</xm:sqref>
        </x14:dataValidation>
        <x14:dataValidation type="list" allowBlank="1" showInputMessage="1" showErrorMessage="1" xr:uid="{00000000-0002-0000-0100-0000B6020000}">
          <x14:formula1>
            <xm:f>CountryGroup!A2:A1000</xm:f>
          </x14:formula1>
          <xm:sqref>C696</xm:sqref>
        </x14:dataValidation>
        <x14:dataValidation type="list" allowBlank="1" showInputMessage="1" showErrorMessage="1" xr:uid="{00000000-0002-0000-0100-0000B7020000}">
          <x14:formula1>
            <xm:f>CountryGroup!A2:A1000</xm:f>
          </x14:formula1>
          <xm:sqref>C697</xm:sqref>
        </x14:dataValidation>
        <x14:dataValidation type="list" allowBlank="1" showInputMessage="1" showErrorMessage="1" xr:uid="{00000000-0002-0000-0100-0000B8020000}">
          <x14:formula1>
            <xm:f>CountryGroup!A2:A1000</xm:f>
          </x14:formula1>
          <xm:sqref>C698</xm:sqref>
        </x14:dataValidation>
        <x14:dataValidation type="list" allowBlank="1" showInputMessage="1" showErrorMessage="1" xr:uid="{00000000-0002-0000-0100-0000B9020000}">
          <x14:formula1>
            <xm:f>CountryGroup!A2:A1000</xm:f>
          </x14:formula1>
          <xm:sqref>C699</xm:sqref>
        </x14:dataValidation>
        <x14:dataValidation type="list" allowBlank="1" showInputMessage="1" showErrorMessage="1" xr:uid="{00000000-0002-0000-0100-0000BA020000}">
          <x14:formula1>
            <xm:f>CountryGroup!A2:A1000</xm:f>
          </x14:formula1>
          <xm:sqref>C700</xm:sqref>
        </x14:dataValidation>
        <x14:dataValidation type="list" allowBlank="1" showInputMessage="1" showErrorMessage="1" xr:uid="{00000000-0002-0000-0100-0000BB020000}">
          <x14:formula1>
            <xm:f>CountryGroup!A2:A1000</xm:f>
          </x14:formula1>
          <xm:sqref>C701</xm:sqref>
        </x14:dataValidation>
        <x14:dataValidation type="list" allowBlank="1" showInputMessage="1" showErrorMessage="1" xr:uid="{00000000-0002-0000-0100-0000BC020000}">
          <x14:formula1>
            <xm:f>CountryGroup!A2:A1000</xm:f>
          </x14:formula1>
          <xm:sqref>C702</xm:sqref>
        </x14:dataValidation>
        <x14:dataValidation type="list" allowBlank="1" showInputMessage="1" showErrorMessage="1" xr:uid="{00000000-0002-0000-0100-0000BD020000}">
          <x14:formula1>
            <xm:f>CountryGroup!A2:A1000</xm:f>
          </x14:formula1>
          <xm:sqref>C703</xm:sqref>
        </x14:dataValidation>
        <x14:dataValidation type="list" allowBlank="1" showInputMessage="1" showErrorMessage="1" xr:uid="{00000000-0002-0000-0100-0000BE020000}">
          <x14:formula1>
            <xm:f>CountryGroup!A2:A1000</xm:f>
          </x14:formula1>
          <xm:sqref>C704</xm:sqref>
        </x14:dataValidation>
        <x14:dataValidation type="list" allowBlank="1" showInputMessage="1" showErrorMessage="1" xr:uid="{00000000-0002-0000-0100-0000BF020000}">
          <x14:formula1>
            <xm:f>CountryGroup!A2:A1000</xm:f>
          </x14:formula1>
          <xm:sqref>C705</xm:sqref>
        </x14:dataValidation>
        <x14:dataValidation type="list" allowBlank="1" showInputMessage="1" showErrorMessage="1" xr:uid="{00000000-0002-0000-0100-0000C0020000}">
          <x14:formula1>
            <xm:f>CountryGroup!A2:A1000</xm:f>
          </x14:formula1>
          <xm:sqref>C706</xm:sqref>
        </x14:dataValidation>
        <x14:dataValidation type="list" allowBlank="1" showInputMessage="1" showErrorMessage="1" xr:uid="{00000000-0002-0000-0100-0000C1020000}">
          <x14:formula1>
            <xm:f>CountryGroup!A2:A1000</xm:f>
          </x14:formula1>
          <xm:sqref>C707</xm:sqref>
        </x14:dataValidation>
        <x14:dataValidation type="list" allowBlank="1" showInputMessage="1" showErrorMessage="1" xr:uid="{00000000-0002-0000-0100-0000C2020000}">
          <x14:formula1>
            <xm:f>CountryGroup!A2:A1000</xm:f>
          </x14:formula1>
          <xm:sqref>C708</xm:sqref>
        </x14:dataValidation>
        <x14:dataValidation type="list" allowBlank="1" showInputMessage="1" showErrorMessage="1" xr:uid="{00000000-0002-0000-0100-0000C3020000}">
          <x14:formula1>
            <xm:f>CountryGroup!A2:A1000</xm:f>
          </x14:formula1>
          <xm:sqref>C709</xm:sqref>
        </x14:dataValidation>
        <x14:dataValidation type="list" allowBlank="1" showInputMessage="1" showErrorMessage="1" xr:uid="{00000000-0002-0000-0100-0000C4020000}">
          <x14:formula1>
            <xm:f>CountryGroup!A2:A1000</xm:f>
          </x14:formula1>
          <xm:sqref>C710</xm:sqref>
        </x14:dataValidation>
        <x14:dataValidation type="list" allowBlank="1" showInputMessage="1" showErrorMessage="1" xr:uid="{00000000-0002-0000-0100-0000C5020000}">
          <x14:formula1>
            <xm:f>CountryGroup!A2:A1000</xm:f>
          </x14:formula1>
          <xm:sqref>C711</xm:sqref>
        </x14:dataValidation>
        <x14:dataValidation type="list" allowBlank="1" showInputMessage="1" showErrorMessage="1" xr:uid="{00000000-0002-0000-0100-0000C6020000}">
          <x14:formula1>
            <xm:f>CountryGroup!A2:A1000</xm:f>
          </x14:formula1>
          <xm:sqref>C712</xm:sqref>
        </x14:dataValidation>
        <x14:dataValidation type="list" allowBlank="1" showInputMessage="1" showErrorMessage="1" xr:uid="{00000000-0002-0000-0100-0000C7020000}">
          <x14:formula1>
            <xm:f>CountryGroup!A2:A1000</xm:f>
          </x14:formula1>
          <xm:sqref>C713</xm:sqref>
        </x14:dataValidation>
        <x14:dataValidation type="list" allowBlank="1" showInputMessage="1" showErrorMessage="1" xr:uid="{00000000-0002-0000-0100-0000C8020000}">
          <x14:formula1>
            <xm:f>CountryGroup!A2:A1000</xm:f>
          </x14:formula1>
          <xm:sqref>C714</xm:sqref>
        </x14:dataValidation>
        <x14:dataValidation type="list" allowBlank="1" showInputMessage="1" showErrorMessage="1" xr:uid="{00000000-0002-0000-0100-0000C9020000}">
          <x14:formula1>
            <xm:f>CountryGroup!A2:A1000</xm:f>
          </x14:formula1>
          <xm:sqref>C715</xm:sqref>
        </x14:dataValidation>
        <x14:dataValidation type="list" allowBlank="1" showInputMessage="1" showErrorMessage="1" xr:uid="{00000000-0002-0000-0100-0000CA020000}">
          <x14:formula1>
            <xm:f>CountryGroup!A2:A1000</xm:f>
          </x14:formula1>
          <xm:sqref>C716</xm:sqref>
        </x14:dataValidation>
        <x14:dataValidation type="list" allowBlank="1" showInputMessage="1" showErrorMessage="1" xr:uid="{00000000-0002-0000-0100-0000CB020000}">
          <x14:formula1>
            <xm:f>CountryGroup!A2:A1000</xm:f>
          </x14:formula1>
          <xm:sqref>C717</xm:sqref>
        </x14:dataValidation>
        <x14:dataValidation type="list" allowBlank="1" showInputMessage="1" showErrorMessage="1" xr:uid="{00000000-0002-0000-0100-0000CC020000}">
          <x14:formula1>
            <xm:f>CountryGroup!A2:A1000</xm:f>
          </x14:formula1>
          <xm:sqref>C718</xm:sqref>
        </x14:dataValidation>
        <x14:dataValidation type="list" allowBlank="1" showInputMessage="1" showErrorMessage="1" xr:uid="{00000000-0002-0000-0100-0000CD020000}">
          <x14:formula1>
            <xm:f>CountryGroup!A2:A1000</xm:f>
          </x14:formula1>
          <xm:sqref>C719</xm:sqref>
        </x14:dataValidation>
        <x14:dataValidation type="list" allowBlank="1" showInputMessage="1" showErrorMessage="1" xr:uid="{00000000-0002-0000-0100-0000CE020000}">
          <x14:formula1>
            <xm:f>CountryGroup!A2:A1000</xm:f>
          </x14:formula1>
          <xm:sqref>C720</xm:sqref>
        </x14:dataValidation>
        <x14:dataValidation type="list" allowBlank="1" showInputMessage="1" showErrorMessage="1" xr:uid="{00000000-0002-0000-0100-0000CF020000}">
          <x14:formula1>
            <xm:f>CountryGroup!A2:A1000</xm:f>
          </x14:formula1>
          <xm:sqref>C721</xm:sqref>
        </x14:dataValidation>
        <x14:dataValidation type="list" allowBlank="1" showInputMessage="1" showErrorMessage="1" xr:uid="{00000000-0002-0000-0100-0000D0020000}">
          <x14:formula1>
            <xm:f>CountryGroup!A2:A1000</xm:f>
          </x14:formula1>
          <xm:sqref>C722</xm:sqref>
        </x14:dataValidation>
        <x14:dataValidation type="list" allowBlank="1" showInputMessage="1" showErrorMessage="1" xr:uid="{00000000-0002-0000-0100-0000D1020000}">
          <x14:formula1>
            <xm:f>CountryGroup!A2:A1000</xm:f>
          </x14:formula1>
          <xm:sqref>C723</xm:sqref>
        </x14:dataValidation>
        <x14:dataValidation type="list" allowBlank="1" showInputMessage="1" showErrorMessage="1" xr:uid="{00000000-0002-0000-0100-0000D2020000}">
          <x14:formula1>
            <xm:f>CountryGroup!A2:A1000</xm:f>
          </x14:formula1>
          <xm:sqref>C724</xm:sqref>
        </x14:dataValidation>
        <x14:dataValidation type="list" allowBlank="1" showInputMessage="1" showErrorMessage="1" xr:uid="{00000000-0002-0000-0100-0000D3020000}">
          <x14:formula1>
            <xm:f>CountryGroup!A2:A1000</xm:f>
          </x14:formula1>
          <xm:sqref>C725</xm:sqref>
        </x14:dataValidation>
        <x14:dataValidation type="list" allowBlank="1" showInputMessage="1" showErrorMessage="1" xr:uid="{00000000-0002-0000-0100-0000D4020000}">
          <x14:formula1>
            <xm:f>CountryGroup!A2:A1000</xm:f>
          </x14:formula1>
          <xm:sqref>C726</xm:sqref>
        </x14:dataValidation>
        <x14:dataValidation type="list" allowBlank="1" showInputMessage="1" showErrorMessage="1" xr:uid="{00000000-0002-0000-0100-0000D5020000}">
          <x14:formula1>
            <xm:f>CountryGroup!A2:A1000</xm:f>
          </x14:formula1>
          <xm:sqref>C727</xm:sqref>
        </x14:dataValidation>
        <x14:dataValidation type="list" allowBlank="1" showInputMessage="1" showErrorMessage="1" xr:uid="{00000000-0002-0000-0100-0000D6020000}">
          <x14:formula1>
            <xm:f>CountryGroup!A2:A1000</xm:f>
          </x14:formula1>
          <xm:sqref>C728</xm:sqref>
        </x14:dataValidation>
        <x14:dataValidation type="list" allowBlank="1" showInputMessage="1" showErrorMessage="1" xr:uid="{00000000-0002-0000-0100-0000D7020000}">
          <x14:formula1>
            <xm:f>CountryGroup!A2:A1000</xm:f>
          </x14:formula1>
          <xm:sqref>C729</xm:sqref>
        </x14:dataValidation>
        <x14:dataValidation type="list" allowBlank="1" showInputMessage="1" showErrorMessage="1" xr:uid="{00000000-0002-0000-0100-0000D8020000}">
          <x14:formula1>
            <xm:f>CountryGroup!A2:A1000</xm:f>
          </x14:formula1>
          <xm:sqref>C730</xm:sqref>
        </x14:dataValidation>
        <x14:dataValidation type="list" allowBlank="1" showInputMessage="1" showErrorMessage="1" xr:uid="{00000000-0002-0000-0100-0000D9020000}">
          <x14:formula1>
            <xm:f>CountryGroup!A2:A1000</xm:f>
          </x14:formula1>
          <xm:sqref>C731</xm:sqref>
        </x14:dataValidation>
        <x14:dataValidation type="list" allowBlank="1" showInputMessage="1" showErrorMessage="1" xr:uid="{00000000-0002-0000-0100-0000DA020000}">
          <x14:formula1>
            <xm:f>CountryGroup!A2:A1000</xm:f>
          </x14:formula1>
          <xm:sqref>C732</xm:sqref>
        </x14:dataValidation>
        <x14:dataValidation type="list" allowBlank="1" showInputMessage="1" showErrorMessage="1" xr:uid="{00000000-0002-0000-0100-0000DB020000}">
          <x14:formula1>
            <xm:f>CountryGroup!A2:A1000</xm:f>
          </x14:formula1>
          <xm:sqref>C733</xm:sqref>
        </x14:dataValidation>
        <x14:dataValidation type="list" allowBlank="1" showInputMessage="1" showErrorMessage="1" xr:uid="{00000000-0002-0000-0100-0000DC020000}">
          <x14:formula1>
            <xm:f>CountryGroup!A2:A1000</xm:f>
          </x14:formula1>
          <xm:sqref>C734</xm:sqref>
        </x14:dataValidation>
        <x14:dataValidation type="list" allowBlank="1" showInputMessage="1" showErrorMessage="1" xr:uid="{00000000-0002-0000-0100-0000DD020000}">
          <x14:formula1>
            <xm:f>CountryGroup!A2:A1000</xm:f>
          </x14:formula1>
          <xm:sqref>C735</xm:sqref>
        </x14:dataValidation>
        <x14:dataValidation type="list" allowBlank="1" showInputMessage="1" showErrorMessage="1" xr:uid="{00000000-0002-0000-0100-0000DE020000}">
          <x14:formula1>
            <xm:f>CountryGroup!A2:A1000</xm:f>
          </x14:formula1>
          <xm:sqref>C736</xm:sqref>
        </x14:dataValidation>
        <x14:dataValidation type="list" allowBlank="1" showInputMessage="1" showErrorMessage="1" xr:uid="{00000000-0002-0000-0100-0000DF020000}">
          <x14:formula1>
            <xm:f>CountryGroup!A2:A1000</xm:f>
          </x14:formula1>
          <xm:sqref>C737</xm:sqref>
        </x14:dataValidation>
        <x14:dataValidation type="list" allowBlank="1" showInputMessage="1" showErrorMessage="1" xr:uid="{00000000-0002-0000-0100-0000E0020000}">
          <x14:formula1>
            <xm:f>CountryGroup!A2:A1000</xm:f>
          </x14:formula1>
          <xm:sqref>C738</xm:sqref>
        </x14:dataValidation>
        <x14:dataValidation type="list" allowBlank="1" showInputMessage="1" showErrorMessage="1" xr:uid="{00000000-0002-0000-0100-0000E1020000}">
          <x14:formula1>
            <xm:f>CountryGroup!A2:A1000</xm:f>
          </x14:formula1>
          <xm:sqref>C739</xm:sqref>
        </x14:dataValidation>
        <x14:dataValidation type="list" allowBlank="1" showInputMessage="1" showErrorMessage="1" xr:uid="{00000000-0002-0000-0100-0000E2020000}">
          <x14:formula1>
            <xm:f>CountryGroup!A2:A1000</xm:f>
          </x14:formula1>
          <xm:sqref>C740</xm:sqref>
        </x14:dataValidation>
        <x14:dataValidation type="list" allowBlank="1" showInputMessage="1" showErrorMessage="1" xr:uid="{00000000-0002-0000-0100-0000E3020000}">
          <x14:formula1>
            <xm:f>CountryGroup!A2:A1000</xm:f>
          </x14:formula1>
          <xm:sqref>C741</xm:sqref>
        </x14:dataValidation>
        <x14:dataValidation type="list" allowBlank="1" showInputMessage="1" showErrorMessage="1" xr:uid="{00000000-0002-0000-0100-0000E4020000}">
          <x14:formula1>
            <xm:f>CountryGroup!A2:A1000</xm:f>
          </x14:formula1>
          <xm:sqref>C742</xm:sqref>
        </x14:dataValidation>
        <x14:dataValidation type="list" allowBlank="1" showInputMessage="1" showErrorMessage="1" xr:uid="{00000000-0002-0000-0100-0000E5020000}">
          <x14:formula1>
            <xm:f>CountryGroup!A2:A1000</xm:f>
          </x14:formula1>
          <xm:sqref>C743</xm:sqref>
        </x14:dataValidation>
        <x14:dataValidation type="list" allowBlank="1" showInputMessage="1" showErrorMessage="1" xr:uid="{00000000-0002-0000-0100-0000E6020000}">
          <x14:formula1>
            <xm:f>CountryGroup!A2:A1000</xm:f>
          </x14:formula1>
          <xm:sqref>C744</xm:sqref>
        </x14:dataValidation>
        <x14:dataValidation type="list" allowBlank="1" showInputMessage="1" showErrorMessage="1" xr:uid="{00000000-0002-0000-0100-0000E7020000}">
          <x14:formula1>
            <xm:f>CountryGroup!A2:A1000</xm:f>
          </x14:formula1>
          <xm:sqref>C745</xm:sqref>
        </x14:dataValidation>
        <x14:dataValidation type="list" allowBlank="1" showInputMessage="1" showErrorMessage="1" xr:uid="{00000000-0002-0000-0100-0000E8020000}">
          <x14:formula1>
            <xm:f>CountryGroup!A2:A1000</xm:f>
          </x14:formula1>
          <xm:sqref>C746</xm:sqref>
        </x14:dataValidation>
        <x14:dataValidation type="list" allowBlank="1" showInputMessage="1" showErrorMessage="1" xr:uid="{00000000-0002-0000-0100-0000E9020000}">
          <x14:formula1>
            <xm:f>CountryGroup!A2:A1000</xm:f>
          </x14:formula1>
          <xm:sqref>C747</xm:sqref>
        </x14:dataValidation>
        <x14:dataValidation type="list" allowBlank="1" showInputMessage="1" showErrorMessage="1" xr:uid="{00000000-0002-0000-0100-0000EA020000}">
          <x14:formula1>
            <xm:f>CountryGroup!A2:A1000</xm:f>
          </x14:formula1>
          <xm:sqref>C748</xm:sqref>
        </x14:dataValidation>
        <x14:dataValidation type="list" allowBlank="1" showInputMessage="1" showErrorMessage="1" xr:uid="{00000000-0002-0000-0100-0000EB020000}">
          <x14:formula1>
            <xm:f>CountryGroup!A2:A1000</xm:f>
          </x14:formula1>
          <xm:sqref>C749</xm:sqref>
        </x14:dataValidation>
        <x14:dataValidation type="list" allowBlank="1" showInputMessage="1" showErrorMessage="1" xr:uid="{00000000-0002-0000-0100-0000EC020000}">
          <x14:formula1>
            <xm:f>CountryGroup!A2:A1000</xm:f>
          </x14:formula1>
          <xm:sqref>C750</xm:sqref>
        </x14:dataValidation>
        <x14:dataValidation type="list" allowBlank="1" showInputMessage="1" showErrorMessage="1" xr:uid="{00000000-0002-0000-0100-0000ED020000}">
          <x14:formula1>
            <xm:f>CountryGroup!A2:A1000</xm:f>
          </x14:formula1>
          <xm:sqref>C751</xm:sqref>
        </x14:dataValidation>
        <x14:dataValidation type="list" allowBlank="1" showInputMessage="1" showErrorMessage="1" xr:uid="{00000000-0002-0000-0100-0000EE020000}">
          <x14:formula1>
            <xm:f>CountryGroup!A2:A1000</xm:f>
          </x14:formula1>
          <xm:sqref>C752</xm:sqref>
        </x14:dataValidation>
        <x14:dataValidation type="list" allowBlank="1" showInputMessage="1" showErrorMessage="1" xr:uid="{00000000-0002-0000-0100-0000EF020000}">
          <x14:formula1>
            <xm:f>CountryGroup!A2:A1000</xm:f>
          </x14:formula1>
          <xm:sqref>C753</xm:sqref>
        </x14:dataValidation>
        <x14:dataValidation type="list" allowBlank="1" showInputMessage="1" showErrorMessage="1" xr:uid="{00000000-0002-0000-0100-0000F0020000}">
          <x14:formula1>
            <xm:f>CountryGroup!A2:A1000</xm:f>
          </x14:formula1>
          <xm:sqref>C754</xm:sqref>
        </x14:dataValidation>
        <x14:dataValidation type="list" allowBlank="1" showInputMessage="1" showErrorMessage="1" xr:uid="{00000000-0002-0000-0100-0000F1020000}">
          <x14:formula1>
            <xm:f>CountryGroup!A2:A1000</xm:f>
          </x14:formula1>
          <xm:sqref>C755</xm:sqref>
        </x14:dataValidation>
        <x14:dataValidation type="list" allowBlank="1" showInputMessage="1" showErrorMessage="1" xr:uid="{00000000-0002-0000-0100-0000F2020000}">
          <x14:formula1>
            <xm:f>CountryGroup!A2:A1000</xm:f>
          </x14:formula1>
          <xm:sqref>C756</xm:sqref>
        </x14:dataValidation>
        <x14:dataValidation type="list" allowBlank="1" showInputMessage="1" showErrorMessage="1" xr:uid="{00000000-0002-0000-0100-0000F3020000}">
          <x14:formula1>
            <xm:f>CountryGroup!A2:A1000</xm:f>
          </x14:formula1>
          <xm:sqref>C757</xm:sqref>
        </x14:dataValidation>
        <x14:dataValidation type="list" allowBlank="1" showInputMessage="1" showErrorMessage="1" xr:uid="{00000000-0002-0000-0100-0000F4020000}">
          <x14:formula1>
            <xm:f>CountryGroup!A2:A1000</xm:f>
          </x14:formula1>
          <xm:sqref>C758</xm:sqref>
        </x14:dataValidation>
        <x14:dataValidation type="list" allowBlank="1" showInputMessage="1" showErrorMessage="1" xr:uid="{00000000-0002-0000-0100-0000F5020000}">
          <x14:formula1>
            <xm:f>CountryGroup!A2:A1000</xm:f>
          </x14:formula1>
          <xm:sqref>C759</xm:sqref>
        </x14:dataValidation>
        <x14:dataValidation type="list" allowBlank="1" showInputMessage="1" showErrorMessage="1" xr:uid="{00000000-0002-0000-0100-0000F6020000}">
          <x14:formula1>
            <xm:f>CountryGroup!A2:A1000</xm:f>
          </x14:formula1>
          <xm:sqref>C760</xm:sqref>
        </x14:dataValidation>
        <x14:dataValidation type="list" allowBlank="1" showInputMessage="1" showErrorMessage="1" xr:uid="{00000000-0002-0000-0100-0000F7020000}">
          <x14:formula1>
            <xm:f>CountryGroup!A2:A1000</xm:f>
          </x14:formula1>
          <xm:sqref>C761</xm:sqref>
        </x14:dataValidation>
        <x14:dataValidation type="list" allowBlank="1" showInputMessage="1" showErrorMessage="1" xr:uid="{00000000-0002-0000-0100-0000F8020000}">
          <x14:formula1>
            <xm:f>CountryGroup!A2:A1000</xm:f>
          </x14:formula1>
          <xm:sqref>C762</xm:sqref>
        </x14:dataValidation>
        <x14:dataValidation type="list" allowBlank="1" showInputMessage="1" showErrorMessage="1" xr:uid="{00000000-0002-0000-0100-0000F9020000}">
          <x14:formula1>
            <xm:f>CountryGroup!A2:A1000</xm:f>
          </x14:formula1>
          <xm:sqref>C763</xm:sqref>
        </x14:dataValidation>
        <x14:dataValidation type="list" allowBlank="1" showInputMessage="1" showErrorMessage="1" xr:uid="{00000000-0002-0000-0100-0000FA020000}">
          <x14:formula1>
            <xm:f>CountryGroup!A2:A1000</xm:f>
          </x14:formula1>
          <xm:sqref>C764</xm:sqref>
        </x14:dataValidation>
        <x14:dataValidation type="list" allowBlank="1" showInputMessage="1" showErrorMessage="1" xr:uid="{00000000-0002-0000-0100-0000FB020000}">
          <x14:formula1>
            <xm:f>CountryGroup!A2:A1000</xm:f>
          </x14:formula1>
          <xm:sqref>C765</xm:sqref>
        </x14:dataValidation>
        <x14:dataValidation type="list" allowBlank="1" showInputMessage="1" showErrorMessage="1" xr:uid="{00000000-0002-0000-0100-0000FC020000}">
          <x14:formula1>
            <xm:f>CountryGroup!A2:A1000</xm:f>
          </x14:formula1>
          <xm:sqref>C766</xm:sqref>
        </x14:dataValidation>
        <x14:dataValidation type="list" allowBlank="1" showInputMessage="1" showErrorMessage="1" xr:uid="{00000000-0002-0000-0100-0000FD020000}">
          <x14:formula1>
            <xm:f>CountryGroup!A2:A1000</xm:f>
          </x14:formula1>
          <xm:sqref>C767</xm:sqref>
        </x14:dataValidation>
        <x14:dataValidation type="list" allowBlank="1" showInputMessage="1" showErrorMessage="1" xr:uid="{00000000-0002-0000-0100-0000FE020000}">
          <x14:formula1>
            <xm:f>CountryGroup!A2:A1000</xm:f>
          </x14:formula1>
          <xm:sqref>C768</xm:sqref>
        </x14:dataValidation>
        <x14:dataValidation type="list" allowBlank="1" showInputMessage="1" showErrorMessage="1" xr:uid="{00000000-0002-0000-0100-0000FF020000}">
          <x14:formula1>
            <xm:f>CountryGroup!A2:A1000</xm:f>
          </x14:formula1>
          <xm:sqref>C769</xm:sqref>
        </x14:dataValidation>
        <x14:dataValidation type="list" allowBlank="1" showInputMessage="1" showErrorMessage="1" xr:uid="{00000000-0002-0000-0100-000000030000}">
          <x14:formula1>
            <xm:f>CountryGroup!A2:A1000</xm:f>
          </x14:formula1>
          <xm:sqref>C770</xm:sqref>
        </x14:dataValidation>
        <x14:dataValidation type="list" allowBlank="1" showInputMessage="1" showErrorMessage="1" xr:uid="{00000000-0002-0000-0100-000001030000}">
          <x14:formula1>
            <xm:f>CountryGroup!A2:A1000</xm:f>
          </x14:formula1>
          <xm:sqref>C771</xm:sqref>
        </x14:dataValidation>
        <x14:dataValidation type="list" allowBlank="1" showInputMessage="1" showErrorMessage="1" xr:uid="{00000000-0002-0000-0100-000002030000}">
          <x14:formula1>
            <xm:f>CountryGroup!A2:A1000</xm:f>
          </x14:formula1>
          <xm:sqref>C772</xm:sqref>
        </x14:dataValidation>
        <x14:dataValidation type="list" allowBlank="1" showInputMessage="1" showErrorMessage="1" xr:uid="{00000000-0002-0000-0100-000003030000}">
          <x14:formula1>
            <xm:f>CountryGroup!A2:A1000</xm:f>
          </x14:formula1>
          <xm:sqref>C773</xm:sqref>
        </x14:dataValidation>
        <x14:dataValidation type="list" allowBlank="1" showInputMessage="1" showErrorMessage="1" xr:uid="{00000000-0002-0000-0100-000004030000}">
          <x14:formula1>
            <xm:f>CountryGroup!A2:A1000</xm:f>
          </x14:formula1>
          <xm:sqref>C774</xm:sqref>
        </x14:dataValidation>
        <x14:dataValidation type="list" allowBlank="1" showInputMessage="1" showErrorMessage="1" xr:uid="{00000000-0002-0000-0100-000005030000}">
          <x14:formula1>
            <xm:f>CountryGroup!A2:A1000</xm:f>
          </x14:formula1>
          <xm:sqref>C775</xm:sqref>
        </x14:dataValidation>
        <x14:dataValidation type="list" allowBlank="1" showInputMessage="1" showErrorMessage="1" xr:uid="{00000000-0002-0000-0100-000006030000}">
          <x14:formula1>
            <xm:f>CountryGroup!A2:A1000</xm:f>
          </x14:formula1>
          <xm:sqref>C776</xm:sqref>
        </x14:dataValidation>
        <x14:dataValidation type="list" allowBlank="1" showInputMessage="1" showErrorMessage="1" xr:uid="{00000000-0002-0000-0100-000007030000}">
          <x14:formula1>
            <xm:f>CountryGroup!A2:A1000</xm:f>
          </x14:formula1>
          <xm:sqref>C777</xm:sqref>
        </x14:dataValidation>
        <x14:dataValidation type="list" allowBlank="1" showInputMessage="1" showErrorMessage="1" xr:uid="{00000000-0002-0000-0100-000008030000}">
          <x14:formula1>
            <xm:f>CountryGroup!A2:A1000</xm:f>
          </x14:formula1>
          <xm:sqref>C778</xm:sqref>
        </x14:dataValidation>
        <x14:dataValidation type="list" allowBlank="1" showInputMessage="1" showErrorMessage="1" xr:uid="{00000000-0002-0000-0100-000009030000}">
          <x14:formula1>
            <xm:f>CountryGroup!A2:A1000</xm:f>
          </x14:formula1>
          <xm:sqref>C779</xm:sqref>
        </x14:dataValidation>
        <x14:dataValidation type="list" allowBlank="1" showInputMessage="1" showErrorMessage="1" xr:uid="{00000000-0002-0000-0100-00000A030000}">
          <x14:formula1>
            <xm:f>CountryGroup!A2:A1000</xm:f>
          </x14:formula1>
          <xm:sqref>C780</xm:sqref>
        </x14:dataValidation>
        <x14:dataValidation type="list" allowBlank="1" showInputMessage="1" showErrorMessage="1" xr:uid="{00000000-0002-0000-0100-00000B030000}">
          <x14:formula1>
            <xm:f>CountryGroup!A2:A1000</xm:f>
          </x14:formula1>
          <xm:sqref>C781</xm:sqref>
        </x14:dataValidation>
        <x14:dataValidation type="list" allowBlank="1" showInputMessage="1" showErrorMessage="1" xr:uid="{00000000-0002-0000-0100-00000C030000}">
          <x14:formula1>
            <xm:f>CountryGroup!A2:A1000</xm:f>
          </x14:formula1>
          <xm:sqref>C782</xm:sqref>
        </x14:dataValidation>
        <x14:dataValidation type="list" allowBlank="1" showInputMessage="1" showErrorMessage="1" xr:uid="{00000000-0002-0000-0100-00000D030000}">
          <x14:formula1>
            <xm:f>CountryGroup!A2:A1000</xm:f>
          </x14:formula1>
          <xm:sqref>C783</xm:sqref>
        </x14:dataValidation>
        <x14:dataValidation type="list" allowBlank="1" showInputMessage="1" showErrorMessage="1" xr:uid="{00000000-0002-0000-0100-00000E030000}">
          <x14:formula1>
            <xm:f>CountryGroup!A2:A1000</xm:f>
          </x14:formula1>
          <xm:sqref>C784</xm:sqref>
        </x14:dataValidation>
        <x14:dataValidation type="list" allowBlank="1" showInputMessage="1" showErrorMessage="1" xr:uid="{00000000-0002-0000-0100-00000F030000}">
          <x14:formula1>
            <xm:f>CountryGroup!A2:A1000</xm:f>
          </x14:formula1>
          <xm:sqref>C785</xm:sqref>
        </x14:dataValidation>
        <x14:dataValidation type="list" allowBlank="1" showInputMessage="1" showErrorMessage="1" xr:uid="{00000000-0002-0000-0100-000010030000}">
          <x14:formula1>
            <xm:f>CountryGroup!A2:A1000</xm:f>
          </x14:formula1>
          <xm:sqref>C786</xm:sqref>
        </x14:dataValidation>
        <x14:dataValidation type="list" allowBlank="1" showInputMessage="1" showErrorMessage="1" xr:uid="{00000000-0002-0000-0100-000011030000}">
          <x14:formula1>
            <xm:f>CountryGroup!A2:A1000</xm:f>
          </x14:formula1>
          <xm:sqref>C787</xm:sqref>
        </x14:dataValidation>
        <x14:dataValidation type="list" allowBlank="1" showInputMessage="1" showErrorMessage="1" xr:uid="{00000000-0002-0000-0100-000012030000}">
          <x14:formula1>
            <xm:f>CountryGroup!A2:A1000</xm:f>
          </x14:formula1>
          <xm:sqref>C788</xm:sqref>
        </x14:dataValidation>
        <x14:dataValidation type="list" allowBlank="1" showInputMessage="1" showErrorMessage="1" xr:uid="{00000000-0002-0000-0100-000013030000}">
          <x14:formula1>
            <xm:f>CountryGroup!A2:A1000</xm:f>
          </x14:formula1>
          <xm:sqref>C789</xm:sqref>
        </x14:dataValidation>
        <x14:dataValidation type="list" allowBlank="1" showInputMessage="1" showErrorMessage="1" xr:uid="{00000000-0002-0000-0100-000014030000}">
          <x14:formula1>
            <xm:f>CountryGroup!A2:A1000</xm:f>
          </x14:formula1>
          <xm:sqref>C790</xm:sqref>
        </x14:dataValidation>
        <x14:dataValidation type="list" allowBlank="1" showInputMessage="1" showErrorMessage="1" xr:uid="{00000000-0002-0000-0100-000015030000}">
          <x14:formula1>
            <xm:f>CountryGroup!A2:A1000</xm:f>
          </x14:formula1>
          <xm:sqref>C791</xm:sqref>
        </x14:dataValidation>
        <x14:dataValidation type="list" allowBlank="1" showInputMessage="1" showErrorMessage="1" xr:uid="{00000000-0002-0000-0100-000016030000}">
          <x14:formula1>
            <xm:f>CountryGroup!A2:A1000</xm:f>
          </x14:formula1>
          <xm:sqref>C792</xm:sqref>
        </x14:dataValidation>
        <x14:dataValidation type="list" allowBlank="1" showInputMessage="1" showErrorMessage="1" xr:uid="{00000000-0002-0000-0100-000017030000}">
          <x14:formula1>
            <xm:f>CountryGroup!A2:A1000</xm:f>
          </x14:formula1>
          <xm:sqref>C793</xm:sqref>
        </x14:dataValidation>
        <x14:dataValidation type="list" allowBlank="1" showInputMessage="1" showErrorMessage="1" xr:uid="{00000000-0002-0000-0100-000018030000}">
          <x14:formula1>
            <xm:f>CountryGroup!A2:A1000</xm:f>
          </x14:formula1>
          <xm:sqref>C794</xm:sqref>
        </x14:dataValidation>
        <x14:dataValidation type="list" allowBlank="1" showInputMessage="1" showErrorMessage="1" xr:uid="{00000000-0002-0000-0100-000019030000}">
          <x14:formula1>
            <xm:f>CountryGroup!A2:A1000</xm:f>
          </x14:formula1>
          <xm:sqref>C795</xm:sqref>
        </x14:dataValidation>
        <x14:dataValidation type="list" allowBlank="1" showInputMessage="1" showErrorMessage="1" xr:uid="{00000000-0002-0000-0100-00001A030000}">
          <x14:formula1>
            <xm:f>CountryGroup!A2:A1000</xm:f>
          </x14:formula1>
          <xm:sqref>C796</xm:sqref>
        </x14:dataValidation>
        <x14:dataValidation type="list" allowBlank="1" showInputMessage="1" showErrorMessage="1" xr:uid="{00000000-0002-0000-0100-00001B030000}">
          <x14:formula1>
            <xm:f>CountryGroup!A2:A1000</xm:f>
          </x14:formula1>
          <xm:sqref>C797</xm:sqref>
        </x14:dataValidation>
        <x14:dataValidation type="list" allowBlank="1" showInputMessage="1" showErrorMessage="1" xr:uid="{00000000-0002-0000-0100-00001C030000}">
          <x14:formula1>
            <xm:f>CountryGroup!A2:A1000</xm:f>
          </x14:formula1>
          <xm:sqref>C798</xm:sqref>
        </x14:dataValidation>
        <x14:dataValidation type="list" allowBlank="1" showInputMessage="1" showErrorMessage="1" xr:uid="{00000000-0002-0000-0100-00001D030000}">
          <x14:formula1>
            <xm:f>CountryGroup!A2:A1000</xm:f>
          </x14:formula1>
          <xm:sqref>C799</xm:sqref>
        </x14:dataValidation>
        <x14:dataValidation type="list" allowBlank="1" showInputMessage="1" showErrorMessage="1" xr:uid="{00000000-0002-0000-0100-00001E030000}">
          <x14:formula1>
            <xm:f>CountryGroup!A2:A1000</xm:f>
          </x14:formula1>
          <xm:sqref>C800</xm:sqref>
        </x14:dataValidation>
        <x14:dataValidation type="list" allowBlank="1" showInputMessage="1" showErrorMessage="1" xr:uid="{00000000-0002-0000-0100-00001F030000}">
          <x14:formula1>
            <xm:f>CountryGroup!A2:A1000</xm:f>
          </x14:formula1>
          <xm:sqref>C801</xm:sqref>
        </x14:dataValidation>
        <x14:dataValidation type="list" allowBlank="1" showInputMessage="1" showErrorMessage="1" xr:uid="{00000000-0002-0000-0100-000020030000}">
          <x14:formula1>
            <xm:f>CountryGroup!A2:A1000</xm:f>
          </x14:formula1>
          <xm:sqref>C802</xm:sqref>
        </x14:dataValidation>
        <x14:dataValidation type="list" allowBlank="1" showInputMessage="1" showErrorMessage="1" xr:uid="{00000000-0002-0000-0100-000021030000}">
          <x14:formula1>
            <xm:f>CountryGroup!A2:A1000</xm:f>
          </x14:formula1>
          <xm:sqref>C803</xm:sqref>
        </x14:dataValidation>
        <x14:dataValidation type="list" allowBlank="1" showInputMessage="1" showErrorMessage="1" xr:uid="{00000000-0002-0000-0100-000022030000}">
          <x14:formula1>
            <xm:f>CountryGroup!A2:A1000</xm:f>
          </x14:formula1>
          <xm:sqref>C804</xm:sqref>
        </x14:dataValidation>
        <x14:dataValidation type="list" allowBlank="1" showInputMessage="1" showErrorMessage="1" xr:uid="{00000000-0002-0000-0100-000023030000}">
          <x14:formula1>
            <xm:f>CountryGroup!A2:A1000</xm:f>
          </x14:formula1>
          <xm:sqref>C805</xm:sqref>
        </x14:dataValidation>
        <x14:dataValidation type="list" allowBlank="1" showInputMessage="1" showErrorMessage="1" xr:uid="{00000000-0002-0000-0100-000024030000}">
          <x14:formula1>
            <xm:f>CountryGroup!A2:A1000</xm:f>
          </x14:formula1>
          <xm:sqref>C806</xm:sqref>
        </x14:dataValidation>
        <x14:dataValidation type="list" allowBlank="1" showInputMessage="1" showErrorMessage="1" xr:uid="{00000000-0002-0000-0100-000025030000}">
          <x14:formula1>
            <xm:f>CountryGroup!A2:A1000</xm:f>
          </x14:formula1>
          <xm:sqref>C807</xm:sqref>
        </x14:dataValidation>
        <x14:dataValidation type="list" allowBlank="1" showInputMessage="1" showErrorMessage="1" xr:uid="{00000000-0002-0000-0100-000026030000}">
          <x14:formula1>
            <xm:f>CountryGroup!A2:A1000</xm:f>
          </x14:formula1>
          <xm:sqref>C808</xm:sqref>
        </x14:dataValidation>
        <x14:dataValidation type="list" allowBlank="1" showInputMessage="1" showErrorMessage="1" xr:uid="{00000000-0002-0000-0100-000027030000}">
          <x14:formula1>
            <xm:f>CountryGroup!A2:A1000</xm:f>
          </x14:formula1>
          <xm:sqref>C809</xm:sqref>
        </x14:dataValidation>
        <x14:dataValidation type="list" allowBlank="1" showInputMessage="1" showErrorMessage="1" xr:uid="{00000000-0002-0000-0100-000028030000}">
          <x14:formula1>
            <xm:f>CountryGroup!A2:A1000</xm:f>
          </x14:formula1>
          <xm:sqref>C810</xm:sqref>
        </x14:dataValidation>
        <x14:dataValidation type="list" allowBlank="1" showInputMessage="1" showErrorMessage="1" xr:uid="{00000000-0002-0000-0100-000029030000}">
          <x14:formula1>
            <xm:f>CountryGroup!A2:A1000</xm:f>
          </x14:formula1>
          <xm:sqref>C811</xm:sqref>
        </x14:dataValidation>
        <x14:dataValidation type="list" allowBlank="1" showInputMessage="1" showErrorMessage="1" xr:uid="{00000000-0002-0000-0100-00002A030000}">
          <x14:formula1>
            <xm:f>CountryGroup!A2:A1000</xm:f>
          </x14:formula1>
          <xm:sqref>C812</xm:sqref>
        </x14:dataValidation>
        <x14:dataValidation type="list" allowBlank="1" showInputMessage="1" showErrorMessage="1" xr:uid="{00000000-0002-0000-0100-00002B030000}">
          <x14:formula1>
            <xm:f>CountryGroup!A2:A1000</xm:f>
          </x14:formula1>
          <xm:sqref>C813</xm:sqref>
        </x14:dataValidation>
        <x14:dataValidation type="list" allowBlank="1" showInputMessage="1" showErrorMessage="1" xr:uid="{00000000-0002-0000-0100-00002C030000}">
          <x14:formula1>
            <xm:f>CountryGroup!A2:A1000</xm:f>
          </x14:formula1>
          <xm:sqref>C814</xm:sqref>
        </x14:dataValidation>
        <x14:dataValidation type="list" allowBlank="1" showInputMessage="1" showErrorMessage="1" xr:uid="{00000000-0002-0000-0100-00002D030000}">
          <x14:formula1>
            <xm:f>CountryGroup!A2:A1000</xm:f>
          </x14:formula1>
          <xm:sqref>C815</xm:sqref>
        </x14:dataValidation>
        <x14:dataValidation type="list" allowBlank="1" showInputMessage="1" showErrorMessage="1" xr:uid="{00000000-0002-0000-0100-00002E030000}">
          <x14:formula1>
            <xm:f>CountryGroup!A2:A1000</xm:f>
          </x14:formula1>
          <xm:sqref>C816</xm:sqref>
        </x14:dataValidation>
        <x14:dataValidation type="list" allowBlank="1" showInputMessage="1" showErrorMessage="1" xr:uid="{00000000-0002-0000-0100-00002F030000}">
          <x14:formula1>
            <xm:f>CountryGroup!A2:A1000</xm:f>
          </x14:formula1>
          <xm:sqref>C817</xm:sqref>
        </x14:dataValidation>
        <x14:dataValidation type="list" allowBlank="1" showInputMessage="1" showErrorMessage="1" xr:uid="{00000000-0002-0000-0100-000030030000}">
          <x14:formula1>
            <xm:f>CountryGroup!A2:A1000</xm:f>
          </x14:formula1>
          <xm:sqref>C818</xm:sqref>
        </x14:dataValidation>
        <x14:dataValidation type="list" allowBlank="1" showInputMessage="1" showErrorMessage="1" xr:uid="{00000000-0002-0000-0100-000031030000}">
          <x14:formula1>
            <xm:f>CountryGroup!A2:A1000</xm:f>
          </x14:formula1>
          <xm:sqref>C819</xm:sqref>
        </x14:dataValidation>
        <x14:dataValidation type="list" allowBlank="1" showInputMessage="1" showErrorMessage="1" xr:uid="{00000000-0002-0000-0100-000032030000}">
          <x14:formula1>
            <xm:f>CountryGroup!A2:A1000</xm:f>
          </x14:formula1>
          <xm:sqref>C820</xm:sqref>
        </x14:dataValidation>
        <x14:dataValidation type="list" allowBlank="1" showInputMessage="1" showErrorMessage="1" xr:uid="{00000000-0002-0000-0100-000033030000}">
          <x14:formula1>
            <xm:f>CountryGroup!A2:A1000</xm:f>
          </x14:formula1>
          <xm:sqref>C821</xm:sqref>
        </x14:dataValidation>
        <x14:dataValidation type="list" allowBlank="1" showInputMessage="1" showErrorMessage="1" xr:uid="{00000000-0002-0000-0100-000034030000}">
          <x14:formula1>
            <xm:f>CountryGroup!A2:A1000</xm:f>
          </x14:formula1>
          <xm:sqref>C822</xm:sqref>
        </x14:dataValidation>
        <x14:dataValidation type="list" allowBlank="1" showInputMessage="1" showErrorMessage="1" xr:uid="{00000000-0002-0000-0100-000035030000}">
          <x14:formula1>
            <xm:f>CountryGroup!A2:A1000</xm:f>
          </x14:formula1>
          <xm:sqref>C823</xm:sqref>
        </x14:dataValidation>
        <x14:dataValidation type="list" allowBlank="1" showInputMessage="1" showErrorMessage="1" xr:uid="{00000000-0002-0000-0100-000036030000}">
          <x14:formula1>
            <xm:f>CountryGroup!A2:A1000</xm:f>
          </x14:formula1>
          <xm:sqref>C824</xm:sqref>
        </x14:dataValidation>
        <x14:dataValidation type="list" allowBlank="1" showInputMessage="1" showErrorMessage="1" xr:uid="{00000000-0002-0000-0100-000037030000}">
          <x14:formula1>
            <xm:f>CountryGroup!A2:A1000</xm:f>
          </x14:formula1>
          <xm:sqref>C825</xm:sqref>
        </x14:dataValidation>
        <x14:dataValidation type="list" allowBlank="1" showInputMessage="1" showErrorMessage="1" xr:uid="{00000000-0002-0000-0100-000038030000}">
          <x14:formula1>
            <xm:f>CountryGroup!A2:A1000</xm:f>
          </x14:formula1>
          <xm:sqref>C826</xm:sqref>
        </x14:dataValidation>
        <x14:dataValidation type="list" allowBlank="1" showInputMessage="1" showErrorMessage="1" xr:uid="{00000000-0002-0000-0100-000039030000}">
          <x14:formula1>
            <xm:f>CountryGroup!A2:A1000</xm:f>
          </x14:formula1>
          <xm:sqref>C827</xm:sqref>
        </x14:dataValidation>
        <x14:dataValidation type="list" allowBlank="1" showInputMessage="1" showErrorMessage="1" xr:uid="{00000000-0002-0000-0100-00003A030000}">
          <x14:formula1>
            <xm:f>CountryGroup!A2:A1000</xm:f>
          </x14:formula1>
          <xm:sqref>C828</xm:sqref>
        </x14:dataValidation>
        <x14:dataValidation type="list" allowBlank="1" showInputMessage="1" showErrorMessage="1" xr:uid="{00000000-0002-0000-0100-00003B030000}">
          <x14:formula1>
            <xm:f>CountryGroup!A2:A1000</xm:f>
          </x14:formula1>
          <xm:sqref>C829</xm:sqref>
        </x14:dataValidation>
        <x14:dataValidation type="list" allowBlank="1" showInputMessage="1" showErrorMessage="1" xr:uid="{00000000-0002-0000-0100-00003C030000}">
          <x14:formula1>
            <xm:f>CountryGroup!A2:A1000</xm:f>
          </x14:formula1>
          <xm:sqref>C830</xm:sqref>
        </x14:dataValidation>
        <x14:dataValidation type="list" allowBlank="1" showInputMessage="1" showErrorMessage="1" xr:uid="{00000000-0002-0000-0100-00003D030000}">
          <x14:formula1>
            <xm:f>CountryGroup!A2:A1000</xm:f>
          </x14:formula1>
          <xm:sqref>C831</xm:sqref>
        </x14:dataValidation>
        <x14:dataValidation type="list" allowBlank="1" showInputMessage="1" showErrorMessage="1" xr:uid="{00000000-0002-0000-0100-00003E030000}">
          <x14:formula1>
            <xm:f>CountryGroup!A2:A1000</xm:f>
          </x14:formula1>
          <xm:sqref>C832</xm:sqref>
        </x14:dataValidation>
        <x14:dataValidation type="list" allowBlank="1" showInputMessage="1" showErrorMessage="1" xr:uid="{00000000-0002-0000-0100-00003F030000}">
          <x14:formula1>
            <xm:f>CountryGroup!A2:A1000</xm:f>
          </x14:formula1>
          <xm:sqref>C833</xm:sqref>
        </x14:dataValidation>
        <x14:dataValidation type="list" allowBlank="1" showInputMessage="1" showErrorMessage="1" xr:uid="{00000000-0002-0000-0100-000040030000}">
          <x14:formula1>
            <xm:f>CountryGroup!A2:A1000</xm:f>
          </x14:formula1>
          <xm:sqref>C834</xm:sqref>
        </x14:dataValidation>
        <x14:dataValidation type="list" allowBlank="1" showInputMessage="1" showErrorMessage="1" xr:uid="{00000000-0002-0000-0100-000041030000}">
          <x14:formula1>
            <xm:f>CountryGroup!A2:A1000</xm:f>
          </x14:formula1>
          <xm:sqref>C835</xm:sqref>
        </x14:dataValidation>
        <x14:dataValidation type="list" allowBlank="1" showInputMessage="1" showErrorMessage="1" xr:uid="{00000000-0002-0000-0100-000042030000}">
          <x14:formula1>
            <xm:f>CountryGroup!A2:A1000</xm:f>
          </x14:formula1>
          <xm:sqref>C836</xm:sqref>
        </x14:dataValidation>
        <x14:dataValidation type="list" allowBlank="1" showInputMessage="1" showErrorMessage="1" xr:uid="{00000000-0002-0000-0100-000043030000}">
          <x14:formula1>
            <xm:f>CountryGroup!A2:A1000</xm:f>
          </x14:formula1>
          <xm:sqref>C837</xm:sqref>
        </x14:dataValidation>
        <x14:dataValidation type="list" allowBlank="1" showInputMessage="1" showErrorMessage="1" xr:uid="{00000000-0002-0000-0100-000044030000}">
          <x14:formula1>
            <xm:f>CountryGroup!A2:A1000</xm:f>
          </x14:formula1>
          <xm:sqref>C838</xm:sqref>
        </x14:dataValidation>
        <x14:dataValidation type="list" allowBlank="1" showInputMessage="1" showErrorMessage="1" xr:uid="{00000000-0002-0000-0100-000045030000}">
          <x14:formula1>
            <xm:f>CountryGroup!A2:A1000</xm:f>
          </x14:formula1>
          <xm:sqref>C839</xm:sqref>
        </x14:dataValidation>
        <x14:dataValidation type="list" allowBlank="1" showInputMessage="1" showErrorMessage="1" xr:uid="{00000000-0002-0000-0100-000046030000}">
          <x14:formula1>
            <xm:f>CountryGroup!A2:A1000</xm:f>
          </x14:formula1>
          <xm:sqref>C840</xm:sqref>
        </x14:dataValidation>
        <x14:dataValidation type="list" allowBlank="1" showInputMessage="1" showErrorMessage="1" xr:uid="{00000000-0002-0000-0100-000047030000}">
          <x14:formula1>
            <xm:f>CountryGroup!A2:A1000</xm:f>
          </x14:formula1>
          <xm:sqref>C841</xm:sqref>
        </x14:dataValidation>
        <x14:dataValidation type="list" allowBlank="1" showInputMessage="1" showErrorMessage="1" xr:uid="{00000000-0002-0000-0100-000048030000}">
          <x14:formula1>
            <xm:f>CountryGroup!A2:A1000</xm:f>
          </x14:formula1>
          <xm:sqref>C842</xm:sqref>
        </x14:dataValidation>
        <x14:dataValidation type="list" allowBlank="1" showInputMessage="1" showErrorMessage="1" xr:uid="{00000000-0002-0000-0100-000049030000}">
          <x14:formula1>
            <xm:f>CountryGroup!A2:A1000</xm:f>
          </x14:formula1>
          <xm:sqref>C843</xm:sqref>
        </x14:dataValidation>
        <x14:dataValidation type="list" allowBlank="1" showInputMessage="1" showErrorMessage="1" xr:uid="{00000000-0002-0000-0100-00004A030000}">
          <x14:formula1>
            <xm:f>CountryGroup!A2:A1000</xm:f>
          </x14:formula1>
          <xm:sqref>C844</xm:sqref>
        </x14:dataValidation>
        <x14:dataValidation type="list" allowBlank="1" showInputMessage="1" showErrorMessage="1" xr:uid="{00000000-0002-0000-0100-00004B030000}">
          <x14:formula1>
            <xm:f>CountryGroup!A2:A1000</xm:f>
          </x14:formula1>
          <xm:sqref>C845</xm:sqref>
        </x14:dataValidation>
        <x14:dataValidation type="list" allowBlank="1" showInputMessage="1" showErrorMessage="1" xr:uid="{00000000-0002-0000-0100-00004C030000}">
          <x14:formula1>
            <xm:f>CountryGroup!A2:A1000</xm:f>
          </x14:formula1>
          <xm:sqref>C846</xm:sqref>
        </x14:dataValidation>
        <x14:dataValidation type="list" allowBlank="1" showInputMessage="1" showErrorMessage="1" xr:uid="{00000000-0002-0000-0100-00004D030000}">
          <x14:formula1>
            <xm:f>CountryGroup!A2:A1000</xm:f>
          </x14:formula1>
          <xm:sqref>C847</xm:sqref>
        </x14:dataValidation>
        <x14:dataValidation type="list" allowBlank="1" showInputMessage="1" showErrorMessage="1" xr:uid="{00000000-0002-0000-0100-00004E030000}">
          <x14:formula1>
            <xm:f>CountryGroup!A2:A1000</xm:f>
          </x14:formula1>
          <xm:sqref>C848</xm:sqref>
        </x14:dataValidation>
        <x14:dataValidation type="list" allowBlank="1" showInputMessage="1" showErrorMessage="1" xr:uid="{00000000-0002-0000-0100-00004F030000}">
          <x14:formula1>
            <xm:f>CountryGroup!A2:A1000</xm:f>
          </x14:formula1>
          <xm:sqref>C849</xm:sqref>
        </x14:dataValidation>
        <x14:dataValidation type="list" allowBlank="1" showInputMessage="1" showErrorMessage="1" xr:uid="{00000000-0002-0000-0100-000050030000}">
          <x14:formula1>
            <xm:f>CountryGroup!A2:A1000</xm:f>
          </x14:formula1>
          <xm:sqref>C850</xm:sqref>
        </x14:dataValidation>
        <x14:dataValidation type="list" allowBlank="1" showInputMessage="1" showErrorMessage="1" xr:uid="{00000000-0002-0000-0100-000051030000}">
          <x14:formula1>
            <xm:f>CountryGroup!A2:A1000</xm:f>
          </x14:formula1>
          <xm:sqref>C851</xm:sqref>
        </x14:dataValidation>
        <x14:dataValidation type="list" allowBlank="1" showInputMessage="1" showErrorMessage="1" xr:uid="{00000000-0002-0000-0100-000052030000}">
          <x14:formula1>
            <xm:f>CountryGroup!A2:A1000</xm:f>
          </x14:formula1>
          <xm:sqref>C852</xm:sqref>
        </x14:dataValidation>
        <x14:dataValidation type="list" allowBlank="1" showInputMessage="1" showErrorMessage="1" xr:uid="{00000000-0002-0000-0100-000053030000}">
          <x14:formula1>
            <xm:f>CountryGroup!A2:A1000</xm:f>
          </x14:formula1>
          <xm:sqref>C853</xm:sqref>
        </x14:dataValidation>
        <x14:dataValidation type="list" allowBlank="1" showInputMessage="1" showErrorMessage="1" xr:uid="{00000000-0002-0000-0100-000054030000}">
          <x14:formula1>
            <xm:f>CountryGroup!A2:A1000</xm:f>
          </x14:formula1>
          <xm:sqref>C854</xm:sqref>
        </x14:dataValidation>
        <x14:dataValidation type="list" allowBlank="1" showInputMessage="1" showErrorMessage="1" xr:uid="{00000000-0002-0000-0100-000055030000}">
          <x14:formula1>
            <xm:f>CountryGroup!A2:A1000</xm:f>
          </x14:formula1>
          <xm:sqref>C855</xm:sqref>
        </x14:dataValidation>
        <x14:dataValidation type="list" allowBlank="1" showInputMessage="1" showErrorMessage="1" xr:uid="{00000000-0002-0000-0100-000056030000}">
          <x14:formula1>
            <xm:f>CountryGroup!A2:A1000</xm:f>
          </x14:formula1>
          <xm:sqref>C856</xm:sqref>
        </x14:dataValidation>
        <x14:dataValidation type="list" allowBlank="1" showInputMessage="1" showErrorMessage="1" xr:uid="{00000000-0002-0000-0100-000057030000}">
          <x14:formula1>
            <xm:f>CountryGroup!A2:A1000</xm:f>
          </x14:formula1>
          <xm:sqref>C857</xm:sqref>
        </x14:dataValidation>
        <x14:dataValidation type="list" allowBlank="1" showInputMessage="1" showErrorMessage="1" xr:uid="{00000000-0002-0000-0100-000058030000}">
          <x14:formula1>
            <xm:f>CountryGroup!A2:A1000</xm:f>
          </x14:formula1>
          <xm:sqref>C858</xm:sqref>
        </x14:dataValidation>
        <x14:dataValidation type="list" allowBlank="1" showInputMessage="1" showErrorMessage="1" xr:uid="{00000000-0002-0000-0100-000059030000}">
          <x14:formula1>
            <xm:f>CountryGroup!A2:A1000</xm:f>
          </x14:formula1>
          <xm:sqref>C859</xm:sqref>
        </x14:dataValidation>
        <x14:dataValidation type="list" allowBlank="1" showInputMessage="1" showErrorMessage="1" xr:uid="{00000000-0002-0000-0100-00005A030000}">
          <x14:formula1>
            <xm:f>CountryGroup!A2:A1000</xm:f>
          </x14:formula1>
          <xm:sqref>C860</xm:sqref>
        </x14:dataValidation>
        <x14:dataValidation type="list" allowBlank="1" showInputMessage="1" showErrorMessage="1" xr:uid="{00000000-0002-0000-0100-00005B030000}">
          <x14:formula1>
            <xm:f>CountryGroup!A2:A1000</xm:f>
          </x14:formula1>
          <xm:sqref>C861</xm:sqref>
        </x14:dataValidation>
        <x14:dataValidation type="list" allowBlank="1" showInputMessage="1" showErrorMessage="1" xr:uid="{00000000-0002-0000-0100-00005C030000}">
          <x14:formula1>
            <xm:f>CountryGroup!A2:A1000</xm:f>
          </x14:formula1>
          <xm:sqref>C862</xm:sqref>
        </x14:dataValidation>
        <x14:dataValidation type="list" allowBlank="1" showInputMessage="1" showErrorMessage="1" xr:uid="{00000000-0002-0000-0100-00005D030000}">
          <x14:formula1>
            <xm:f>CountryGroup!A2:A1000</xm:f>
          </x14:formula1>
          <xm:sqref>C863</xm:sqref>
        </x14:dataValidation>
        <x14:dataValidation type="list" allowBlank="1" showInputMessage="1" showErrorMessage="1" xr:uid="{00000000-0002-0000-0100-00005E030000}">
          <x14:formula1>
            <xm:f>CountryGroup!A2:A1000</xm:f>
          </x14:formula1>
          <xm:sqref>C864</xm:sqref>
        </x14:dataValidation>
        <x14:dataValidation type="list" allowBlank="1" showInputMessage="1" showErrorMessage="1" xr:uid="{00000000-0002-0000-0100-00005F030000}">
          <x14:formula1>
            <xm:f>CountryGroup!A2:A1000</xm:f>
          </x14:formula1>
          <xm:sqref>C865</xm:sqref>
        </x14:dataValidation>
        <x14:dataValidation type="list" allowBlank="1" showInputMessage="1" showErrorMessage="1" xr:uid="{00000000-0002-0000-0100-000060030000}">
          <x14:formula1>
            <xm:f>CountryGroup!A2:A1000</xm:f>
          </x14:formula1>
          <xm:sqref>C866</xm:sqref>
        </x14:dataValidation>
        <x14:dataValidation type="list" allowBlank="1" showInputMessage="1" showErrorMessage="1" xr:uid="{00000000-0002-0000-0100-000061030000}">
          <x14:formula1>
            <xm:f>CountryGroup!A2:A1000</xm:f>
          </x14:formula1>
          <xm:sqref>C867</xm:sqref>
        </x14:dataValidation>
        <x14:dataValidation type="list" allowBlank="1" showInputMessage="1" showErrorMessage="1" xr:uid="{00000000-0002-0000-0100-000062030000}">
          <x14:formula1>
            <xm:f>CountryGroup!A2:A1000</xm:f>
          </x14:formula1>
          <xm:sqref>C868</xm:sqref>
        </x14:dataValidation>
        <x14:dataValidation type="list" allowBlank="1" showInputMessage="1" showErrorMessage="1" xr:uid="{00000000-0002-0000-0100-000063030000}">
          <x14:formula1>
            <xm:f>CountryGroup!A2:A1000</xm:f>
          </x14:formula1>
          <xm:sqref>C869</xm:sqref>
        </x14:dataValidation>
        <x14:dataValidation type="list" allowBlank="1" showInputMessage="1" showErrorMessage="1" xr:uid="{00000000-0002-0000-0100-000064030000}">
          <x14:formula1>
            <xm:f>CountryGroup!A2:A1000</xm:f>
          </x14:formula1>
          <xm:sqref>C870</xm:sqref>
        </x14:dataValidation>
        <x14:dataValidation type="list" allowBlank="1" showInputMessage="1" showErrorMessage="1" xr:uid="{00000000-0002-0000-0100-000065030000}">
          <x14:formula1>
            <xm:f>CountryGroup!A2:A1000</xm:f>
          </x14:formula1>
          <xm:sqref>C871</xm:sqref>
        </x14:dataValidation>
        <x14:dataValidation type="list" allowBlank="1" showInputMessage="1" showErrorMessage="1" xr:uid="{00000000-0002-0000-0100-000066030000}">
          <x14:formula1>
            <xm:f>CountryGroup!A2:A1000</xm:f>
          </x14:formula1>
          <xm:sqref>C872</xm:sqref>
        </x14:dataValidation>
        <x14:dataValidation type="list" allowBlank="1" showInputMessage="1" showErrorMessage="1" xr:uid="{00000000-0002-0000-0100-000067030000}">
          <x14:formula1>
            <xm:f>CountryGroup!A2:A1000</xm:f>
          </x14:formula1>
          <xm:sqref>C873</xm:sqref>
        </x14:dataValidation>
        <x14:dataValidation type="list" allowBlank="1" showInputMessage="1" showErrorMessage="1" xr:uid="{00000000-0002-0000-0100-000068030000}">
          <x14:formula1>
            <xm:f>CountryGroup!A2:A1000</xm:f>
          </x14:formula1>
          <xm:sqref>C874</xm:sqref>
        </x14:dataValidation>
        <x14:dataValidation type="list" allowBlank="1" showInputMessage="1" showErrorMessage="1" xr:uid="{00000000-0002-0000-0100-000069030000}">
          <x14:formula1>
            <xm:f>CountryGroup!A2:A1000</xm:f>
          </x14:formula1>
          <xm:sqref>C875</xm:sqref>
        </x14:dataValidation>
        <x14:dataValidation type="list" allowBlank="1" showInputMessage="1" showErrorMessage="1" xr:uid="{00000000-0002-0000-0100-00006A030000}">
          <x14:formula1>
            <xm:f>CountryGroup!A2:A1000</xm:f>
          </x14:formula1>
          <xm:sqref>C876</xm:sqref>
        </x14:dataValidation>
        <x14:dataValidation type="list" allowBlank="1" showInputMessage="1" showErrorMessage="1" xr:uid="{00000000-0002-0000-0100-00006B030000}">
          <x14:formula1>
            <xm:f>CountryGroup!A2:A1000</xm:f>
          </x14:formula1>
          <xm:sqref>C877</xm:sqref>
        </x14:dataValidation>
        <x14:dataValidation type="list" allowBlank="1" showInputMessage="1" showErrorMessage="1" xr:uid="{00000000-0002-0000-0100-00006C030000}">
          <x14:formula1>
            <xm:f>CountryGroup!A2:A1000</xm:f>
          </x14:formula1>
          <xm:sqref>C878</xm:sqref>
        </x14:dataValidation>
        <x14:dataValidation type="list" allowBlank="1" showInputMessage="1" showErrorMessage="1" xr:uid="{00000000-0002-0000-0100-00006D030000}">
          <x14:formula1>
            <xm:f>CountryGroup!A2:A1000</xm:f>
          </x14:formula1>
          <xm:sqref>C879</xm:sqref>
        </x14:dataValidation>
        <x14:dataValidation type="list" allowBlank="1" showInputMessage="1" showErrorMessage="1" xr:uid="{00000000-0002-0000-0100-00006E030000}">
          <x14:formula1>
            <xm:f>CountryGroup!A2:A1000</xm:f>
          </x14:formula1>
          <xm:sqref>C880</xm:sqref>
        </x14:dataValidation>
        <x14:dataValidation type="list" allowBlank="1" showInputMessage="1" showErrorMessage="1" xr:uid="{00000000-0002-0000-0100-00006F030000}">
          <x14:formula1>
            <xm:f>CountryGroup!A2:A1000</xm:f>
          </x14:formula1>
          <xm:sqref>C881</xm:sqref>
        </x14:dataValidation>
        <x14:dataValidation type="list" allowBlank="1" showInputMessage="1" showErrorMessage="1" xr:uid="{00000000-0002-0000-0100-000070030000}">
          <x14:formula1>
            <xm:f>CountryGroup!A2:A1000</xm:f>
          </x14:formula1>
          <xm:sqref>C882</xm:sqref>
        </x14:dataValidation>
        <x14:dataValidation type="list" allowBlank="1" showInputMessage="1" showErrorMessage="1" xr:uid="{00000000-0002-0000-0100-000071030000}">
          <x14:formula1>
            <xm:f>CountryGroup!A2:A1000</xm:f>
          </x14:formula1>
          <xm:sqref>C883</xm:sqref>
        </x14:dataValidation>
        <x14:dataValidation type="list" allowBlank="1" showInputMessage="1" showErrorMessage="1" xr:uid="{00000000-0002-0000-0100-000072030000}">
          <x14:formula1>
            <xm:f>CountryGroup!A2:A1000</xm:f>
          </x14:formula1>
          <xm:sqref>C884</xm:sqref>
        </x14:dataValidation>
        <x14:dataValidation type="list" allowBlank="1" showInputMessage="1" showErrorMessage="1" xr:uid="{00000000-0002-0000-0100-000073030000}">
          <x14:formula1>
            <xm:f>CountryGroup!A2:A1000</xm:f>
          </x14:formula1>
          <xm:sqref>C885</xm:sqref>
        </x14:dataValidation>
        <x14:dataValidation type="list" allowBlank="1" showInputMessage="1" showErrorMessage="1" xr:uid="{00000000-0002-0000-0100-000074030000}">
          <x14:formula1>
            <xm:f>CountryGroup!A2:A1000</xm:f>
          </x14:formula1>
          <xm:sqref>C886</xm:sqref>
        </x14:dataValidation>
        <x14:dataValidation type="list" allowBlank="1" showInputMessage="1" showErrorMessage="1" xr:uid="{00000000-0002-0000-0100-000075030000}">
          <x14:formula1>
            <xm:f>CountryGroup!A2:A1000</xm:f>
          </x14:formula1>
          <xm:sqref>C887</xm:sqref>
        </x14:dataValidation>
        <x14:dataValidation type="list" allowBlank="1" showInputMessage="1" showErrorMessage="1" xr:uid="{00000000-0002-0000-0100-000076030000}">
          <x14:formula1>
            <xm:f>CountryGroup!A2:A1000</xm:f>
          </x14:formula1>
          <xm:sqref>C888</xm:sqref>
        </x14:dataValidation>
        <x14:dataValidation type="list" allowBlank="1" showInputMessage="1" showErrorMessage="1" xr:uid="{00000000-0002-0000-0100-000077030000}">
          <x14:formula1>
            <xm:f>CountryGroup!A2:A1000</xm:f>
          </x14:formula1>
          <xm:sqref>C889</xm:sqref>
        </x14:dataValidation>
        <x14:dataValidation type="list" allowBlank="1" showInputMessage="1" showErrorMessage="1" xr:uid="{00000000-0002-0000-0100-000078030000}">
          <x14:formula1>
            <xm:f>CountryGroup!A2:A1000</xm:f>
          </x14:formula1>
          <xm:sqref>C890</xm:sqref>
        </x14:dataValidation>
        <x14:dataValidation type="list" allowBlank="1" showInputMessage="1" showErrorMessage="1" xr:uid="{00000000-0002-0000-0100-000079030000}">
          <x14:formula1>
            <xm:f>CountryGroup!A2:A1000</xm:f>
          </x14:formula1>
          <xm:sqref>C891</xm:sqref>
        </x14:dataValidation>
        <x14:dataValidation type="list" allowBlank="1" showInputMessage="1" showErrorMessage="1" xr:uid="{00000000-0002-0000-0100-00007A030000}">
          <x14:formula1>
            <xm:f>CountryGroup!A2:A1000</xm:f>
          </x14:formula1>
          <xm:sqref>C892</xm:sqref>
        </x14:dataValidation>
        <x14:dataValidation type="list" allowBlank="1" showInputMessage="1" showErrorMessage="1" xr:uid="{00000000-0002-0000-0100-00007B030000}">
          <x14:formula1>
            <xm:f>CountryGroup!A2:A1000</xm:f>
          </x14:formula1>
          <xm:sqref>C893</xm:sqref>
        </x14:dataValidation>
        <x14:dataValidation type="list" allowBlank="1" showInputMessage="1" showErrorMessage="1" xr:uid="{00000000-0002-0000-0100-00007C030000}">
          <x14:formula1>
            <xm:f>CountryGroup!A2:A1000</xm:f>
          </x14:formula1>
          <xm:sqref>C894</xm:sqref>
        </x14:dataValidation>
        <x14:dataValidation type="list" allowBlank="1" showInputMessage="1" showErrorMessage="1" xr:uid="{00000000-0002-0000-0100-00007D030000}">
          <x14:formula1>
            <xm:f>CountryGroup!A2:A1000</xm:f>
          </x14:formula1>
          <xm:sqref>C895</xm:sqref>
        </x14:dataValidation>
        <x14:dataValidation type="list" allowBlank="1" showInputMessage="1" showErrorMessage="1" xr:uid="{00000000-0002-0000-0100-00007E030000}">
          <x14:formula1>
            <xm:f>CountryGroup!A2:A1000</xm:f>
          </x14:formula1>
          <xm:sqref>C896</xm:sqref>
        </x14:dataValidation>
        <x14:dataValidation type="list" allowBlank="1" showInputMessage="1" showErrorMessage="1" xr:uid="{00000000-0002-0000-0100-00007F030000}">
          <x14:formula1>
            <xm:f>CountryGroup!A2:A1000</xm:f>
          </x14:formula1>
          <xm:sqref>C897</xm:sqref>
        </x14:dataValidation>
        <x14:dataValidation type="list" allowBlank="1" showInputMessage="1" showErrorMessage="1" xr:uid="{00000000-0002-0000-0100-000080030000}">
          <x14:formula1>
            <xm:f>CountryGroup!A2:A1000</xm:f>
          </x14:formula1>
          <xm:sqref>C898</xm:sqref>
        </x14:dataValidation>
        <x14:dataValidation type="list" allowBlank="1" showInputMessage="1" showErrorMessage="1" xr:uid="{00000000-0002-0000-0100-000081030000}">
          <x14:formula1>
            <xm:f>CountryGroup!A2:A1000</xm:f>
          </x14:formula1>
          <xm:sqref>C899</xm:sqref>
        </x14:dataValidation>
        <x14:dataValidation type="list" allowBlank="1" showInputMessage="1" showErrorMessage="1" xr:uid="{00000000-0002-0000-0100-000082030000}">
          <x14:formula1>
            <xm:f>CountryGroup!A2:A1000</xm:f>
          </x14:formula1>
          <xm:sqref>C900</xm:sqref>
        </x14:dataValidation>
        <x14:dataValidation type="list" allowBlank="1" showInputMessage="1" showErrorMessage="1" xr:uid="{00000000-0002-0000-0100-000083030000}">
          <x14:formula1>
            <xm:f>CountryGroup!A2:A1000</xm:f>
          </x14:formula1>
          <xm:sqref>C901</xm:sqref>
        </x14:dataValidation>
        <x14:dataValidation type="list" allowBlank="1" showInputMessage="1" showErrorMessage="1" xr:uid="{00000000-0002-0000-0100-000084030000}">
          <x14:formula1>
            <xm:f>CountryGroup!A2:A1000</xm:f>
          </x14:formula1>
          <xm:sqref>C902</xm:sqref>
        </x14:dataValidation>
        <x14:dataValidation type="list" allowBlank="1" showInputMessage="1" showErrorMessage="1" xr:uid="{00000000-0002-0000-0100-000085030000}">
          <x14:formula1>
            <xm:f>CountryGroup!A2:A1000</xm:f>
          </x14:formula1>
          <xm:sqref>C903</xm:sqref>
        </x14:dataValidation>
        <x14:dataValidation type="list" allowBlank="1" showInputMessage="1" showErrorMessage="1" xr:uid="{00000000-0002-0000-0100-000086030000}">
          <x14:formula1>
            <xm:f>CountryGroup!A2:A1000</xm:f>
          </x14:formula1>
          <xm:sqref>C904</xm:sqref>
        </x14:dataValidation>
        <x14:dataValidation type="list" allowBlank="1" showInputMessage="1" showErrorMessage="1" xr:uid="{00000000-0002-0000-0100-000087030000}">
          <x14:formula1>
            <xm:f>CountryGroup!A2:A1000</xm:f>
          </x14:formula1>
          <xm:sqref>C905</xm:sqref>
        </x14:dataValidation>
        <x14:dataValidation type="list" allowBlank="1" showInputMessage="1" showErrorMessage="1" xr:uid="{00000000-0002-0000-0100-000088030000}">
          <x14:formula1>
            <xm:f>CountryGroup!A2:A1000</xm:f>
          </x14:formula1>
          <xm:sqref>C906</xm:sqref>
        </x14:dataValidation>
        <x14:dataValidation type="list" allowBlank="1" showInputMessage="1" showErrorMessage="1" xr:uid="{00000000-0002-0000-0100-000089030000}">
          <x14:formula1>
            <xm:f>CountryGroup!A2:A1000</xm:f>
          </x14:formula1>
          <xm:sqref>C907</xm:sqref>
        </x14:dataValidation>
        <x14:dataValidation type="list" allowBlank="1" showInputMessage="1" showErrorMessage="1" xr:uid="{00000000-0002-0000-0100-00008A030000}">
          <x14:formula1>
            <xm:f>CountryGroup!A2:A1000</xm:f>
          </x14:formula1>
          <xm:sqref>C908</xm:sqref>
        </x14:dataValidation>
        <x14:dataValidation type="list" allowBlank="1" showInputMessage="1" showErrorMessage="1" xr:uid="{00000000-0002-0000-0100-00008B030000}">
          <x14:formula1>
            <xm:f>CountryGroup!A2:A1000</xm:f>
          </x14:formula1>
          <xm:sqref>C909</xm:sqref>
        </x14:dataValidation>
        <x14:dataValidation type="list" allowBlank="1" showInputMessage="1" showErrorMessage="1" xr:uid="{00000000-0002-0000-0100-00008C030000}">
          <x14:formula1>
            <xm:f>CountryGroup!A2:A1000</xm:f>
          </x14:formula1>
          <xm:sqref>C910</xm:sqref>
        </x14:dataValidation>
        <x14:dataValidation type="list" allowBlank="1" showInputMessage="1" showErrorMessage="1" xr:uid="{00000000-0002-0000-0100-00008D030000}">
          <x14:formula1>
            <xm:f>CountryGroup!A2:A1000</xm:f>
          </x14:formula1>
          <xm:sqref>C911</xm:sqref>
        </x14:dataValidation>
        <x14:dataValidation type="list" allowBlank="1" showInputMessage="1" showErrorMessage="1" xr:uid="{00000000-0002-0000-0100-00008E030000}">
          <x14:formula1>
            <xm:f>CountryGroup!A2:A1000</xm:f>
          </x14:formula1>
          <xm:sqref>C912</xm:sqref>
        </x14:dataValidation>
        <x14:dataValidation type="list" allowBlank="1" showInputMessage="1" showErrorMessage="1" xr:uid="{00000000-0002-0000-0100-00008F030000}">
          <x14:formula1>
            <xm:f>CountryGroup!A2:A1000</xm:f>
          </x14:formula1>
          <xm:sqref>C913</xm:sqref>
        </x14:dataValidation>
        <x14:dataValidation type="list" allowBlank="1" showInputMessage="1" showErrorMessage="1" xr:uid="{00000000-0002-0000-0100-000090030000}">
          <x14:formula1>
            <xm:f>CountryGroup!A2:A1000</xm:f>
          </x14:formula1>
          <xm:sqref>C914</xm:sqref>
        </x14:dataValidation>
        <x14:dataValidation type="list" allowBlank="1" showInputMessage="1" showErrorMessage="1" xr:uid="{00000000-0002-0000-0100-000091030000}">
          <x14:formula1>
            <xm:f>CountryGroup!A2:A1000</xm:f>
          </x14:formula1>
          <xm:sqref>C915</xm:sqref>
        </x14:dataValidation>
        <x14:dataValidation type="list" allowBlank="1" showInputMessage="1" showErrorMessage="1" xr:uid="{00000000-0002-0000-0100-000092030000}">
          <x14:formula1>
            <xm:f>CountryGroup!A2:A1000</xm:f>
          </x14:formula1>
          <xm:sqref>C916</xm:sqref>
        </x14:dataValidation>
        <x14:dataValidation type="list" allowBlank="1" showInputMessage="1" showErrorMessage="1" xr:uid="{00000000-0002-0000-0100-000093030000}">
          <x14:formula1>
            <xm:f>CountryGroup!A2:A1000</xm:f>
          </x14:formula1>
          <xm:sqref>C917</xm:sqref>
        </x14:dataValidation>
        <x14:dataValidation type="list" allowBlank="1" showInputMessage="1" showErrorMessage="1" xr:uid="{00000000-0002-0000-0100-000094030000}">
          <x14:formula1>
            <xm:f>CountryGroup!A2:A1000</xm:f>
          </x14:formula1>
          <xm:sqref>C918</xm:sqref>
        </x14:dataValidation>
        <x14:dataValidation type="list" allowBlank="1" showInputMessage="1" showErrorMessage="1" xr:uid="{00000000-0002-0000-0100-000095030000}">
          <x14:formula1>
            <xm:f>CountryGroup!A2:A1000</xm:f>
          </x14:formula1>
          <xm:sqref>C919</xm:sqref>
        </x14:dataValidation>
        <x14:dataValidation type="list" allowBlank="1" showInputMessage="1" showErrorMessage="1" xr:uid="{00000000-0002-0000-0100-000096030000}">
          <x14:formula1>
            <xm:f>CountryGroup!A2:A1000</xm:f>
          </x14:formula1>
          <xm:sqref>C920</xm:sqref>
        </x14:dataValidation>
        <x14:dataValidation type="list" allowBlank="1" showInputMessage="1" showErrorMessage="1" xr:uid="{00000000-0002-0000-0100-000097030000}">
          <x14:formula1>
            <xm:f>CountryGroup!A2:A1000</xm:f>
          </x14:formula1>
          <xm:sqref>C921</xm:sqref>
        </x14:dataValidation>
        <x14:dataValidation type="list" allowBlank="1" showInputMessage="1" showErrorMessage="1" xr:uid="{00000000-0002-0000-0100-000098030000}">
          <x14:formula1>
            <xm:f>CountryGroup!A2:A1000</xm:f>
          </x14:formula1>
          <xm:sqref>C922</xm:sqref>
        </x14:dataValidation>
        <x14:dataValidation type="list" allowBlank="1" showInputMessage="1" showErrorMessage="1" xr:uid="{00000000-0002-0000-0100-000099030000}">
          <x14:formula1>
            <xm:f>CountryGroup!A2:A1000</xm:f>
          </x14:formula1>
          <xm:sqref>C923</xm:sqref>
        </x14:dataValidation>
        <x14:dataValidation type="list" allowBlank="1" showInputMessage="1" showErrorMessage="1" xr:uid="{00000000-0002-0000-0100-00009A030000}">
          <x14:formula1>
            <xm:f>CountryGroup!A2:A1000</xm:f>
          </x14:formula1>
          <xm:sqref>C924</xm:sqref>
        </x14:dataValidation>
        <x14:dataValidation type="list" allowBlank="1" showInputMessage="1" showErrorMessage="1" xr:uid="{00000000-0002-0000-0100-00009B030000}">
          <x14:formula1>
            <xm:f>CountryGroup!A2:A1000</xm:f>
          </x14:formula1>
          <xm:sqref>C925</xm:sqref>
        </x14:dataValidation>
        <x14:dataValidation type="list" allowBlank="1" showInputMessage="1" showErrorMessage="1" xr:uid="{00000000-0002-0000-0100-00009C030000}">
          <x14:formula1>
            <xm:f>CountryGroup!A2:A1000</xm:f>
          </x14:formula1>
          <xm:sqref>C926</xm:sqref>
        </x14:dataValidation>
        <x14:dataValidation type="list" allowBlank="1" showInputMessage="1" showErrorMessage="1" xr:uid="{00000000-0002-0000-0100-00009D030000}">
          <x14:formula1>
            <xm:f>CountryGroup!A2:A1000</xm:f>
          </x14:formula1>
          <xm:sqref>C927</xm:sqref>
        </x14:dataValidation>
        <x14:dataValidation type="list" allowBlank="1" showInputMessage="1" showErrorMessage="1" xr:uid="{00000000-0002-0000-0100-00009E030000}">
          <x14:formula1>
            <xm:f>CountryGroup!A2:A1000</xm:f>
          </x14:formula1>
          <xm:sqref>C928</xm:sqref>
        </x14:dataValidation>
        <x14:dataValidation type="list" allowBlank="1" showInputMessage="1" showErrorMessage="1" xr:uid="{00000000-0002-0000-0100-00009F030000}">
          <x14:formula1>
            <xm:f>CountryGroup!A2:A1000</xm:f>
          </x14:formula1>
          <xm:sqref>C929</xm:sqref>
        </x14:dataValidation>
        <x14:dataValidation type="list" allowBlank="1" showInputMessage="1" showErrorMessage="1" xr:uid="{00000000-0002-0000-0100-0000A0030000}">
          <x14:formula1>
            <xm:f>CountryGroup!A2:A1000</xm:f>
          </x14:formula1>
          <xm:sqref>C930</xm:sqref>
        </x14:dataValidation>
        <x14:dataValidation type="list" allowBlank="1" showInputMessage="1" showErrorMessage="1" xr:uid="{00000000-0002-0000-0100-0000A1030000}">
          <x14:formula1>
            <xm:f>CountryGroup!A2:A1000</xm:f>
          </x14:formula1>
          <xm:sqref>C931</xm:sqref>
        </x14:dataValidation>
        <x14:dataValidation type="list" allowBlank="1" showInputMessage="1" showErrorMessage="1" xr:uid="{00000000-0002-0000-0100-0000A2030000}">
          <x14:formula1>
            <xm:f>CountryGroup!A2:A1000</xm:f>
          </x14:formula1>
          <xm:sqref>C932</xm:sqref>
        </x14:dataValidation>
        <x14:dataValidation type="list" allowBlank="1" showInputMessage="1" showErrorMessage="1" xr:uid="{00000000-0002-0000-0100-0000A3030000}">
          <x14:formula1>
            <xm:f>CountryGroup!A2:A1000</xm:f>
          </x14:formula1>
          <xm:sqref>C933</xm:sqref>
        </x14:dataValidation>
        <x14:dataValidation type="list" allowBlank="1" showInputMessage="1" showErrorMessage="1" xr:uid="{00000000-0002-0000-0100-0000A4030000}">
          <x14:formula1>
            <xm:f>CountryGroup!A2:A1000</xm:f>
          </x14:formula1>
          <xm:sqref>C934</xm:sqref>
        </x14:dataValidation>
        <x14:dataValidation type="list" allowBlank="1" showInputMessage="1" showErrorMessage="1" xr:uid="{00000000-0002-0000-0100-0000A5030000}">
          <x14:formula1>
            <xm:f>CountryGroup!A2:A1000</xm:f>
          </x14:formula1>
          <xm:sqref>C935</xm:sqref>
        </x14:dataValidation>
        <x14:dataValidation type="list" allowBlank="1" showInputMessage="1" showErrorMessage="1" xr:uid="{00000000-0002-0000-0100-0000A6030000}">
          <x14:formula1>
            <xm:f>CountryGroup!A2:A1000</xm:f>
          </x14:formula1>
          <xm:sqref>C936</xm:sqref>
        </x14:dataValidation>
        <x14:dataValidation type="list" allowBlank="1" showInputMessage="1" showErrorMessage="1" xr:uid="{00000000-0002-0000-0100-0000A7030000}">
          <x14:formula1>
            <xm:f>CountryGroup!A2:A1000</xm:f>
          </x14:formula1>
          <xm:sqref>C937</xm:sqref>
        </x14:dataValidation>
        <x14:dataValidation type="list" allowBlank="1" showInputMessage="1" showErrorMessage="1" xr:uid="{00000000-0002-0000-0100-0000A8030000}">
          <x14:formula1>
            <xm:f>CountryGroup!A2:A1000</xm:f>
          </x14:formula1>
          <xm:sqref>C938</xm:sqref>
        </x14:dataValidation>
        <x14:dataValidation type="list" allowBlank="1" showInputMessage="1" showErrorMessage="1" xr:uid="{00000000-0002-0000-0100-0000A9030000}">
          <x14:formula1>
            <xm:f>CountryGroup!A2:A1000</xm:f>
          </x14:formula1>
          <xm:sqref>C939</xm:sqref>
        </x14:dataValidation>
        <x14:dataValidation type="list" allowBlank="1" showInputMessage="1" showErrorMessage="1" xr:uid="{00000000-0002-0000-0100-0000AA030000}">
          <x14:formula1>
            <xm:f>CountryGroup!A2:A1000</xm:f>
          </x14:formula1>
          <xm:sqref>C940</xm:sqref>
        </x14:dataValidation>
        <x14:dataValidation type="list" allowBlank="1" showInputMessage="1" showErrorMessage="1" xr:uid="{00000000-0002-0000-0100-0000AB030000}">
          <x14:formula1>
            <xm:f>CountryGroup!A2:A1000</xm:f>
          </x14:formula1>
          <xm:sqref>C941</xm:sqref>
        </x14:dataValidation>
        <x14:dataValidation type="list" allowBlank="1" showInputMessage="1" showErrorMessage="1" xr:uid="{00000000-0002-0000-0100-0000AC030000}">
          <x14:formula1>
            <xm:f>CountryGroup!A2:A1000</xm:f>
          </x14:formula1>
          <xm:sqref>C942</xm:sqref>
        </x14:dataValidation>
        <x14:dataValidation type="list" allowBlank="1" showInputMessage="1" showErrorMessage="1" xr:uid="{00000000-0002-0000-0100-0000AD030000}">
          <x14:formula1>
            <xm:f>CountryGroup!A2:A1000</xm:f>
          </x14:formula1>
          <xm:sqref>C943</xm:sqref>
        </x14:dataValidation>
        <x14:dataValidation type="list" allowBlank="1" showInputMessage="1" showErrorMessage="1" xr:uid="{00000000-0002-0000-0100-0000AE030000}">
          <x14:formula1>
            <xm:f>CountryGroup!A2:A1000</xm:f>
          </x14:formula1>
          <xm:sqref>C944</xm:sqref>
        </x14:dataValidation>
        <x14:dataValidation type="list" allowBlank="1" showInputMessage="1" showErrorMessage="1" xr:uid="{00000000-0002-0000-0100-0000AF030000}">
          <x14:formula1>
            <xm:f>CountryGroup!A2:A1000</xm:f>
          </x14:formula1>
          <xm:sqref>C945</xm:sqref>
        </x14:dataValidation>
        <x14:dataValidation type="list" allowBlank="1" showInputMessage="1" showErrorMessage="1" xr:uid="{00000000-0002-0000-0100-0000B0030000}">
          <x14:formula1>
            <xm:f>CountryGroup!A2:A1000</xm:f>
          </x14:formula1>
          <xm:sqref>C946</xm:sqref>
        </x14:dataValidation>
        <x14:dataValidation type="list" allowBlank="1" showInputMessage="1" showErrorMessage="1" xr:uid="{00000000-0002-0000-0100-0000B1030000}">
          <x14:formula1>
            <xm:f>CountryGroup!A2:A1000</xm:f>
          </x14:formula1>
          <xm:sqref>C947</xm:sqref>
        </x14:dataValidation>
        <x14:dataValidation type="list" allowBlank="1" showInputMessage="1" showErrorMessage="1" xr:uid="{00000000-0002-0000-0100-0000B2030000}">
          <x14:formula1>
            <xm:f>CountryGroup!A2:A1000</xm:f>
          </x14:formula1>
          <xm:sqref>C948</xm:sqref>
        </x14:dataValidation>
        <x14:dataValidation type="list" allowBlank="1" showInputMessage="1" showErrorMessage="1" xr:uid="{00000000-0002-0000-0100-0000B3030000}">
          <x14:formula1>
            <xm:f>CountryGroup!A2:A1000</xm:f>
          </x14:formula1>
          <xm:sqref>C949</xm:sqref>
        </x14:dataValidation>
        <x14:dataValidation type="list" allowBlank="1" showInputMessage="1" showErrorMessage="1" xr:uid="{00000000-0002-0000-0100-0000B4030000}">
          <x14:formula1>
            <xm:f>CountryGroup!A2:A1000</xm:f>
          </x14:formula1>
          <xm:sqref>C950</xm:sqref>
        </x14:dataValidation>
        <x14:dataValidation type="list" allowBlank="1" showInputMessage="1" showErrorMessage="1" xr:uid="{00000000-0002-0000-0100-0000B5030000}">
          <x14:formula1>
            <xm:f>CountryGroup!A2:A1000</xm:f>
          </x14:formula1>
          <xm:sqref>C951</xm:sqref>
        </x14:dataValidation>
        <x14:dataValidation type="list" allowBlank="1" showInputMessage="1" showErrorMessage="1" xr:uid="{00000000-0002-0000-0100-0000B6030000}">
          <x14:formula1>
            <xm:f>CountryGroup!A2:A1000</xm:f>
          </x14:formula1>
          <xm:sqref>C952</xm:sqref>
        </x14:dataValidation>
        <x14:dataValidation type="list" allowBlank="1" showInputMessage="1" showErrorMessage="1" xr:uid="{00000000-0002-0000-0100-0000B7030000}">
          <x14:formula1>
            <xm:f>CountryGroup!A2:A1000</xm:f>
          </x14:formula1>
          <xm:sqref>C953</xm:sqref>
        </x14:dataValidation>
        <x14:dataValidation type="list" allowBlank="1" showInputMessage="1" showErrorMessage="1" xr:uid="{00000000-0002-0000-0100-0000B8030000}">
          <x14:formula1>
            <xm:f>CountryGroup!A2:A1000</xm:f>
          </x14:formula1>
          <xm:sqref>C954</xm:sqref>
        </x14:dataValidation>
        <x14:dataValidation type="list" allowBlank="1" showInputMessage="1" showErrorMessage="1" xr:uid="{00000000-0002-0000-0100-0000B9030000}">
          <x14:formula1>
            <xm:f>CountryGroup!A2:A1000</xm:f>
          </x14:formula1>
          <xm:sqref>C955</xm:sqref>
        </x14:dataValidation>
        <x14:dataValidation type="list" allowBlank="1" showInputMessage="1" showErrorMessage="1" xr:uid="{00000000-0002-0000-0100-0000BA030000}">
          <x14:formula1>
            <xm:f>CountryGroup!A2:A1000</xm:f>
          </x14:formula1>
          <xm:sqref>C956</xm:sqref>
        </x14:dataValidation>
        <x14:dataValidation type="list" allowBlank="1" showInputMessage="1" showErrorMessage="1" xr:uid="{00000000-0002-0000-0100-0000BB030000}">
          <x14:formula1>
            <xm:f>CountryGroup!A2:A1000</xm:f>
          </x14:formula1>
          <xm:sqref>C957</xm:sqref>
        </x14:dataValidation>
        <x14:dataValidation type="list" allowBlank="1" showInputMessage="1" showErrorMessage="1" xr:uid="{00000000-0002-0000-0100-0000BC030000}">
          <x14:formula1>
            <xm:f>CountryGroup!A2:A1000</xm:f>
          </x14:formula1>
          <xm:sqref>C958</xm:sqref>
        </x14:dataValidation>
        <x14:dataValidation type="list" allowBlank="1" showInputMessage="1" showErrorMessage="1" xr:uid="{00000000-0002-0000-0100-0000BD030000}">
          <x14:formula1>
            <xm:f>CountryGroup!A2:A1000</xm:f>
          </x14:formula1>
          <xm:sqref>C959</xm:sqref>
        </x14:dataValidation>
        <x14:dataValidation type="list" allowBlank="1" showInputMessage="1" showErrorMessage="1" xr:uid="{00000000-0002-0000-0100-0000BE030000}">
          <x14:formula1>
            <xm:f>CountryGroup!A2:A1000</xm:f>
          </x14:formula1>
          <xm:sqref>C960</xm:sqref>
        </x14:dataValidation>
        <x14:dataValidation type="list" allowBlank="1" showInputMessage="1" showErrorMessage="1" xr:uid="{00000000-0002-0000-0100-0000BF030000}">
          <x14:formula1>
            <xm:f>CountryGroup!A2:A1000</xm:f>
          </x14:formula1>
          <xm:sqref>C961</xm:sqref>
        </x14:dataValidation>
        <x14:dataValidation type="list" allowBlank="1" showInputMessage="1" showErrorMessage="1" xr:uid="{00000000-0002-0000-0100-0000C0030000}">
          <x14:formula1>
            <xm:f>CountryGroup!A2:A1000</xm:f>
          </x14:formula1>
          <xm:sqref>C962</xm:sqref>
        </x14:dataValidation>
        <x14:dataValidation type="list" allowBlank="1" showInputMessage="1" showErrorMessage="1" xr:uid="{00000000-0002-0000-0100-0000C1030000}">
          <x14:formula1>
            <xm:f>CountryGroup!A2:A1000</xm:f>
          </x14:formula1>
          <xm:sqref>C963</xm:sqref>
        </x14:dataValidation>
        <x14:dataValidation type="list" allowBlank="1" showInputMessage="1" showErrorMessage="1" xr:uid="{00000000-0002-0000-0100-0000C2030000}">
          <x14:formula1>
            <xm:f>CountryGroup!A2:A1000</xm:f>
          </x14:formula1>
          <xm:sqref>C964</xm:sqref>
        </x14:dataValidation>
        <x14:dataValidation type="list" allowBlank="1" showInputMessage="1" showErrorMessage="1" xr:uid="{00000000-0002-0000-0100-0000C3030000}">
          <x14:formula1>
            <xm:f>CountryGroup!A2:A1000</xm:f>
          </x14:formula1>
          <xm:sqref>C965</xm:sqref>
        </x14:dataValidation>
        <x14:dataValidation type="list" allowBlank="1" showInputMessage="1" showErrorMessage="1" xr:uid="{00000000-0002-0000-0100-0000C4030000}">
          <x14:formula1>
            <xm:f>CountryGroup!A2:A1000</xm:f>
          </x14:formula1>
          <xm:sqref>C966</xm:sqref>
        </x14:dataValidation>
        <x14:dataValidation type="list" allowBlank="1" showInputMessage="1" showErrorMessage="1" xr:uid="{00000000-0002-0000-0100-0000C5030000}">
          <x14:formula1>
            <xm:f>CountryGroup!A2:A1000</xm:f>
          </x14:formula1>
          <xm:sqref>C967</xm:sqref>
        </x14:dataValidation>
        <x14:dataValidation type="list" allowBlank="1" showInputMessage="1" showErrorMessage="1" xr:uid="{00000000-0002-0000-0100-0000C6030000}">
          <x14:formula1>
            <xm:f>CountryGroup!A2:A1000</xm:f>
          </x14:formula1>
          <xm:sqref>C968</xm:sqref>
        </x14:dataValidation>
        <x14:dataValidation type="list" allowBlank="1" showInputMessage="1" showErrorMessage="1" xr:uid="{00000000-0002-0000-0100-0000C7030000}">
          <x14:formula1>
            <xm:f>CountryGroup!A2:A1000</xm:f>
          </x14:formula1>
          <xm:sqref>C969</xm:sqref>
        </x14:dataValidation>
        <x14:dataValidation type="list" allowBlank="1" showInputMessage="1" showErrorMessage="1" xr:uid="{00000000-0002-0000-0100-0000C8030000}">
          <x14:formula1>
            <xm:f>CountryGroup!A2:A1000</xm:f>
          </x14:formula1>
          <xm:sqref>C970</xm:sqref>
        </x14:dataValidation>
        <x14:dataValidation type="list" allowBlank="1" showInputMessage="1" showErrorMessage="1" xr:uid="{00000000-0002-0000-0100-0000C9030000}">
          <x14:formula1>
            <xm:f>CountryGroup!A2:A1000</xm:f>
          </x14:formula1>
          <xm:sqref>C971</xm:sqref>
        </x14:dataValidation>
        <x14:dataValidation type="list" allowBlank="1" showInputMessage="1" showErrorMessage="1" xr:uid="{00000000-0002-0000-0100-0000CA030000}">
          <x14:formula1>
            <xm:f>CountryGroup!A2:A1000</xm:f>
          </x14:formula1>
          <xm:sqref>C972</xm:sqref>
        </x14:dataValidation>
        <x14:dataValidation type="list" allowBlank="1" showInputMessage="1" showErrorMessage="1" xr:uid="{00000000-0002-0000-0100-0000CB030000}">
          <x14:formula1>
            <xm:f>CountryGroup!A2:A1000</xm:f>
          </x14:formula1>
          <xm:sqref>C973</xm:sqref>
        </x14:dataValidation>
        <x14:dataValidation type="list" allowBlank="1" showInputMessage="1" showErrorMessage="1" xr:uid="{00000000-0002-0000-0100-0000CC030000}">
          <x14:formula1>
            <xm:f>CountryGroup!A2:A1000</xm:f>
          </x14:formula1>
          <xm:sqref>C974</xm:sqref>
        </x14:dataValidation>
        <x14:dataValidation type="list" allowBlank="1" showInputMessage="1" showErrorMessage="1" xr:uid="{00000000-0002-0000-0100-0000CD030000}">
          <x14:formula1>
            <xm:f>CountryGroup!A2:A1000</xm:f>
          </x14:formula1>
          <xm:sqref>C975</xm:sqref>
        </x14:dataValidation>
        <x14:dataValidation type="list" allowBlank="1" showInputMessage="1" showErrorMessage="1" xr:uid="{00000000-0002-0000-0100-0000CE030000}">
          <x14:formula1>
            <xm:f>CountryGroup!A2:A1000</xm:f>
          </x14:formula1>
          <xm:sqref>C976</xm:sqref>
        </x14:dataValidation>
        <x14:dataValidation type="list" allowBlank="1" showInputMessage="1" showErrorMessage="1" xr:uid="{00000000-0002-0000-0100-0000CF030000}">
          <x14:formula1>
            <xm:f>CountryGroup!A2:A1000</xm:f>
          </x14:formula1>
          <xm:sqref>C977</xm:sqref>
        </x14:dataValidation>
        <x14:dataValidation type="list" allowBlank="1" showInputMessage="1" showErrorMessage="1" xr:uid="{00000000-0002-0000-0100-0000D0030000}">
          <x14:formula1>
            <xm:f>CountryGroup!A2:A1000</xm:f>
          </x14:formula1>
          <xm:sqref>C978</xm:sqref>
        </x14:dataValidation>
        <x14:dataValidation type="list" allowBlank="1" showInputMessage="1" showErrorMessage="1" xr:uid="{00000000-0002-0000-0100-0000D1030000}">
          <x14:formula1>
            <xm:f>CountryGroup!A2:A1000</xm:f>
          </x14:formula1>
          <xm:sqref>C979</xm:sqref>
        </x14:dataValidation>
        <x14:dataValidation type="list" allowBlank="1" showInputMessage="1" showErrorMessage="1" xr:uid="{00000000-0002-0000-0100-0000D2030000}">
          <x14:formula1>
            <xm:f>CountryGroup!A2:A1000</xm:f>
          </x14:formula1>
          <xm:sqref>C980</xm:sqref>
        </x14:dataValidation>
        <x14:dataValidation type="list" allowBlank="1" showInputMessage="1" showErrorMessage="1" xr:uid="{00000000-0002-0000-0100-0000D3030000}">
          <x14:formula1>
            <xm:f>CountryGroup!A2:A1000</xm:f>
          </x14:formula1>
          <xm:sqref>C981</xm:sqref>
        </x14:dataValidation>
        <x14:dataValidation type="list" allowBlank="1" showInputMessage="1" showErrorMessage="1" xr:uid="{00000000-0002-0000-0100-0000D4030000}">
          <x14:formula1>
            <xm:f>CountryGroup!A2:A1000</xm:f>
          </x14:formula1>
          <xm:sqref>C982</xm:sqref>
        </x14:dataValidation>
        <x14:dataValidation type="list" allowBlank="1" showInputMessage="1" showErrorMessage="1" xr:uid="{00000000-0002-0000-0100-0000D5030000}">
          <x14:formula1>
            <xm:f>CountryGroup!A2:A1000</xm:f>
          </x14:formula1>
          <xm:sqref>C983</xm:sqref>
        </x14:dataValidation>
        <x14:dataValidation type="list" allowBlank="1" showInputMessage="1" showErrorMessage="1" xr:uid="{00000000-0002-0000-0100-0000D6030000}">
          <x14:formula1>
            <xm:f>CountryGroup!A2:A1000</xm:f>
          </x14:formula1>
          <xm:sqref>C984</xm:sqref>
        </x14:dataValidation>
        <x14:dataValidation type="list" allowBlank="1" showInputMessage="1" showErrorMessage="1" xr:uid="{00000000-0002-0000-0100-0000D7030000}">
          <x14:formula1>
            <xm:f>CountryGroup!A2:A1000</xm:f>
          </x14:formula1>
          <xm:sqref>C985</xm:sqref>
        </x14:dataValidation>
        <x14:dataValidation type="list" allowBlank="1" showInputMessage="1" showErrorMessage="1" xr:uid="{00000000-0002-0000-0100-0000D8030000}">
          <x14:formula1>
            <xm:f>CountryGroup!A2:A1000</xm:f>
          </x14:formula1>
          <xm:sqref>C986</xm:sqref>
        </x14:dataValidation>
        <x14:dataValidation type="list" allowBlank="1" showInputMessage="1" showErrorMessage="1" xr:uid="{00000000-0002-0000-0100-0000D9030000}">
          <x14:formula1>
            <xm:f>CountryGroup!A2:A1000</xm:f>
          </x14:formula1>
          <xm:sqref>C987</xm:sqref>
        </x14:dataValidation>
        <x14:dataValidation type="list" allowBlank="1" showInputMessage="1" showErrorMessage="1" xr:uid="{00000000-0002-0000-0100-0000DA030000}">
          <x14:formula1>
            <xm:f>CountryGroup!A2:A1000</xm:f>
          </x14:formula1>
          <xm:sqref>C988</xm:sqref>
        </x14:dataValidation>
        <x14:dataValidation type="list" allowBlank="1" showInputMessage="1" showErrorMessage="1" xr:uid="{00000000-0002-0000-0100-0000DB030000}">
          <x14:formula1>
            <xm:f>CountryGroup!A2:A1000</xm:f>
          </x14:formula1>
          <xm:sqref>C989</xm:sqref>
        </x14:dataValidation>
        <x14:dataValidation type="list" allowBlank="1" showInputMessage="1" showErrorMessage="1" xr:uid="{00000000-0002-0000-0100-0000DC030000}">
          <x14:formula1>
            <xm:f>CountryGroup!A2:A1000</xm:f>
          </x14:formula1>
          <xm:sqref>C990</xm:sqref>
        </x14:dataValidation>
        <x14:dataValidation type="list" allowBlank="1" showInputMessage="1" showErrorMessage="1" xr:uid="{00000000-0002-0000-0100-0000DD030000}">
          <x14:formula1>
            <xm:f>CountryGroup!A2:A1000</xm:f>
          </x14:formula1>
          <xm:sqref>C991</xm:sqref>
        </x14:dataValidation>
        <x14:dataValidation type="list" allowBlank="1" showInputMessage="1" showErrorMessage="1" xr:uid="{00000000-0002-0000-0100-0000DE030000}">
          <x14:formula1>
            <xm:f>CountryGroup!A2:A1000</xm:f>
          </x14:formula1>
          <xm:sqref>C992</xm:sqref>
        </x14:dataValidation>
        <x14:dataValidation type="list" allowBlank="1" showInputMessage="1" showErrorMessage="1" xr:uid="{00000000-0002-0000-0100-0000DF030000}">
          <x14:formula1>
            <xm:f>CountryGroup!A2:A1000</xm:f>
          </x14:formula1>
          <xm:sqref>C993</xm:sqref>
        </x14:dataValidation>
        <x14:dataValidation type="list" allowBlank="1" showInputMessage="1" showErrorMessage="1" xr:uid="{00000000-0002-0000-0100-0000E0030000}">
          <x14:formula1>
            <xm:f>CountryGroup!A2:A1000</xm:f>
          </x14:formula1>
          <xm:sqref>C994</xm:sqref>
        </x14:dataValidation>
        <x14:dataValidation type="list" allowBlank="1" showInputMessage="1" showErrorMessage="1" xr:uid="{00000000-0002-0000-0100-0000E1030000}">
          <x14:formula1>
            <xm:f>CountryGroup!A2:A1000</xm:f>
          </x14:formula1>
          <xm:sqref>C995</xm:sqref>
        </x14:dataValidation>
        <x14:dataValidation type="list" allowBlank="1" showInputMessage="1" showErrorMessage="1" xr:uid="{00000000-0002-0000-0100-0000E2030000}">
          <x14:formula1>
            <xm:f>CountryGroup!A2:A1000</xm:f>
          </x14:formula1>
          <xm:sqref>C996</xm:sqref>
        </x14:dataValidation>
        <x14:dataValidation type="list" allowBlank="1" showInputMessage="1" showErrorMessage="1" xr:uid="{00000000-0002-0000-0100-0000E3030000}">
          <x14:formula1>
            <xm:f>CountryGroup!A2:A1000</xm:f>
          </x14:formula1>
          <xm:sqref>C997</xm:sqref>
        </x14:dataValidation>
        <x14:dataValidation type="list" allowBlank="1" showInputMessage="1" showErrorMessage="1" xr:uid="{00000000-0002-0000-0100-0000E4030000}">
          <x14:formula1>
            <xm:f>CountryGroup!A2:A1000</xm:f>
          </x14:formula1>
          <xm:sqref>C998</xm:sqref>
        </x14:dataValidation>
        <x14:dataValidation type="list" allowBlank="1" showInputMessage="1" showErrorMessage="1" xr:uid="{00000000-0002-0000-0100-0000E5030000}">
          <x14:formula1>
            <xm:f>CountryGroup!A2:A1000</xm:f>
          </x14:formula1>
          <xm:sqref>C999</xm:sqref>
        </x14:dataValidation>
        <x14:dataValidation type="list" allowBlank="1" showInputMessage="1" showErrorMessage="1" xr:uid="{00000000-0002-0000-0100-0000E6030000}">
          <x14:formula1>
            <xm:f>CountryGroup!A2:A1000</xm:f>
          </x14:formula1>
          <xm:sqref>C1000</xm:sqref>
        </x14:dataValidation>
        <x14:dataValidation type="list" allowBlank="1" showInputMessage="1" showErrorMessage="1" xr:uid="{00000000-0002-0000-0100-0000E7030000}">
          <x14:formula1>
            <xm:f>CountryGroup!A2:A1000</xm:f>
          </x14:formula1>
          <xm:sqref>C1001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4" width="30.6640625" customWidth="1"/>
  </cols>
  <sheetData>
    <row r="1" spans="1:4" ht="21" x14ac:dyDescent="0.2">
      <c r="A1" s="1" t="s">
        <v>0</v>
      </c>
      <c r="B1" s="2" t="s">
        <v>1</v>
      </c>
      <c r="C1" s="2" t="s">
        <v>4</v>
      </c>
      <c r="D1" s="2" t="s">
        <v>5</v>
      </c>
    </row>
    <row r="2" spans="1:4" x14ac:dyDescent="0.2">
      <c r="A2" t="str">
        <f>IF(ISBLANK(B2), "","PriceArea-1")</f>
        <v>PriceArea-1</v>
      </c>
      <c r="B2" t="s">
        <v>11</v>
      </c>
      <c r="C2" t="s">
        <v>12</v>
      </c>
      <c r="D2" t="s">
        <v>15</v>
      </c>
    </row>
    <row r="3" spans="1:4" x14ac:dyDescent="0.2">
      <c r="A3" t="str">
        <f>IF(ISBLANK(B3), "","PriceArea-2")</f>
        <v>PriceArea-2</v>
      </c>
      <c r="B3" t="s">
        <v>16</v>
      </c>
      <c r="C3" t="s">
        <v>12</v>
      </c>
      <c r="D3" t="s">
        <v>15</v>
      </c>
    </row>
    <row r="4" spans="1:4" x14ac:dyDescent="0.2">
      <c r="A4" t="str">
        <f>IF(ISBLANK(B4), "","PriceArea-3")</f>
        <v/>
      </c>
    </row>
    <row r="5" spans="1:4" x14ac:dyDescent="0.2">
      <c r="A5" t="str">
        <f>IF(ISBLANK(B5), "","PriceArea-4")</f>
        <v/>
      </c>
    </row>
    <row r="6" spans="1:4" x14ac:dyDescent="0.2">
      <c r="A6" t="str">
        <f>IF(ISBLANK(B6), "","PriceArea-5")</f>
        <v/>
      </c>
    </row>
    <row r="7" spans="1:4" x14ac:dyDescent="0.2">
      <c r="A7" t="str">
        <f>IF(ISBLANK(B7), "","PriceArea-6")</f>
        <v/>
      </c>
    </row>
    <row r="8" spans="1:4" x14ac:dyDescent="0.2">
      <c r="A8" t="str">
        <f>IF(ISBLANK(B8), "","PriceArea-7")</f>
        <v/>
      </c>
    </row>
    <row r="9" spans="1:4" x14ac:dyDescent="0.2">
      <c r="A9" t="str">
        <f>IF(ISBLANK(B9), "","PriceArea-8")</f>
        <v/>
      </c>
    </row>
    <row r="10" spans="1:4" x14ac:dyDescent="0.2">
      <c r="A10" t="str">
        <f>IF(ISBLANK(B10), "","PriceArea-9")</f>
        <v/>
      </c>
    </row>
    <row r="11" spans="1:4" x14ac:dyDescent="0.2">
      <c r="A11" t="str">
        <f>IF(ISBLANK(B11), "","PriceArea-10")</f>
        <v/>
      </c>
    </row>
    <row r="12" spans="1:4" x14ac:dyDescent="0.2">
      <c r="A12" t="str">
        <f>IF(ISBLANK(B12), "","PriceArea-11")</f>
        <v/>
      </c>
    </row>
    <row r="13" spans="1:4" x14ac:dyDescent="0.2">
      <c r="A13" t="str">
        <f>IF(ISBLANK(B13), "","PriceArea-12")</f>
        <v/>
      </c>
    </row>
    <row r="14" spans="1:4" x14ac:dyDescent="0.2">
      <c r="A14" t="str">
        <f>IF(ISBLANK(B14), "","PriceArea-13")</f>
        <v/>
      </c>
    </row>
    <row r="15" spans="1:4" x14ac:dyDescent="0.2">
      <c r="A15" t="str">
        <f>IF(ISBLANK(B15), "","PriceArea-14")</f>
        <v/>
      </c>
    </row>
    <row r="16" spans="1:4" x14ac:dyDescent="0.2">
      <c r="A16" t="str">
        <f>IF(ISBLANK(B16), "","PriceArea-15")</f>
        <v/>
      </c>
    </row>
    <row r="17" spans="1:1" x14ac:dyDescent="0.2">
      <c r="A17" t="str">
        <f>IF(ISBLANK(B17), "","PriceArea-16")</f>
        <v/>
      </c>
    </row>
    <row r="18" spans="1:1" x14ac:dyDescent="0.2">
      <c r="A18" t="str">
        <f>IF(ISBLANK(B18), "","PriceArea-17")</f>
        <v/>
      </c>
    </row>
    <row r="19" spans="1:1" x14ac:dyDescent="0.2">
      <c r="A19" t="str">
        <f>IF(ISBLANK(B19), "","PriceArea-18")</f>
        <v/>
      </c>
    </row>
    <row r="20" spans="1:1" x14ac:dyDescent="0.2">
      <c r="A20" t="str">
        <f>IF(ISBLANK(B20), "","PriceArea-19")</f>
        <v/>
      </c>
    </row>
    <row r="21" spans="1:1" x14ac:dyDescent="0.2">
      <c r="A21" t="str">
        <f>IF(ISBLANK(B21), "","PriceArea-20")</f>
        <v/>
      </c>
    </row>
    <row r="22" spans="1:1" x14ac:dyDescent="0.2">
      <c r="A22" t="str">
        <f>IF(ISBLANK(B22), "","PriceArea-21")</f>
        <v/>
      </c>
    </row>
    <row r="23" spans="1:1" x14ac:dyDescent="0.2">
      <c r="A23" t="str">
        <f>IF(ISBLANK(B23), "","PriceArea-22")</f>
        <v/>
      </c>
    </row>
    <row r="24" spans="1:1" x14ac:dyDescent="0.2">
      <c r="A24" t="str">
        <f>IF(ISBLANK(B24), "","PriceArea-23")</f>
        <v/>
      </c>
    </row>
    <row r="25" spans="1:1" x14ac:dyDescent="0.2">
      <c r="A25" t="str">
        <f>IF(ISBLANK(B25), "","PriceArea-24")</f>
        <v/>
      </c>
    </row>
    <row r="26" spans="1:1" x14ac:dyDescent="0.2">
      <c r="A26" t="str">
        <f>IF(ISBLANK(B26), "","PriceArea-25")</f>
        <v/>
      </c>
    </row>
    <row r="27" spans="1:1" x14ac:dyDescent="0.2">
      <c r="A27" t="str">
        <f>IF(ISBLANK(B27), "","PriceArea-26")</f>
        <v/>
      </c>
    </row>
    <row r="28" spans="1:1" x14ac:dyDescent="0.2">
      <c r="A28" t="str">
        <f>IF(ISBLANK(B28), "","PriceArea-27")</f>
        <v/>
      </c>
    </row>
    <row r="29" spans="1:1" x14ac:dyDescent="0.2">
      <c r="A29" t="str">
        <f>IF(ISBLANK(B29), "","PriceArea-28")</f>
        <v/>
      </c>
    </row>
    <row r="30" spans="1:1" x14ac:dyDescent="0.2">
      <c r="A30" t="str">
        <f>IF(ISBLANK(B30), "","PriceArea-29")</f>
        <v/>
      </c>
    </row>
    <row r="31" spans="1:1" x14ac:dyDescent="0.2">
      <c r="A31" t="str">
        <f>IF(ISBLANK(B31), "","PriceArea-30")</f>
        <v/>
      </c>
    </row>
    <row r="32" spans="1:1" x14ac:dyDescent="0.2">
      <c r="A32" t="str">
        <f>IF(ISBLANK(B32), "","PriceArea-31")</f>
        <v/>
      </c>
    </row>
    <row r="33" spans="1:1" x14ac:dyDescent="0.2">
      <c r="A33" t="str">
        <f>IF(ISBLANK(B33), "","PriceArea-32")</f>
        <v/>
      </c>
    </row>
    <row r="34" spans="1:1" x14ac:dyDescent="0.2">
      <c r="A34" t="str">
        <f>IF(ISBLANK(B34), "","PriceArea-33")</f>
        <v/>
      </c>
    </row>
    <row r="35" spans="1:1" x14ac:dyDescent="0.2">
      <c r="A35" t="str">
        <f>IF(ISBLANK(B35), "","PriceArea-34")</f>
        <v/>
      </c>
    </row>
    <row r="36" spans="1:1" x14ac:dyDescent="0.2">
      <c r="A36" t="str">
        <f>IF(ISBLANK(B36), "","PriceArea-35")</f>
        <v/>
      </c>
    </row>
    <row r="37" spans="1:1" x14ac:dyDescent="0.2">
      <c r="A37" t="str">
        <f>IF(ISBLANK(B37), "","PriceArea-36")</f>
        <v/>
      </c>
    </row>
    <row r="38" spans="1:1" x14ac:dyDescent="0.2">
      <c r="A38" t="str">
        <f>IF(ISBLANK(B38), "","PriceArea-37")</f>
        <v/>
      </c>
    </row>
    <row r="39" spans="1:1" x14ac:dyDescent="0.2">
      <c r="A39" t="str">
        <f>IF(ISBLANK(B39), "","PriceArea-38")</f>
        <v/>
      </c>
    </row>
    <row r="40" spans="1:1" x14ac:dyDescent="0.2">
      <c r="A40" t="str">
        <f>IF(ISBLANK(B40), "","PriceArea-39")</f>
        <v/>
      </c>
    </row>
    <row r="41" spans="1:1" x14ac:dyDescent="0.2">
      <c r="A41" t="str">
        <f>IF(ISBLANK(B41), "","PriceArea-40")</f>
        <v/>
      </c>
    </row>
    <row r="42" spans="1:1" x14ac:dyDescent="0.2">
      <c r="A42" t="str">
        <f>IF(ISBLANK(B42), "","PriceArea-41")</f>
        <v/>
      </c>
    </row>
    <row r="43" spans="1:1" x14ac:dyDescent="0.2">
      <c r="A43" t="str">
        <f>IF(ISBLANK(B43), "","PriceArea-42")</f>
        <v/>
      </c>
    </row>
    <row r="44" spans="1:1" x14ac:dyDescent="0.2">
      <c r="A44" t="str">
        <f>IF(ISBLANK(B44), "","PriceArea-43")</f>
        <v/>
      </c>
    </row>
    <row r="45" spans="1:1" x14ac:dyDescent="0.2">
      <c r="A45" t="str">
        <f>IF(ISBLANK(B45), "","PriceArea-44")</f>
        <v/>
      </c>
    </row>
    <row r="46" spans="1:1" x14ac:dyDescent="0.2">
      <c r="A46" t="str">
        <f>IF(ISBLANK(B46), "","PriceArea-45")</f>
        <v/>
      </c>
    </row>
    <row r="47" spans="1:1" x14ac:dyDescent="0.2">
      <c r="A47" t="str">
        <f>IF(ISBLANK(B47), "","PriceArea-46")</f>
        <v/>
      </c>
    </row>
    <row r="48" spans="1:1" x14ac:dyDescent="0.2">
      <c r="A48" t="str">
        <f>IF(ISBLANK(B48), "","PriceArea-47")</f>
        <v/>
      </c>
    </row>
    <row r="49" spans="1:1" x14ac:dyDescent="0.2">
      <c r="A49" t="str">
        <f>IF(ISBLANK(B49), "","PriceArea-48")</f>
        <v/>
      </c>
    </row>
    <row r="50" spans="1:1" x14ac:dyDescent="0.2">
      <c r="A50" t="str">
        <f>IF(ISBLANK(B50), "","PriceArea-49")</f>
        <v/>
      </c>
    </row>
    <row r="51" spans="1:1" x14ac:dyDescent="0.2">
      <c r="A51" t="str">
        <f>IF(ISBLANK(B51), "","PriceArea-50")</f>
        <v/>
      </c>
    </row>
    <row r="52" spans="1:1" x14ac:dyDescent="0.2">
      <c r="A52" t="str">
        <f>IF(ISBLANK(B52), "","PriceArea-51")</f>
        <v/>
      </c>
    </row>
    <row r="53" spans="1:1" x14ac:dyDescent="0.2">
      <c r="A53" t="str">
        <f>IF(ISBLANK(B53), "","PriceArea-52")</f>
        <v/>
      </c>
    </row>
    <row r="54" spans="1:1" x14ac:dyDescent="0.2">
      <c r="A54" t="str">
        <f>IF(ISBLANK(B54), "","PriceArea-53")</f>
        <v/>
      </c>
    </row>
    <row r="55" spans="1:1" x14ac:dyDescent="0.2">
      <c r="A55" t="str">
        <f>IF(ISBLANK(B55), "","PriceArea-54")</f>
        <v/>
      </c>
    </row>
    <row r="56" spans="1:1" x14ac:dyDescent="0.2">
      <c r="A56" t="str">
        <f>IF(ISBLANK(B56), "","PriceArea-55")</f>
        <v/>
      </c>
    </row>
    <row r="57" spans="1:1" x14ac:dyDescent="0.2">
      <c r="A57" t="str">
        <f>IF(ISBLANK(B57), "","PriceArea-56")</f>
        <v/>
      </c>
    </row>
    <row r="58" spans="1:1" x14ac:dyDescent="0.2">
      <c r="A58" t="str">
        <f>IF(ISBLANK(B58), "","PriceArea-57")</f>
        <v/>
      </c>
    </row>
    <row r="59" spans="1:1" x14ac:dyDescent="0.2">
      <c r="A59" t="str">
        <f>IF(ISBLANK(B59), "","PriceArea-58")</f>
        <v/>
      </c>
    </row>
    <row r="60" spans="1:1" x14ac:dyDescent="0.2">
      <c r="A60" t="str">
        <f>IF(ISBLANK(B60), "","PriceArea-59")</f>
        <v/>
      </c>
    </row>
    <row r="61" spans="1:1" x14ac:dyDescent="0.2">
      <c r="A61" t="str">
        <f>IF(ISBLANK(B61), "","PriceArea-60")</f>
        <v/>
      </c>
    </row>
    <row r="62" spans="1:1" x14ac:dyDescent="0.2">
      <c r="A62" t="str">
        <f>IF(ISBLANK(B62), "","PriceArea-61")</f>
        <v/>
      </c>
    </row>
    <row r="63" spans="1:1" x14ac:dyDescent="0.2">
      <c r="A63" t="str">
        <f>IF(ISBLANK(B63), "","PriceArea-62")</f>
        <v/>
      </c>
    </row>
    <row r="64" spans="1:1" x14ac:dyDescent="0.2">
      <c r="A64" t="str">
        <f>IF(ISBLANK(B64), "","PriceArea-63")</f>
        <v/>
      </c>
    </row>
    <row r="65" spans="1:1" x14ac:dyDescent="0.2">
      <c r="A65" t="str">
        <f>IF(ISBLANK(B65), "","PriceArea-64")</f>
        <v/>
      </c>
    </row>
    <row r="66" spans="1:1" x14ac:dyDescent="0.2">
      <c r="A66" t="str">
        <f>IF(ISBLANK(B66), "","PriceArea-65")</f>
        <v/>
      </c>
    </row>
    <row r="67" spans="1:1" x14ac:dyDescent="0.2">
      <c r="A67" t="str">
        <f>IF(ISBLANK(B67), "","PriceArea-66")</f>
        <v/>
      </c>
    </row>
    <row r="68" spans="1:1" x14ac:dyDescent="0.2">
      <c r="A68" t="str">
        <f>IF(ISBLANK(B68), "","PriceArea-67")</f>
        <v/>
      </c>
    </row>
    <row r="69" spans="1:1" x14ac:dyDescent="0.2">
      <c r="A69" t="str">
        <f>IF(ISBLANK(B69), "","PriceArea-68")</f>
        <v/>
      </c>
    </row>
    <row r="70" spans="1:1" x14ac:dyDescent="0.2">
      <c r="A70" t="str">
        <f>IF(ISBLANK(B70), "","PriceArea-69")</f>
        <v/>
      </c>
    </row>
    <row r="71" spans="1:1" x14ac:dyDescent="0.2">
      <c r="A71" t="str">
        <f>IF(ISBLANK(B71), "","PriceArea-70")</f>
        <v/>
      </c>
    </row>
    <row r="72" spans="1:1" x14ac:dyDescent="0.2">
      <c r="A72" t="str">
        <f>IF(ISBLANK(B72), "","PriceArea-71")</f>
        <v/>
      </c>
    </row>
    <row r="73" spans="1:1" x14ac:dyDescent="0.2">
      <c r="A73" t="str">
        <f>IF(ISBLANK(B73), "","PriceArea-72")</f>
        <v/>
      </c>
    </row>
    <row r="74" spans="1:1" x14ac:dyDescent="0.2">
      <c r="A74" t="str">
        <f>IF(ISBLANK(B74), "","PriceArea-73")</f>
        <v/>
      </c>
    </row>
    <row r="75" spans="1:1" x14ac:dyDescent="0.2">
      <c r="A75" t="str">
        <f>IF(ISBLANK(B75), "","PriceArea-74")</f>
        <v/>
      </c>
    </row>
    <row r="76" spans="1:1" x14ac:dyDescent="0.2">
      <c r="A76" t="str">
        <f>IF(ISBLANK(B76), "","PriceArea-75")</f>
        <v/>
      </c>
    </row>
    <row r="77" spans="1:1" x14ac:dyDescent="0.2">
      <c r="A77" t="str">
        <f>IF(ISBLANK(B77), "","PriceArea-76")</f>
        <v/>
      </c>
    </row>
    <row r="78" spans="1:1" x14ac:dyDescent="0.2">
      <c r="A78" t="str">
        <f>IF(ISBLANK(B78), "","PriceArea-77")</f>
        <v/>
      </c>
    </row>
    <row r="79" spans="1:1" x14ac:dyDescent="0.2">
      <c r="A79" t="str">
        <f>IF(ISBLANK(B79), "","PriceArea-78")</f>
        <v/>
      </c>
    </row>
    <row r="80" spans="1:1" x14ac:dyDescent="0.2">
      <c r="A80" t="str">
        <f>IF(ISBLANK(B80), "","PriceArea-79")</f>
        <v/>
      </c>
    </row>
    <row r="81" spans="1:1" x14ac:dyDescent="0.2">
      <c r="A81" t="str">
        <f>IF(ISBLANK(B81), "","PriceArea-80")</f>
        <v/>
      </c>
    </row>
    <row r="82" spans="1:1" x14ac:dyDescent="0.2">
      <c r="A82" t="str">
        <f>IF(ISBLANK(B82), "","PriceArea-81")</f>
        <v/>
      </c>
    </row>
    <row r="83" spans="1:1" x14ac:dyDescent="0.2">
      <c r="A83" t="str">
        <f>IF(ISBLANK(B83), "","PriceArea-82")</f>
        <v/>
      </c>
    </row>
    <row r="84" spans="1:1" x14ac:dyDescent="0.2">
      <c r="A84" t="str">
        <f>IF(ISBLANK(B84), "","PriceArea-83")</f>
        <v/>
      </c>
    </row>
    <row r="85" spans="1:1" x14ac:dyDescent="0.2">
      <c r="A85" t="str">
        <f>IF(ISBLANK(B85), "","PriceArea-84")</f>
        <v/>
      </c>
    </row>
    <row r="86" spans="1:1" x14ac:dyDescent="0.2">
      <c r="A86" t="str">
        <f>IF(ISBLANK(B86), "","PriceArea-85")</f>
        <v/>
      </c>
    </row>
    <row r="87" spans="1:1" x14ac:dyDescent="0.2">
      <c r="A87" t="str">
        <f>IF(ISBLANK(B87), "","PriceArea-86")</f>
        <v/>
      </c>
    </row>
    <row r="88" spans="1:1" x14ac:dyDescent="0.2">
      <c r="A88" t="str">
        <f>IF(ISBLANK(B88), "","PriceArea-87")</f>
        <v/>
      </c>
    </row>
    <row r="89" spans="1:1" x14ac:dyDescent="0.2">
      <c r="A89" t="str">
        <f>IF(ISBLANK(B89), "","PriceArea-88")</f>
        <v/>
      </c>
    </row>
    <row r="90" spans="1:1" x14ac:dyDescent="0.2">
      <c r="A90" t="str">
        <f>IF(ISBLANK(B90), "","PriceArea-89")</f>
        <v/>
      </c>
    </row>
    <row r="91" spans="1:1" x14ac:dyDescent="0.2">
      <c r="A91" t="str">
        <f>IF(ISBLANK(B91), "","PriceArea-90")</f>
        <v/>
      </c>
    </row>
    <row r="92" spans="1:1" x14ac:dyDescent="0.2">
      <c r="A92" t="str">
        <f>IF(ISBLANK(B92), "","PriceArea-91")</f>
        <v/>
      </c>
    </row>
    <row r="93" spans="1:1" x14ac:dyDescent="0.2">
      <c r="A93" t="str">
        <f>IF(ISBLANK(B93), "","PriceArea-92")</f>
        <v/>
      </c>
    </row>
    <row r="94" spans="1:1" x14ac:dyDescent="0.2">
      <c r="A94" t="str">
        <f>IF(ISBLANK(B94), "","PriceArea-93")</f>
        <v/>
      </c>
    </row>
    <row r="95" spans="1:1" x14ac:dyDescent="0.2">
      <c r="A95" t="str">
        <f>IF(ISBLANK(B95), "","PriceArea-94")</f>
        <v/>
      </c>
    </row>
    <row r="96" spans="1:1" x14ac:dyDescent="0.2">
      <c r="A96" t="str">
        <f>IF(ISBLANK(B96), "","PriceArea-95")</f>
        <v/>
      </c>
    </row>
    <row r="97" spans="1:1" x14ac:dyDescent="0.2">
      <c r="A97" t="str">
        <f>IF(ISBLANK(B97), "","PriceArea-96")</f>
        <v/>
      </c>
    </row>
    <row r="98" spans="1:1" x14ac:dyDescent="0.2">
      <c r="A98" t="str">
        <f>IF(ISBLANK(B98), "","PriceArea-97")</f>
        <v/>
      </c>
    </row>
    <row r="99" spans="1:1" x14ac:dyDescent="0.2">
      <c r="A99" t="str">
        <f>IF(ISBLANK(B99), "","PriceArea-98")</f>
        <v/>
      </c>
    </row>
    <row r="100" spans="1:1" x14ac:dyDescent="0.2">
      <c r="A100" t="str">
        <f>IF(ISBLANK(B100), "","PriceArea-99")</f>
        <v/>
      </c>
    </row>
    <row r="101" spans="1:1" x14ac:dyDescent="0.2">
      <c r="A101" t="str">
        <f>IF(ISBLANK(B101), "","PriceArea-100")</f>
        <v/>
      </c>
    </row>
    <row r="102" spans="1:1" x14ac:dyDescent="0.2">
      <c r="A102" t="str">
        <f>IF(ISBLANK(B102), "","PriceArea-101")</f>
        <v/>
      </c>
    </row>
    <row r="103" spans="1:1" x14ac:dyDescent="0.2">
      <c r="A103" t="str">
        <f>IF(ISBLANK(B103), "","PriceArea-102")</f>
        <v/>
      </c>
    </row>
    <row r="104" spans="1:1" x14ac:dyDescent="0.2">
      <c r="A104" t="str">
        <f>IF(ISBLANK(B104), "","PriceArea-103")</f>
        <v/>
      </c>
    </row>
    <row r="105" spans="1:1" x14ac:dyDescent="0.2">
      <c r="A105" t="str">
        <f>IF(ISBLANK(B105), "","PriceArea-104")</f>
        <v/>
      </c>
    </row>
    <row r="106" spans="1:1" x14ac:dyDescent="0.2">
      <c r="A106" t="str">
        <f>IF(ISBLANK(B106), "","PriceArea-105")</f>
        <v/>
      </c>
    </row>
    <row r="107" spans="1:1" x14ac:dyDescent="0.2">
      <c r="A107" t="str">
        <f>IF(ISBLANK(B107), "","PriceArea-106")</f>
        <v/>
      </c>
    </row>
    <row r="108" spans="1:1" x14ac:dyDescent="0.2">
      <c r="A108" t="str">
        <f>IF(ISBLANK(B108), "","PriceArea-107")</f>
        <v/>
      </c>
    </row>
    <row r="109" spans="1:1" x14ac:dyDescent="0.2">
      <c r="A109" t="str">
        <f>IF(ISBLANK(B109), "","PriceArea-108")</f>
        <v/>
      </c>
    </row>
    <row r="110" spans="1:1" x14ac:dyDescent="0.2">
      <c r="A110" t="str">
        <f>IF(ISBLANK(B110), "","PriceArea-109")</f>
        <v/>
      </c>
    </row>
    <row r="111" spans="1:1" x14ac:dyDescent="0.2">
      <c r="A111" t="str">
        <f>IF(ISBLANK(B111), "","PriceArea-110")</f>
        <v/>
      </c>
    </row>
    <row r="112" spans="1:1" x14ac:dyDescent="0.2">
      <c r="A112" t="str">
        <f>IF(ISBLANK(B112), "","PriceArea-111")</f>
        <v/>
      </c>
    </row>
    <row r="113" spans="1:1" x14ac:dyDescent="0.2">
      <c r="A113" t="str">
        <f>IF(ISBLANK(B113), "","PriceArea-112")</f>
        <v/>
      </c>
    </row>
    <row r="114" spans="1:1" x14ac:dyDescent="0.2">
      <c r="A114" t="str">
        <f>IF(ISBLANK(B114), "","PriceArea-113")</f>
        <v/>
      </c>
    </row>
    <row r="115" spans="1:1" x14ac:dyDescent="0.2">
      <c r="A115" t="str">
        <f>IF(ISBLANK(B115), "","PriceArea-114")</f>
        <v/>
      </c>
    </row>
    <row r="116" spans="1:1" x14ac:dyDescent="0.2">
      <c r="A116" t="str">
        <f>IF(ISBLANK(B116), "","PriceArea-115")</f>
        <v/>
      </c>
    </row>
    <row r="117" spans="1:1" x14ac:dyDescent="0.2">
      <c r="A117" t="str">
        <f>IF(ISBLANK(B117), "","PriceArea-116")</f>
        <v/>
      </c>
    </row>
    <row r="118" spans="1:1" x14ac:dyDescent="0.2">
      <c r="A118" t="str">
        <f>IF(ISBLANK(B118), "","PriceArea-117")</f>
        <v/>
      </c>
    </row>
    <row r="119" spans="1:1" x14ac:dyDescent="0.2">
      <c r="A119" t="str">
        <f>IF(ISBLANK(B119), "","PriceArea-118")</f>
        <v/>
      </c>
    </row>
    <row r="120" spans="1:1" x14ac:dyDescent="0.2">
      <c r="A120" t="str">
        <f>IF(ISBLANK(B120), "","PriceArea-119")</f>
        <v/>
      </c>
    </row>
    <row r="121" spans="1:1" x14ac:dyDescent="0.2">
      <c r="A121" t="str">
        <f>IF(ISBLANK(B121), "","PriceArea-120")</f>
        <v/>
      </c>
    </row>
    <row r="122" spans="1:1" x14ac:dyDescent="0.2">
      <c r="A122" t="str">
        <f>IF(ISBLANK(B122), "","PriceArea-121")</f>
        <v/>
      </c>
    </row>
    <row r="123" spans="1:1" x14ac:dyDescent="0.2">
      <c r="A123" t="str">
        <f>IF(ISBLANK(B123), "","PriceArea-122")</f>
        <v/>
      </c>
    </row>
    <row r="124" spans="1:1" x14ac:dyDescent="0.2">
      <c r="A124" t="str">
        <f>IF(ISBLANK(B124), "","PriceArea-123")</f>
        <v/>
      </c>
    </row>
    <row r="125" spans="1:1" x14ac:dyDescent="0.2">
      <c r="A125" t="str">
        <f>IF(ISBLANK(B125), "","PriceArea-124")</f>
        <v/>
      </c>
    </row>
    <row r="126" spans="1:1" x14ac:dyDescent="0.2">
      <c r="A126" t="str">
        <f>IF(ISBLANK(B126), "","PriceArea-125")</f>
        <v/>
      </c>
    </row>
    <row r="127" spans="1:1" x14ac:dyDescent="0.2">
      <c r="A127" t="str">
        <f>IF(ISBLANK(B127), "","PriceArea-126")</f>
        <v/>
      </c>
    </row>
    <row r="128" spans="1:1" x14ac:dyDescent="0.2">
      <c r="A128" t="str">
        <f>IF(ISBLANK(B128), "","PriceArea-127")</f>
        <v/>
      </c>
    </row>
    <row r="129" spans="1:1" x14ac:dyDescent="0.2">
      <c r="A129" t="str">
        <f>IF(ISBLANK(B129), "","PriceArea-128")</f>
        <v/>
      </c>
    </row>
    <row r="130" spans="1:1" x14ac:dyDescent="0.2">
      <c r="A130" t="str">
        <f>IF(ISBLANK(B130), "","PriceArea-129")</f>
        <v/>
      </c>
    </row>
    <row r="131" spans="1:1" x14ac:dyDescent="0.2">
      <c r="A131" t="str">
        <f>IF(ISBLANK(B131), "","PriceArea-130")</f>
        <v/>
      </c>
    </row>
    <row r="132" spans="1:1" x14ac:dyDescent="0.2">
      <c r="A132" t="str">
        <f>IF(ISBLANK(B132), "","PriceArea-131")</f>
        <v/>
      </c>
    </row>
    <row r="133" spans="1:1" x14ac:dyDescent="0.2">
      <c r="A133" t="str">
        <f>IF(ISBLANK(B133), "","PriceArea-132")</f>
        <v/>
      </c>
    </row>
    <row r="134" spans="1:1" x14ac:dyDescent="0.2">
      <c r="A134" t="str">
        <f>IF(ISBLANK(B134), "","PriceArea-133")</f>
        <v/>
      </c>
    </row>
    <row r="135" spans="1:1" x14ac:dyDescent="0.2">
      <c r="A135" t="str">
        <f>IF(ISBLANK(B135), "","PriceArea-134")</f>
        <v/>
      </c>
    </row>
    <row r="136" spans="1:1" x14ac:dyDescent="0.2">
      <c r="A136" t="str">
        <f>IF(ISBLANK(B136), "","PriceArea-135")</f>
        <v/>
      </c>
    </row>
    <row r="137" spans="1:1" x14ac:dyDescent="0.2">
      <c r="A137" t="str">
        <f>IF(ISBLANK(B137), "","PriceArea-136")</f>
        <v/>
      </c>
    </row>
    <row r="138" spans="1:1" x14ac:dyDescent="0.2">
      <c r="A138" t="str">
        <f>IF(ISBLANK(B138), "","PriceArea-137")</f>
        <v/>
      </c>
    </row>
    <row r="139" spans="1:1" x14ac:dyDescent="0.2">
      <c r="A139" t="str">
        <f>IF(ISBLANK(B139), "","PriceArea-138")</f>
        <v/>
      </c>
    </row>
    <row r="140" spans="1:1" x14ac:dyDescent="0.2">
      <c r="A140" t="str">
        <f>IF(ISBLANK(B140), "","PriceArea-139")</f>
        <v/>
      </c>
    </row>
    <row r="141" spans="1:1" x14ac:dyDescent="0.2">
      <c r="A141" t="str">
        <f>IF(ISBLANK(B141), "","PriceArea-140")</f>
        <v/>
      </c>
    </row>
    <row r="142" spans="1:1" x14ac:dyDescent="0.2">
      <c r="A142" t="str">
        <f>IF(ISBLANK(B142), "","PriceArea-141")</f>
        <v/>
      </c>
    </row>
    <row r="143" spans="1:1" x14ac:dyDescent="0.2">
      <c r="A143" t="str">
        <f>IF(ISBLANK(B143), "","PriceArea-142")</f>
        <v/>
      </c>
    </row>
    <row r="144" spans="1:1" x14ac:dyDescent="0.2">
      <c r="A144" t="str">
        <f>IF(ISBLANK(B144), "","PriceArea-143")</f>
        <v/>
      </c>
    </row>
    <row r="145" spans="1:1" x14ac:dyDescent="0.2">
      <c r="A145" t="str">
        <f>IF(ISBLANK(B145), "","PriceArea-144")</f>
        <v/>
      </c>
    </row>
    <row r="146" spans="1:1" x14ac:dyDescent="0.2">
      <c r="A146" t="str">
        <f>IF(ISBLANK(B146), "","PriceArea-145")</f>
        <v/>
      </c>
    </row>
    <row r="147" spans="1:1" x14ac:dyDescent="0.2">
      <c r="A147" t="str">
        <f>IF(ISBLANK(B147), "","PriceArea-146")</f>
        <v/>
      </c>
    </row>
    <row r="148" spans="1:1" x14ac:dyDescent="0.2">
      <c r="A148" t="str">
        <f>IF(ISBLANK(B148), "","PriceArea-147")</f>
        <v/>
      </c>
    </row>
    <row r="149" spans="1:1" x14ac:dyDescent="0.2">
      <c r="A149" t="str">
        <f>IF(ISBLANK(B149), "","PriceArea-148")</f>
        <v/>
      </c>
    </row>
    <row r="150" spans="1:1" x14ac:dyDescent="0.2">
      <c r="A150" t="str">
        <f>IF(ISBLANK(B150), "","PriceArea-149")</f>
        <v/>
      </c>
    </row>
    <row r="151" spans="1:1" x14ac:dyDescent="0.2">
      <c r="A151" t="str">
        <f>IF(ISBLANK(B151), "","PriceArea-150")</f>
        <v/>
      </c>
    </row>
    <row r="152" spans="1:1" x14ac:dyDescent="0.2">
      <c r="A152" t="str">
        <f>IF(ISBLANK(B152), "","PriceArea-151")</f>
        <v/>
      </c>
    </row>
    <row r="153" spans="1:1" x14ac:dyDescent="0.2">
      <c r="A153" t="str">
        <f>IF(ISBLANK(B153), "","PriceArea-152")</f>
        <v/>
      </c>
    </row>
    <row r="154" spans="1:1" x14ac:dyDescent="0.2">
      <c r="A154" t="str">
        <f>IF(ISBLANK(B154), "","PriceArea-153")</f>
        <v/>
      </c>
    </row>
    <row r="155" spans="1:1" x14ac:dyDescent="0.2">
      <c r="A155" t="str">
        <f>IF(ISBLANK(B155), "","PriceArea-154")</f>
        <v/>
      </c>
    </row>
    <row r="156" spans="1:1" x14ac:dyDescent="0.2">
      <c r="A156" t="str">
        <f>IF(ISBLANK(B156), "","PriceArea-155")</f>
        <v/>
      </c>
    </row>
    <row r="157" spans="1:1" x14ac:dyDescent="0.2">
      <c r="A157" t="str">
        <f>IF(ISBLANK(B157), "","PriceArea-156")</f>
        <v/>
      </c>
    </row>
    <row r="158" spans="1:1" x14ac:dyDescent="0.2">
      <c r="A158" t="str">
        <f>IF(ISBLANK(B158), "","PriceArea-157")</f>
        <v/>
      </c>
    </row>
    <row r="159" spans="1:1" x14ac:dyDescent="0.2">
      <c r="A159" t="str">
        <f>IF(ISBLANK(B159), "","PriceArea-158")</f>
        <v/>
      </c>
    </row>
    <row r="160" spans="1:1" x14ac:dyDescent="0.2">
      <c r="A160" t="str">
        <f>IF(ISBLANK(B160), "","PriceArea-159")</f>
        <v/>
      </c>
    </row>
    <row r="161" spans="1:1" x14ac:dyDescent="0.2">
      <c r="A161" t="str">
        <f>IF(ISBLANK(B161), "","PriceArea-160")</f>
        <v/>
      </c>
    </row>
    <row r="162" spans="1:1" x14ac:dyDescent="0.2">
      <c r="A162" t="str">
        <f>IF(ISBLANK(B162), "","PriceArea-161")</f>
        <v/>
      </c>
    </row>
    <row r="163" spans="1:1" x14ac:dyDescent="0.2">
      <c r="A163" t="str">
        <f>IF(ISBLANK(B163), "","PriceArea-162")</f>
        <v/>
      </c>
    </row>
    <row r="164" spans="1:1" x14ac:dyDescent="0.2">
      <c r="A164" t="str">
        <f>IF(ISBLANK(B164), "","PriceArea-163")</f>
        <v/>
      </c>
    </row>
    <row r="165" spans="1:1" x14ac:dyDescent="0.2">
      <c r="A165" t="str">
        <f>IF(ISBLANK(B165), "","PriceArea-164")</f>
        <v/>
      </c>
    </row>
    <row r="166" spans="1:1" x14ac:dyDescent="0.2">
      <c r="A166" t="str">
        <f>IF(ISBLANK(B166), "","PriceArea-165")</f>
        <v/>
      </c>
    </row>
    <row r="167" spans="1:1" x14ac:dyDescent="0.2">
      <c r="A167" t="str">
        <f>IF(ISBLANK(B167), "","PriceArea-166")</f>
        <v/>
      </c>
    </row>
    <row r="168" spans="1:1" x14ac:dyDescent="0.2">
      <c r="A168" t="str">
        <f>IF(ISBLANK(B168), "","PriceArea-167")</f>
        <v/>
      </c>
    </row>
    <row r="169" spans="1:1" x14ac:dyDescent="0.2">
      <c r="A169" t="str">
        <f>IF(ISBLANK(B169), "","PriceArea-168")</f>
        <v/>
      </c>
    </row>
    <row r="170" spans="1:1" x14ac:dyDescent="0.2">
      <c r="A170" t="str">
        <f>IF(ISBLANK(B170), "","PriceArea-169")</f>
        <v/>
      </c>
    </row>
    <row r="171" spans="1:1" x14ac:dyDescent="0.2">
      <c r="A171" t="str">
        <f>IF(ISBLANK(B171), "","PriceArea-170")</f>
        <v/>
      </c>
    </row>
    <row r="172" spans="1:1" x14ac:dyDescent="0.2">
      <c r="A172" t="str">
        <f>IF(ISBLANK(B172), "","PriceArea-171")</f>
        <v/>
      </c>
    </row>
    <row r="173" spans="1:1" x14ac:dyDescent="0.2">
      <c r="A173" t="str">
        <f>IF(ISBLANK(B173), "","PriceArea-172")</f>
        <v/>
      </c>
    </row>
    <row r="174" spans="1:1" x14ac:dyDescent="0.2">
      <c r="A174" t="str">
        <f>IF(ISBLANK(B174), "","PriceArea-173")</f>
        <v/>
      </c>
    </row>
    <row r="175" spans="1:1" x14ac:dyDescent="0.2">
      <c r="A175" t="str">
        <f>IF(ISBLANK(B175), "","PriceArea-174")</f>
        <v/>
      </c>
    </row>
    <row r="176" spans="1:1" x14ac:dyDescent="0.2">
      <c r="A176" t="str">
        <f>IF(ISBLANK(B176), "","PriceArea-175")</f>
        <v/>
      </c>
    </row>
    <row r="177" spans="1:1" x14ac:dyDescent="0.2">
      <c r="A177" t="str">
        <f>IF(ISBLANK(B177), "","PriceArea-176")</f>
        <v/>
      </c>
    </row>
    <row r="178" spans="1:1" x14ac:dyDescent="0.2">
      <c r="A178" t="str">
        <f>IF(ISBLANK(B178), "","PriceArea-177")</f>
        <v/>
      </c>
    </row>
    <row r="179" spans="1:1" x14ac:dyDescent="0.2">
      <c r="A179" t="str">
        <f>IF(ISBLANK(B179), "","PriceArea-178")</f>
        <v/>
      </c>
    </row>
    <row r="180" spans="1:1" x14ac:dyDescent="0.2">
      <c r="A180" t="str">
        <f>IF(ISBLANK(B180), "","PriceArea-179")</f>
        <v/>
      </c>
    </row>
    <row r="181" spans="1:1" x14ac:dyDescent="0.2">
      <c r="A181" t="str">
        <f>IF(ISBLANK(B181), "","PriceArea-180")</f>
        <v/>
      </c>
    </row>
    <row r="182" spans="1:1" x14ac:dyDescent="0.2">
      <c r="A182" t="str">
        <f>IF(ISBLANK(B182), "","PriceArea-181")</f>
        <v/>
      </c>
    </row>
    <row r="183" spans="1:1" x14ac:dyDescent="0.2">
      <c r="A183" t="str">
        <f>IF(ISBLANK(B183), "","PriceArea-182")</f>
        <v/>
      </c>
    </row>
    <row r="184" spans="1:1" x14ac:dyDescent="0.2">
      <c r="A184" t="str">
        <f>IF(ISBLANK(B184), "","PriceArea-183")</f>
        <v/>
      </c>
    </row>
    <row r="185" spans="1:1" x14ac:dyDescent="0.2">
      <c r="A185" t="str">
        <f>IF(ISBLANK(B185), "","PriceArea-184")</f>
        <v/>
      </c>
    </row>
    <row r="186" spans="1:1" x14ac:dyDescent="0.2">
      <c r="A186" t="str">
        <f>IF(ISBLANK(B186), "","PriceArea-185")</f>
        <v/>
      </c>
    </row>
    <row r="187" spans="1:1" x14ac:dyDescent="0.2">
      <c r="A187" t="str">
        <f>IF(ISBLANK(B187), "","PriceArea-186")</f>
        <v/>
      </c>
    </row>
    <row r="188" spans="1:1" x14ac:dyDescent="0.2">
      <c r="A188" t="str">
        <f>IF(ISBLANK(B188), "","PriceArea-187")</f>
        <v/>
      </c>
    </row>
    <row r="189" spans="1:1" x14ac:dyDescent="0.2">
      <c r="A189" t="str">
        <f>IF(ISBLANK(B189), "","PriceArea-188")</f>
        <v/>
      </c>
    </row>
    <row r="190" spans="1:1" x14ac:dyDescent="0.2">
      <c r="A190" t="str">
        <f>IF(ISBLANK(B190), "","PriceArea-189")</f>
        <v/>
      </c>
    </row>
    <row r="191" spans="1:1" x14ac:dyDescent="0.2">
      <c r="A191" t="str">
        <f>IF(ISBLANK(B191), "","PriceArea-190")</f>
        <v/>
      </c>
    </row>
    <row r="192" spans="1:1" x14ac:dyDescent="0.2">
      <c r="A192" t="str">
        <f>IF(ISBLANK(B192), "","PriceArea-191")</f>
        <v/>
      </c>
    </row>
    <row r="193" spans="1:1" x14ac:dyDescent="0.2">
      <c r="A193" t="str">
        <f>IF(ISBLANK(B193), "","PriceArea-192")</f>
        <v/>
      </c>
    </row>
    <row r="194" spans="1:1" x14ac:dyDescent="0.2">
      <c r="A194" t="str">
        <f>IF(ISBLANK(B194), "","PriceArea-193")</f>
        <v/>
      </c>
    </row>
    <row r="195" spans="1:1" x14ac:dyDescent="0.2">
      <c r="A195" t="str">
        <f>IF(ISBLANK(B195), "","PriceArea-194")</f>
        <v/>
      </c>
    </row>
    <row r="196" spans="1:1" x14ac:dyDescent="0.2">
      <c r="A196" t="str">
        <f>IF(ISBLANK(B196), "","PriceArea-195")</f>
        <v/>
      </c>
    </row>
    <row r="197" spans="1:1" x14ac:dyDescent="0.2">
      <c r="A197" t="str">
        <f>IF(ISBLANK(B197), "","PriceArea-196")</f>
        <v/>
      </c>
    </row>
    <row r="198" spans="1:1" x14ac:dyDescent="0.2">
      <c r="A198" t="str">
        <f>IF(ISBLANK(B198), "","PriceArea-197")</f>
        <v/>
      </c>
    </row>
    <row r="199" spans="1:1" x14ac:dyDescent="0.2">
      <c r="A199" t="str">
        <f>IF(ISBLANK(B199), "","PriceArea-198")</f>
        <v/>
      </c>
    </row>
    <row r="200" spans="1:1" x14ac:dyDescent="0.2">
      <c r="A200" t="str">
        <f>IF(ISBLANK(B200), "","PriceArea-199")</f>
        <v/>
      </c>
    </row>
    <row r="201" spans="1:1" x14ac:dyDescent="0.2">
      <c r="A201" t="str">
        <f>IF(ISBLANK(B201), "","PriceArea-200")</f>
        <v/>
      </c>
    </row>
    <row r="202" spans="1:1" x14ac:dyDescent="0.2">
      <c r="A202" t="str">
        <f>IF(ISBLANK(B202), "","PriceArea-201")</f>
        <v/>
      </c>
    </row>
    <row r="203" spans="1:1" x14ac:dyDescent="0.2">
      <c r="A203" t="str">
        <f>IF(ISBLANK(B203), "","PriceArea-202")</f>
        <v/>
      </c>
    </row>
    <row r="204" spans="1:1" x14ac:dyDescent="0.2">
      <c r="A204" t="str">
        <f>IF(ISBLANK(B204), "","PriceArea-203")</f>
        <v/>
      </c>
    </row>
    <row r="205" spans="1:1" x14ac:dyDescent="0.2">
      <c r="A205" t="str">
        <f>IF(ISBLANK(B205), "","PriceArea-204")</f>
        <v/>
      </c>
    </row>
    <row r="206" spans="1:1" x14ac:dyDescent="0.2">
      <c r="A206" t="str">
        <f>IF(ISBLANK(B206), "","PriceArea-205")</f>
        <v/>
      </c>
    </row>
    <row r="207" spans="1:1" x14ac:dyDescent="0.2">
      <c r="A207" t="str">
        <f>IF(ISBLANK(B207), "","PriceArea-206")</f>
        <v/>
      </c>
    </row>
    <row r="208" spans="1:1" x14ac:dyDescent="0.2">
      <c r="A208" t="str">
        <f>IF(ISBLANK(B208), "","PriceArea-207")</f>
        <v/>
      </c>
    </row>
    <row r="209" spans="1:1" x14ac:dyDescent="0.2">
      <c r="A209" t="str">
        <f>IF(ISBLANK(B209), "","PriceArea-208")</f>
        <v/>
      </c>
    </row>
    <row r="210" spans="1:1" x14ac:dyDescent="0.2">
      <c r="A210" t="str">
        <f>IF(ISBLANK(B210), "","PriceArea-209")</f>
        <v/>
      </c>
    </row>
    <row r="211" spans="1:1" x14ac:dyDescent="0.2">
      <c r="A211" t="str">
        <f>IF(ISBLANK(B211), "","PriceArea-210")</f>
        <v/>
      </c>
    </row>
    <row r="212" spans="1:1" x14ac:dyDescent="0.2">
      <c r="A212" t="str">
        <f>IF(ISBLANK(B212), "","PriceArea-211")</f>
        <v/>
      </c>
    </row>
    <row r="213" spans="1:1" x14ac:dyDescent="0.2">
      <c r="A213" t="str">
        <f>IF(ISBLANK(B213), "","PriceArea-212")</f>
        <v/>
      </c>
    </row>
    <row r="214" spans="1:1" x14ac:dyDescent="0.2">
      <c r="A214" t="str">
        <f>IF(ISBLANK(B214), "","PriceArea-213")</f>
        <v/>
      </c>
    </row>
    <row r="215" spans="1:1" x14ac:dyDescent="0.2">
      <c r="A215" t="str">
        <f>IF(ISBLANK(B215), "","PriceArea-214")</f>
        <v/>
      </c>
    </row>
    <row r="216" spans="1:1" x14ac:dyDescent="0.2">
      <c r="A216" t="str">
        <f>IF(ISBLANK(B216), "","PriceArea-215")</f>
        <v/>
      </c>
    </row>
    <row r="217" spans="1:1" x14ac:dyDescent="0.2">
      <c r="A217" t="str">
        <f>IF(ISBLANK(B217), "","PriceArea-216")</f>
        <v/>
      </c>
    </row>
    <row r="218" spans="1:1" x14ac:dyDescent="0.2">
      <c r="A218" t="str">
        <f>IF(ISBLANK(B218), "","PriceArea-217")</f>
        <v/>
      </c>
    </row>
    <row r="219" spans="1:1" x14ac:dyDescent="0.2">
      <c r="A219" t="str">
        <f>IF(ISBLANK(B219), "","PriceArea-218")</f>
        <v/>
      </c>
    </row>
    <row r="220" spans="1:1" x14ac:dyDescent="0.2">
      <c r="A220" t="str">
        <f>IF(ISBLANK(B220), "","PriceArea-219")</f>
        <v/>
      </c>
    </row>
    <row r="221" spans="1:1" x14ac:dyDescent="0.2">
      <c r="A221" t="str">
        <f>IF(ISBLANK(B221), "","PriceArea-220")</f>
        <v/>
      </c>
    </row>
    <row r="222" spans="1:1" x14ac:dyDescent="0.2">
      <c r="A222" t="str">
        <f>IF(ISBLANK(B222), "","PriceArea-221")</f>
        <v/>
      </c>
    </row>
    <row r="223" spans="1:1" x14ac:dyDescent="0.2">
      <c r="A223" t="str">
        <f>IF(ISBLANK(B223), "","PriceArea-222")</f>
        <v/>
      </c>
    </row>
    <row r="224" spans="1:1" x14ac:dyDescent="0.2">
      <c r="A224" t="str">
        <f>IF(ISBLANK(B224), "","PriceArea-223")</f>
        <v/>
      </c>
    </row>
    <row r="225" spans="1:1" x14ac:dyDescent="0.2">
      <c r="A225" t="str">
        <f>IF(ISBLANK(B225), "","PriceArea-224")</f>
        <v/>
      </c>
    </row>
    <row r="226" spans="1:1" x14ac:dyDescent="0.2">
      <c r="A226" t="str">
        <f>IF(ISBLANK(B226), "","PriceArea-225")</f>
        <v/>
      </c>
    </row>
    <row r="227" spans="1:1" x14ac:dyDescent="0.2">
      <c r="A227" t="str">
        <f>IF(ISBLANK(B227), "","PriceArea-226")</f>
        <v/>
      </c>
    </row>
    <row r="228" spans="1:1" x14ac:dyDescent="0.2">
      <c r="A228" t="str">
        <f>IF(ISBLANK(B228), "","PriceArea-227")</f>
        <v/>
      </c>
    </row>
    <row r="229" spans="1:1" x14ac:dyDescent="0.2">
      <c r="A229" t="str">
        <f>IF(ISBLANK(B229), "","PriceArea-228")</f>
        <v/>
      </c>
    </row>
    <row r="230" spans="1:1" x14ac:dyDescent="0.2">
      <c r="A230" t="str">
        <f>IF(ISBLANK(B230), "","PriceArea-229")</f>
        <v/>
      </c>
    </row>
    <row r="231" spans="1:1" x14ac:dyDescent="0.2">
      <c r="A231" t="str">
        <f>IF(ISBLANK(B231), "","PriceArea-230")</f>
        <v/>
      </c>
    </row>
    <row r="232" spans="1:1" x14ac:dyDescent="0.2">
      <c r="A232" t="str">
        <f>IF(ISBLANK(B232), "","PriceArea-231")</f>
        <v/>
      </c>
    </row>
    <row r="233" spans="1:1" x14ac:dyDescent="0.2">
      <c r="A233" t="str">
        <f>IF(ISBLANK(B233), "","PriceArea-232")</f>
        <v/>
      </c>
    </row>
    <row r="234" spans="1:1" x14ac:dyDescent="0.2">
      <c r="A234" t="str">
        <f>IF(ISBLANK(B234), "","PriceArea-233")</f>
        <v/>
      </c>
    </row>
    <row r="235" spans="1:1" x14ac:dyDescent="0.2">
      <c r="A235" t="str">
        <f>IF(ISBLANK(B235), "","PriceArea-234")</f>
        <v/>
      </c>
    </row>
    <row r="236" spans="1:1" x14ac:dyDescent="0.2">
      <c r="A236" t="str">
        <f>IF(ISBLANK(B236), "","PriceArea-235")</f>
        <v/>
      </c>
    </row>
    <row r="237" spans="1:1" x14ac:dyDescent="0.2">
      <c r="A237" t="str">
        <f>IF(ISBLANK(B237), "","PriceArea-236")</f>
        <v/>
      </c>
    </row>
    <row r="238" spans="1:1" x14ac:dyDescent="0.2">
      <c r="A238" t="str">
        <f>IF(ISBLANK(B238), "","PriceArea-237")</f>
        <v/>
      </c>
    </row>
    <row r="239" spans="1:1" x14ac:dyDescent="0.2">
      <c r="A239" t="str">
        <f>IF(ISBLANK(B239), "","PriceArea-238")</f>
        <v/>
      </c>
    </row>
    <row r="240" spans="1:1" x14ac:dyDescent="0.2">
      <c r="A240" t="str">
        <f>IF(ISBLANK(B240), "","PriceArea-239")</f>
        <v/>
      </c>
    </row>
    <row r="241" spans="1:1" x14ac:dyDescent="0.2">
      <c r="A241" t="str">
        <f>IF(ISBLANK(B241), "","PriceArea-240")</f>
        <v/>
      </c>
    </row>
    <row r="242" spans="1:1" x14ac:dyDescent="0.2">
      <c r="A242" t="str">
        <f>IF(ISBLANK(B242), "","PriceArea-241")</f>
        <v/>
      </c>
    </row>
    <row r="243" spans="1:1" x14ac:dyDescent="0.2">
      <c r="A243" t="str">
        <f>IF(ISBLANK(B243), "","PriceArea-242")</f>
        <v/>
      </c>
    </row>
    <row r="244" spans="1:1" x14ac:dyDescent="0.2">
      <c r="A244" t="str">
        <f>IF(ISBLANK(B244), "","PriceArea-243")</f>
        <v/>
      </c>
    </row>
    <row r="245" spans="1:1" x14ac:dyDescent="0.2">
      <c r="A245" t="str">
        <f>IF(ISBLANK(B245), "","PriceArea-244")</f>
        <v/>
      </c>
    </row>
    <row r="246" spans="1:1" x14ac:dyDescent="0.2">
      <c r="A246" t="str">
        <f>IF(ISBLANK(B246), "","PriceArea-245")</f>
        <v/>
      </c>
    </row>
    <row r="247" spans="1:1" x14ac:dyDescent="0.2">
      <c r="A247" t="str">
        <f>IF(ISBLANK(B247), "","PriceArea-246")</f>
        <v/>
      </c>
    </row>
    <row r="248" spans="1:1" x14ac:dyDescent="0.2">
      <c r="A248" t="str">
        <f>IF(ISBLANK(B248), "","PriceArea-247")</f>
        <v/>
      </c>
    </row>
    <row r="249" spans="1:1" x14ac:dyDescent="0.2">
      <c r="A249" t="str">
        <f>IF(ISBLANK(B249), "","PriceArea-248")</f>
        <v/>
      </c>
    </row>
    <row r="250" spans="1:1" x14ac:dyDescent="0.2">
      <c r="A250" t="str">
        <f>IF(ISBLANK(B250), "","PriceArea-249")</f>
        <v/>
      </c>
    </row>
    <row r="251" spans="1:1" x14ac:dyDescent="0.2">
      <c r="A251" t="str">
        <f>IF(ISBLANK(B251), "","PriceArea-250")</f>
        <v/>
      </c>
    </row>
    <row r="252" spans="1:1" x14ac:dyDescent="0.2">
      <c r="A252" t="str">
        <f>IF(ISBLANK(B252), "","PriceArea-251")</f>
        <v/>
      </c>
    </row>
    <row r="253" spans="1:1" x14ac:dyDescent="0.2">
      <c r="A253" t="str">
        <f>IF(ISBLANK(B253), "","PriceArea-252")</f>
        <v/>
      </c>
    </row>
    <row r="254" spans="1:1" x14ac:dyDescent="0.2">
      <c r="A254" t="str">
        <f>IF(ISBLANK(B254), "","PriceArea-253")</f>
        <v/>
      </c>
    </row>
    <row r="255" spans="1:1" x14ac:dyDescent="0.2">
      <c r="A255" t="str">
        <f>IF(ISBLANK(B255), "","PriceArea-254")</f>
        <v/>
      </c>
    </row>
    <row r="256" spans="1:1" x14ac:dyDescent="0.2">
      <c r="A256" t="str">
        <f>IF(ISBLANK(B256), "","PriceArea-255")</f>
        <v/>
      </c>
    </row>
    <row r="257" spans="1:1" x14ac:dyDescent="0.2">
      <c r="A257" t="str">
        <f>IF(ISBLANK(B257), "","PriceArea-256")</f>
        <v/>
      </c>
    </row>
    <row r="258" spans="1:1" x14ac:dyDescent="0.2">
      <c r="A258" t="str">
        <f>IF(ISBLANK(B258), "","PriceArea-257")</f>
        <v/>
      </c>
    </row>
    <row r="259" spans="1:1" x14ac:dyDescent="0.2">
      <c r="A259" t="str">
        <f>IF(ISBLANK(B259), "","PriceArea-258")</f>
        <v/>
      </c>
    </row>
    <row r="260" spans="1:1" x14ac:dyDescent="0.2">
      <c r="A260" t="str">
        <f>IF(ISBLANK(B260), "","PriceArea-259")</f>
        <v/>
      </c>
    </row>
    <row r="261" spans="1:1" x14ac:dyDescent="0.2">
      <c r="A261" t="str">
        <f>IF(ISBLANK(B261), "","PriceArea-260")</f>
        <v/>
      </c>
    </row>
    <row r="262" spans="1:1" x14ac:dyDescent="0.2">
      <c r="A262" t="str">
        <f>IF(ISBLANK(B262), "","PriceArea-261")</f>
        <v/>
      </c>
    </row>
    <row r="263" spans="1:1" x14ac:dyDescent="0.2">
      <c r="A263" t="str">
        <f>IF(ISBLANK(B263), "","PriceArea-262")</f>
        <v/>
      </c>
    </row>
    <row r="264" spans="1:1" x14ac:dyDescent="0.2">
      <c r="A264" t="str">
        <f>IF(ISBLANK(B264), "","PriceArea-263")</f>
        <v/>
      </c>
    </row>
    <row r="265" spans="1:1" x14ac:dyDescent="0.2">
      <c r="A265" t="str">
        <f>IF(ISBLANK(B265), "","PriceArea-264")</f>
        <v/>
      </c>
    </row>
    <row r="266" spans="1:1" x14ac:dyDescent="0.2">
      <c r="A266" t="str">
        <f>IF(ISBLANK(B266), "","PriceArea-265")</f>
        <v/>
      </c>
    </row>
    <row r="267" spans="1:1" x14ac:dyDescent="0.2">
      <c r="A267" t="str">
        <f>IF(ISBLANK(B267), "","PriceArea-266")</f>
        <v/>
      </c>
    </row>
    <row r="268" spans="1:1" x14ac:dyDescent="0.2">
      <c r="A268" t="str">
        <f>IF(ISBLANK(B268), "","PriceArea-267")</f>
        <v/>
      </c>
    </row>
    <row r="269" spans="1:1" x14ac:dyDescent="0.2">
      <c r="A269" t="str">
        <f>IF(ISBLANK(B269), "","PriceArea-268")</f>
        <v/>
      </c>
    </row>
    <row r="270" spans="1:1" x14ac:dyDescent="0.2">
      <c r="A270" t="str">
        <f>IF(ISBLANK(B270), "","PriceArea-269")</f>
        <v/>
      </c>
    </row>
    <row r="271" spans="1:1" x14ac:dyDescent="0.2">
      <c r="A271" t="str">
        <f>IF(ISBLANK(B271), "","PriceArea-270")</f>
        <v/>
      </c>
    </row>
    <row r="272" spans="1:1" x14ac:dyDescent="0.2">
      <c r="A272" t="str">
        <f>IF(ISBLANK(B272), "","PriceArea-271")</f>
        <v/>
      </c>
    </row>
    <row r="273" spans="1:1" x14ac:dyDescent="0.2">
      <c r="A273" t="str">
        <f>IF(ISBLANK(B273), "","PriceArea-272")</f>
        <v/>
      </c>
    </row>
    <row r="274" spans="1:1" x14ac:dyDescent="0.2">
      <c r="A274" t="str">
        <f>IF(ISBLANK(B274), "","PriceArea-273")</f>
        <v/>
      </c>
    </row>
    <row r="275" spans="1:1" x14ac:dyDescent="0.2">
      <c r="A275" t="str">
        <f>IF(ISBLANK(B275), "","PriceArea-274")</f>
        <v/>
      </c>
    </row>
    <row r="276" spans="1:1" x14ac:dyDescent="0.2">
      <c r="A276" t="str">
        <f>IF(ISBLANK(B276), "","PriceArea-275")</f>
        <v/>
      </c>
    </row>
    <row r="277" spans="1:1" x14ac:dyDescent="0.2">
      <c r="A277" t="str">
        <f>IF(ISBLANK(B277), "","PriceArea-276")</f>
        <v/>
      </c>
    </row>
    <row r="278" spans="1:1" x14ac:dyDescent="0.2">
      <c r="A278" t="str">
        <f>IF(ISBLANK(B278), "","PriceArea-277")</f>
        <v/>
      </c>
    </row>
    <row r="279" spans="1:1" x14ac:dyDescent="0.2">
      <c r="A279" t="str">
        <f>IF(ISBLANK(B279), "","PriceArea-278")</f>
        <v/>
      </c>
    </row>
    <row r="280" spans="1:1" x14ac:dyDescent="0.2">
      <c r="A280" t="str">
        <f>IF(ISBLANK(B280), "","PriceArea-279")</f>
        <v/>
      </c>
    </row>
    <row r="281" spans="1:1" x14ac:dyDescent="0.2">
      <c r="A281" t="str">
        <f>IF(ISBLANK(B281), "","PriceArea-280")</f>
        <v/>
      </c>
    </row>
    <row r="282" spans="1:1" x14ac:dyDescent="0.2">
      <c r="A282" t="str">
        <f>IF(ISBLANK(B282), "","PriceArea-281")</f>
        <v/>
      </c>
    </row>
    <row r="283" spans="1:1" x14ac:dyDescent="0.2">
      <c r="A283" t="str">
        <f>IF(ISBLANK(B283), "","PriceArea-282")</f>
        <v/>
      </c>
    </row>
    <row r="284" spans="1:1" x14ac:dyDescent="0.2">
      <c r="A284" t="str">
        <f>IF(ISBLANK(B284), "","PriceArea-283")</f>
        <v/>
      </c>
    </row>
    <row r="285" spans="1:1" x14ac:dyDescent="0.2">
      <c r="A285" t="str">
        <f>IF(ISBLANK(B285), "","PriceArea-284")</f>
        <v/>
      </c>
    </row>
    <row r="286" spans="1:1" x14ac:dyDescent="0.2">
      <c r="A286" t="str">
        <f>IF(ISBLANK(B286), "","PriceArea-285")</f>
        <v/>
      </c>
    </row>
    <row r="287" spans="1:1" x14ac:dyDescent="0.2">
      <c r="A287" t="str">
        <f>IF(ISBLANK(B287), "","PriceArea-286")</f>
        <v/>
      </c>
    </row>
    <row r="288" spans="1:1" x14ac:dyDescent="0.2">
      <c r="A288" t="str">
        <f>IF(ISBLANK(B288), "","PriceArea-287")</f>
        <v/>
      </c>
    </row>
    <row r="289" spans="1:1" x14ac:dyDescent="0.2">
      <c r="A289" t="str">
        <f>IF(ISBLANK(B289), "","PriceArea-288")</f>
        <v/>
      </c>
    </row>
    <row r="290" spans="1:1" x14ac:dyDescent="0.2">
      <c r="A290" t="str">
        <f>IF(ISBLANK(B290), "","PriceArea-289")</f>
        <v/>
      </c>
    </row>
    <row r="291" spans="1:1" x14ac:dyDescent="0.2">
      <c r="A291" t="str">
        <f>IF(ISBLANK(B291), "","PriceArea-290")</f>
        <v/>
      </c>
    </row>
    <row r="292" spans="1:1" x14ac:dyDescent="0.2">
      <c r="A292" t="str">
        <f>IF(ISBLANK(B292), "","PriceArea-291")</f>
        <v/>
      </c>
    </row>
    <row r="293" spans="1:1" x14ac:dyDescent="0.2">
      <c r="A293" t="str">
        <f>IF(ISBLANK(B293), "","PriceArea-292")</f>
        <v/>
      </c>
    </row>
    <row r="294" spans="1:1" x14ac:dyDescent="0.2">
      <c r="A294" t="str">
        <f>IF(ISBLANK(B294), "","PriceArea-293")</f>
        <v/>
      </c>
    </row>
    <row r="295" spans="1:1" x14ac:dyDescent="0.2">
      <c r="A295" t="str">
        <f>IF(ISBLANK(B295), "","PriceArea-294")</f>
        <v/>
      </c>
    </row>
    <row r="296" spans="1:1" x14ac:dyDescent="0.2">
      <c r="A296" t="str">
        <f>IF(ISBLANK(B296), "","PriceArea-295")</f>
        <v/>
      </c>
    </row>
    <row r="297" spans="1:1" x14ac:dyDescent="0.2">
      <c r="A297" t="str">
        <f>IF(ISBLANK(B297), "","PriceArea-296")</f>
        <v/>
      </c>
    </row>
    <row r="298" spans="1:1" x14ac:dyDescent="0.2">
      <c r="A298" t="str">
        <f>IF(ISBLANK(B298), "","PriceArea-297")</f>
        <v/>
      </c>
    </row>
    <row r="299" spans="1:1" x14ac:dyDescent="0.2">
      <c r="A299" t="str">
        <f>IF(ISBLANK(B299), "","PriceArea-298")</f>
        <v/>
      </c>
    </row>
    <row r="300" spans="1:1" x14ac:dyDescent="0.2">
      <c r="A300" t="str">
        <f>IF(ISBLANK(B300), "","PriceArea-299")</f>
        <v/>
      </c>
    </row>
    <row r="301" spans="1:1" x14ac:dyDescent="0.2">
      <c r="A301" t="str">
        <f>IF(ISBLANK(B301), "","PriceArea-300")</f>
        <v/>
      </c>
    </row>
    <row r="302" spans="1:1" x14ac:dyDescent="0.2">
      <c r="A302" t="str">
        <f>IF(ISBLANK(B302), "","PriceArea-301")</f>
        <v/>
      </c>
    </row>
    <row r="303" spans="1:1" x14ac:dyDescent="0.2">
      <c r="A303" t="str">
        <f>IF(ISBLANK(B303), "","PriceArea-302")</f>
        <v/>
      </c>
    </row>
    <row r="304" spans="1:1" x14ac:dyDescent="0.2">
      <c r="A304" t="str">
        <f>IF(ISBLANK(B304), "","PriceArea-303")</f>
        <v/>
      </c>
    </row>
    <row r="305" spans="1:1" x14ac:dyDescent="0.2">
      <c r="A305" t="str">
        <f>IF(ISBLANK(B305), "","PriceArea-304")</f>
        <v/>
      </c>
    </row>
    <row r="306" spans="1:1" x14ac:dyDescent="0.2">
      <c r="A306" t="str">
        <f>IF(ISBLANK(B306), "","PriceArea-305")</f>
        <v/>
      </c>
    </row>
    <row r="307" spans="1:1" x14ac:dyDescent="0.2">
      <c r="A307" t="str">
        <f>IF(ISBLANK(B307), "","PriceArea-306")</f>
        <v/>
      </c>
    </row>
    <row r="308" spans="1:1" x14ac:dyDescent="0.2">
      <c r="A308" t="str">
        <f>IF(ISBLANK(B308), "","PriceArea-307")</f>
        <v/>
      </c>
    </row>
    <row r="309" spans="1:1" x14ac:dyDescent="0.2">
      <c r="A309" t="str">
        <f>IF(ISBLANK(B309), "","PriceArea-308")</f>
        <v/>
      </c>
    </row>
    <row r="310" spans="1:1" x14ac:dyDescent="0.2">
      <c r="A310" t="str">
        <f>IF(ISBLANK(B310), "","PriceArea-309")</f>
        <v/>
      </c>
    </row>
    <row r="311" spans="1:1" x14ac:dyDescent="0.2">
      <c r="A311" t="str">
        <f>IF(ISBLANK(B311), "","PriceArea-310")</f>
        <v/>
      </c>
    </row>
    <row r="312" spans="1:1" x14ac:dyDescent="0.2">
      <c r="A312" t="str">
        <f>IF(ISBLANK(B312), "","PriceArea-311")</f>
        <v/>
      </c>
    </row>
    <row r="313" spans="1:1" x14ac:dyDescent="0.2">
      <c r="A313" t="str">
        <f>IF(ISBLANK(B313), "","PriceArea-312")</f>
        <v/>
      </c>
    </row>
    <row r="314" spans="1:1" x14ac:dyDescent="0.2">
      <c r="A314" t="str">
        <f>IF(ISBLANK(B314), "","PriceArea-313")</f>
        <v/>
      </c>
    </row>
    <row r="315" spans="1:1" x14ac:dyDescent="0.2">
      <c r="A315" t="str">
        <f>IF(ISBLANK(B315), "","PriceArea-314")</f>
        <v/>
      </c>
    </row>
    <row r="316" spans="1:1" x14ac:dyDescent="0.2">
      <c r="A316" t="str">
        <f>IF(ISBLANK(B316), "","PriceArea-315")</f>
        <v/>
      </c>
    </row>
    <row r="317" spans="1:1" x14ac:dyDescent="0.2">
      <c r="A317" t="str">
        <f>IF(ISBLANK(B317), "","PriceArea-316")</f>
        <v/>
      </c>
    </row>
    <row r="318" spans="1:1" x14ac:dyDescent="0.2">
      <c r="A318" t="str">
        <f>IF(ISBLANK(B318), "","PriceArea-317")</f>
        <v/>
      </c>
    </row>
    <row r="319" spans="1:1" x14ac:dyDescent="0.2">
      <c r="A319" t="str">
        <f>IF(ISBLANK(B319), "","PriceArea-318")</f>
        <v/>
      </c>
    </row>
    <row r="320" spans="1:1" x14ac:dyDescent="0.2">
      <c r="A320" t="str">
        <f>IF(ISBLANK(B320), "","PriceArea-319")</f>
        <v/>
      </c>
    </row>
    <row r="321" spans="1:1" x14ac:dyDescent="0.2">
      <c r="A321" t="str">
        <f>IF(ISBLANK(B321), "","PriceArea-320")</f>
        <v/>
      </c>
    </row>
    <row r="322" spans="1:1" x14ac:dyDescent="0.2">
      <c r="A322" t="str">
        <f>IF(ISBLANK(B322), "","PriceArea-321")</f>
        <v/>
      </c>
    </row>
    <row r="323" spans="1:1" x14ac:dyDescent="0.2">
      <c r="A323" t="str">
        <f>IF(ISBLANK(B323), "","PriceArea-322")</f>
        <v/>
      </c>
    </row>
    <row r="324" spans="1:1" x14ac:dyDescent="0.2">
      <c r="A324" t="str">
        <f>IF(ISBLANK(B324), "","PriceArea-323")</f>
        <v/>
      </c>
    </row>
    <row r="325" spans="1:1" x14ac:dyDescent="0.2">
      <c r="A325" t="str">
        <f>IF(ISBLANK(B325), "","PriceArea-324")</f>
        <v/>
      </c>
    </row>
    <row r="326" spans="1:1" x14ac:dyDescent="0.2">
      <c r="A326" t="str">
        <f>IF(ISBLANK(B326), "","PriceArea-325")</f>
        <v/>
      </c>
    </row>
    <row r="327" spans="1:1" x14ac:dyDescent="0.2">
      <c r="A327" t="str">
        <f>IF(ISBLANK(B327), "","PriceArea-326")</f>
        <v/>
      </c>
    </row>
    <row r="328" spans="1:1" x14ac:dyDescent="0.2">
      <c r="A328" t="str">
        <f>IF(ISBLANK(B328), "","PriceArea-327")</f>
        <v/>
      </c>
    </row>
    <row r="329" spans="1:1" x14ac:dyDescent="0.2">
      <c r="A329" t="str">
        <f>IF(ISBLANK(B329), "","PriceArea-328")</f>
        <v/>
      </c>
    </row>
    <row r="330" spans="1:1" x14ac:dyDescent="0.2">
      <c r="A330" t="str">
        <f>IF(ISBLANK(B330), "","PriceArea-329")</f>
        <v/>
      </c>
    </row>
    <row r="331" spans="1:1" x14ac:dyDescent="0.2">
      <c r="A331" t="str">
        <f>IF(ISBLANK(B331), "","PriceArea-330")</f>
        <v/>
      </c>
    </row>
    <row r="332" spans="1:1" x14ac:dyDescent="0.2">
      <c r="A332" t="str">
        <f>IF(ISBLANK(B332), "","PriceArea-331")</f>
        <v/>
      </c>
    </row>
    <row r="333" spans="1:1" x14ac:dyDescent="0.2">
      <c r="A333" t="str">
        <f>IF(ISBLANK(B333), "","PriceArea-332")</f>
        <v/>
      </c>
    </row>
    <row r="334" spans="1:1" x14ac:dyDescent="0.2">
      <c r="A334" t="str">
        <f>IF(ISBLANK(B334), "","PriceArea-333")</f>
        <v/>
      </c>
    </row>
    <row r="335" spans="1:1" x14ac:dyDescent="0.2">
      <c r="A335" t="str">
        <f>IF(ISBLANK(B335), "","PriceArea-334")</f>
        <v/>
      </c>
    </row>
    <row r="336" spans="1:1" x14ac:dyDescent="0.2">
      <c r="A336" t="str">
        <f>IF(ISBLANK(B336), "","PriceArea-335")</f>
        <v/>
      </c>
    </row>
    <row r="337" spans="1:1" x14ac:dyDescent="0.2">
      <c r="A337" t="str">
        <f>IF(ISBLANK(B337), "","PriceArea-336")</f>
        <v/>
      </c>
    </row>
    <row r="338" spans="1:1" x14ac:dyDescent="0.2">
      <c r="A338" t="str">
        <f>IF(ISBLANK(B338), "","PriceArea-337")</f>
        <v/>
      </c>
    </row>
    <row r="339" spans="1:1" x14ac:dyDescent="0.2">
      <c r="A339" t="str">
        <f>IF(ISBLANK(B339), "","PriceArea-338")</f>
        <v/>
      </c>
    </row>
    <row r="340" spans="1:1" x14ac:dyDescent="0.2">
      <c r="A340" t="str">
        <f>IF(ISBLANK(B340), "","PriceArea-339")</f>
        <v/>
      </c>
    </row>
    <row r="341" spans="1:1" x14ac:dyDescent="0.2">
      <c r="A341" t="str">
        <f>IF(ISBLANK(B341), "","PriceArea-340")</f>
        <v/>
      </c>
    </row>
    <row r="342" spans="1:1" x14ac:dyDescent="0.2">
      <c r="A342" t="str">
        <f>IF(ISBLANK(B342), "","PriceArea-341")</f>
        <v/>
      </c>
    </row>
    <row r="343" spans="1:1" x14ac:dyDescent="0.2">
      <c r="A343" t="str">
        <f>IF(ISBLANK(B343), "","PriceArea-342")</f>
        <v/>
      </c>
    </row>
    <row r="344" spans="1:1" x14ac:dyDescent="0.2">
      <c r="A344" t="str">
        <f>IF(ISBLANK(B344), "","PriceArea-343")</f>
        <v/>
      </c>
    </row>
    <row r="345" spans="1:1" x14ac:dyDescent="0.2">
      <c r="A345" t="str">
        <f>IF(ISBLANK(B345), "","PriceArea-344")</f>
        <v/>
      </c>
    </row>
    <row r="346" spans="1:1" x14ac:dyDescent="0.2">
      <c r="A346" t="str">
        <f>IF(ISBLANK(B346), "","PriceArea-345")</f>
        <v/>
      </c>
    </row>
    <row r="347" spans="1:1" x14ac:dyDescent="0.2">
      <c r="A347" t="str">
        <f>IF(ISBLANK(B347), "","PriceArea-346")</f>
        <v/>
      </c>
    </row>
    <row r="348" spans="1:1" x14ac:dyDescent="0.2">
      <c r="A348" t="str">
        <f>IF(ISBLANK(B348), "","PriceArea-347")</f>
        <v/>
      </c>
    </row>
    <row r="349" spans="1:1" x14ac:dyDescent="0.2">
      <c r="A349" t="str">
        <f>IF(ISBLANK(B349), "","PriceArea-348")</f>
        <v/>
      </c>
    </row>
    <row r="350" spans="1:1" x14ac:dyDescent="0.2">
      <c r="A350" t="str">
        <f>IF(ISBLANK(B350), "","PriceArea-349")</f>
        <v/>
      </c>
    </row>
    <row r="351" spans="1:1" x14ac:dyDescent="0.2">
      <c r="A351" t="str">
        <f>IF(ISBLANK(B351), "","PriceArea-350")</f>
        <v/>
      </c>
    </row>
    <row r="352" spans="1:1" x14ac:dyDescent="0.2">
      <c r="A352" t="str">
        <f>IF(ISBLANK(B352), "","PriceArea-351")</f>
        <v/>
      </c>
    </row>
    <row r="353" spans="1:1" x14ac:dyDescent="0.2">
      <c r="A353" t="str">
        <f>IF(ISBLANK(B353), "","PriceArea-352")</f>
        <v/>
      </c>
    </row>
    <row r="354" spans="1:1" x14ac:dyDescent="0.2">
      <c r="A354" t="str">
        <f>IF(ISBLANK(B354), "","PriceArea-353")</f>
        <v/>
      </c>
    </row>
    <row r="355" spans="1:1" x14ac:dyDescent="0.2">
      <c r="A355" t="str">
        <f>IF(ISBLANK(B355), "","PriceArea-354")</f>
        <v/>
      </c>
    </row>
    <row r="356" spans="1:1" x14ac:dyDescent="0.2">
      <c r="A356" t="str">
        <f>IF(ISBLANK(B356), "","PriceArea-355")</f>
        <v/>
      </c>
    </row>
    <row r="357" spans="1:1" x14ac:dyDescent="0.2">
      <c r="A357" t="str">
        <f>IF(ISBLANK(B357), "","PriceArea-356")</f>
        <v/>
      </c>
    </row>
    <row r="358" spans="1:1" x14ac:dyDescent="0.2">
      <c r="A358" t="str">
        <f>IF(ISBLANK(B358), "","PriceArea-357")</f>
        <v/>
      </c>
    </row>
    <row r="359" spans="1:1" x14ac:dyDescent="0.2">
      <c r="A359" t="str">
        <f>IF(ISBLANK(B359), "","PriceArea-358")</f>
        <v/>
      </c>
    </row>
    <row r="360" spans="1:1" x14ac:dyDescent="0.2">
      <c r="A360" t="str">
        <f>IF(ISBLANK(B360), "","PriceArea-359")</f>
        <v/>
      </c>
    </row>
    <row r="361" spans="1:1" x14ac:dyDescent="0.2">
      <c r="A361" t="str">
        <f>IF(ISBLANK(B361), "","PriceArea-360")</f>
        <v/>
      </c>
    </row>
    <row r="362" spans="1:1" x14ac:dyDescent="0.2">
      <c r="A362" t="str">
        <f>IF(ISBLANK(B362), "","PriceArea-361")</f>
        <v/>
      </c>
    </row>
    <row r="363" spans="1:1" x14ac:dyDescent="0.2">
      <c r="A363" t="str">
        <f>IF(ISBLANK(B363), "","PriceArea-362")</f>
        <v/>
      </c>
    </row>
    <row r="364" spans="1:1" x14ac:dyDescent="0.2">
      <c r="A364" t="str">
        <f>IF(ISBLANK(B364), "","PriceArea-363")</f>
        <v/>
      </c>
    </row>
    <row r="365" spans="1:1" x14ac:dyDescent="0.2">
      <c r="A365" t="str">
        <f>IF(ISBLANK(B365), "","PriceArea-364")</f>
        <v/>
      </c>
    </row>
    <row r="366" spans="1:1" x14ac:dyDescent="0.2">
      <c r="A366" t="str">
        <f>IF(ISBLANK(B366), "","PriceArea-365")</f>
        <v/>
      </c>
    </row>
    <row r="367" spans="1:1" x14ac:dyDescent="0.2">
      <c r="A367" t="str">
        <f>IF(ISBLANK(B367), "","PriceArea-366")</f>
        <v/>
      </c>
    </row>
    <row r="368" spans="1:1" x14ac:dyDescent="0.2">
      <c r="A368" t="str">
        <f>IF(ISBLANK(B368), "","PriceArea-367")</f>
        <v/>
      </c>
    </row>
    <row r="369" spans="1:1" x14ac:dyDescent="0.2">
      <c r="A369" t="str">
        <f>IF(ISBLANK(B369), "","PriceArea-368")</f>
        <v/>
      </c>
    </row>
    <row r="370" spans="1:1" x14ac:dyDescent="0.2">
      <c r="A370" t="str">
        <f>IF(ISBLANK(B370), "","PriceArea-369")</f>
        <v/>
      </c>
    </row>
    <row r="371" spans="1:1" x14ac:dyDescent="0.2">
      <c r="A371" t="str">
        <f>IF(ISBLANK(B371), "","PriceArea-370")</f>
        <v/>
      </c>
    </row>
    <row r="372" spans="1:1" x14ac:dyDescent="0.2">
      <c r="A372" t="str">
        <f>IF(ISBLANK(B372), "","PriceArea-371")</f>
        <v/>
      </c>
    </row>
    <row r="373" spans="1:1" x14ac:dyDescent="0.2">
      <c r="A373" t="str">
        <f>IF(ISBLANK(B373), "","PriceArea-372")</f>
        <v/>
      </c>
    </row>
    <row r="374" spans="1:1" x14ac:dyDescent="0.2">
      <c r="A374" t="str">
        <f>IF(ISBLANK(B374), "","PriceArea-373")</f>
        <v/>
      </c>
    </row>
    <row r="375" spans="1:1" x14ac:dyDescent="0.2">
      <c r="A375" t="str">
        <f>IF(ISBLANK(B375), "","PriceArea-374")</f>
        <v/>
      </c>
    </row>
    <row r="376" spans="1:1" x14ac:dyDescent="0.2">
      <c r="A376" t="str">
        <f>IF(ISBLANK(B376), "","PriceArea-375")</f>
        <v/>
      </c>
    </row>
    <row r="377" spans="1:1" x14ac:dyDescent="0.2">
      <c r="A377" t="str">
        <f>IF(ISBLANK(B377), "","PriceArea-376")</f>
        <v/>
      </c>
    </row>
    <row r="378" spans="1:1" x14ac:dyDescent="0.2">
      <c r="A378" t="str">
        <f>IF(ISBLANK(B378), "","PriceArea-377")</f>
        <v/>
      </c>
    </row>
    <row r="379" spans="1:1" x14ac:dyDescent="0.2">
      <c r="A379" t="str">
        <f>IF(ISBLANK(B379), "","PriceArea-378")</f>
        <v/>
      </c>
    </row>
    <row r="380" spans="1:1" x14ac:dyDescent="0.2">
      <c r="A380" t="str">
        <f>IF(ISBLANK(B380), "","PriceArea-379")</f>
        <v/>
      </c>
    </row>
    <row r="381" spans="1:1" x14ac:dyDescent="0.2">
      <c r="A381" t="str">
        <f>IF(ISBLANK(B381), "","PriceArea-380")</f>
        <v/>
      </c>
    </row>
    <row r="382" spans="1:1" x14ac:dyDescent="0.2">
      <c r="A382" t="str">
        <f>IF(ISBLANK(B382), "","PriceArea-381")</f>
        <v/>
      </c>
    </row>
    <row r="383" spans="1:1" x14ac:dyDescent="0.2">
      <c r="A383" t="str">
        <f>IF(ISBLANK(B383), "","PriceArea-382")</f>
        <v/>
      </c>
    </row>
    <row r="384" spans="1:1" x14ac:dyDescent="0.2">
      <c r="A384" t="str">
        <f>IF(ISBLANK(B384), "","PriceArea-383")</f>
        <v/>
      </c>
    </row>
    <row r="385" spans="1:1" x14ac:dyDescent="0.2">
      <c r="A385" t="str">
        <f>IF(ISBLANK(B385), "","PriceArea-384")</f>
        <v/>
      </c>
    </row>
    <row r="386" spans="1:1" x14ac:dyDescent="0.2">
      <c r="A386" t="str">
        <f>IF(ISBLANK(B386), "","PriceArea-385")</f>
        <v/>
      </c>
    </row>
    <row r="387" spans="1:1" x14ac:dyDescent="0.2">
      <c r="A387" t="str">
        <f>IF(ISBLANK(B387), "","PriceArea-386")</f>
        <v/>
      </c>
    </row>
    <row r="388" spans="1:1" x14ac:dyDescent="0.2">
      <c r="A388" t="str">
        <f>IF(ISBLANK(B388), "","PriceArea-387")</f>
        <v/>
      </c>
    </row>
    <row r="389" spans="1:1" x14ac:dyDescent="0.2">
      <c r="A389" t="str">
        <f>IF(ISBLANK(B389), "","PriceArea-388")</f>
        <v/>
      </c>
    </row>
    <row r="390" spans="1:1" x14ac:dyDescent="0.2">
      <c r="A390" t="str">
        <f>IF(ISBLANK(B390), "","PriceArea-389")</f>
        <v/>
      </c>
    </row>
    <row r="391" spans="1:1" x14ac:dyDescent="0.2">
      <c r="A391" t="str">
        <f>IF(ISBLANK(B391), "","PriceArea-390")</f>
        <v/>
      </c>
    </row>
    <row r="392" spans="1:1" x14ac:dyDescent="0.2">
      <c r="A392" t="str">
        <f>IF(ISBLANK(B392), "","PriceArea-391")</f>
        <v/>
      </c>
    </row>
    <row r="393" spans="1:1" x14ac:dyDescent="0.2">
      <c r="A393" t="str">
        <f>IF(ISBLANK(B393), "","PriceArea-392")</f>
        <v/>
      </c>
    </row>
    <row r="394" spans="1:1" x14ac:dyDescent="0.2">
      <c r="A394" t="str">
        <f>IF(ISBLANK(B394), "","PriceArea-393")</f>
        <v/>
      </c>
    </row>
    <row r="395" spans="1:1" x14ac:dyDescent="0.2">
      <c r="A395" t="str">
        <f>IF(ISBLANK(B395), "","PriceArea-394")</f>
        <v/>
      </c>
    </row>
    <row r="396" spans="1:1" x14ac:dyDescent="0.2">
      <c r="A396" t="str">
        <f>IF(ISBLANK(B396), "","PriceArea-395")</f>
        <v/>
      </c>
    </row>
    <row r="397" spans="1:1" x14ac:dyDescent="0.2">
      <c r="A397" t="str">
        <f>IF(ISBLANK(B397), "","PriceArea-396")</f>
        <v/>
      </c>
    </row>
    <row r="398" spans="1:1" x14ac:dyDescent="0.2">
      <c r="A398" t="str">
        <f>IF(ISBLANK(B398), "","PriceArea-397")</f>
        <v/>
      </c>
    </row>
    <row r="399" spans="1:1" x14ac:dyDescent="0.2">
      <c r="A399" t="str">
        <f>IF(ISBLANK(B399), "","PriceArea-398")</f>
        <v/>
      </c>
    </row>
    <row r="400" spans="1:1" x14ac:dyDescent="0.2">
      <c r="A400" t="str">
        <f>IF(ISBLANK(B400), "","PriceArea-399")</f>
        <v/>
      </c>
    </row>
    <row r="401" spans="1:1" x14ac:dyDescent="0.2">
      <c r="A401" t="str">
        <f>IF(ISBLANK(B401), "","PriceArea-400")</f>
        <v/>
      </c>
    </row>
    <row r="402" spans="1:1" x14ac:dyDescent="0.2">
      <c r="A402" t="str">
        <f>IF(ISBLANK(B402), "","PriceArea-401")</f>
        <v/>
      </c>
    </row>
    <row r="403" spans="1:1" x14ac:dyDescent="0.2">
      <c r="A403" t="str">
        <f>IF(ISBLANK(B403), "","PriceArea-402")</f>
        <v/>
      </c>
    </row>
    <row r="404" spans="1:1" x14ac:dyDescent="0.2">
      <c r="A404" t="str">
        <f>IF(ISBLANK(B404), "","PriceArea-403")</f>
        <v/>
      </c>
    </row>
    <row r="405" spans="1:1" x14ac:dyDescent="0.2">
      <c r="A405" t="str">
        <f>IF(ISBLANK(B405), "","PriceArea-404")</f>
        <v/>
      </c>
    </row>
    <row r="406" spans="1:1" x14ac:dyDescent="0.2">
      <c r="A406" t="str">
        <f>IF(ISBLANK(B406), "","PriceArea-405")</f>
        <v/>
      </c>
    </row>
    <row r="407" spans="1:1" x14ac:dyDescent="0.2">
      <c r="A407" t="str">
        <f>IF(ISBLANK(B407), "","PriceArea-406")</f>
        <v/>
      </c>
    </row>
    <row r="408" spans="1:1" x14ac:dyDescent="0.2">
      <c r="A408" t="str">
        <f>IF(ISBLANK(B408), "","PriceArea-407")</f>
        <v/>
      </c>
    </row>
    <row r="409" spans="1:1" x14ac:dyDescent="0.2">
      <c r="A409" t="str">
        <f>IF(ISBLANK(B409), "","PriceArea-408")</f>
        <v/>
      </c>
    </row>
    <row r="410" spans="1:1" x14ac:dyDescent="0.2">
      <c r="A410" t="str">
        <f>IF(ISBLANK(B410), "","PriceArea-409")</f>
        <v/>
      </c>
    </row>
    <row r="411" spans="1:1" x14ac:dyDescent="0.2">
      <c r="A411" t="str">
        <f>IF(ISBLANK(B411), "","PriceArea-410")</f>
        <v/>
      </c>
    </row>
    <row r="412" spans="1:1" x14ac:dyDescent="0.2">
      <c r="A412" t="str">
        <f>IF(ISBLANK(B412), "","PriceArea-411")</f>
        <v/>
      </c>
    </row>
    <row r="413" spans="1:1" x14ac:dyDescent="0.2">
      <c r="A413" t="str">
        <f>IF(ISBLANK(B413), "","PriceArea-412")</f>
        <v/>
      </c>
    </row>
    <row r="414" spans="1:1" x14ac:dyDescent="0.2">
      <c r="A414" t="str">
        <f>IF(ISBLANK(B414), "","PriceArea-413")</f>
        <v/>
      </c>
    </row>
    <row r="415" spans="1:1" x14ac:dyDescent="0.2">
      <c r="A415" t="str">
        <f>IF(ISBLANK(B415), "","PriceArea-414")</f>
        <v/>
      </c>
    </row>
    <row r="416" spans="1:1" x14ac:dyDescent="0.2">
      <c r="A416" t="str">
        <f>IF(ISBLANK(B416), "","PriceArea-415")</f>
        <v/>
      </c>
    </row>
    <row r="417" spans="1:1" x14ac:dyDescent="0.2">
      <c r="A417" t="str">
        <f>IF(ISBLANK(B417), "","PriceArea-416")</f>
        <v/>
      </c>
    </row>
    <row r="418" spans="1:1" x14ac:dyDescent="0.2">
      <c r="A418" t="str">
        <f>IF(ISBLANK(B418), "","PriceArea-417")</f>
        <v/>
      </c>
    </row>
    <row r="419" spans="1:1" x14ac:dyDescent="0.2">
      <c r="A419" t="str">
        <f>IF(ISBLANK(B419), "","PriceArea-418")</f>
        <v/>
      </c>
    </row>
    <row r="420" spans="1:1" x14ac:dyDescent="0.2">
      <c r="A420" t="str">
        <f>IF(ISBLANK(B420), "","PriceArea-419")</f>
        <v/>
      </c>
    </row>
    <row r="421" spans="1:1" x14ac:dyDescent="0.2">
      <c r="A421" t="str">
        <f>IF(ISBLANK(B421), "","PriceArea-420")</f>
        <v/>
      </c>
    </row>
    <row r="422" spans="1:1" x14ac:dyDescent="0.2">
      <c r="A422" t="str">
        <f>IF(ISBLANK(B422), "","PriceArea-421")</f>
        <v/>
      </c>
    </row>
    <row r="423" spans="1:1" x14ac:dyDescent="0.2">
      <c r="A423" t="str">
        <f>IF(ISBLANK(B423), "","PriceArea-422")</f>
        <v/>
      </c>
    </row>
    <row r="424" spans="1:1" x14ac:dyDescent="0.2">
      <c r="A424" t="str">
        <f>IF(ISBLANK(B424), "","PriceArea-423")</f>
        <v/>
      </c>
    </row>
    <row r="425" spans="1:1" x14ac:dyDescent="0.2">
      <c r="A425" t="str">
        <f>IF(ISBLANK(B425), "","PriceArea-424")</f>
        <v/>
      </c>
    </row>
    <row r="426" spans="1:1" x14ac:dyDescent="0.2">
      <c r="A426" t="str">
        <f>IF(ISBLANK(B426), "","PriceArea-425")</f>
        <v/>
      </c>
    </row>
    <row r="427" spans="1:1" x14ac:dyDescent="0.2">
      <c r="A427" t="str">
        <f>IF(ISBLANK(B427), "","PriceArea-426")</f>
        <v/>
      </c>
    </row>
    <row r="428" spans="1:1" x14ac:dyDescent="0.2">
      <c r="A428" t="str">
        <f>IF(ISBLANK(B428), "","PriceArea-427")</f>
        <v/>
      </c>
    </row>
    <row r="429" spans="1:1" x14ac:dyDescent="0.2">
      <c r="A429" t="str">
        <f>IF(ISBLANK(B429), "","PriceArea-428")</f>
        <v/>
      </c>
    </row>
    <row r="430" spans="1:1" x14ac:dyDescent="0.2">
      <c r="A430" t="str">
        <f>IF(ISBLANK(B430), "","PriceArea-429")</f>
        <v/>
      </c>
    </row>
    <row r="431" spans="1:1" x14ac:dyDescent="0.2">
      <c r="A431" t="str">
        <f>IF(ISBLANK(B431), "","PriceArea-430")</f>
        <v/>
      </c>
    </row>
    <row r="432" spans="1:1" x14ac:dyDescent="0.2">
      <c r="A432" t="str">
        <f>IF(ISBLANK(B432), "","PriceArea-431")</f>
        <v/>
      </c>
    </row>
    <row r="433" spans="1:1" x14ac:dyDescent="0.2">
      <c r="A433" t="str">
        <f>IF(ISBLANK(B433), "","PriceArea-432")</f>
        <v/>
      </c>
    </row>
    <row r="434" spans="1:1" x14ac:dyDescent="0.2">
      <c r="A434" t="str">
        <f>IF(ISBLANK(B434), "","PriceArea-433")</f>
        <v/>
      </c>
    </row>
    <row r="435" spans="1:1" x14ac:dyDescent="0.2">
      <c r="A435" t="str">
        <f>IF(ISBLANK(B435), "","PriceArea-434")</f>
        <v/>
      </c>
    </row>
    <row r="436" spans="1:1" x14ac:dyDescent="0.2">
      <c r="A436" t="str">
        <f>IF(ISBLANK(B436), "","PriceArea-435")</f>
        <v/>
      </c>
    </row>
    <row r="437" spans="1:1" x14ac:dyDescent="0.2">
      <c r="A437" t="str">
        <f>IF(ISBLANK(B437), "","PriceArea-436")</f>
        <v/>
      </c>
    </row>
    <row r="438" spans="1:1" x14ac:dyDescent="0.2">
      <c r="A438" t="str">
        <f>IF(ISBLANK(B438), "","PriceArea-437")</f>
        <v/>
      </c>
    </row>
    <row r="439" spans="1:1" x14ac:dyDescent="0.2">
      <c r="A439" t="str">
        <f>IF(ISBLANK(B439), "","PriceArea-438")</f>
        <v/>
      </c>
    </row>
    <row r="440" spans="1:1" x14ac:dyDescent="0.2">
      <c r="A440" t="str">
        <f>IF(ISBLANK(B440), "","PriceArea-439")</f>
        <v/>
      </c>
    </row>
    <row r="441" spans="1:1" x14ac:dyDescent="0.2">
      <c r="A441" t="str">
        <f>IF(ISBLANK(B441), "","PriceArea-440")</f>
        <v/>
      </c>
    </row>
    <row r="442" spans="1:1" x14ac:dyDescent="0.2">
      <c r="A442" t="str">
        <f>IF(ISBLANK(B442), "","PriceArea-441")</f>
        <v/>
      </c>
    </row>
    <row r="443" spans="1:1" x14ac:dyDescent="0.2">
      <c r="A443" t="str">
        <f>IF(ISBLANK(B443), "","PriceArea-442")</f>
        <v/>
      </c>
    </row>
    <row r="444" spans="1:1" x14ac:dyDescent="0.2">
      <c r="A444" t="str">
        <f>IF(ISBLANK(B444), "","PriceArea-443")</f>
        <v/>
      </c>
    </row>
    <row r="445" spans="1:1" x14ac:dyDescent="0.2">
      <c r="A445" t="str">
        <f>IF(ISBLANK(B445), "","PriceArea-444")</f>
        <v/>
      </c>
    </row>
    <row r="446" spans="1:1" x14ac:dyDescent="0.2">
      <c r="A446" t="str">
        <f>IF(ISBLANK(B446), "","PriceArea-445")</f>
        <v/>
      </c>
    </row>
    <row r="447" spans="1:1" x14ac:dyDescent="0.2">
      <c r="A447" t="str">
        <f>IF(ISBLANK(B447), "","PriceArea-446")</f>
        <v/>
      </c>
    </row>
    <row r="448" spans="1:1" x14ac:dyDescent="0.2">
      <c r="A448" t="str">
        <f>IF(ISBLANK(B448), "","PriceArea-447")</f>
        <v/>
      </c>
    </row>
    <row r="449" spans="1:1" x14ac:dyDescent="0.2">
      <c r="A449" t="str">
        <f>IF(ISBLANK(B449), "","PriceArea-448")</f>
        <v/>
      </c>
    </row>
    <row r="450" spans="1:1" x14ac:dyDescent="0.2">
      <c r="A450" t="str">
        <f>IF(ISBLANK(B450), "","PriceArea-449")</f>
        <v/>
      </c>
    </row>
    <row r="451" spans="1:1" x14ac:dyDescent="0.2">
      <c r="A451" t="str">
        <f>IF(ISBLANK(B451), "","PriceArea-450")</f>
        <v/>
      </c>
    </row>
    <row r="452" spans="1:1" x14ac:dyDescent="0.2">
      <c r="A452" t="str">
        <f>IF(ISBLANK(B452), "","PriceArea-451")</f>
        <v/>
      </c>
    </row>
    <row r="453" spans="1:1" x14ac:dyDescent="0.2">
      <c r="A453" t="str">
        <f>IF(ISBLANK(B453), "","PriceArea-452")</f>
        <v/>
      </c>
    </row>
    <row r="454" spans="1:1" x14ac:dyDescent="0.2">
      <c r="A454" t="str">
        <f>IF(ISBLANK(B454), "","PriceArea-453")</f>
        <v/>
      </c>
    </row>
    <row r="455" spans="1:1" x14ac:dyDescent="0.2">
      <c r="A455" t="str">
        <f>IF(ISBLANK(B455), "","PriceArea-454")</f>
        <v/>
      </c>
    </row>
    <row r="456" spans="1:1" x14ac:dyDescent="0.2">
      <c r="A456" t="str">
        <f>IF(ISBLANK(B456), "","PriceArea-455")</f>
        <v/>
      </c>
    </row>
    <row r="457" spans="1:1" x14ac:dyDescent="0.2">
      <c r="A457" t="str">
        <f>IF(ISBLANK(B457), "","PriceArea-456")</f>
        <v/>
      </c>
    </row>
    <row r="458" spans="1:1" x14ac:dyDescent="0.2">
      <c r="A458" t="str">
        <f>IF(ISBLANK(B458), "","PriceArea-457")</f>
        <v/>
      </c>
    </row>
    <row r="459" spans="1:1" x14ac:dyDescent="0.2">
      <c r="A459" t="str">
        <f>IF(ISBLANK(B459), "","PriceArea-458")</f>
        <v/>
      </c>
    </row>
    <row r="460" spans="1:1" x14ac:dyDescent="0.2">
      <c r="A460" t="str">
        <f>IF(ISBLANK(B460), "","PriceArea-459")</f>
        <v/>
      </c>
    </row>
    <row r="461" spans="1:1" x14ac:dyDescent="0.2">
      <c r="A461" t="str">
        <f>IF(ISBLANK(B461), "","PriceArea-460")</f>
        <v/>
      </c>
    </row>
    <row r="462" spans="1:1" x14ac:dyDescent="0.2">
      <c r="A462" t="str">
        <f>IF(ISBLANK(B462), "","PriceArea-461")</f>
        <v/>
      </c>
    </row>
    <row r="463" spans="1:1" x14ac:dyDescent="0.2">
      <c r="A463" t="str">
        <f>IF(ISBLANK(B463), "","PriceArea-462")</f>
        <v/>
      </c>
    </row>
    <row r="464" spans="1:1" x14ac:dyDescent="0.2">
      <c r="A464" t="str">
        <f>IF(ISBLANK(B464), "","PriceArea-463")</f>
        <v/>
      </c>
    </row>
    <row r="465" spans="1:1" x14ac:dyDescent="0.2">
      <c r="A465" t="str">
        <f>IF(ISBLANK(B465), "","PriceArea-464")</f>
        <v/>
      </c>
    </row>
    <row r="466" spans="1:1" x14ac:dyDescent="0.2">
      <c r="A466" t="str">
        <f>IF(ISBLANK(B466), "","PriceArea-465")</f>
        <v/>
      </c>
    </row>
    <row r="467" spans="1:1" x14ac:dyDescent="0.2">
      <c r="A467" t="str">
        <f>IF(ISBLANK(B467), "","PriceArea-466")</f>
        <v/>
      </c>
    </row>
    <row r="468" spans="1:1" x14ac:dyDescent="0.2">
      <c r="A468" t="str">
        <f>IF(ISBLANK(B468), "","PriceArea-467")</f>
        <v/>
      </c>
    </row>
    <row r="469" spans="1:1" x14ac:dyDescent="0.2">
      <c r="A469" t="str">
        <f>IF(ISBLANK(B469), "","PriceArea-468")</f>
        <v/>
      </c>
    </row>
    <row r="470" spans="1:1" x14ac:dyDescent="0.2">
      <c r="A470" t="str">
        <f>IF(ISBLANK(B470), "","PriceArea-469")</f>
        <v/>
      </c>
    </row>
    <row r="471" spans="1:1" x14ac:dyDescent="0.2">
      <c r="A471" t="str">
        <f>IF(ISBLANK(B471), "","PriceArea-470")</f>
        <v/>
      </c>
    </row>
    <row r="472" spans="1:1" x14ac:dyDescent="0.2">
      <c r="A472" t="str">
        <f>IF(ISBLANK(B472), "","PriceArea-471")</f>
        <v/>
      </c>
    </row>
    <row r="473" spans="1:1" x14ac:dyDescent="0.2">
      <c r="A473" t="str">
        <f>IF(ISBLANK(B473), "","PriceArea-472")</f>
        <v/>
      </c>
    </row>
    <row r="474" spans="1:1" x14ac:dyDescent="0.2">
      <c r="A474" t="str">
        <f>IF(ISBLANK(B474), "","PriceArea-473")</f>
        <v/>
      </c>
    </row>
    <row r="475" spans="1:1" x14ac:dyDescent="0.2">
      <c r="A475" t="str">
        <f>IF(ISBLANK(B475), "","PriceArea-474")</f>
        <v/>
      </c>
    </row>
    <row r="476" spans="1:1" x14ac:dyDescent="0.2">
      <c r="A476" t="str">
        <f>IF(ISBLANK(B476), "","PriceArea-475")</f>
        <v/>
      </c>
    </row>
    <row r="477" spans="1:1" x14ac:dyDescent="0.2">
      <c r="A477" t="str">
        <f>IF(ISBLANK(B477), "","PriceArea-476")</f>
        <v/>
      </c>
    </row>
    <row r="478" spans="1:1" x14ac:dyDescent="0.2">
      <c r="A478" t="str">
        <f>IF(ISBLANK(B478), "","PriceArea-477")</f>
        <v/>
      </c>
    </row>
    <row r="479" spans="1:1" x14ac:dyDescent="0.2">
      <c r="A479" t="str">
        <f>IF(ISBLANK(B479), "","PriceArea-478")</f>
        <v/>
      </c>
    </row>
    <row r="480" spans="1:1" x14ac:dyDescent="0.2">
      <c r="A480" t="str">
        <f>IF(ISBLANK(B480), "","PriceArea-479")</f>
        <v/>
      </c>
    </row>
    <row r="481" spans="1:1" x14ac:dyDescent="0.2">
      <c r="A481" t="str">
        <f>IF(ISBLANK(B481), "","PriceArea-480")</f>
        <v/>
      </c>
    </row>
    <row r="482" spans="1:1" x14ac:dyDescent="0.2">
      <c r="A482" t="str">
        <f>IF(ISBLANK(B482), "","PriceArea-481")</f>
        <v/>
      </c>
    </row>
    <row r="483" spans="1:1" x14ac:dyDescent="0.2">
      <c r="A483" t="str">
        <f>IF(ISBLANK(B483), "","PriceArea-482")</f>
        <v/>
      </c>
    </row>
    <row r="484" spans="1:1" x14ac:dyDescent="0.2">
      <c r="A484" t="str">
        <f>IF(ISBLANK(B484), "","PriceArea-483")</f>
        <v/>
      </c>
    </row>
    <row r="485" spans="1:1" x14ac:dyDescent="0.2">
      <c r="A485" t="str">
        <f>IF(ISBLANK(B485), "","PriceArea-484")</f>
        <v/>
      </c>
    </row>
    <row r="486" spans="1:1" x14ac:dyDescent="0.2">
      <c r="A486" t="str">
        <f>IF(ISBLANK(B486), "","PriceArea-485")</f>
        <v/>
      </c>
    </row>
    <row r="487" spans="1:1" x14ac:dyDescent="0.2">
      <c r="A487" t="str">
        <f>IF(ISBLANK(B487), "","PriceArea-486")</f>
        <v/>
      </c>
    </row>
    <row r="488" spans="1:1" x14ac:dyDescent="0.2">
      <c r="A488" t="str">
        <f>IF(ISBLANK(B488), "","PriceArea-487")</f>
        <v/>
      </c>
    </row>
    <row r="489" spans="1:1" x14ac:dyDescent="0.2">
      <c r="A489" t="str">
        <f>IF(ISBLANK(B489), "","PriceArea-488")</f>
        <v/>
      </c>
    </row>
    <row r="490" spans="1:1" x14ac:dyDescent="0.2">
      <c r="A490" t="str">
        <f>IF(ISBLANK(B490), "","PriceArea-489")</f>
        <v/>
      </c>
    </row>
    <row r="491" spans="1:1" x14ac:dyDescent="0.2">
      <c r="A491" t="str">
        <f>IF(ISBLANK(B491), "","PriceArea-490")</f>
        <v/>
      </c>
    </row>
    <row r="492" spans="1:1" x14ac:dyDescent="0.2">
      <c r="A492" t="str">
        <f>IF(ISBLANK(B492), "","PriceArea-491")</f>
        <v/>
      </c>
    </row>
    <row r="493" spans="1:1" x14ac:dyDescent="0.2">
      <c r="A493" t="str">
        <f>IF(ISBLANK(B493), "","PriceArea-492")</f>
        <v/>
      </c>
    </row>
    <row r="494" spans="1:1" x14ac:dyDescent="0.2">
      <c r="A494" t="str">
        <f>IF(ISBLANK(B494), "","PriceArea-493")</f>
        <v/>
      </c>
    </row>
    <row r="495" spans="1:1" x14ac:dyDescent="0.2">
      <c r="A495" t="str">
        <f>IF(ISBLANK(B495), "","PriceArea-494")</f>
        <v/>
      </c>
    </row>
    <row r="496" spans="1:1" x14ac:dyDescent="0.2">
      <c r="A496" t="str">
        <f>IF(ISBLANK(B496), "","PriceArea-495")</f>
        <v/>
      </c>
    </row>
    <row r="497" spans="1:1" x14ac:dyDescent="0.2">
      <c r="A497" t="str">
        <f>IF(ISBLANK(B497), "","PriceArea-496")</f>
        <v/>
      </c>
    </row>
    <row r="498" spans="1:1" x14ac:dyDescent="0.2">
      <c r="A498" t="str">
        <f>IF(ISBLANK(B498), "","PriceArea-497")</f>
        <v/>
      </c>
    </row>
    <row r="499" spans="1:1" x14ac:dyDescent="0.2">
      <c r="A499" t="str">
        <f>IF(ISBLANK(B499), "","PriceArea-498")</f>
        <v/>
      </c>
    </row>
    <row r="500" spans="1:1" x14ac:dyDescent="0.2">
      <c r="A500" t="str">
        <f>IF(ISBLANK(B500), "","PriceArea-499")</f>
        <v/>
      </c>
    </row>
    <row r="501" spans="1:1" x14ac:dyDescent="0.2">
      <c r="A501" t="str">
        <f>IF(ISBLANK(B501), "","PriceArea-500")</f>
        <v/>
      </c>
    </row>
    <row r="502" spans="1:1" x14ac:dyDescent="0.2">
      <c r="A502" t="str">
        <f>IF(ISBLANK(B502), "","PriceArea-501")</f>
        <v/>
      </c>
    </row>
    <row r="503" spans="1:1" x14ac:dyDescent="0.2">
      <c r="A503" t="str">
        <f>IF(ISBLANK(B503), "","PriceArea-502")</f>
        <v/>
      </c>
    </row>
    <row r="504" spans="1:1" x14ac:dyDescent="0.2">
      <c r="A504" t="str">
        <f>IF(ISBLANK(B504), "","PriceArea-503")</f>
        <v/>
      </c>
    </row>
    <row r="505" spans="1:1" x14ac:dyDescent="0.2">
      <c r="A505" t="str">
        <f>IF(ISBLANK(B505), "","PriceArea-504")</f>
        <v/>
      </c>
    </row>
    <row r="506" spans="1:1" x14ac:dyDescent="0.2">
      <c r="A506" t="str">
        <f>IF(ISBLANK(B506), "","PriceArea-505")</f>
        <v/>
      </c>
    </row>
    <row r="507" spans="1:1" x14ac:dyDescent="0.2">
      <c r="A507" t="str">
        <f>IF(ISBLANK(B507), "","PriceArea-506")</f>
        <v/>
      </c>
    </row>
    <row r="508" spans="1:1" x14ac:dyDescent="0.2">
      <c r="A508" t="str">
        <f>IF(ISBLANK(B508), "","PriceArea-507")</f>
        <v/>
      </c>
    </row>
    <row r="509" spans="1:1" x14ac:dyDescent="0.2">
      <c r="A509" t="str">
        <f>IF(ISBLANK(B509), "","PriceArea-508")</f>
        <v/>
      </c>
    </row>
    <row r="510" spans="1:1" x14ac:dyDescent="0.2">
      <c r="A510" t="str">
        <f>IF(ISBLANK(B510), "","PriceArea-509")</f>
        <v/>
      </c>
    </row>
    <row r="511" spans="1:1" x14ac:dyDescent="0.2">
      <c r="A511" t="str">
        <f>IF(ISBLANK(B511), "","PriceArea-510")</f>
        <v/>
      </c>
    </row>
    <row r="512" spans="1:1" x14ac:dyDescent="0.2">
      <c r="A512" t="str">
        <f>IF(ISBLANK(B512), "","PriceArea-511")</f>
        <v/>
      </c>
    </row>
    <row r="513" spans="1:1" x14ac:dyDescent="0.2">
      <c r="A513" t="str">
        <f>IF(ISBLANK(B513), "","PriceArea-512")</f>
        <v/>
      </c>
    </row>
    <row r="514" spans="1:1" x14ac:dyDescent="0.2">
      <c r="A514" t="str">
        <f>IF(ISBLANK(B514), "","PriceArea-513")</f>
        <v/>
      </c>
    </row>
    <row r="515" spans="1:1" x14ac:dyDescent="0.2">
      <c r="A515" t="str">
        <f>IF(ISBLANK(B515), "","PriceArea-514")</f>
        <v/>
      </c>
    </row>
    <row r="516" spans="1:1" x14ac:dyDescent="0.2">
      <c r="A516" t="str">
        <f>IF(ISBLANK(B516), "","PriceArea-515")</f>
        <v/>
      </c>
    </row>
    <row r="517" spans="1:1" x14ac:dyDescent="0.2">
      <c r="A517" t="str">
        <f>IF(ISBLANK(B517), "","PriceArea-516")</f>
        <v/>
      </c>
    </row>
    <row r="518" spans="1:1" x14ac:dyDescent="0.2">
      <c r="A518" t="str">
        <f>IF(ISBLANK(B518), "","PriceArea-517")</f>
        <v/>
      </c>
    </row>
    <row r="519" spans="1:1" x14ac:dyDescent="0.2">
      <c r="A519" t="str">
        <f>IF(ISBLANK(B519), "","PriceArea-518")</f>
        <v/>
      </c>
    </row>
    <row r="520" spans="1:1" x14ac:dyDescent="0.2">
      <c r="A520" t="str">
        <f>IF(ISBLANK(B520), "","PriceArea-519")</f>
        <v/>
      </c>
    </row>
    <row r="521" spans="1:1" x14ac:dyDescent="0.2">
      <c r="A521" t="str">
        <f>IF(ISBLANK(B521), "","PriceArea-520")</f>
        <v/>
      </c>
    </row>
    <row r="522" spans="1:1" x14ac:dyDescent="0.2">
      <c r="A522" t="str">
        <f>IF(ISBLANK(B522), "","PriceArea-521")</f>
        <v/>
      </c>
    </row>
    <row r="523" spans="1:1" x14ac:dyDescent="0.2">
      <c r="A523" t="str">
        <f>IF(ISBLANK(B523), "","PriceArea-522")</f>
        <v/>
      </c>
    </row>
    <row r="524" spans="1:1" x14ac:dyDescent="0.2">
      <c r="A524" t="str">
        <f>IF(ISBLANK(B524), "","PriceArea-523")</f>
        <v/>
      </c>
    </row>
    <row r="525" spans="1:1" x14ac:dyDescent="0.2">
      <c r="A525" t="str">
        <f>IF(ISBLANK(B525), "","PriceArea-524")</f>
        <v/>
      </c>
    </row>
    <row r="526" spans="1:1" x14ac:dyDescent="0.2">
      <c r="A526" t="str">
        <f>IF(ISBLANK(B526), "","PriceArea-525")</f>
        <v/>
      </c>
    </row>
    <row r="527" spans="1:1" x14ac:dyDescent="0.2">
      <c r="A527" t="str">
        <f>IF(ISBLANK(B527), "","PriceArea-526")</f>
        <v/>
      </c>
    </row>
    <row r="528" spans="1:1" x14ac:dyDescent="0.2">
      <c r="A528" t="str">
        <f>IF(ISBLANK(B528), "","PriceArea-527")</f>
        <v/>
      </c>
    </row>
    <row r="529" spans="1:1" x14ac:dyDescent="0.2">
      <c r="A529" t="str">
        <f>IF(ISBLANK(B529), "","PriceArea-528")</f>
        <v/>
      </c>
    </row>
    <row r="530" spans="1:1" x14ac:dyDescent="0.2">
      <c r="A530" t="str">
        <f>IF(ISBLANK(B530), "","PriceArea-529")</f>
        <v/>
      </c>
    </row>
    <row r="531" spans="1:1" x14ac:dyDescent="0.2">
      <c r="A531" t="str">
        <f>IF(ISBLANK(B531), "","PriceArea-530")</f>
        <v/>
      </c>
    </row>
    <row r="532" spans="1:1" x14ac:dyDescent="0.2">
      <c r="A532" t="str">
        <f>IF(ISBLANK(B532), "","PriceArea-531")</f>
        <v/>
      </c>
    </row>
    <row r="533" spans="1:1" x14ac:dyDescent="0.2">
      <c r="A533" t="str">
        <f>IF(ISBLANK(B533), "","PriceArea-532")</f>
        <v/>
      </c>
    </row>
    <row r="534" spans="1:1" x14ac:dyDescent="0.2">
      <c r="A534" t="str">
        <f>IF(ISBLANK(B534), "","PriceArea-533")</f>
        <v/>
      </c>
    </row>
    <row r="535" spans="1:1" x14ac:dyDescent="0.2">
      <c r="A535" t="str">
        <f>IF(ISBLANK(B535), "","PriceArea-534")</f>
        <v/>
      </c>
    </row>
    <row r="536" spans="1:1" x14ac:dyDescent="0.2">
      <c r="A536" t="str">
        <f>IF(ISBLANK(B536), "","PriceArea-535")</f>
        <v/>
      </c>
    </row>
    <row r="537" spans="1:1" x14ac:dyDescent="0.2">
      <c r="A537" t="str">
        <f>IF(ISBLANK(B537), "","PriceArea-536")</f>
        <v/>
      </c>
    </row>
    <row r="538" spans="1:1" x14ac:dyDescent="0.2">
      <c r="A538" t="str">
        <f>IF(ISBLANK(B538), "","PriceArea-537")</f>
        <v/>
      </c>
    </row>
    <row r="539" spans="1:1" x14ac:dyDescent="0.2">
      <c r="A539" t="str">
        <f>IF(ISBLANK(B539), "","PriceArea-538")</f>
        <v/>
      </c>
    </row>
    <row r="540" spans="1:1" x14ac:dyDescent="0.2">
      <c r="A540" t="str">
        <f>IF(ISBLANK(B540), "","PriceArea-539")</f>
        <v/>
      </c>
    </row>
    <row r="541" spans="1:1" x14ac:dyDescent="0.2">
      <c r="A541" t="str">
        <f>IF(ISBLANK(B541), "","PriceArea-540")</f>
        <v/>
      </c>
    </row>
    <row r="542" spans="1:1" x14ac:dyDescent="0.2">
      <c r="A542" t="str">
        <f>IF(ISBLANK(B542), "","PriceArea-541")</f>
        <v/>
      </c>
    </row>
    <row r="543" spans="1:1" x14ac:dyDescent="0.2">
      <c r="A543" t="str">
        <f>IF(ISBLANK(B543), "","PriceArea-542")</f>
        <v/>
      </c>
    </row>
    <row r="544" spans="1:1" x14ac:dyDescent="0.2">
      <c r="A544" t="str">
        <f>IF(ISBLANK(B544), "","PriceArea-543")</f>
        <v/>
      </c>
    </row>
    <row r="545" spans="1:1" x14ac:dyDescent="0.2">
      <c r="A545" t="str">
        <f>IF(ISBLANK(B545), "","PriceArea-544")</f>
        <v/>
      </c>
    </row>
    <row r="546" spans="1:1" x14ac:dyDescent="0.2">
      <c r="A546" t="str">
        <f>IF(ISBLANK(B546), "","PriceArea-545")</f>
        <v/>
      </c>
    </row>
    <row r="547" spans="1:1" x14ac:dyDescent="0.2">
      <c r="A547" t="str">
        <f>IF(ISBLANK(B547), "","PriceArea-546")</f>
        <v/>
      </c>
    </row>
    <row r="548" spans="1:1" x14ac:dyDescent="0.2">
      <c r="A548" t="str">
        <f>IF(ISBLANK(B548), "","PriceArea-547")</f>
        <v/>
      </c>
    </row>
    <row r="549" spans="1:1" x14ac:dyDescent="0.2">
      <c r="A549" t="str">
        <f>IF(ISBLANK(B549), "","PriceArea-548")</f>
        <v/>
      </c>
    </row>
    <row r="550" spans="1:1" x14ac:dyDescent="0.2">
      <c r="A550" t="str">
        <f>IF(ISBLANK(B550), "","PriceArea-549")</f>
        <v/>
      </c>
    </row>
    <row r="551" spans="1:1" x14ac:dyDescent="0.2">
      <c r="A551" t="str">
        <f>IF(ISBLANK(B551), "","PriceArea-550")</f>
        <v/>
      </c>
    </row>
    <row r="552" spans="1:1" x14ac:dyDescent="0.2">
      <c r="A552" t="str">
        <f>IF(ISBLANK(B552), "","PriceArea-551")</f>
        <v/>
      </c>
    </row>
    <row r="553" spans="1:1" x14ac:dyDescent="0.2">
      <c r="A553" t="str">
        <f>IF(ISBLANK(B553), "","PriceArea-552")</f>
        <v/>
      </c>
    </row>
    <row r="554" spans="1:1" x14ac:dyDescent="0.2">
      <c r="A554" t="str">
        <f>IF(ISBLANK(B554), "","PriceArea-553")</f>
        <v/>
      </c>
    </row>
    <row r="555" spans="1:1" x14ac:dyDescent="0.2">
      <c r="A555" t="str">
        <f>IF(ISBLANK(B555), "","PriceArea-554")</f>
        <v/>
      </c>
    </row>
    <row r="556" spans="1:1" x14ac:dyDescent="0.2">
      <c r="A556" t="str">
        <f>IF(ISBLANK(B556), "","PriceArea-555")</f>
        <v/>
      </c>
    </row>
    <row r="557" spans="1:1" x14ac:dyDescent="0.2">
      <c r="A557" t="str">
        <f>IF(ISBLANK(B557), "","PriceArea-556")</f>
        <v/>
      </c>
    </row>
    <row r="558" spans="1:1" x14ac:dyDescent="0.2">
      <c r="A558" t="str">
        <f>IF(ISBLANK(B558), "","PriceArea-557")</f>
        <v/>
      </c>
    </row>
    <row r="559" spans="1:1" x14ac:dyDescent="0.2">
      <c r="A559" t="str">
        <f>IF(ISBLANK(B559), "","PriceArea-558")</f>
        <v/>
      </c>
    </row>
    <row r="560" spans="1:1" x14ac:dyDescent="0.2">
      <c r="A560" t="str">
        <f>IF(ISBLANK(B560), "","PriceArea-559")</f>
        <v/>
      </c>
    </row>
    <row r="561" spans="1:1" x14ac:dyDescent="0.2">
      <c r="A561" t="str">
        <f>IF(ISBLANK(B561), "","PriceArea-560")</f>
        <v/>
      </c>
    </row>
    <row r="562" spans="1:1" x14ac:dyDescent="0.2">
      <c r="A562" t="str">
        <f>IF(ISBLANK(B562), "","PriceArea-561")</f>
        <v/>
      </c>
    </row>
    <row r="563" spans="1:1" x14ac:dyDescent="0.2">
      <c r="A563" t="str">
        <f>IF(ISBLANK(B563), "","PriceArea-562")</f>
        <v/>
      </c>
    </row>
    <row r="564" spans="1:1" x14ac:dyDescent="0.2">
      <c r="A564" t="str">
        <f>IF(ISBLANK(B564), "","PriceArea-563")</f>
        <v/>
      </c>
    </row>
    <row r="565" spans="1:1" x14ac:dyDescent="0.2">
      <c r="A565" t="str">
        <f>IF(ISBLANK(B565), "","PriceArea-564")</f>
        <v/>
      </c>
    </row>
    <row r="566" spans="1:1" x14ac:dyDescent="0.2">
      <c r="A566" t="str">
        <f>IF(ISBLANK(B566), "","PriceArea-565")</f>
        <v/>
      </c>
    </row>
    <row r="567" spans="1:1" x14ac:dyDescent="0.2">
      <c r="A567" t="str">
        <f>IF(ISBLANK(B567), "","PriceArea-566")</f>
        <v/>
      </c>
    </row>
    <row r="568" spans="1:1" x14ac:dyDescent="0.2">
      <c r="A568" t="str">
        <f>IF(ISBLANK(B568), "","PriceArea-567")</f>
        <v/>
      </c>
    </row>
    <row r="569" spans="1:1" x14ac:dyDescent="0.2">
      <c r="A569" t="str">
        <f>IF(ISBLANK(B569), "","PriceArea-568")</f>
        <v/>
      </c>
    </row>
    <row r="570" spans="1:1" x14ac:dyDescent="0.2">
      <c r="A570" t="str">
        <f>IF(ISBLANK(B570), "","PriceArea-569")</f>
        <v/>
      </c>
    </row>
    <row r="571" spans="1:1" x14ac:dyDescent="0.2">
      <c r="A571" t="str">
        <f>IF(ISBLANK(B571), "","PriceArea-570")</f>
        <v/>
      </c>
    </row>
    <row r="572" spans="1:1" x14ac:dyDescent="0.2">
      <c r="A572" t="str">
        <f>IF(ISBLANK(B572), "","PriceArea-571")</f>
        <v/>
      </c>
    </row>
    <row r="573" spans="1:1" x14ac:dyDescent="0.2">
      <c r="A573" t="str">
        <f>IF(ISBLANK(B573), "","PriceArea-572")</f>
        <v/>
      </c>
    </row>
    <row r="574" spans="1:1" x14ac:dyDescent="0.2">
      <c r="A574" t="str">
        <f>IF(ISBLANK(B574), "","PriceArea-573")</f>
        <v/>
      </c>
    </row>
    <row r="575" spans="1:1" x14ac:dyDescent="0.2">
      <c r="A575" t="str">
        <f>IF(ISBLANK(B575), "","PriceArea-574")</f>
        <v/>
      </c>
    </row>
    <row r="576" spans="1:1" x14ac:dyDescent="0.2">
      <c r="A576" t="str">
        <f>IF(ISBLANK(B576), "","PriceArea-575")</f>
        <v/>
      </c>
    </row>
    <row r="577" spans="1:1" x14ac:dyDescent="0.2">
      <c r="A577" t="str">
        <f>IF(ISBLANK(B577), "","PriceArea-576")</f>
        <v/>
      </c>
    </row>
    <row r="578" spans="1:1" x14ac:dyDescent="0.2">
      <c r="A578" t="str">
        <f>IF(ISBLANK(B578), "","PriceArea-577")</f>
        <v/>
      </c>
    </row>
    <row r="579" spans="1:1" x14ac:dyDescent="0.2">
      <c r="A579" t="str">
        <f>IF(ISBLANK(B579), "","PriceArea-578")</f>
        <v/>
      </c>
    </row>
    <row r="580" spans="1:1" x14ac:dyDescent="0.2">
      <c r="A580" t="str">
        <f>IF(ISBLANK(B580), "","PriceArea-579")</f>
        <v/>
      </c>
    </row>
    <row r="581" spans="1:1" x14ac:dyDescent="0.2">
      <c r="A581" t="str">
        <f>IF(ISBLANK(B581), "","PriceArea-580")</f>
        <v/>
      </c>
    </row>
    <row r="582" spans="1:1" x14ac:dyDescent="0.2">
      <c r="A582" t="str">
        <f>IF(ISBLANK(B582), "","PriceArea-581")</f>
        <v/>
      </c>
    </row>
    <row r="583" spans="1:1" x14ac:dyDescent="0.2">
      <c r="A583" t="str">
        <f>IF(ISBLANK(B583), "","PriceArea-582")</f>
        <v/>
      </c>
    </row>
    <row r="584" spans="1:1" x14ac:dyDescent="0.2">
      <c r="A584" t="str">
        <f>IF(ISBLANK(B584), "","PriceArea-583")</f>
        <v/>
      </c>
    </row>
    <row r="585" spans="1:1" x14ac:dyDescent="0.2">
      <c r="A585" t="str">
        <f>IF(ISBLANK(B585), "","PriceArea-584")</f>
        <v/>
      </c>
    </row>
    <row r="586" spans="1:1" x14ac:dyDescent="0.2">
      <c r="A586" t="str">
        <f>IF(ISBLANK(B586), "","PriceArea-585")</f>
        <v/>
      </c>
    </row>
    <row r="587" spans="1:1" x14ac:dyDescent="0.2">
      <c r="A587" t="str">
        <f>IF(ISBLANK(B587), "","PriceArea-586")</f>
        <v/>
      </c>
    </row>
    <row r="588" spans="1:1" x14ac:dyDescent="0.2">
      <c r="A588" t="str">
        <f>IF(ISBLANK(B588), "","PriceArea-587")</f>
        <v/>
      </c>
    </row>
    <row r="589" spans="1:1" x14ac:dyDescent="0.2">
      <c r="A589" t="str">
        <f>IF(ISBLANK(B589), "","PriceArea-588")</f>
        <v/>
      </c>
    </row>
    <row r="590" spans="1:1" x14ac:dyDescent="0.2">
      <c r="A590" t="str">
        <f>IF(ISBLANK(B590), "","PriceArea-589")</f>
        <v/>
      </c>
    </row>
    <row r="591" spans="1:1" x14ac:dyDescent="0.2">
      <c r="A591" t="str">
        <f>IF(ISBLANK(B591), "","PriceArea-590")</f>
        <v/>
      </c>
    </row>
    <row r="592" spans="1:1" x14ac:dyDescent="0.2">
      <c r="A592" t="str">
        <f>IF(ISBLANK(B592), "","PriceArea-591")</f>
        <v/>
      </c>
    </row>
    <row r="593" spans="1:1" x14ac:dyDescent="0.2">
      <c r="A593" t="str">
        <f>IF(ISBLANK(B593), "","PriceArea-592")</f>
        <v/>
      </c>
    </row>
    <row r="594" spans="1:1" x14ac:dyDescent="0.2">
      <c r="A594" t="str">
        <f>IF(ISBLANK(B594), "","PriceArea-593")</f>
        <v/>
      </c>
    </row>
    <row r="595" spans="1:1" x14ac:dyDescent="0.2">
      <c r="A595" t="str">
        <f>IF(ISBLANK(B595), "","PriceArea-594")</f>
        <v/>
      </c>
    </row>
    <row r="596" spans="1:1" x14ac:dyDescent="0.2">
      <c r="A596" t="str">
        <f>IF(ISBLANK(B596), "","PriceArea-595")</f>
        <v/>
      </c>
    </row>
    <row r="597" spans="1:1" x14ac:dyDescent="0.2">
      <c r="A597" t="str">
        <f>IF(ISBLANK(B597), "","PriceArea-596")</f>
        <v/>
      </c>
    </row>
    <row r="598" spans="1:1" x14ac:dyDescent="0.2">
      <c r="A598" t="str">
        <f>IF(ISBLANK(B598), "","PriceArea-597")</f>
        <v/>
      </c>
    </row>
    <row r="599" spans="1:1" x14ac:dyDescent="0.2">
      <c r="A599" t="str">
        <f>IF(ISBLANK(B599), "","PriceArea-598")</f>
        <v/>
      </c>
    </row>
    <row r="600" spans="1:1" x14ac:dyDescent="0.2">
      <c r="A600" t="str">
        <f>IF(ISBLANK(B600), "","PriceArea-599")</f>
        <v/>
      </c>
    </row>
    <row r="601" spans="1:1" x14ac:dyDescent="0.2">
      <c r="A601" t="str">
        <f>IF(ISBLANK(B601), "","PriceArea-600")</f>
        <v/>
      </c>
    </row>
    <row r="602" spans="1:1" x14ac:dyDescent="0.2">
      <c r="A602" t="str">
        <f>IF(ISBLANK(B602), "","PriceArea-601")</f>
        <v/>
      </c>
    </row>
    <row r="603" spans="1:1" x14ac:dyDescent="0.2">
      <c r="A603" t="str">
        <f>IF(ISBLANK(B603), "","PriceArea-602")</f>
        <v/>
      </c>
    </row>
    <row r="604" spans="1:1" x14ac:dyDescent="0.2">
      <c r="A604" t="str">
        <f>IF(ISBLANK(B604), "","PriceArea-603")</f>
        <v/>
      </c>
    </row>
    <row r="605" spans="1:1" x14ac:dyDescent="0.2">
      <c r="A605" t="str">
        <f>IF(ISBLANK(B605), "","PriceArea-604")</f>
        <v/>
      </c>
    </row>
    <row r="606" spans="1:1" x14ac:dyDescent="0.2">
      <c r="A606" t="str">
        <f>IF(ISBLANK(B606), "","PriceArea-605")</f>
        <v/>
      </c>
    </row>
    <row r="607" spans="1:1" x14ac:dyDescent="0.2">
      <c r="A607" t="str">
        <f>IF(ISBLANK(B607), "","PriceArea-606")</f>
        <v/>
      </c>
    </row>
    <row r="608" spans="1:1" x14ac:dyDescent="0.2">
      <c r="A608" t="str">
        <f>IF(ISBLANK(B608), "","PriceArea-607")</f>
        <v/>
      </c>
    </row>
    <row r="609" spans="1:1" x14ac:dyDescent="0.2">
      <c r="A609" t="str">
        <f>IF(ISBLANK(B609), "","PriceArea-608")</f>
        <v/>
      </c>
    </row>
    <row r="610" spans="1:1" x14ac:dyDescent="0.2">
      <c r="A610" t="str">
        <f>IF(ISBLANK(B610), "","PriceArea-609")</f>
        <v/>
      </c>
    </row>
    <row r="611" spans="1:1" x14ac:dyDescent="0.2">
      <c r="A611" t="str">
        <f>IF(ISBLANK(B611), "","PriceArea-610")</f>
        <v/>
      </c>
    </row>
    <row r="612" spans="1:1" x14ac:dyDescent="0.2">
      <c r="A612" t="str">
        <f>IF(ISBLANK(B612), "","PriceArea-611")</f>
        <v/>
      </c>
    </row>
    <row r="613" spans="1:1" x14ac:dyDescent="0.2">
      <c r="A613" t="str">
        <f>IF(ISBLANK(B613), "","PriceArea-612")</f>
        <v/>
      </c>
    </row>
    <row r="614" spans="1:1" x14ac:dyDescent="0.2">
      <c r="A614" t="str">
        <f>IF(ISBLANK(B614), "","PriceArea-613")</f>
        <v/>
      </c>
    </row>
    <row r="615" spans="1:1" x14ac:dyDescent="0.2">
      <c r="A615" t="str">
        <f>IF(ISBLANK(B615), "","PriceArea-614")</f>
        <v/>
      </c>
    </row>
    <row r="616" spans="1:1" x14ac:dyDescent="0.2">
      <c r="A616" t="str">
        <f>IF(ISBLANK(B616), "","PriceArea-615")</f>
        <v/>
      </c>
    </row>
    <row r="617" spans="1:1" x14ac:dyDescent="0.2">
      <c r="A617" t="str">
        <f>IF(ISBLANK(B617), "","PriceArea-616")</f>
        <v/>
      </c>
    </row>
    <row r="618" spans="1:1" x14ac:dyDescent="0.2">
      <c r="A618" t="str">
        <f>IF(ISBLANK(B618), "","PriceArea-617")</f>
        <v/>
      </c>
    </row>
    <row r="619" spans="1:1" x14ac:dyDescent="0.2">
      <c r="A619" t="str">
        <f>IF(ISBLANK(B619), "","PriceArea-618")</f>
        <v/>
      </c>
    </row>
    <row r="620" spans="1:1" x14ac:dyDescent="0.2">
      <c r="A620" t="str">
        <f>IF(ISBLANK(B620), "","PriceArea-619")</f>
        <v/>
      </c>
    </row>
    <row r="621" spans="1:1" x14ac:dyDescent="0.2">
      <c r="A621" t="str">
        <f>IF(ISBLANK(B621), "","PriceArea-620")</f>
        <v/>
      </c>
    </row>
    <row r="622" spans="1:1" x14ac:dyDescent="0.2">
      <c r="A622" t="str">
        <f>IF(ISBLANK(B622), "","PriceArea-621")</f>
        <v/>
      </c>
    </row>
    <row r="623" spans="1:1" x14ac:dyDescent="0.2">
      <c r="A623" t="str">
        <f>IF(ISBLANK(B623), "","PriceArea-622")</f>
        <v/>
      </c>
    </row>
    <row r="624" spans="1:1" x14ac:dyDescent="0.2">
      <c r="A624" t="str">
        <f>IF(ISBLANK(B624), "","PriceArea-623")</f>
        <v/>
      </c>
    </row>
    <row r="625" spans="1:1" x14ac:dyDescent="0.2">
      <c r="A625" t="str">
        <f>IF(ISBLANK(B625), "","PriceArea-624")</f>
        <v/>
      </c>
    </row>
    <row r="626" spans="1:1" x14ac:dyDescent="0.2">
      <c r="A626" t="str">
        <f>IF(ISBLANK(B626), "","PriceArea-625")</f>
        <v/>
      </c>
    </row>
    <row r="627" spans="1:1" x14ac:dyDescent="0.2">
      <c r="A627" t="str">
        <f>IF(ISBLANK(B627), "","PriceArea-626")</f>
        <v/>
      </c>
    </row>
    <row r="628" spans="1:1" x14ac:dyDescent="0.2">
      <c r="A628" t="str">
        <f>IF(ISBLANK(B628), "","PriceArea-627")</f>
        <v/>
      </c>
    </row>
    <row r="629" spans="1:1" x14ac:dyDescent="0.2">
      <c r="A629" t="str">
        <f>IF(ISBLANK(B629), "","PriceArea-628")</f>
        <v/>
      </c>
    </row>
    <row r="630" spans="1:1" x14ac:dyDescent="0.2">
      <c r="A630" t="str">
        <f>IF(ISBLANK(B630), "","PriceArea-629")</f>
        <v/>
      </c>
    </row>
    <row r="631" spans="1:1" x14ac:dyDescent="0.2">
      <c r="A631" t="str">
        <f>IF(ISBLANK(B631), "","PriceArea-630")</f>
        <v/>
      </c>
    </row>
    <row r="632" spans="1:1" x14ac:dyDescent="0.2">
      <c r="A632" t="str">
        <f>IF(ISBLANK(B632), "","PriceArea-631")</f>
        <v/>
      </c>
    </row>
    <row r="633" spans="1:1" x14ac:dyDescent="0.2">
      <c r="A633" t="str">
        <f>IF(ISBLANK(B633), "","PriceArea-632")</f>
        <v/>
      </c>
    </row>
    <row r="634" spans="1:1" x14ac:dyDescent="0.2">
      <c r="A634" t="str">
        <f>IF(ISBLANK(B634), "","PriceArea-633")</f>
        <v/>
      </c>
    </row>
    <row r="635" spans="1:1" x14ac:dyDescent="0.2">
      <c r="A635" t="str">
        <f>IF(ISBLANK(B635), "","PriceArea-634")</f>
        <v/>
      </c>
    </row>
    <row r="636" spans="1:1" x14ac:dyDescent="0.2">
      <c r="A636" t="str">
        <f>IF(ISBLANK(B636), "","PriceArea-635")</f>
        <v/>
      </c>
    </row>
    <row r="637" spans="1:1" x14ac:dyDescent="0.2">
      <c r="A637" t="str">
        <f>IF(ISBLANK(B637), "","PriceArea-636")</f>
        <v/>
      </c>
    </row>
    <row r="638" spans="1:1" x14ac:dyDescent="0.2">
      <c r="A638" t="str">
        <f>IF(ISBLANK(B638), "","PriceArea-637")</f>
        <v/>
      </c>
    </row>
    <row r="639" spans="1:1" x14ac:dyDescent="0.2">
      <c r="A639" t="str">
        <f>IF(ISBLANK(B639), "","PriceArea-638")</f>
        <v/>
      </c>
    </row>
    <row r="640" spans="1:1" x14ac:dyDescent="0.2">
      <c r="A640" t="str">
        <f>IF(ISBLANK(B640), "","PriceArea-639")</f>
        <v/>
      </c>
    </row>
    <row r="641" spans="1:1" x14ac:dyDescent="0.2">
      <c r="A641" t="str">
        <f>IF(ISBLANK(B641), "","PriceArea-640")</f>
        <v/>
      </c>
    </row>
    <row r="642" spans="1:1" x14ac:dyDescent="0.2">
      <c r="A642" t="str">
        <f>IF(ISBLANK(B642), "","PriceArea-641")</f>
        <v/>
      </c>
    </row>
    <row r="643" spans="1:1" x14ac:dyDescent="0.2">
      <c r="A643" t="str">
        <f>IF(ISBLANK(B643), "","PriceArea-642")</f>
        <v/>
      </c>
    </row>
    <row r="644" spans="1:1" x14ac:dyDescent="0.2">
      <c r="A644" t="str">
        <f>IF(ISBLANK(B644), "","PriceArea-643")</f>
        <v/>
      </c>
    </row>
    <row r="645" spans="1:1" x14ac:dyDescent="0.2">
      <c r="A645" t="str">
        <f>IF(ISBLANK(B645), "","PriceArea-644")</f>
        <v/>
      </c>
    </row>
    <row r="646" spans="1:1" x14ac:dyDescent="0.2">
      <c r="A646" t="str">
        <f>IF(ISBLANK(B646), "","PriceArea-645")</f>
        <v/>
      </c>
    </row>
    <row r="647" spans="1:1" x14ac:dyDescent="0.2">
      <c r="A647" t="str">
        <f>IF(ISBLANK(B647), "","PriceArea-646")</f>
        <v/>
      </c>
    </row>
    <row r="648" spans="1:1" x14ac:dyDescent="0.2">
      <c r="A648" t="str">
        <f>IF(ISBLANK(B648), "","PriceArea-647")</f>
        <v/>
      </c>
    </row>
    <row r="649" spans="1:1" x14ac:dyDescent="0.2">
      <c r="A649" t="str">
        <f>IF(ISBLANK(B649), "","PriceArea-648")</f>
        <v/>
      </c>
    </row>
    <row r="650" spans="1:1" x14ac:dyDescent="0.2">
      <c r="A650" t="str">
        <f>IF(ISBLANK(B650), "","PriceArea-649")</f>
        <v/>
      </c>
    </row>
    <row r="651" spans="1:1" x14ac:dyDescent="0.2">
      <c r="A651" t="str">
        <f>IF(ISBLANK(B651), "","PriceArea-650")</f>
        <v/>
      </c>
    </row>
    <row r="652" spans="1:1" x14ac:dyDescent="0.2">
      <c r="A652" t="str">
        <f>IF(ISBLANK(B652), "","PriceArea-651")</f>
        <v/>
      </c>
    </row>
    <row r="653" spans="1:1" x14ac:dyDescent="0.2">
      <c r="A653" t="str">
        <f>IF(ISBLANK(B653), "","PriceArea-652")</f>
        <v/>
      </c>
    </row>
    <row r="654" spans="1:1" x14ac:dyDescent="0.2">
      <c r="A654" t="str">
        <f>IF(ISBLANK(B654), "","PriceArea-653")</f>
        <v/>
      </c>
    </row>
    <row r="655" spans="1:1" x14ac:dyDescent="0.2">
      <c r="A655" t="str">
        <f>IF(ISBLANK(B655), "","PriceArea-654")</f>
        <v/>
      </c>
    </row>
    <row r="656" spans="1:1" x14ac:dyDescent="0.2">
      <c r="A656" t="str">
        <f>IF(ISBLANK(B656), "","PriceArea-655")</f>
        <v/>
      </c>
    </row>
    <row r="657" spans="1:1" x14ac:dyDescent="0.2">
      <c r="A657" t="str">
        <f>IF(ISBLANK(B657), "","PriceArea-656")</f>
        <v/>
      </c>
    </row>
    <row r="658" spans="1:1" x14ac:dyDescent="0.2">
      <c r="A658" t="str">
        <f>IF(ISBLANK(B658), "","PriceArea-657")</f>
        <v/>
      </c>
    </row>
    <row r="659" spans="1:1" x14ac:dyDescent="0.2">
      <c r="A659" t="str">
        <f>IF(ISBLANK(B659), "","PriceArea-658")</f>
        <v/>
      </c>
    </row>
    <row r="660" spans="1:1" x14ac:dyDescent="0.2">
      <c r="A660" t="str">
        <f>IF(ISBLANK(B660), "","PriceArea-659")</f>
        <v/>
      </c>
    </row>
    <row r="661" spans="1:1" x14ac:dyDescent="0.2">
      <c r="A661" t="str">
        <f>IF(ISBLANK(B661), "","PriceArea-660")</f>
        <v/>
      </c>
    </row>
    <row r="662" spans="1:1" x14ac:dyDescent="0.2">
      <c r="A662" t="str">
        <f>IF(ISBLANK(B662), "","PriceArea-661")</f>
        <v/>
      </c>
    </row>
    <row r="663" spans="1:1" x14ac:dyDescent="0.2">
      <c r="A663" t="str">
        <f>IF(ISBLANK(B663), "","PriceArea-662")</f>
        <v/>
      </c>
    </row>
    <row r="664" spans="1:1" x14ac:dyDescent="0.2">
      <c r="A664" t="str">
        <f>IF(ISBLANK(B664), "","PriceArea-663")</f>
        <v/>
      </c>
    </row>
    <row r="665" spans="1:1" x14ac:dyDescent="0.2">
      <c r="A665" t="str">
        <f>IF(ISBLANK(B665), "","PriceArea-664")</f>
        <v/>
      </c>
    </row>
    <row r="666" spans="1:1" x14ac:dyDescent="0.2">
      <c r="A666" t="str">
        <f>IF(ISBLANK(B666), "","PriceArea-665")</f>
        <v/>
      </c>
    </row>
    <row r="667" spans="1:1" x14ac:dyDescent="0.2">
      <c r="A667" t="str">
        <f>IF(ISBLANK(B667), "","PriceArea-666")</f>
        <v/>
      </c>
    </row>
    <row r="668" spans="1:1" x14ac:dyDescent="0.2">
      <c r="A668" t="str">
        <f>IF(ISBLANK(B668), "","PriceArea-667")</f>
        <v/>
      </c>
    </row>
    <row r="669" spans="1:1" x14ac:dyDescent="0.2">
      <c r="A669" t="str">
        <f>IF(ISBLANK(B669), "","PriceArea-668")</f>
        <v/>
      </c>
    </row>
    <row r="670" spans="1:1" x14ac:dyDescent="0.2">
      <c r="A670" t="str">
        <f>IF(ISBLANK(B670), "","PriceArea-669")</f>
        <v/>
      </c>
    </row>
    <row r="671" spans="1:1" x14ac:dyDescent="0.2">
      <c r="A671" t="str">
        <f>IF(ISBLANK(B671), "","PriceArea-670")</f>
        <v/>
      </c>
    </row>
    <row r="672" spans="1:1" x14ac:dyDescent="0.2">
      <c r="A672" t="str">
        <f>IF(ISBLANK(B672), "","PriceArea-671")</f>
        <v/>
      </c>
    </row>
    <row r="673" spans="1:1" x14ac:dyDescent="0.2">
      <c r="A673" t="str">
        <f>IF(ISBLANK(B673), "","PriceArea-672")</f>
        <v/>
      </c>
    </row>
    <row r="674" spans="1:1" x14ac:dyDescent="0.2">
      <c r="A674" t="str">
        <f>IF(ISBLANK(B674), "","PriceArea-673")</f>
        <v/>
      </c>
    </row>
    <row r="675" spans="1:1" x14ac:dyDescent="0.2">
      <c r="A675" t="str">
        <f>IF(ISBLANK(B675), "","PriceArea-674")</f>
        <v/>
      </c>
    </row>
    <row r="676" spans="1:1" x14ac:dyDescent="0.2">
      <c r="A676" t="str">
        <f>IF(ISBLANK(B676), "","PriceArea-675")</f>
        <v/>
      </c>
    </row>
    <row r="677" spans="1:1" x14ac:dyDescent="0.2">
      <c r="A677" t="str">
        <f>IF(ISBLANK(B677), "","PriceArea-676")</f>
        <v/>
      </c>
    </row>
    <row r="678" spans="1:1" x14ac:dyDescent="0.2">
      <c r="A678" t="str">
        <f>IF(ISBLANK(B678), "","PriceArea-677")</f>
        <v/>
      </c>
    </row>
    <row r="679" spans="1:1" x14ac:dyDescent="0.2">
      <c r="A679" t="str">
        <f>IF(ISBLANK(B679), "","PriceArea-678")</f>
        <v/>
      </c>
    </row>
    <row r="680" spans="1:1" x14ac:dyDescent="0.2">
      <c r="A680" t="str">
        <f>IF(ISBLANK(B680), "","PriceArea-679")</f>
        <v/>
      </c>
    </row>
    <row r="681" spans="1:1" x14ac:dyDescent="0.2">
      <c r="A681" t="str">
        <f>IF(ISBLANK(B681), "","PriceArea-680")</f>
        <v/>
      </c>
    </row>
    <row r="682" spans="1:1" x14ac:dyDescent="0.2">
      <c r="A682" t="str">
        <f>IF(ISBLANK(B682), "","PriceArea-681")</f>
        <v/>
      </c>
    </row>
    <row r="683" spans="1:1" x14ac:dyDescent="0.2">
      <c r="A683" t="str">
        <f>IF(ISBLANK(B683), "","PriceArea-682")</f>
        <v/>
      </c>
    </row>
    <row r="684" spans="1:1" x14ac:dyDescent="0.2">
      <c r="A684" t="str">
        <f>IF(ISBLANK(B684), "","PriceArea-683")</f>
        <v/>
      </c>
    </row>
    <row r="685" spans="1:1" x14ac:dyDescent="0.2">
      <c r="A685" t="str">
        <f>IF(ISBLANK(B685), "","PriceArea-684")</f>
        <v/>
      </c>
    </row>
    <row r="686" spans="1:1" x14ac:dyDescent="0.2">
      <c r="A686" t="str">
        <f>IF(ISBLANK(B686), "","PriceArea-685")</f>
        <v/>
      </c>
    </row>
    <row r="687" spans="1:1" x14ac:dyDescent="0.2">
      <c r="A687" t="str">
        <f>IF(ISBLANK(B687), "","PriceArea-686")</f>
        <v/>
      </c>
    </row>
    <row r="688" spans="1:1" x14ac:dyDescent="0.2">
      <c r="A688" t="str">
        <f>IF(ISBLANK(B688), "","PriceArea-687")</f>
        <v/>
      </c>
    </row>
    <row r="689" spans="1:1" x14ac:dyDescent="0.2">
      <c r="A689" t="str">
        <f>IF(ISBLANK(B689), "","PriceArea-688")</f>
        <v/>
      </c>
    </row>
    <row r="690" spans="1:1" x14ac:dyDescent="0.2">
      <c r="A690" t="str">
        <f>IF(ISBLANK(B690), "","PriceArea-689")</f>
        <v/>
      </c>
    </row>
    <row r="691" spans="1:1" x14ac:dyDescent="0.2">
      <c r="A691" t="str">
        <f>IF(ISBLANK(B691), "","PriceArea-690")</f>
        <v/>
      </c>
    </row>
    <row r="692" spans="1:1" x14ac:dyDescent="0.2">
      <c r="A692" t="str">
        <f>IF(ISBLANK(B692), "","PriceArea-691")</f>
        <v/>
      </c>
    </row>
    <row r="693" spans="1:1" x14ac:dyDescent="0.2">
      <c r="A693" t="str">
        <f>IF(ISBLANK(B693), "","PriceArea-692")</f>
        <v/>
      </c>
    </row>
    <row r="694" spans="1:1" x14ac:dyDescent="0.2">
      <c r="A694" t="str">
        <f>IF(ISBLANK(B694), "","PriceArea-693")</f>
        <v/>
      </c>
    </row>
    <row r="695" spans="1:1" x14ac:dyDescent="0.2">
      <c r="A695" t="str">
        <f>IF(ISBLANK(B695), "","PriceArea-694")</f>
        <v/>
      </c>
    </row>
    <row r="696" spans="1:1" x14ac:dyDescent="0.2">
      <c r="A696" t="str">
        <f>IF(ISBLANK(B696), "","PriceArea-695")</f>
        <v/>
      </c>
    </row>
    <row r="697" spans="1:1" x14ac:dyDescent="0.2">
      <c r="A697" t="str">
        <f>IF(ISBLANK(B697), "","PriceArea-696")</f>
        <v/>
      </c>
    </row>
    <row r="698" spans="1:1" x14ac:dyDescent="0.2">
      <c r="A698" t="str">
        <f>IF(ISBLANK(B698), "","PriceArea-697")</f>
        <v/>
      </c>
    </row>
    <row r="699" spans="1:1" x14ac:dyDescent="0.2">
      <c r="A699" t="str">
        <f>IF(ISBLANK(B699), "","PriceArea-698")</f>
        <v/>
      </c>
    </row>
    <row r="700" spans="1:1" x14ac:dyDescent="0.2">
      <c r="A700" t="str">
        <f>IF(ISBLANK(B700), "","PriceArea-699")</f>
        <v/>
      </c>
    </row>
    <row r="701" spans="1:1" x14ac:dyDescent="0.2">
      <c r="A701" t="str">
        <f>IF(ISBLANK(B701), "","PriceArea-700")</f>
        <v/>
      </c>
    </row>
    <row r="702" spans="1:1" x14ac:dyDescent="0.2">
      <c r="A702" t="str">
        <f>IF(ISBLANK(B702), "","PriceArea-701")</f>
        <v/>
      </c>
    </row>
    <row r="703" spans="1:1" x14ac:dyDescent="0.2">
      <c r="A703" t="str">
        <f>IF(ISBLANK(B703), "","PriceArea-702")</f>
        <v/>
      </c>
    </row>
    <row r="704" spans="1:1" x14ac:dyDescent="0.2">
      <c r="A704" t="str">
        <f>IF(ISBLANK(B704), "","PriceArea-703")</f>
        <v/>
      </c>
    </row>
    <row r="705" spans="1:1" x14ac:dyDescent="0.2">
      <c r="A705" t="str">
        <f>IF(ISBLANK(B705), "","PriceArea-704")</f>
        <v/>
      </c>
    </row>
    <row r="706" spans="1:1" x14ac:dyDescent="0.2">
      <c r="A706" t="str">
        <f>IF(ISBLANK(B706), "","PriceArea-705")</f>
        <v/>
      </c>
    </row>
    <row r="707" spans="1:1" x14ac:dyDescent="0.2">
      <c r="A707" t="str">
        <f>IF(ISBLANK(B707), "","PriceArea-706")</f>
        <v/>
      </c>
    </row>
    <row r="708" spans="1:1" x14ac:dyDescent="0.2">
      <c r="A708" t="str">
        <f>IF(ISBLANK(B708), "","PriceArea-707")</f>
        <v/>
      </c>
    </row>
    <row r="709" spans="1:1" x14ac:dyDescent="0.2">
      <c r="A709" t="str">
        <f>IF(ISBLANK(B709), "","PriceArea-708")</f>
        <v/>
      </c>
    </row>
    <row r="710" spans="1:1" x14ac:dyDescent="0.2">
      <c r="A710" t="str">
        <f>IF(ISBLANK(B710), "","PriceArea-709")</f>
        <v/>
      </c>
    </row>
    <row r="711" spans="1:1" x14ac:dyDescent="0.2">
      <c r="A711" t="str">
        <f>IF(ISBLANK(B711), "","PriceArea-710")</f>
        <v/>
      </c>
    </row>
    <row r="712" spans="1:1" x14ac:dyDescent="0.2">
      <c r="A712" t="str">
        <f>IF(ISBLANK(B712), "","PriceArea-711")</f>
        <v/>
      </c>
    </row>
    <row r="713" spans="1:1" x14ac:dyDescent="0.2">
      <c r="A713" t="str">
        <f>IF(ISBLANK(B713), "","PriceArea-712")</f>
        <v/>
      </c>
    </row>
    <row r="714" spans="1:1" x14ac:dyDescent="0.2">
      <c r="A714" t="str">
        <f>IF(ISBLANK(B714), "","PriceArea-713")</f>
        <v/>
      </c>
    </row>
    <row r="715" spans="1:1" x14ac:dyDescent="0.2">
      <c r="A715" t="str">
        <f>IF(ISBLANK(B715), "","PriceArea-714")</f>
        <v/>
      </c>
    </row>
    <row r="716" spans="1:1" x14ac:dyDescent="0.2">
      <c r="A716" t="str">
        <f>IF(ISBLANK(B716), "","PriceArea-715")</f>
        <v/>
      </c>
    </row>
    <row r="717" spans="1:1" x14ac:dyDescent="0.2">
      <c r="A717" t="str">
        <f>IF(ISBLANK(B717), "","PriceArea-716")</f>
        <v/>
      </c>
    </row>
    <row r="718" spans="1:1" x14ac:dyDescent="0.2">
      <c r="A718" t="str">
        <f>IF(ISBLANK(B718), "","PriceArea-717")</f>
        <v/>
      </c>
    </row>
    <row r="719" spans="1:1" x14ac:dyDescent="0.2">
      <c r="A719" t="str">
        <f>IF(ISBLANK(B719), "","PriceArea-718")</f>
        <v/>
      </c>
    </row>
    <row r="720" spans="1:1" x14ac:dyDescent="0.2">
      <c r="A720" t="str">
        <f>IF(ISBLANK(B720), "","PriceArea-719")</f>
        <v/>
      </c>
    </row>
    <row r="721" spans="1:1" x14ac:dyDescent="0.2">
      <c r="A721" t="str">
        <f>IF(ISBLANK(B721), "","PriceArea-720")</f>
        <v/>
      </c>
    </row>
    <row r="722" spans="1:1" x14ac:dyDescent="0.2">
      <c r="A722" t="str">
        <f>IF(ISBLANK(B722), "","PriceArea-721")</f>
        <v/>
      </c>
    </row>
    <row r="723" spans="1:1" x14ac:dyDescent="0.2">
      <c r="A723" t="str">
        <f>IF(ISBLANK(B723), "","PriceArea-722")</f>
        <v/>
      </c>
    </row>
    <row r="724" spans="1:1" x14ac:dyDescent="0.2">
      <c r="A724" t="str">
        <f>IF(ISBLANK(B724), "","PriceArea-723")</f>
        <v/>
      </c>
    </row>
    <row r="725" spans="1:1" x14ac:dyDescent="0.2">
      <c r="A725" t="str">
        <f>IF(ISBLANK(B725), "","PriceArea-724")</f>
        <v/>
      </c>
    </row>
    <row r="726" spans="1:1" x14ac:dyDescent="0.2">
      <c r="A726" t="str">
        <f>IF(ISBLANK(B726), "","PriceArea-725")</f>
        <v/>
      </c>
    </row>
    <row r="727" spans="1:1" x14ac:dyDescent="0.2">
      <c r="A727" t="str">
        <f>IF(ISBLANK(B727), "","PriceArea-726")</f>
        <v/>
      </c>
    </row>
    <row r="728" spans="1:1" x14ac:dyDescent="0.2">
      <c r="A728" t="str">
        <f>IF(ISBLANK(B728), "","PriceArea-727")</f>
        <v/>
      </c>
    </row>
    <row r="729" spans="1:1" x14ac:dyDescent="0.2">
      <c r="A729" t="str">
        <f>IF(ISBLANK(B729), "","PriceArea-728")</f>
        <v/>
      </c>
    </row>
    <row r="730" spans="1:1" x14ac:dyDescent="0.2">
      <c r="A730" t="str">
        <f>IF(ISBLANK(B730), "","PriceArea-729")</f>
        <v/>
      </c>
    </row>
    <row r="731" spans="1:1" x14ac:dyDescent="0.2">
      <c r="A731" t="str">
        <f>IF(ISBLANK(B731), "","PriceArea-730")</f>
        <v/>
      </c>
    </row>
    <row r="732" spans="1:1" x14ac:dyDescent="0.2">
      <c r="A732" t="str">
        <f>IF(ISBLANK(B732), "","PriceArea-731")</f>
        <v/>
      </c>
    </row>
    <row r="733" spans="1:1" x14ac:dyDescent="0.2">
      <c r="A733" t="str">
        <f>IF(ISBLANK(B733), "","PriceArea-732")</f>
        <v/>
      </c>
    </row>
    <row r="734" spans="1:1" x14ac:dyDescent="0.2">
      <c r="A734" t="str">
        <f>IF(ISBLANK(B734), "","PriceArea-733")</f>
        <v/>
      </c>
    </row>
    <row r="735" spans="1:1" x14ac:dyDescent="0.2">
      <c r="A735" t="str">
        <f>IF(ISBLANK(B735), "","PriceArea-734")</f>
        <v/>
      </c>
    </row>
    <row r="736" spans="1:1" x14ac:dyDescent="0.2">
      <c r="A736" t="str">
        <f>IF(ISBLANK(B736), "","PriceArea-735")</f>
        <v/>
      </c>
    </row>
    <row r="737" spans="1:1" x14ac:dyDescent="0.2">
      <c r="A737" t="str">
        <f>IF(ISBLANK(B737), "","PriceArea-736")</f>
        <v/>
      </c>
    </row>
    <row r="738" spans="1:1" x14ac:dyDescent="0.2">
      <c r="A738" t="str">
        <f>IF(ISBLANK(B738), "","PriceArea-737")</f>
        <v/>
      </c>
    </row>
    <row r="739" spans="1:1" x14ac:dyDescent="0.2">
      <c r="A739" t="str">
        <f>IF(ISBLANK(B739), "","PriceArea-738")</f>
        <v/>
      </c>
    </row>
    <row r="740" spans="1:1" x14ac:dyDescent="0.2">
      <c r="A740" t="str">
        <f>IF(ISBLANK(B740), "","PriceArea-739")</f>
        <v/>
      </c>
    </row>
    <row r="741" spans="1:1" x14ac:dyDescent="0.2">
      <c r="A741" t="str">
        <f>IF(ISBLANK(B741), "","PriceArea-740")</f>
        <v/>
      </c>
    </row>
    <row r="742" spans="1:1" x14ac:dyDescent="0.2">
      <c r="A742" t="str">
        <f>IF(ISBLANK(B742), "","PriceArea-741")</f>
        <v/>
      </c>
    </row>
    <row r="743" spans="1:1" x14ac:dyDescent="0.2">
      <c r="A743" t="str">
        <f>IF(ISBLANK(B743), "","PriceArea-742")</f>
        <v/>
      </c>
    </row>
    <row r="744" spans="1:1" x14ac:dyDescent="0.2">
      <c r="A744" t="str">
        <f>IF(ISBLANK(B744), "","PriceArea-743")</f>
        <v/>
      </c>
    </row>
    <row r="745" spans="1:1" x14ac:dyDescent="0.2">
      <c r="A745" t="str">
        <f>IF(ISBLANK(B745), "","PriceArea-744")</f>
        <v/>
      </c>
    </row>
    <row r="746" spans="1:1" x14ac:dyDescent="0.2">
      <c r="A746" t="str">
        <f>IF(ISBLANK(B746), "","PriceArea-745")</f>
        <v/>
      </c>
    </row>
    <row r="747" spans="1:1" x14ac:dyDescent="0.2">
      <c r="A747" t="str">
        <f>IF(ISBLANK(B747), "","PriceArea-746")</f>
        <v/>
      </c>
    </row>
    <row r="748" spans="1:1" x14ac:dyDescent="0.2">
      <c r="A748" t="str">
        <f>IF(ISBLANK(B748), "","PriceArea-747")</f>
        <v/>
      </c>
    </row>
    <row r="749" spans="1:1" x14ac:dyDescent="0.2">
      <c r="A749" t="str">
        <f>IF(ISBLANK(B749), "","PriceArea-748")</f>
        <v/>
      </c>
    </row>
    <row r="750" spans="1:1" x14ac:dyDescent="0.2">
      <c r="A750" t="str">
        <f>IF(ISBLANK(B750), "","PriceArea-749")</f>
        <v/>
      </c>
    </row>
    <row r="751" spans="1:1" x14ac:dyDescent="0.2">
      <c r="A751" t="str">
        <f>IF(ISBLANK(B751), "","PriceArea-750")</f>
        <v/>
      </c>
    </row>
    <row r="752" spans="1:1" x14ac:dyDescent="0.2">
      <c r="A752" t="str">
        <f>IF(ISBLANK(B752), "","PriceArea-751")</f>
        <v/>
      </c>
    </row>
    <row r="753" spans="1:1" x14ac:dyDescent="0.2">
      <c r="A753" t="str">
        <f>IF(ISBLANK(B753), "","PriceArea-752")</f>
        <v/>
      </c>
    </row>
    <row r="754" spans="1:1" x14ac:dyDescent="0.2">
      <c r="A754" t="str">
        <f>IF(ISBLANK(B754), "","PriceArea-753")</f>
        <v/>
      </c>
    </row>
    <row r="755" spans="1:1" x14ac:dyDescent="0.2">
      <c r="A755" t="str">
        <f>IF(ISBLANK(B755), "","PriceArea-754")</f>
        <v/>
      </c>
    </row>
    <row r="756" spans="1:1" x14ac:dyDescent="0.2">
      <c r="A756" t="str">
        <f>IF(ISBLANK(B756), "","PriceArea-755")</f>
        <v/>
      </c>
    </row>
    <row r="757" spans="1:1" x14ac:dyDescent="0.2">
      <c r="A757" t="str">
        <f>IF(ISBLANK(B757), "","PriceArea-756")</f>
        <v/>
      </c>
    </row>
    <row r="758" spans="1:1" x14ac:dyDescent="0.2">
      <c r="A758" t="str">
        <f>IF(ISBLANK(B758), "","PriceArea-757")</f>
        <v/>
      </c>
    </row>
    <row r="759" spans="1:1" x14ac:dyDescent="0.2">
      <c r="A759" t="str">
        <f>IF(ISBLANK(B759), "","PriceArea-758")</f>
        <v/>
      </c>
    </row>
    <row r="760" spans="1:1" x14ac:dyDescent="0.2">
      <c r="A760" t="str">
        <f>IF(ISBLANK(B760), "","PriceArea-759")</f>
        <v/>
      </c>
    </row>
    <row r="761" spans="1:1" x14ac:dyDescent="0.2">
      <c r="A761" t="str">
        <f>IF(ISBLANK(B761), "","PriceArea-760")</f>
        <v/>
      </c>
    </row>
    <row r="762" spans="1:1" x14ac:dyDescent="0.2">
      <c r="A762" t="str">
        <f>IF(ISBLANK(B762), "","PriceArea-761")</f>
        <v/>
      </c>
    </row>
    <row r="763" spans="1:1" x14ac:dyDescent="0.2">
      <c r="A763" t="str">
        <f>IF(ISBLANK(B763), "","PriceArea-762")</f>
        <v/>
      </c>
    </row>
    <row r="764" spans="1:1" x14ac:dyDescent="0.2">
      <c r="A764" t="str">
        <f>IF(ISBLANK(B764), "","PriceArea-763")</f>
        <v/>
      </c>
    </row>
    <row r="765" spans="1:1" x14ac:dyDescent="0.2">
      <c r="A765" t="str">
        <f>IF(ISBLANK(B765), "","PriceArea-764")</f>
        <v/>
      </c>
    </row>
    <row r="766" spans="1:1" x14ac:dyDescent="0.2">
      <c r="A766" t="str">
        <f>IF(ISBLANK(B766), "","PriceArea-765")</f>
        <v/>
      </c>
    </row>
    <row r="767" spans="1:1" x14ac:dyDescent="0.2">
      <c r="A767" t="str">
        <f>IF(ISBLANK(B767), "","PriceArea-766")</f>
        <v/>
      </c>
    </row>
    <row r="768" spans="1:1" x14ac:dyDescent="0.2">
      <c r="A768" t="str">
        <f>IF(ISBLANK(B768), "","PriceArea-767")</f>
        <v/>
      </c>
    </row>
    <row r="769" spans="1:1" x14ac:dyDescent="0.2">
      <c r="A769" t="str">
        <f>IF(ISBLANK(B769), "","PriceArea-768")</f>
        <v/>
      </c>
    </row>
    <row r="770" spans="1:1" x14ac:dyDescent="0.2">
      <c r="A770" t="str">
        <f>IF(ISBLANK(B770), "","PriceArea-769")</f>
        <v/>
      </c>
    </row>
    <row r="771" spans="1:1" x14ac:dyDescent="0.2">
      <c r="A771" t="str">
        <f>IF(ISBLANK(B771), "","PriceArea-770")</f>
        <v/>
      </c>
    </row>
    <row r="772" spans="1:1" x14ac:dyDescent="0.2">
      <c r="A772" t="str">
        <f>IF(ISBLANK(B772), "","PriceArea-771")</f>
        <v/>
      </c>
    </row>
    <row r="773" spans="1:1" x14ac:dyDescent="0.2">
      <c r="A773" t="str">
        <f>IF(ISBLANK(B773), "","PriceArea-772")</f>
        <v/>
      </c>
    </row>
    <row r="774" spans="1:1" x14ac:dyDescent="0.2">
      <c r="A774" t="str">
        <f>IF(ISBLANK(B774), "","PriceArea-773")</f>
        <v/>
      </c>
    </row>
    <row r="775" spans="1:1" x14ac:dyDescent="0.2">
      <c r="A775" t="str">
        <f>IF(ISBLANK(B775), "","PriceArea-774")</f>
        <v/>
      </c>
    </row>
    <row r="776" spans="1:1" x14ac:dyDescent="0.2">
      <c r="A776" t="str">
        <f>IF(ISBLANK(B776), "","PriceArea-775")</f>
        <v/>
      </c>
    </row>
    <row r="777" spans="1:1" x14ac:dyDescent="0.2">
      <c r="A777" t="str">
        <f>IF(ISBLANK(B777), "","PriceArea-776")</f>
        <v/>
      </c>
    </row>
    <row r="778" spans="1:1" x14ac:dyDescent="0.2">
      <c r="A778" t="str">
        <f>IF(ISBLANK(B778), "","PriceArea-777")</f>
        <v/>
      </c>
    </row>
    <row r="779" spans="1:1" x14ac:dyDescent="0.2">
      <c r="A779" t="str">
        <f>IF(ISBLANK(B779), "","PriceArea-778")</f>
        <v/>
      </c>
    </row>
    <row r="780" spans="1:1" x14ac:dyDescent="0.2">
      <c r="A780" t="str">
        <f>IF(ISBLANK(B780), "","PriceArea-779")</f>
        <v/>
      </c>
    </row>
    <row r="781" spans="1:1" x14ac:dyDescent="0.2">
      <c r="A781" t="str">
        <f>IF(ISBLANK(B781), "","PriceArea-780")</f>
        <v/>
      </c>
    </row>
    <row r="782" spans="1:1" x14ac:dyDescent="0.2">
      <c r="A782" t="str">
        <f>IF(ISBLANK(B782), "","PriceArea-781")</f>
        <v/>
      </c>
    </row>
    <row r="783" spans="1:1" x14ac:dyDescent="0.2">
      <c r="A783" t="str">
        <f>IF(ISBLANK(B783), "","PriceArea-782")</f>
        <v/>
      </c>
    </row>
    <row r="784" spans="1:1" x14ac:dyDescent="0.2">
      <c r="A784" t="str">
        <f>IF(ISBLANK(B784), "","PriceArea-783")</f>
        <v/>
      </c>
    </row>
    <row r="785" spans="1:1" x14ac:dyDescent="0.2">
      <c r="A785" t="str">
        <f>IF(ISBLANK(B785), "","PriceArea-784")</f>
        <v/>
      </c>
    </row>
    <row r="786" spans="1:1" x14ac:dyDescent="0.2">
      <c r="A786" t="str">
        <f>IF(ISBLANK(B786), "","PriceArea-785")</f>
        <v/>
      </c>
    </row>
    <row r="787" spans="1:1" x14ac:dyDescent="0.2">
      <c r="A787" t="str">
        <f>IF(ISBLANK(B787), "","PriceArea-786")</f>
        <v/>
      </c>
    </row>
    <row r="788" spans="1:1" x14ac:dyDescent="0.2">
      <c r="A788" t="str">
        <f>IF(ISBLANK(B788), "","PriceArea-787")</f>
        <v/>
      </c>
    </row>
    <row r="789" spans="1:1" x14ac:dyDescent="0.2">
      <c r="A789" t="str">
        <f>IF(ISBLANK(B789), "","PriceArea-788")</f>
        <v/>
      </c>
    </row>
    <row r="790" spans="1:1" x14ac:dyDescent="0.2">
      <c r="A790" t="str">
        <f>IF(ISBLANK(B790), "","PriceArea-789")</f>
        <v/>
      </c>
    </row>
    <row r="791" spans="1:1" x14ac:dyDescent="0.2">
      <c r="A791" t="str">
        <f>IF(ISBLANK(B791), "","PriceArea-790")</f>
        <v/>
      </c>
    </row>
    <row r="792" spans="1:1" x14ac:dyDescent="0.2">
      <c r="A792" t="str">
        <f>IF(ISBLANK(B792), "","PriceArea-791")</f>
        <v/>
      </c>
    </row>
    <row r="793" spans="1:1" x14ac:dyDescent="0.2">
      <c r="A793" t="str">
        <f>IF(ISBLANK(B793), "","PriceArea-792")</f>
        <v/>
      </c>
    </row>
    <row r="794" spans="1:1" x14ac:dyDescent="0.2">
      <c r="A794" t="str">
        <f>IF(ISBLANK(B794), "","PriceArea-793")</f>
        <v/>
      </c>
    </row>
    <row r="795" spans="1:1" x14ac:dyDescent="0.2">
      <c r="A795" t="str">
        <f>IF(ISBLANK(B795), "","PriceArea-794")</f>
        <v/>
      </c>
    </row>
    <row r="796" spans="1:1" x14ac:dyDescent="0.2">
      <c r="A796" t="str">
        <f>IF(ISBLANK(B796), "","PriceArea-795")</f>
        <v/>
      </c>
    </row>
    <row r="797" spans="1:1" x14ac:dyDescent="0.2">
      <c r="A797" t="str">
        <f>IF(ISBLANK(B797), "","PriceArea-796")</f>
        <v/>
      </c>
    </row>
    <row r="798" spans="1:1" x14ac:dyDescent="0.2">
      <c r="A798" t="str">
        <f>IF(ISBLANK(B798), "","PriceArea-797")</f>
        <v/>
      </c>
    </row>
    <row r="799" spans="1:1" x14ac:dyDescent="0.2">
      <c r="A799" t="str">
        <f>IF(ISBLANK(B799), "","PriceArea-798")</f>
        <v/>
      </c>
    </row>
    <row r="800" spans="1:1" x14ac:dyDescent="0.2">
      <c r="A800" t="str">
        <f>IF(ISBLANK(B800), "","PriceArea-799")</f>
        <v/>
      </c>
    </row>
    <row r="801" spans="1:1" x14ac:dyDescent="0.2">
      <c r="A801" t="str">
        <f>IF(ISBLANK(B801), "","PriceArea-800")</f>
        <v/>
      </c>
    </row>
    <row r="802" spans="1:1" x14ac:dyDescent="0.2">
      <c r="A802" t="str">
        <f>IF(ISBLANK(B802), "","PriceArea-801")</f>
        <v/>
      </c>
    </row>
    <row r="803" spans="1:1" x14ac:dyDescent="0.2">
      <c r="A803" t="str">
        <f>IF(ISBLANK(B803), "","PriceArea-802")</f>
        <v/>
      </c>
    </row>
    <row r="804" spans="1:1" x14ac:dyDescent="0.2">
      <c r="A804" t="str">
        <f>IF(ISBLANK(B804), "","PriceArea-803")</f>
        <v/>
      </c>
    </row>
    <row r="805" spans="1:1" x14ac:dyDescent="0.2">
      <c r="A805" t="str">
        <f>IF(ISBLANK(B805), "","PriceArea-804")</f>
        <v/>
      </c>
    </row>
    <row r="806" spans="1:1" x14ac:dyDescent="0.2">
      <c r="A806" t="str">
        <f>IF(ISBLANK(B806), "","PriceArea-805")</f>
        <v/>
      </c>
    </row>
    <row r="807" spans="1:1" x14ac:dyDescent="0.2">
      <c r="A807" t="str">
        <f>IF(ISBLANK(B807), "","PriceArea-806")</f>
        <v/>
      </c>
    </row>
    <row r="808" spans="1:1" x14ac:dyDescent="0.2">
      <c r="A808" t="str">
        <f>IF(ISBLANK(B808), "","PriceArea-807")</f>
        <v/>
      </c>
    </row>
    <row r="809" spans="1:1" x14ac:dyDescent="0.2">
      <c r="A809" t="str">
        <f>IF(ISBLANK(B809), "","PriceArea-808")</f>
        <v/>
      </c>
    </row>
    <row r="810" spans="1:1" x14ac:dyDescent="0.2">
      <c r="A810" t="str">
        <f>IF(ISBLANK(B810), "","PriceArea-809")</f>
        <v/>
      </c>
    </row>
    <row r="811" spans="1:1" x14ac:dyDescent="0.2">
      <c r="A811" t="str">
        <f>IF(ISBLANK(B811), "","PriceArea-810")</f>
        <v/>
      </c>
    </row>
    <row r="812" spans="1:1" x14ac:dyDescent="0.2">
      <c r="A812" t="str">
        <f>IF(ISBLANK(B812), "","PriceArea-811")</f>
        <v/>
      </c>
    </row>
    <row r="813" spans="1:1" x14ac:dyDescent="0.2">
      <c r="A813" t="str">
        <f>IF(ISBLANK(B813), "","PriceArea-812")</f>
        <v/>
      </c>
    </row>
    <row r="814" spans="1:1" x14ac:dyDescent="0.2">
      <c r="A814" t="str">
        <f>IF(ISBLANK(B814), "","PriceArea-813")</f>
        <v/>
      </c>
    </row>
    <row r="815" spans="1:1" x14ac:dyDescent="0.2">
      <c r="A815" t="str">
        <f>IF(ISBLANK(B815), "","PriceArea-814")</f>
        <v/>
      </c>
    </row>
    <row r="816" spans="1:1" x14ac:dyDescent="0.2">
      <c r="A816" t="str">
        <f>IF(ISBLANK(B816), "","PriceArea-815")</f>
        <v/>
      </c>
    </row>
    <row r="817" spans="1:1" x14ac:dyDescent="0.2">
      <c r="A817" t="str">
        <f>IF(ISBLANK(B817), "","PriceArea-816")</f>
        <v/>
      </c>
    </row>
    <row r="818" spans="1:1" x14ac:dyDescent="0.2">
      <c r="A818" t="str">
        <f>IF(ISBLANK(B818), "","PriceArea-817")</f>
        <v/>
      </c>
    </row>
    <row r="819" spans="1:1" x14ac:dyDescent="0.2">
      <c r="A819" t="str">
        <f>IF(ISBLANK(B819), "","PriceArea-818")</f>
        <v/>
      </c>
    </row>
    <row r="820" spans="1:1" x14ac:dyDescent="0.2">
      <c r="A820" t="str">
        <f>IF(ISBLANK(B820), "","PriceArea-819")</f>
        <v/>
      </c>
    </row>
    <row r="821" spans="1:1" x14ac:dyDescent="0.2">
      <c r="A821" t="str">
        <f>IF(ISBLANK(B821), "","PriceArea-820")</f>
        <v/>
      </c>
    </row>
    <row r="822" spans="1:1" x14ac:dyDescent="0.2">
      <c r="A822" t="str">
        <f>IF(ISBLANK(B822), "","PriceArea-821")</f>
        <v/>
      </c>
    </row>
    <row r="823" spans="1:1" x14ac:dyDescent="0.2">
      <c r="A823" t="str">
        <f>IF(ISBLANK(B823), "","PriceArea-822")</f>
        <v/>
      </c>
    </row>
    <row r="824" spans="1:1" x14ac:dyDescent="0.2">
      <c r="A824" t="str">
        <f>IF(ISBLANK(B824), "","PriceArea-823")</f>
        <v/>
      </c>
    </row>
    <row r="825" spans="1:1" x14ac:dyDescent="0.2">
      <c r="A825" t="str">
        <f>IF(ISBLANK(B825), "","PriceArea-824")</f>
        <v/>
      </c>
    </row>
    <row r="826" spans="1:1" x14ac:dyDescent="0.2">
      <c r="A826" t="str">
        <f>IF(ISBLANK(B826), "","PriceArea-825")</f>
        <v/>
      </c>
    </row>
    <row r="827" spans="1:1" x14ac:dyDescent="0.2">
      <c r="A827" t="str">
        <f>IF(ISBLANK(B827), "","PriceArea-826")</f>
        <v/>
      </c>
    </row>
    <row r="828" spans="1:1" x14ac:dyDescent="0.2">
      <c r="A828" t="str">
        <f>IF(ISBLANK(B828), "","PriceArea-827")</f>
        <v/>
      </c>
    </row>
    <row r="829" spans="1:1" x14ac:dyDescent="0.2">
      <c r="A829" t="str">
        <f>IF(ISBLANK(B829), "","PriceArea-828")</f>
        <v/>
      </c>
    </row>
    <row r="830" spans="1:1" x14ac:dyDescent="0.2">
      <c r="A830" t="str">
        <f>IF(ISBLANK(B830), "","PriceArea-829")</f>
        <v/>
      </c>
    </row>
    <row r="831" spans="1:1" x14ac:dyDescent="0.2">
      <c r="A831" t="str">
        <f>IF(ISBLANK(B831), "","PriceArea-830")</f>
        <v/>
      </c>
    </row>
    <row r="832" spans="1:1" x14ac:dyDescent="0.2">
      <c r="A832" t="str">
        <f>IF(ISBLANK(B832), "","PriceArea-831")</f>
        <v/>
      </c>
    </row>
    <row r="833" spans="1:1" x14ac:dyDescent="0.2">
      <c r="A833" t="str">
        <f>IF(ISBLANK(B833), "","PriceArea-832")</f>
        <v/>
      </c>
    </row>
    <row r="834" spans="1:1" x14ac:dyDescent="0.2">
      <c r="A834" t="str">
        <f>IF(ISBLANK(B834), "","PriceArea-833")</f>
        <v/>
      </c>
    </row>
    <row r="835" spans="1:1" x14ac:dyDescent="0.2">
      <c r="A835" t="str">
        <f>IF(ISBLANK(B835), "","PriceArea-834")</f>
        <v/>
      </c>
    </row>
    <row r="836" spans="1:1" x14ac:dyDescent="0.2">
      <c r="A836" t="str">
        <f>IF(ISBLANK(B836), "","PriceArea-835")</f>
        <v/>
      </c>
    </row>
    <row r="837" spans="1:1" x14ac:dyDescent="0.2">
      <c r="A837" t="str">
        <f>IF(ISBLANK(B837), "","PriceArea-836")</f>
        <v/>
      </c>
    </row>
    <row r="838" spans="1:1" x14ac:dyDescent="0.2">
      <c r="A838" t="str">
        <f>IF(ISBLANK(B838), "","PriceArea-837")</f>
        <v/>
      </c>
    </row>
    <row r="839" spans="1:1" x14ac:dyDescent="0.2">
      <c r="A839" t="str">
        <f>IF(ISBLANK(B839), "","PriceArea-838")</f>
        <v/>
      </c>
    </row>
    <row r="840" spans="1:1" x14ac:dyDescent="0.2">
      <c r="A840" t="str">
        <f>IF(ISBLANK(B840), "","PriceArea-839")</f>
        <v/>
      </c>
    </row>
    <row r="841" spans="1:1" x14ac:dyDescent="0.2">
      <c r="A841" t="str">
        <f>IF(ISBLANK(B841), "","PriceArea-840")</f>
        <v/>
      </c>
    </row>
    <row r="842" spans="1:1" x14ac:dyDescent="0.2">
      <c r="A842" t="str">
        <f>IF(ISBLANK(B842), "","PriceArea-841")</f>
        <v/>
      </c>
    </row>
    <row r="843" spans="1:1" x14ac:dyDescent="0.2">
      <c r="A843" t="str">
        <f>IF(ISBLANK(B843), "","PriceArea-842")</f>
        <v/>
      </c>
    </row>
    <row r="844" spans="1:1" x14ac:dyDescent="0.2">
      <c r="A844" t="str">
        <f>IF(ISBLANK(B844), "","PriceArea-843")</f>
        <v/>
      </c>
    </row>
    <row r="845" spans="1:1" x14ac:dyDescent="0.2">
      <c r="A845" t="str">
        <f>IF(ISBLANK(B845), "","PriceArea-844")</f>
        <v/>
      </c>
    </row>
    <row r="846" spans="1:1" x14ac:dyDescent="0.2">
      <c r="A846" t="str">
        <f>IF(ISBLANK(B846), "","PriceArea-845")</f>
        <v/>
      </c>
    </row>
    <row r="847" spans="1:1" x14ac:dyDescent="0.2">
      <c r="A847" t="str">
        <f>IF(ISBLANK(B847), "","PriceArea-846")</f>
        <v/>
      </c>
    </row>
    <row r="848" spans="1:1" x14ac:dyDescent="0.2">
      <c r="A848" t="str">
        <f>IF(ISBLANK(B848), "","PriceArea-847")</f>
        <v/>
      </c>
    </row>
    <row r="849" spans="1:1" x14ac:dyDescent="0.2">
      <c r="A849" t="str">
        <f>IF(ISBLANK(B849), "","PriceArea-848")</f>
        <v/>
      </c>
    </row>
    <row r="850" spans="1:1" x14ac:dyDescent="0.2">
      <c r="A850" t="str">
        <f>IF(ISBLANK(B850), "","PriceArea-849")</f>
        <v/>
      </c>
    </row>
    <row r="851" spans="1:1" x14ac:dyDescent="0.2">
      <c r="A851" t="str">
        <f>IF(ISBLANK(B851), "","PriceArea-850")</f>
        <v/>
      </c>
    </row>
    <row r="852" spans="1:1" x14ac:dyDescent="0.2">
      <c r="A852" t="str">
        <f>IF(ISBLANK(B852), "","PriceArea-851")</f>
        <v/>
      </c>
    </row>
    <row r="853" spans="1:1" x14ac:dyDescent="0.2">
      <c r="A853" t="str">
        <f>IF(ISBLANK(B853), "","PriceArea-852")</f>
        <v/>
      </c>
    </row>
    <row r="854" spans="1:1" x14ac:dyDescent="0.2">
      <c r="A854" t="str">
        <f>IF(ISBLANK(B854), "","PriceArea-853")</f>
        <v/>
      </c>
    </row>
    <row r="855" spans="1:1" x14ac:dyDescent="0.2">
      <c r="A855" t="str">
        <f>IF(ISBLANK(B855), "","PriceArea-854")</f>
        <v/>
      </c>
    </row>
    <row r="856" spans="1:1" x14ac:dyDescent="0.2">
      <c r="A856" t="str">
        <f>IF(ISBLANK(B856), "","PriceArea-855")</f>
        <v/>
      </c>
    </row>
    <row r="857" spans="1:1" x14ac:dyDescent="0.2">
      <c r="A857" t="str">
        <f>IF(ISBLANK(B857), "","PriceArea-856")</f>
        <v/>
      </c>
    </row>
    <row r="858" spans="1:1" x14ac:dyDescent="0.2">
      <c r="A858" t="str">
        <f>IF(ISBLANK(B858), "","PriceArea-857")</f>
        <v/>
      </c>
    </row>
    <row r="859" spans="1:1" x14ac:dyDescent="0.2">
      <c r="A859" t="str">
        <f>IF(ISBLANK(B859), "","PriceArea-858")</f>
        <v/>
      </c>
    </row>
    <row r="860" spans="1:1" x14ac:dyDescent="0.2">
      <c r="A860" t="str">
        <f>IF(ISBLANK(B860), "","PriceArea-859")</f>
        <v/>
      </c>
    </row>
    <row r="861" spans="1:1" x14ac:dyDescent="0.2">
      <c r="A861" t="str">
        <f>IF(ISBLANK(B861), "","PriceArea-860")</f>
        <v/>
      </c>
    </row>
    <row r="862" spans="1:1" x14ac:dyDescent="0.2">
      <c r="A862" t="str">
        <f>IF(ISBLANK(B862), "","PriceArea-861")</f>
        <v/>
      </c>
    </row>
    <row r="863" spans="1:1" x14ac:dyDescent="0.2">
      <c r="A863" t="str">
        <f>IF(ISBLANK(B863), "","PriceArea-862")</f>
        <v/>
      </c>
    </row>
    <row r="864" spans="1:1" x14ac:dyDescent="0.2">
      <c r="A864" t="str">
        <f>IF(ISBLANK(B864), "","PriceArea-863")</f>
        <v/>
      </c>
    </row>
    <row r="865" spans="1:1" x14ac:dyDescent="0.2">
      <c r="A865" t="str">
        <f>IF(ISBLANK(B865), "","PriceArea-864")</f>
        <v/>
      </c>
    </row>
    <row r="866" spans="1:1" x14ac:dyDescent="0.2">
      <c r="A866" t="str">
        <f>IF(ISBLANK(B866), "","PriceArea-865")</f>
        <v/>
      </c>
    </row>
    <row r="867" spans="1:1" x14ac:dyDescent="0.2">
      <c r="A867" t="str">
        <f>IF(ISBLANK(B867), "","PriceArea-866")</f>
        <v/>
      </c>
    </row>
    <row r="868" spans="1:1" x14ac:dyDescent="0.2">
      <c r="A868" t="str">
        <f>IF(ISBLANK(B868), "","PriceArea-867")</f>
        <v/>
      </c>
    </row>
    <row r="869" spans="1:1" x14ac:dyDescent="0.2">
      <c r="A869" t="str">
        <f>IF(ISBLANK(B869), "","PriceArea-868")</f>
        <v/>
      </c>
    </row>
    <row r="870" spans="1:1" x14ac:dyDescent="0.2">
      <c r="A870" t="str">
        <f>IF(ISBLANK(B870), "","PriceArea-869")</f>
        <v/>
      </c>
    </row>
    <row r="871" spans="1:1" x14ac:dyDescent="0.2">
      <c r="A871" t="str">
        <f>IF(ISBLANK(B871), "","PriceArea-870")</f>
        <v/>
      </c>
    </row>
    <row r="872" spans="1:1" x14ac:dyDescent="0.2">
      <c r="A872" t="str">
        <f>IF(ISBLANK(B872), "","PriceArea-871")</f>
        <v/>
      </c>
    </row>
    <row r="873" spans="1:1" x14ac:dyDescent="0.2">
      <c r="A873" t="str">
        <f>IF(ISBLANK(B873), "","PriceArea-872")</f>
        <v/>
      </c>
    </row>
    <row r="874" spans="1:1" x14ac:dyDescent="0.2">
      <c r="A874" t="str">
        <f>IF(ISBLANK(B874), "","PriceArea-873")</f>
        <v/>
      </c>
    </row>
    <row r="875" spans="1:1" x14ac:dyDescent="0.2">
      <c r="A875" t="str">
        <f>IF(ISBLANK(B875), "","PriceArea-874")</f>
        <v/>
      </c>
    </row>
    <row r="876" spans="1:1" x14ac:dyDescent="0.2">
      <c r="A876" t="str">
        <f>IF(ISBLANK(B876), "","PriceArea-875")</f>
        <v/>
      </c>
    </row>
    <row r="877" spans="1:1" x14ac:dyDescent="0.2">
      <c r="A877" t="str">
        <f>IF(ISBLANK(B877), "","PriceArea-876")</f>
        <v/>
      </c>
    </row>
    <row r="878" spans="1:1" x14ac:dyDescent="0.2">
      <c r="A878" t="str">
        <f>IF(ISBLANK(B878), "","PriceArea-877")</f>
        <v/>
      </c>
    </row>
    <row r="879" spans="1:1" x14ac:dyDescent="0.2">
      <c r="A879" t="str">
        <f>IF(ISBLANK(B879), "","PriceArea-878")</f>
        <v/>
      </c>
    </row>
    <row r="880" spans="1:1" x14ac:dyDescent="0.2">
      <c r="A880" t="str">
        <f>IF(ISBLANK(B880), "","PriceArea-879")</f>
        <v/>
      </c>
    </row>
    <row r="881" spans="1:1" x14ac:dyDescent="0.2">
      <c r="A881" t="str">
        <f>IF(ISBLANK(B881), "","PriceArea-880")</f>
        <v/>
      </c>
    </row>
    <row r="882" spans="1:1" x14ac:dyDescent="0.2">
      <c r="A882" t="str">
        <f>IF(ISBLANK(B882), "","PriceArea-881")</f>
        <v/>
      </c>
    </row>
    <row r="883" spans="1:1" x14ac:dyDescent="0.2">
      <c r="A883" t="str">
        <f>IF(ISBLANK(B883), "","PriceArea-882")</f>
        <v/>
      </c>
    </row>
    <row r="884" spans="1:1" x14ac:dyDescent="0.2">
      <c r="A884" t="str">
        <f>IF(ISBLANK(B884), "","PriceArea-883")</f>
        <v/>
      </c>
    </row>
    <row r="885" spans="1:1" x14ac:dyDescent="0.2">
      <c r="A885" t="str">
        <f>IF(ISBLANK(B885), "","PriceArea-884")</f>
        <v/>
      </c>
    </row>
    <row r="886" spans="1:1" x14ac:dyDescent="0.2">
      <c r="A886" t="str">
        <f>IF(ISBLANK(B886), "","PriceArea-885")</f>
        <v/>
      </c>
    </row>
    <row r="887" spans="1:1" x14ac:dyDescent="0.2">
      <c r="A887" t="str">
        <f>IF(ISBLANK(B887), "","PriceArea-886")</f>
        <v/>
      </c>
    </row>
    <row r="888" spans="1:1" x14ac:dyDescent="0.2">
      <c r="A888" t="str">
        <f>IF(ISBLANK(B888), "","PriceArea-887")</f>
        <v/>
      </c>
    </row>
    <row r="889" spans="1:1" x14ac:dyDescent="0.2">
      <c r="A889" t="str">
        <f>IF(ISBLANK(B889), "","PriceArea-888")</f>
        <v/>
      </c>
    </row>
    <row r="890" spans="1:1" x14ac:dyDescent="0.2">
      <c r="A890" t="str">
        <f>IF(ISBLANK(B890), "","PriceArea-889")</f>
        <v/>
      </c>
    </row>
    <row r="891" spans="1:1" x14ac:dyDescent="0.2">
      <c r="A891" t="str">
        <f>IF(ISBLANK(B891), "","PriceArea-890")</f>
        <v/>
      </c>
    </row>
    <row r="892" spans="1:1" x14ac:dyDescent="0.2">
      <c r="A892" t="str">
        <f>IF(ISBLANK(B892), "","PriceArea-891")</f>
        <v/>
      </c>
    </row>
    <row r="893" spans="1:1" x14ac:dyDescent="0.2">
      <c r="A893" t="str">
        <f>IF(ISBLANK(B893), "","PriceArea-892")</f>
        <v/>
      </c>
    </row>
    <row r="894" spans="1:1" x14ac:dyDescent="0.2">
      <c r="A894" t="str">
        <f>IF(ISBLANK(B894), "","PriceArea-893")</f>
        <v/>
      </c>
    </row>
    <row r="895" spans="1:1" x14ac:dyDescent="0.2">
      <c r="A895" t="str">
        <f>IF(ISBLANK(B895), "","PriceArea-894")</f>
        <v/>
      </c>
    </row>
    <row r="896" spans="1:1" x14ac:dyDescent="0.2">
      <c r="A896" t="str">
        <f>IF(ISBLANK(B896), "","PriceArea-895")</f>
        <v/>
      </c>
    </row>
    <row r="897" spans="1:1" x14ac:dyDescent="0.2">
      <c r="A897" t="str">
        <f>IF(ISBLANK(B897), "","PriceArea-896")</f>
        <v/>
      </c>
    </row>
    <row r="898" spans="1:1" x14ac:dyDescent="0.2">
      <c r="A898" t="str">
        <f>IF(ISBLANK(B898), "","PriceArea-897")</f>
        <v/>
      </c>
    </row>
    <row r="899" spans="1:1" x14ac:dyDescent="0.2">
      <c r="A899" t="str">
        <f>IF(ISBLANK(B899), "","PriceArea-898")</f>
        <v/>
      </c>
    </row>
    <row r="900" spans="1:1" x14ac:dyDescent="0.2">
      <c r="A900" t="str">
        <f>IF(ISBLANK(B900), "","PriceArea-899")</f>
        <v/>
      </c>
    </row>
    <row r="901" spans="1:1" x14ac:dyDescent="0.2">
      <c r="A901" t="str">
        <f>IF(ISBLANK(B901), "","PriceArea-900")</f>
        <v/>
      </c>
    </row>
    <row r="902" spans="1:1" x14ac:dyDescent="0.2">
      <c r="A902" t="str">
        <f>IF(ISBLANK(B902), "","PriceArea-901")</f>
        <v/>
      </c>
    </row>
    <row r="903" spans="1:1" x14ac:dyDescent="0.2">
      <c r="A903" t="str">
        <f>IF(ISBLANK(B903), "","PriceArea-902")</f>
        <v/>
      </c>
    </row>
    <row r="904" spans="1:1" x14ac:dyDescent="0.2">
      <c r="A904" t="str">
        <f>IF(ISBLANK(B904), "","PriceArea-903")</f>
        <v/>
      </c>
    </row>
    <row r="905" spans="1:1" x14ac:dyDescent="0.2">
      <c r="A905" t="str">
        <f>IF(ISBLANK(B905), "","PriceArea-904")</f>
        <v/>
      </c>
    </row>
    <row r="906" spans="1:1" x14ac:dyDescent="0.2">
      <c r="A906" t="str">
        <f>IF(ISBLANK(B906), "","PriceArea-905")</f>
        <v/>
      </c>
    </row>
    <row r="907" spans="1:1" x14ac:dyDescent="0.2">
      <c r="A907" t="str">
        <f>IF(ISBLANK(B907), "","PriceArea-906")</f>
        <v/>
      </c>
    </row>
    <row r="908" spans="1:1" x14ac:dyDescent="0.2">
      <c r="A908" t="str">
        <f>IF(ISBLANK(B908), "","PriceArea-907")</f>
        <v/>
      </c>
    </row>
    <row r="909" spans="1:1" x14ac:dyDescent="0.2">
      <c r="A909" t="str">
        <f>IF(ISBLANK(B909), "","PriceArea-908")</f>
        <v/>
      </c>
    </row>
    <row r="910" spans="1:1" x14ac:dyDescent="0.2">
      <c r="A910" t="str">
        <f>IF(ISBLANK(B910), "","PriceArea-909")</f>
        <v/>
      </c>
    </row>
    <row r="911" spans="1:1" x14ac:dyDescent="0.2">
      <c r="A911" t="str">
        <f>IF(ISBLANK(B911), "","PriceArea-910")</f>
        <v/>
      </c>
    </row>
    <row r="912" spans="1:1" x14ac:dyDescent="0.2">
      <c r="A912" t="str">
        <f>IF(ISBLANK(B912), "","PriceArea-911")</f>
        <v/>
      </c>
    </row>
    <row r="913" spans="1:1" x14ac:dyDescent="0.2">
      <c r="A913" t="str">
        <f>IF(ISBLANK(B913), "","PriceArea-912")</f>
        <v/>
      </c>
    </row>
    <row r="914" spans="1:1" x14ac:dyDescent="0.2">
      <c r="A914" t="str">
        <f>IF(ISBLANK(B914), "","PriceArea-913")</f>
        <v/>
      </c>
    </row>
    <row r="915" spans="1:1" x14ac:dyDescent="0.2">
      <c r="A915" t="str">
        <f>IF(ISBLANK(B915), "","PriceArea-914")</f>
        <v/>
      </c>
    </row>
    <row r="916" spans="1:1" x14ac:dyDescent="0.2">
      <c r="A916" t="str">
        <f>IF(ISBLANK(B916), "","PriceArea-915")</f>
        <v/>
      </c>
    </row>
    <row r="917" spans="1:1" x14ac:dyDescent="0.2">
      <c r="A917" t="str">
        <f>IF(ISBLANK(B917), "","PriceArea-916")</f>
        <v/>
      </c>
    </row>
    <row r="918" spans="1:1" x14ac:dyDescent="0.2">
      <c r="A918" t="str">
        <f>IF(ISBLANK(B918), "","PriceArea-917")</f>
        <v/>
      </c>
    </row>
    <row r="919" spans="1:1" x14ac:dyDescent="0.2">
      <c r="A919" t="str">
        <f>IF(ISBLANK(B919), "","PriceArea-918")</f>
        <v/>
      </c>
    </row>
    <row r="920" spans="1:1" x14ac:dyDescent="0.2">
      <c r="A920" t="str">
        <f>IF(ISBLANK(B920), "","PriceArea-919")</f>
        <v/>
      </c>
    </row>
    <row r="921" spans="1:1" x14ac:dyDescent="0.2">
      <c r="A921" t="str">
        <f>IF(ISBLANK(B921), "","PriceArea-920")</f>
        <v/>
      </c>
    </row>
    <row r="922" spans="1:1" x14ac:dyDescent="0.2">
      <c r="A922" t="str">
        <f>IF(ISBLANK(B922), "","PriceArea-921")</f>
        <v/>
      </c>
    </row>
    <row r="923" spans="1:1" x14ac:dyDescent="0.2">
      <c r="A923" t="str">
        <f>IF(ISBLANK(B923), "","PriceArea-922")</f>
        <v/>
      </c>
    </row>
    <row r="924" spans="1:1" x14ac:dyDescent="0.2">
      <c r="A924" t="str">
        <f>IF(ISBLANK(B924), "","PriceArea-923")</f>
        <v/>
      </c>
    </row>
    <row r="925" spans="1:1" x14ac:dyDescent="0.2">
      <c r="A925" t="str">
        <f>IF(ISBLANK(B925), "","PriceArea-924")</f>
        <v/>
      </c>
    </row>
    <row r="926" spans="1:1" x14ac:dyDescent="0.2">
      <c r="A926" t="str">
        <f>IF(ISBLANK(B926), "","PriceArea-925")</f>
        <v/>
      </c>
    </row>
    <row r="927" spans="1:1" x14ac:dyDescent="0.2">
      <c r="A927" t="str">
        <f>IF(ISBLANK(B927), "","PriceArea-926")</f>
        <v/>
      </c>
    </row>
    <row r="928" spans="1:1" x14ac:dyDescent="0.2">
      <c r="A928" t="str">
        <f>IF(ISBLANK(B928), "","PriceArea-927")</f>
        <v/>
      </c>
    </row>
    <row r="929" spans="1:1" x14ac:dyDescent="0.2">
      <c r="A929" t="str">
        <f>IF(ISBLANK(B929), "","PriceArea-928")</f>
        <v/>
      </c>
    </row>
    <row r="930" spans="1:1" x14ac:dyDescent="0.2">
      <c r="A930" t="str">
        <f>IF(ISBLANK(B930), "","PriceArea-929")</f>
        <v/>
      </c>
    </row>
    <row r="931" spans="1:1" x14ac:dyDescent="0.2">
      <c r="A931" t="str">
        <f>IF(ISBLANK(B931), "","PriceArea-930")</f>
        <v/>
      </c>
    </row>
    <row r="932" spans="1:1" x14ac:dyDescent="0.2">
      <c r="A932" t="str">
        <f>IF(ISBLANK(B932), "","PriceArea-931")</f>
        <v/>
      </c>
    </row>
    <row r="933" spans="1:1" x14ac:dyDescent="0.2">
      <c r="A933" t="str">
        <f>IF(ISBLANK(B933), "","PriceArea-932")</f>
        <v/>
      </c>
    </row>
    <row r="934" spans="1:1" x14ac:dyDescent="0.2">
      <c r="A934" t="str">
        <f>IF(ISBLANK(B934), "","PriceArea-933")</f>
        <v/>
      </c>
    </row>
    <row r="935" spans="1:1" x14ac:dyDescent="0.2">
      <c r="A935" t="str">
        <f>IF(ISBLANK(B935), "","PriceArea-934")</f>
        <v/>
      </c>
    </row>
    <row r="936" spans="1:1" x14ac:dyDescent="0.2">
      <c r="A936" t="str">
        <f>IF(ISBLANK(B936), "","PriceArea-935")</f>
        <v/>
      </c>
    </row>
    <row r="937" spans="1:1" x14ac:dyDescent="0.2">
      <c r="A937" t="str">
        <f>IF(ISBLANK(B937), "","PriceArea-936")</f>
        <v/>
      </c>
    </row>
    <row r="938" spans="1:1" x14ac:dyDescent="0.2">
      <c r="A938" t="str">
        <f>IF(ISBLANK(B938), "","PriceArea-937")</f>
        <v/>
      </c>
    </row>
    <row r="939" spans="1:1" x14ac:dyDescent="0.2">
      <c r="A939" t="str">
        <f>IF(ISBLANK(B939), "","PriceArea-938")</f>
        <v/>
      </c>
    </row>
    <row r="940" spans="1:1" x14ac:dyDescent="0.2">
      <c r="A940" t="str">
        <f>IF(ISBLANK(B940), "","PriceArea-939")</f>
        <v/>
      </c>
    </row>
    <row r="941" spans="1:1" x14ac:dyDescent="0.2">
      <c r="A941" t="str">
        <f>IF(ISBLANK(B941), "","PriceArea-940")</f>
        <v/>
      </c>
    </row>
    <row r="942" spans="1:1" x14ac:dyDescent="0.2">
      <c r="A942" t="str">
        <f>IF(ISBLANK(B942), "","PriceArea-941")</f>
        <v/>
      </c>
    </row>
    <row r="943" spans="1:1" x14ac:dyDescent="0.2">
      <c r="A943" t="str">
        <f>IF(ISBLANK(B943), "","PriceArea-942")</f>
        <v/>
      </c>
    </row>
    <row r="944" spans="1:1" x14ac:dyDescent="0.2">
      <c r="A944" t="str">
        <f>IF(ISBLANK(B944), "","PriceArea-943")</f>
        <v/>
      </c>
    </row>
    <row r="945" spans="1:1" x14ac:dyDescent="0.2">
      <c r="A945" t="str">
        <f>IF(ISBLANK(B945), "","PriceArea-944")</f>
        <v/>
      </c>
    </row>
    <row r="946" spans="1:1" x14ac:dyDescent="0.2">
      <c r="A946" t="str">
        <f>IF(ISBLANK(B946), "","PriceArea-945")</f>
        <v/>
      </c>
    </row>
    <row r="947" spans="1:1" x14ac:dyDescent="0.2">
      <c r="A947" t="str">
        <f>IF(ISBLANK(B947), "","PriceArea-946")</f>
        <v/>
      </c>
    </row>
    <row r="948" spans="1:1" x14ac:dyDescent="0.2">
      <c r="A948" t="str">
        <f>IF(ISBLANK(B948), "","PriceArea-947")</f>
        <v/>
      </c>
    </row>
    <row r="949" spans="1:1" x14ac:dyDescent="0.2">
      <c r="A949" t="str">
        <f>IF(ISBLANK(B949), "","PriceArea-948")</f>
        <v/>
      </c>
    </row>
    <row r="950" spans="1:1" x14ac:dyDescent="0.2">
      <c r="A950" t="str">
        <f>IF(ISBLANK(B950), "","PriceArea-949")</f>
        <v/>
      </c>
    </row>
    <row r="951" spans="1:1" x14ac:dyDescent="0.2">
      <c r="A951" t="str">
        <f>IF(ISBLANK(B951), "","PriceArea-950")</f>
        <v/>
      </c>
    </row>
    <row r="952" spans="1:1" x14ac:dyDescent="0.2">
      <c r="A952" t="str">
        <f>IF(ISBLANK(B952), "","PriceArea-951")</f>
        <v/>
      </c>
    </row>
    <row r="953" spans="1:1" x14ac:dyDescent="0.2">
      <c r="A953" t="str">
        <f>IF(ISBLANK(B953), "","PriceArea-952")</f>
        <v/>
      </c>
    </row>
    <row r="954" spans="1:1" x14ac:dyDescent="0.2">
      <c r="A954" t="str">
        <f>IF(ISBLANK(B954), "","PriceArea-953")</f>
        <v/>
      </c>
    </row>
    <row r="955" spans="1:1" x14ac:dyDescent="0.2">
      <c r="A955" t="str">
        <f>IF(ISBLANK(B955), "","PriceArea-954")</f>
        <v/>
      </c>
    </row>
    <row r="956" spans="1:1" x14ac:dyDescent="0.2">
      <c r="A956" t="str">
        <f>IF(ISBLANK(B956), "","PriceArea-955")</f>
        <v/>
      </c>
    </row>
    <row r="957" spans="1:1" x14ac:dyDescent="0.2">
      <c r="A957" t="str">
        <f>IF(ISBLANK(B957), "","PriceArea-956")</f>
        <v/>
      </c>
    </row>
    <row r="958" spans="1:1" x14ac:dyDescent="0.2">
      <c r="A958" t="str">
        <f>IF(ISBLANK(B958), "","PriceArea-957")</f>
        <v/>
      </c>
    </row>
    <row r="959" spans="1:1" x14ac:dyDescent="0.2">
      <c r="A959" t="str">
        <f>IF(ISBLANK(B959), "","PriceArea-958")</f>
        <v/>
      </c>
    </row>
    <row r="960" spans="1:1" x14ac:dyDescent="0.2">
      <c r="A960" t="str">
        <f>IF(ISBLANK(B960), "","PriceArea-959")</f>
        <v/>
      </c>
    </row>
    <row r="961" spans="1:1" x14ac:dyDescent="0.2">
      <c r="A961" t="str">
        <f>IF(ISBLANK(B961), "","PriceArea-960")</f>
        <v/>
      </c>
    </row>
    <row r="962" spans="1:1" x14ac:dyDescent="0.2">
      <c r="A962" t="str">
        <f>IF(ISBLANK(B962), "","PriceArea-961")</f>
        <v/>
      </c>
    </row>
    <row r="963" spans="1:1" x14ac:dyDescent="0.2">
      <c r="A963" t="str">
        <f>IF(ISBLANK(B963), "","PriceArea-962")</f>
        <v/>
      </c>
    </row>
    <row r="964" spans="1:1" x14ac:dyDescent="0.2">
      <c r="A964" t="str">
        <f>IF(ISBLANK(B964), "","PriceArea-963")</f>
        <v/>
      </c>
    </row>
    <row r="965" spans="1:1" x14ac:dyDescent="0.2">
      <c r="A965" t="str">
        <f>IF(ISBLANK(B965), "","PriceArea-964")</f>
        <v/>
      </c>
    </row>
    <row r="966" spans="1:1" x14ac:dyDescent="0.2">
      <c r="A966" t="str">
        <f>IF(ISBLANK(B966), "","PriceArea-965")</f>
        <v/>
      </c>
    </row>
    <row r="967" spans="1:1" x14ac:dyDescent="0.2">
      <c r="A967" t="str">
        <f>IF(ISBLANK(B967), "","PriceArea-966")</f>
        <v/>
      </c>
    </row>
    <row r="968" spans="1:1" x14ac:dyDescent="0.2">
      <c r="A968" t="str">
        <f>IF(ISBLANK(B968), "","PriceArea-967")</f>
        <v/>
      </c>
    </row>
    <row r="969" spans="1:1" x14ac:dyDescent="0.2">
      <c r="A969" t="str">
        <f>IF(ISBLANK(B969), "","PriceArea-968")</f>
        <v/>
      </c>
    </row>
    <row r="970" spans="1:1" x14ac:dyDescent="0.2">
      <c r="A970" t="str">
        <f>IF(ISBLANK(B970), "","PriceArea-969")</f>
        <v/>
      </c>
    </row>
    <row r="971" spans="1:1" x14ac:dyDescent="0.2">
      <c r="A971" t="str">
        <f>IF(ISBLANK(B971), "","PriceArea-970")</f>
        <v/>
      </c>
    </row>
    <row r="972" spans="1:1" x14ac:dyDescent="0.2">
      <c r="A972" t="str">
        <f>IF(ISBLANK(B972), "","PriceArea-971")</f>
        <v/>
      </c>
    </row>
    <row r="973" spans="1:1" x14ac:dyDescent="0.2">
      <c r="A973" t="str">
        <f>IF(ISBLANK(B973), "","PriceArea-972")</f>
        <v/>
      </c>
    </row>
    <row r="974" spans="1:1" x14ac:dyDescent="0.2">
      <c r="A974" t="str">
        <f>IF(ISBLANK(B974), "","PriceArea-973")</f>
        <v/>
      </c>
    </row>
    <row r="975" spans="1:1" x14ac:dyDescent="0.2">
      <c r="A975" t="str">
        <f>IF(ISBLANK(B975), "","PriceArea-974")</f>
        <v/>
      </c>
    </row>
    <row r="976" spans="1:1" x14ac:dyDescent="0.2">
      <c r="A976" t="str">
        <f>IF(ISBLANK(B976), "","PriceArea-975")</f>
        <v/>
      </c>
    </row>
    <row r="977" spans="1:1" x14ac:dyDescent="0.2">
      <c r="A977" t="str">
        <f>IF(ISBLANK(B977), "","PriceArea-976")</f>
        <v/>
      </c>
    </row>
    <row r="978" spans="1:1" x14ac:dyDescent="0.2">
      <c r="A978" t="str">
        <f>IF(ISBLANK(B978), "","PriceArea-977")</f>
        <v/>
      </c>
    </row>
    <row r="979" spans="1:1" x14ac:dyDescent="0.2">
      <c r="A979" t="str">
        <f>IF(ISBLANK(B979), "","PriceArea-978")</f>
        <v/>
      </c>
    </row>
    <row r="980" spans="1:1" x14ac:dyDescent="0.2">
      <c r="A980" t="str">
        <f>IF(ISBLANK(B980), "","PriceArea-979")</f>
        <v/>
      </c>
    </row>
    <row r="981" spans="1:1" x14ac:dyDescent="0.2">
      <c r="A981" t="str">
        <f>IF(ISBLANK(B981), "","PriceArea-980")</f>
        <v/>
      </c>
    </row>
    <row r="982" spans="1:1" x14ac:dyDescent="0.2">
      <c r="A982" t="str">
        <f>IF(ISBLANK(B982), "","PriceArea-981")</f>
        <v/>
      </c>
    </row>
    <row r="983" spans="1:1" x14ac:dyDescent="0.2">
      <c r="A983" t="str">
        <f>IF(ISBLANK(B983), "","PriceArea-982")</f>
        <v/>
      </c>
    </row>
    <row r="984" spans="1:1" x14ac:dyDescent="0.2">
      <c r="A984" t="str">
        <f>IF(ISBLANK(B984), "","PriceArea-983")</f>
        <v/>
      </c>
    </row>
    <row r="985" spans="1:1" x14ac:dyDescent="0.2">
      <c r="A985" t="str">
        <f>IF(ISBLANK(B985), "","PriceArea-984")</f>
        <v/>
      </c>
    </row>
    <row r="986" spans="1:1" x14ac:dyDescent="0.2">
      <c r="A986" t="str">
        <f>IF(ISBLANK(B986), "","PriceArea-985")</f>
        <v/>
      </c>
    </row>
    <row r="987" spans="1:1" x14ac:dyDescent="0.2">
      <c r="A987" t="str">
        <f>IF(ISBLANK(B987), "","PriceArea-986")</f>
        <v/>
      </c>
    </row>
    <row r="988" spans="1:1" x14ac:dyDescent="0.2">
      <c r="A988" t="str">
        <f>IF(ISBLANK(B988), "","PriceArea-987")</f>
        <v/>
      </c>
    </row>
    <row r="989" spans="1:1" x14ac:dyDescent="0.2">
      <c r="A989" t="str">
        <f>IF(ISBLANK(B989), "","PriceArea-988")</f>
        <v/>
      </c>
    </row>
    <row r="990" spans="1:1" x14ac:dyDescent="0.2">
      <c r="A990" t="str">
        <f>IF(ISBLANK(B990), "","PriceArea-989")</f>
        <v/>
      </c>
    </row>
    <row r="991" spans="1:1" x14ac:dyDescent="0.2">
      <c r="A991" t="str">
        <f>IF(ISBLANK(B991), "","PriceArea-990")</f>
        <v/>
      </c>
    </row>
    <row r="992" spans="1:1" x14ac:dyDescent="0.2">
      <c r="A992" t="str">
        <f>IF(ISBLANK(B992), "","PriceArea-991")</f>
        <v/>
      </c>
    </row>
    <row r="993" spans="1:1" x14ac:dyDescent="0.2">
      <c r="A993" t="str">
        <f>IF(ISBLANK(B993), "","PriceArea-992")</f>
        <v/>
      </c>
    </row>
    <row r="994" spans="1:1" x14ac:dyDescent="0.2">
      <c r="A994" t="str">
        <f>IF(ISBLANK(B994), "","PriceArea-993")</f>
        <v/>
      </c>
    </row>
    <row r="995" spans="1:1" x14ac:dyDescent="0.2">
      <c r="A995" t="str">
        <f>IF(ISBLANK(B995), "","PriceArea-994")</f>
        <v/>
      </c>
    </row>
    <row r="996" spans="1:1" x14ac:dyDescent="0.2">
      <c r="A996" t="str">
        <f>IF(ISBLANK(B996), "","PriceArea-995")</f>
        <v/>
      </c>
    </row>
    <row r="997" spans="1:1" x14ac:dyDescent="0.2">
      <c r="A997" t="str">
        <f>IF(ISBLANK(B997), "","PriceArea-996")</f>
        <v/>
      </c>
    </row>
    <row r="998" spans="1:1" x14ac:dyDescent="0.2">
      <c r="A998" t="str">
        <f>IF(ISBLANK(B998), "","PriceArea-997")</f>
        <v/>
      </c>
    </row>
    <row r="999" spans="1:1" x14ac:dyDescent="0.2">
      <c r="A999" t="str">
        <f>IF(ISBLANK(B999), "","PriceArea-998")</f>
        <v/>
      </c>
    </row>
    <row r="1000" spans="1:1" x14ac:dyDescent="0.2">
      <c r="A1000" t="str">
        <f>IF(ISBLANK(B1000), "","PriceArea-999")</f>
        <v/>
      </c>
    </row>
    <row r="1001" spans="1:1" x14ac:dyDescent="0.2">
      <c r="A1001" t="str">
        <f>IF(ISBLANK(B1001), "","PriceArea-1000")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00">
        <x14:dataValidation type="list" allowBlank="1" showInputMessage="1" showErrorMessage="1" xr:uid="{00000000-0002-0000-0200-000000000000}">
          <x14:formula1>
            <xm:f>Country!A2:A1000</xm:f>
          </x14:formula1>
          <xm:sqref>C2</xm:sqref>
        </x14:dataValidation>
        <x14:dataValidation type="list" allowBlank="1" showInputMessage="1" showErrorMessage="1" xr:uid="{00000000-0002-0000-0200-000001000000}">
          <x14:formula1>
            <xm:f>Country!A2:A1000</xm:f>
          </x14:formula1>
          <xm:sqref>C3</xm:sqref>
        </x14:dataValidation>
        <x14:dataValidation type="list" allowBlank="1" showInputMessage="1" showErrorMessage="1" xr:uid="{00000000-0002-0000-0200-000002000000}">
          <x14:formula1>
            <xm:f>Country!A2:A1000</xm:f>
          </x14:formula1>
          <xm:sqref>C4</xm:sqref>
        </x14:dataValidation>
        <x14:dataValidation type="list" allowBlank="1" showInputMessage="1" showErrorMessage="1" xr:uid="{00000000-0002-0000-0200-000003000000}">
          <x14:formula1>
            <xm:f>Country!A2:A1000</xm:f>
          </x14:formula1>
          <xm:sqref>C5</xm:sqref>
        </x14:dataValidation>
        <x14:dataValidation type="list" allowBlank="1" showInputMessage="1" showErrorMessage="1" xr:uid="{00000000-0002-0000-0200-000004000000}">
          <x14:formula1>
            <xm:f>Country!A2:A1000</xm:f>
          </x14:formula1>
          <xm:sqref>C6</xm:sqref>
        </x14:dataValidation>
        <x14:dataValidation type="list" allowBlank="1" showInputMessage="1" showErrorMessage="1" xr:uid="{00000000-0002-0000-0200-000005000000}">
          <x14:formula1>
            <xm:f>Country!A2:A1000</xm:f>
          </x14:formula1>
          <xm:sqref>C7</xm:sqref>
        </x14:dataValidation>
        <x14:dataValidation type="list" allowBlank="1" showInputMessage="1" showErrorMessage="1" xr:uid="{00000000-0002-0000-0200-000006000000}">
          <x14:formula1>
            <xm:f>Country!A2:A1000</xm:f>
          </x14:formula1>
          <xm:sqref>C8</xm:sqref>
        </x14:dataValidation>
        <x14:dataValidation type="list" allowBlank="1" showInputMessage="1" showErrorMessage="1" xr:uid="{00000000-0002-0000-0200-000007000000}">
          <x14:formula1>
            <xm:f>Country!A2:A1000</xm:f>
          </x14:formula1>
          <xm:sqref>C9</xm:sqref>
        </x14:dataValidation>
        <x14:dataValidation type="list" allowBlank="1" showInputMessage="1" showErrorMessage="1" xr:uid="{00000000-0002-0000-0200-000008000000}">
          <x14:formula1>
            <xm:f>Country!A2:A1000</xm:f>
          </x14:formula1>
          <xm:sqref>C10</xm:sqref>
        </x14:dataValidation>
        <x14:dataValidation type="list" allowBlank="1" showInputMessage="1" showErrorMessage="1" xr:uid="{00000000-0002-0000-0200-000009000000}">
          <x14:formula1>
            <xm:f>Country!A2:A1000</xm:f>
          </x14:formula1>
          <xm:sqref>C11</xm:sqref>
        </x14:dataValidation>
        <x14:dataValidation type="list" allowBlank="1" showInputMessage="1" showErrorMessage="1" xr:uid="{00000000-0002-0000-0200-00000A000000}">
          <x14:formula1>
            <xm:f>Country!A2:A1000</xm:f>
          </x14:formula1>
          <xm:sqref>C12</xm:sqref>
        </x14:dataValidation>
        <x14:dataValidation type="list" allowBlank="1" showInputMessage="1" showErrorMessage="1" xr:uid="{00000000-0002-0000-0200-00000B000000}">
          <x14:formula1>
            <xm:f>Country!A2:A1000</xm:f>
          </x14:formula1>
          <xm:sqref>C13</xm:sqref>
        </x14:dataValidation>
        <x14:dataValidation type="list" allowBlank="1" showInputMessage="1" showErrorMessage="1" xr:uid="{00000000-0002-0000-0200-00000C000000}">
          <x14:formula1>
            <xm:f>Country!A2:A1000</xm:f>
          </x14:formula1>
          <xm:sqref>C14</xm:sqref>
        </x14:dataValidation>
        <x14:dataValidation type="list" allowBlank="1" showInputMessage="1" showErrorMessage="1" xr:uid="{00000000-0002-0000-0200-00000D000000}">
          <x14:formula1>
            <xm:f>Country!A2:A1000</xm:f>
          </x14:formula1>
          <xm:sqref>C15</xm:sqref>
        </x14:dataValidation>
        <x14:dataValidation type="list" allowBlank="1" showInputMessage="1" showErrorMessage="1" xr:uid="{00000000-0002-0000-0200-00000E000000}">
          <x14:formula1>
            <xm:f>Country!A2:A1000</xm:f>
          </x14:formula1>
          <xm:sqref>C16</xm:sqref>
        </x14:dataValidation>
        <x14:dataValidation type="list" allowBlank="1" showInputMessage="1" showErrorMessage="1" xr:uid="{00000000-0002-0000-0200-00000F000000}">
          <x14:formula1>
            <xm:f>Country!A2:A1000</xm:f>
          </x14:formula1>
          <xm:sqref>C17</xm:sqref>
        </x14:dataValidation>
        <x14:dataValidation type="list" allowBlank="1" showInputMessage="1" showErrorMessage="1" xr:uid="{00000000-0002-0000-0200-000010000000}">
          <x14:formula1>
            <xm:f>Country!A2:A1000</xm:f>
          </x14:formula1>
          <xm:sqref>C18</xm:sqref>
        </x14:dataValidation>
        <x14:dataValidation type="list" allowBlank="1" showInputMessage="1" showErrorMessage="1" xr:uid="{00000000-0002-0000-0200-000011000000}">
          <x14:formula1>
            <xm:f>Country!A2:A1000</xm:f>
          </x14:formula1>
          <xm:sqref>C19</xm:sqref>
        </x14:dataValidation>
        <x14:dataValidation type="list" allowBlank="1" showInputMessage="1" showErrorMessage="1" xr:uid="{00000000-0002-0000-0200-000012000000}">
          <x14:formula1>
            <xm:f>Country!A2:A1000</xm:f>
          </x14:formula1>
          <xm:sqref>C20</xm:sqref>
        </x14:dataValidation>
        <x14:dataValidation type="list" allowBlank="1" showInputMessage="1" showErrorMessage="1" xr:uid="{00000000-0002-0000-0200-000013000000}">
          <x14:formula1>
            <xm:f>Country!A2:A1000</xm:f>
          </x14:formula1>
          <xm:sqref>C21</xm:sqref>
        </x14:dataValidation>
        <x14:dataValidation type="list" allowBlank="1" showInputMessage="1" showErrorMessage="1" xr:uid="{00000000-0002-0000-0200-000014000000}">
          <x14:formula1>
            <xm:f>Country!A2:A1000</xm:f>
          </x14:formula1>
          <xm:sqref>C22</xm:sqref>
        </x14:dataValidation>
        <x14:dataValidation type="list" allowBlank="1" showInputMessage="1" showErrorMessage="1" xr:uid="{00000000-0002-0000-0200-000015000000}">
          <x14:formula1>
            <xm:f>Country!A2:A1000</xm:f>
          </x14:formula1>
          <xm:sqref>C23</xm:sqref>
        </x14:dataValidation>
        <x14:dataValidation type="list" allowBlank="1" showInputMessage="1" showErrorMessage="1" xr:uid="{00000000-0002-0000-0200-000016000000}">
          <x14:formula1>
            <xm:f>Country!A2:A1000</xm:f>
          </x14:formula1>
          <xm:sqref>C24</xm:sqref>
        </x14:dataValidation>
        <x14:dataValidation type="list" allowBlank="1" showInputMessage="1" showErrorMessage="1" xr:uid="{00000000-0002-0000-0200-000017000000}">
          <x14:formula1>
            <xm:f>Country!A2:A1000</xm:f>
          </x14:formula1>
          <xm:sqref>C25</xm:sqref>
        </x14:dataValidation>
        <x14:dataValidation type="list" allowBlank="1" showInputMessage="1" showErrorMessage="1" xr:uid="{00000000-0002-0000-0200-000018000000}">
          <x14:formula1>
            <xm:f>Country!A2:A1000</xm:f>
          </x14:formula1>
          <xm:sqref>C26</xm:sqref>
        </x14:dataValidation>
        <x14:dataValidation type="list" allowBlank="1" showInputMessage="1" showErrorMessage="1" xr:uid="{00000000-0002-0000-0200-000019000000}">
          <x14:formula1>
            <xm:f>Country!A2:A1000</xm:f>
          </x14:formula1>
          <xm:sqref>C27</xm:sqref>
        </x14:dataValidation>
        <x14:dataValidation type="list" allowBlank="1" showInputMessage="1" showErrorMessage="1" xr:uid="{00000000-0002-0000-0200-00001A000000}">
          <x14:formula1>
            <xm:f>Country!A2:A1000</xm:f>
          </x14:formula1>
          <xm:sqref>C28</xm:sqref>
        </x14:dataValidation>
        <x14:dataValidation type="list" allowBlank="1" showInputMessage="1" showErrorMessage="1" xr:uid="{00000000-0002-0000-0200-00001B000000}">
          <x14:formula1>
            <xm:f>Country!A2:A1000</xm:f>
          </x14:formula1>
          <xm:sqref>C29</xm:sqref>
        </x14:dataValidation>
        <x14:dataValidation type="list" allowBlank="1" showInputMessage="1" showErrorMessage="1" xr:uid="{00000000-0002-0000-0200-00001C000000}">
          <x14:formula1>
            <xm:f>Country!A2:A1000</xm:f>
          </x14:formula1>
          <xm:sqref>C30</xm:sqref>
        </x14:dataValidation>
        <x14:dataValidation type="list" allowBlank="1" showInputMessage="1" showErrorMessage="1" xr:uid="{00000000-0002-0000-0200-00001D000000}">
          <x14:formula1>
            <xm:f>Country!A2:A1000</xm:f>
          </x14:formula1>
          <xm:sqref>C31</xm:sqref>
        </x14:dataValidation>
        <x14:dataValidation type="list" allowBlank="1" showInputMessage="1" showErrorMessage="1" xr:uid="{00000000-0002-0000-0200-00001E000000}">
          <x14:formula1>
            <xm:f>Country!A2:A1000</xm:f>
          </x14:formula1>
          <xm:sqref>C32</xm:sqref>
        </x14:dataValidation>
        <x14:dataValidation type="list" allowBlank="1" showInputMessage="1" showErrorMessage="1" xr:uid="{00000000-0002-0000-0200-00001F000000}">
          <x14:formula1>
            <xm:f>Country!A2:A1000</xm:f>
          </x14:formula1>
          <xm:sqref>C33</xm:sqref>
        </x14:dataValidation>
        <x14:dataValidation type="list" allowBlank="1" showInputMessage="1" showErrorMessage="1" xr:uid="{00000000-0002-0000-0200-000020000000}">
          <x14:formula1>
            <xm:f>Country!A2:A1000</xm:f>
          </x14:formula1>
          <xm:sqref>C34</xm:sqref>
        </x14:dataValidation>
        <x14:dataValidation type="list" allowBlank="1" showInputMessage="1" showErrorMessage="1" xr:uid="{00000000-0002-0000-0200-000021000000}">
          <x14:formula1>
            <xm:f>Country!A2:A1000</xm:f>
          </x14:formula1>
          <xm:sqref>C35</xm:sqref>
        </x14:dataValidation>
        <x14:dataValidation type="list" allowBlank="1" showInputMessage="1" showErrorMessage="1" xr:uid="{00000000-0002-0000-0200-000022000000}">
          <x14:formula1>
            <xm:f>Country!A2:A1000</xm:f>
          </x14:formula1>
          <xm:sqref>C36</xm:sqref>
        </x14:dataValidation>
        <x14:dataValidation type="list" allowBlank="1" showInputMessage="1" showErrorMessage="1" xr:uid="{00000000-0002-0000-0200-000023000000}">
          <x14:formula1>
            <xm:f>Country!A2:A1000</xm:f>
          </x14:formula1>
          <xm:sqref>C37</xm:sqref>
        </x14:dataValidation>
        <x14:dataValidation type="list" allowBlank="1" showInputMessage="1" showErrorMessage="1" xr:uid="{00000000-0002-0000-0200-000024000000}">
          <x14:formula1>
            <xm:f>Country!A2:A1000</xm:f>
          </x14:formula1>
          <xm:sqref>C38</xm:sqref>
        </x14:dataValidation>
        <x14:dataValidation type="list" allowBlank="1" showInputMessage="1" showErrorMessage="1" xr:uid="{00000000-0002-0000-0200-000025000000}">
          <x14:formula1>
            <xm:f>Country!A2:A1000</xm:f>
          </x14:formula1>
          <xm:sqref>C39</xm:sqref>
        </x14:dataValidation>
        <x14:dataValidation type="list" allowBlank="1" showInputMessage="1" showErrorMessage="1" xr:uid="{00000000-0002-0000-0200-000026000000}">
          <x14:formula1>
            <xm:f>Country!A2:A1000</xm:f>
          </x14:formula1>
          <xm:sqref>C40</xm:sqref>
        </x14:dataValidation>
        <x14:dataValidation type="list" allowBlank="1" showInputMessage="1" showErrorMessage="1" xr:uid="{00000000-0002-0000-0200-000027000000}">
          <x14:formula1>
            <xm:f>Country!A2:A1000</xm:f>
          </x14:formula1>
          <xm:sqref>C41</xm:sqref>
        </x14:dataValidation>
        <x14:dataValidation type="list" allowBlank="1" showInputMessage="1" showErrorMessage="1" xr:uid="{00000000-0002-0000-0200-000028000000}">
          <x14:formula1>
            <xm:f>Country!A2:A1000</xm:f>
          </x14:formula1>
          <xm:sqref>C42</xm:sqref>
        </x14:dataValidation>
        <x14:dataValidation type="list" allowBlank="1" showInputMessage="1" showErrorMessage="1" xr:uid="{00000000-0002-0000-0200-000029000000}">
          <x14:formula1>
            <xm:f>Country!A2:A1000</xm:f>
          </x14:formula1>
          <xm:sqref>C43</xm:sqref>
        </x14:dataValidation>
        <x14:dataValidation type="list" allowBlank="1" showInputMessage="1" showErrorMessage="1" xr:uid="{00000000-0002-0000-0200-00002A000000}">
          <x14:formula1>
            <xm:f>Country!A2:A1000</xm:f>
          </x14:formula1>
          <xm:sqref>C44</xm:sqref>
        </x14:dataValidation>
        <x14:dataValidation type="list" allowBlank="1" showInputMessage="1" showErrorMessage="1" xr:uid="{00000000-0002-0000-0200-00002B000000}">
          <x14:formula1>
            <xm:f>Country!A2:A1000</xm:f>
          </x14:formula1>
          <xm:sqref>C45</xm:sqref>
        </x14:dataValidation>
        <x14:dataValidation type="list" allowBlank="1" showInputMessage="1" showErrorMessage="1" xr:uid="{00000000-0002-0000-0200-00002C000000}">
          <x14:formula1>
            <xm:f>Country!A2:A1000</xm:f>
          </x14:formula1>
          <xm:sqref>C46</xm:sqref>
        </x14:dataValidation>
        <x14:dataValidation type="list" allowBlank="1" showInputMessage="1" showErrorMessage="1" xr:uid="{00000000-0002-0000-0200-00002D000000}">
          <x14:formula1>
            <xm:f>Country!A2:A1000</xm:f>
          </x14:formula1>
          <xm:sqref>C47</xm:sqref>
        </x14:dataValidation>
        <x14:dataValidation type="list" allowBlank="1" showInputMessage="1" showErrorMessage="1" xr:uid="{00000000-0002-0000-0200-00002E000000}">
          <x14:formula1>
            <xm:f>Country!A2:A1000</xm:f>
          </x14:formula1>
          <xm:sqref>C48</xm:sqref>
        </x14:dataValidation>
        <x14:dataValidation type="list" allowBlank="1" showInputMessage="1" showErrorMessage="1" xr:uid="{00000000-0002-0000-0200-00002F000000}">
          <x14:formula1>
            <xm:f>Country!A2:A1000</xm:f>
          </x14:formula1>
          <xm:sqref>C49</xm:sqref>
        </x14:dataValidation>
        <x14:dataValidation type="list" allowBlank="1" showInputMessage="1" showErrorMessage="1" xr:uid="{00000000-0002-0000-0200-000030000000}">
          <x14:formula1>
            <xm:f>Country!A2:A1000</xm:f>
          </x14:formula1>
          <xm:sqref>C50</xm:sqref>
        </x14:dataValidation>
        <x14:dataValidation type="list" allowBlank="1" showInputMessage="1" showErrorMessage="1" xr:uid="{00000000-0002-0000-0200-000031000000}">
          <x14:formula1>
            <xm:f>Country!A2:A1000</xm:f>
          </x14:formula1>
          <xm:sqref>C51</xm:sqref>
        </x14:dataValidation>
        <x14:dataValidation type="list" allowBlank="1" showInputMessage="1" showErrorMessage="1" xr:uid="{00000000-0002-0000-0200-000032000000}">
          <x14:formula1>
            <xm:f>Country!A2:A1000</xm:f>
          </x14:formula1>
          <xm:sqref>C52</xm:sqref>
        </x14:dataValidation>
        <x14:dataValidation type="list" allowBlank="1" showInputMessage="1" showErrorMessage="1" xr:uid="{00000000-0002-0000-0200-000033000000}">
          <x14:formula1>
            <xm:f>Country!A2:A1000</xm:f>
          </x14:formula1>
          <xm:sqref>C53</xm:sqref>
        </x14:dataValidation>
        <x14:dataValidation type="list" allowBlank="1" showInputMessage="1" showErrorMessage="1" xr:uid="{00000000-0002-0000-0200-000034000000}">
          <x14:formula1>
            <xm:f>Country!A2:A1000</xm:f>
          </x14:formula1>
          <xm:sqref>C54</xm:sqref>
        </x14:dataValidation>
        <x14:dataValidation type="list" allowBlank="1" showInputMessage="1" showErrorMessage="1" xr:uid="{00000000-0002-0000-0200-000035000000}">
          <x14:formula1>
            <xm:f>Country!A2:A1000</xm:f>
          </x14:formula1>
          <xm:sqref>C55</xm:sqref>
        </x14:dataValidation>
        <x14:dataValidation type="list" allowBlank="1" showInputMessage="1" showErrorMessage="1" xr:uid="{00000000-0002-0000-0200-000036000000}">
          <x14:formula1>
            <xm:f>Country!A2:A1000</xm:f>
          </x14:formula1>
          <xm:sqref>C56</xm:sqref>
        </x14:dataValidation>
        <x14:dataValidation type="list" allowBlank="1" showInputMessage="1" showErrorMessage="1" xr:uid="{00000000-0002-0000-0200-000037000000}">
          <x14:formula1>
            <xm:f>Country!A2:A1000</xm:f>
          </x14:formula1>
          <xm:sqref>C57</xm:sqref>
        </x14:dataValidation>
        <x14:dataValidation type="list" allowBlank="1" showInputMessage="1" showErrorMessage="1" xr:uid="{00000000-0002-0000-0200-000038000000}">
          <x14:formula1>
            <xm:f>Country!A2:A1000</xm:f>
          </x14:formula1>
          <xm:sqref>C58</xm:sqref>
        </x14:dataValidation>
        <x14:dataValidation type="list" allowBlank="1" showInputMessage="1" showErrorMessage="1" xr:uid="{00000000-0002-0000-0200-000039000000}">
          <x14:formula1>
            <xm:f>Country!A2:A1000</xm:f>
          </x14:formula1>
          <xm:sqref>C59</xm:sqref>
        </x14:dataValidation>
        <x14:dataValidation type="list" allowBlank="1" showInputMessage="1" showErrorMessage="1" xr:uid="{00000000-0002-0000-0200-00003A000000}">
          <x14:formula1>
            <xm:f>Country!A2:A1000</xm:f>
          </x14:formula1>
          <xm:sqref>C60</xm:sqref>
        </x14:dataValidation>
        <x14:dataValidation type="list" allowBlank="1" showInputMessage="1" showErrorMessage="1" xr:uid="{00000000-0002-0000-0200-00003B000000}">
          <x14:formula1>
            <xm:f>Country!A2:A1000</xm:f>
          </x14:formula1>
          <xm:sqref>C61</xm:sqref>
        </x14:dataValidation>
        <x14:dataValidation type="list" allowBlank="1" showInputMessage="1" showErrorMessage="1" xr:uid="{00000000-0002-0000-0200-00003C000000}">
          <x14:formula1>
            <xm:f>Country!A2:A1000</xm:f>
          </x14:formula1>
          <xm:sqref>C62</xm:sqref>
        </x14:dataValidation>
        <x14:dataValidation type="list" allowBlank="1" showInputMessage="1" showErrorMessage="1" xr:uid="{00000000-0002-0000-0200-00003D000000}">
          <x14:formula1>
            <xm:f>Country!A2:A1000</xm:f>
          </x14:formula1>
          <xm:sqref>C63</xm:sqref>
        </x14:dataValidation>
        <x14:dataValidation type="list" allowBlank="1" showInputMessage="1" showErrorMessage="1" xr:uid="{00000000-0002-0000-0200-00003E000000}">
          <x14:formula1>
            <xm:f>Country!A2:A1000</xm:f>
          </x14:formula1>
          <xm:sqref>C64</xm:sqref>
        </x14:dataValidation>
        <x14:dataValidation type="list" allowBlank="1" showInputMessage="1" showErrorMessage="1" xr:uid="{00000000-0002-0000-0200-00003F000000}">
          <x14:formula1>
            <xm:f>Country!A2:A1000</xm:f>
          </x14:formula1>
          <xm:sqref>C65</xm:sqref>
        </x14:dataValidation>
        <x14:dataValidation type="list" allowBlank="1" showInputMessage="1" showErrorMessage="1" xr:uid="{00000000-0002-0000-0200-000040000000}">
          <x14:formula1>
            <xm:f>Country!A2:A1000</xm:f>
          </x14:formula1>
          <xm:sqref>C66</xm:sqref>
        </x14:dataValidation>
        <x14:dataValidation type="list" allowBlank="1" showInputMessage="1" showErrorMessage="1" xr:uid="{00000000-0002-0000-0200-000041000000}">
          <x14:formula1>
            <xm:f>Country!A2:A1000</xm:f>
          </x14:formula1>
          <xm:sqref>C67</xm:sqref>
        </x14:dataValidation>
        <x14:dataValidation type="list" allowBlank="1" showInputMessage="1" showErrorMessage="1" xr:uid="{00000000-0002-0000-0200-000042000000}">
          <x14:formula1>
            <xm:f>Country!A2:A1000</xm:f>
          </x14:formula1>
          <xm:sqref>C68</xm:sqref>
        </x14:dataValidation>
        <x14:dataValidation type="list" allowBlank="1" showInputMessage="1" showErrorMessage="1" xr:uid="{00000000-0002-0000-0200-000043000000}">
          <x14:formula1>
            <xm:f>Country!A2:A1000</xm:f>
          </x14:formula1>
          <xm:sqref>C69</xm:sqref>
        </x14:dataValidation>
        <x14:dataValidation type="list" allowBlank="1" showInputMessage="1" showErrorMessage="1" xr:uid="{00000000-0002-0000-0200-000044000000}">
          <x14:formula1>
            <xm:f>Country!A2:A1000</xm:f>
          </x14:formula1>
          <xm:sqref>C70</xm:sqref>
        </x14:dataValidation>
        <x14:dataValidation type="list" allowBlank="1" showInputMessage="1" showErrorMessage="1" xr:uid="{00000000-0002-0000-0200-000045000000}">
          <x14:formula1>
            <xm:f>Country!A2:A1000</xm:f>
          </x14:formula1>
          <xm:sqref>C71</xm:sqref>
        </x14:dataValidation>
        <x14:dataValidation type="list" allowBlank="1" showInputMessage="1" showErrorMessage="1" xr:uid="{00000000-0002-0000-0200-000046000000}">
          <x14:formula1>
            <xm:f>Country!A2:A1000</xm:f>
          </x14:formula1>
          <xm:sqref>C72</xm:sqref>
        </x14:dataValidation>
        <x14:dataValidation type="list" allowBlank="1" showInputMessage="1" showErrorMessage="1" xr:uid="{00000000-0002-0000-0200-000047000000}">
          <x14:formula1>
            <xm:f>Country!A2:A1000</xm:f>
          </x14:formula1>
          <xm:sqref>C73</xm:sqref>
        </x14:dataValidation>
        <x14:dataValidation type="list" allowBlank="1" showInputMessage="1" showErrorMessage="1" xr:uid="{00000000-0002-0000-0200-000048000000}">
          <x14:formula1>
            <xm:f>Country!A2:A1000</xm:f>
          </x14:formula1>
          <xm:sqref>C74</xm:sqref>
        </x14:dataValidation>
        <x14:dataValidation type="list" allowBlank="1" showInputMessage="1" showErrorMessage="1" xr:uid="{00000000-0002-0000-0200-000049000000}">
          <x14:formula1>
            <xm:f>Country!A2:A1000</xm:f>
          </x14:formula1>
          <xm:sqref>C75</xm:sqref>
        </x14:dataValidation>
        <x14:dataValidation type="list" allowBlank="1" showInputMessage="1" showErrorMessage="1" xr:uid="{00000000-0002-0000-0200-00004A000000}">
          <x14:formula1>
            <xm:f>Country!A2:A1000</xm:f>
          </x14:formula1>
          <xm:sqref>C76</xm:sqref>
        </x14:dataValidation>
        <x14:dataValidation type="list" allowBlank="1" showInputMessage="1" showErrorMessage="1" xr:uid="{00000000-0002-0000-0200-00004B000000}">
          <x14:formula1>
            <xm:f>Country!A2:A1000</xm:f>
          </x14:formula1>
          <xm:sqref>C77</xm:sqref>
        </x14:dataValidation>
        <x14:dataValidation type="list" allowBlank="1" showInputMessage="1" showErrorMessage="1" xr:uid="{00000000-0002-0000-0200-00004C000000}">
          <x14:formula1>
            <xm:f>Country!A2:A1000</xm:f>
          </x14:formula1>
          <xm:sqref>C78</xm:sqref>
        </x14:dataValidation>
        <x14:dataValidation type="list" allowBlank="1" showInputMessage="1" showErrorMessage="1" xr:uid="{00000000-0002-0000-0200-00004D000000}">
          <x14:formula1>
            <xm:f>Country!A2:A1000</xm:f>
          </x14:formula1>
          <xm:sqref>C79</xm:sqref>
        </x14:dataValidation>
        <x14:dataValidation type="list" allowBlank="1" showInputMessage="1" showErrorMessage="1" xr:uid="{00000000-0002-0000-0200-00004E000000}">
          <x14:formula1>
            <xm:f>Country!A2:A1000</xm:f>
          </x14:formula1>
          <xm:sqref>C80</xm:sqref>
        </x14:dataValidation>
        <x14:dataValidation type="list" allowBlank="1" showInputMessage="1" showErrorMessage="1" xr:uid="{00000000-0002-0000-0200-00004F000000}">
          <x14:formula1>
            <xm:f>Country!A2:A1000</xm:f>
          </x14:formula1>
          <xm:sqref>C81</xm:sqref>
        </x14:dataValidation>
        <x14:dataValidation type="list" allowBlank="1" showInputMessage="1" showErrorMessage="1" xr:uid="{00000000-0002-0000-0200-000050000000}">
          <x14:formula1>
            <xm:f>Country!A2:A1000</xm:f>
          </x14:formula1>
          <xm:sqref>C82</xm:sqref>
        </x14:dataValidation>
        <x14:dataValidation type="list" allowBlank="1" showInputMessage="1" showErrorMessage="1" xr:uid="{00000000-0002-0000-0200-000051000000}">
          <x14:formula1>
            <xm:f>Country!A2:A1000</xm:f>
          </x14:formula1>
          <xm:sqref>C83</xm:sqref>
        </x14:dataValidation>
        <x14:dataValidation type="list" allowBlank="1" showInputMessage="1" showErrorMessage="1" xr:uid="{00000000-0002-0000-0200-000052000000}">
          <x14:formula1>
            <xm:f>Country!A2:A1000</xm:f>
          </x14:formula1>
          <xm:sqref>C84</xm:sqref>
        </x14:dataValidation>
        <x14:dataValidation type="list" allowBlank="1" showInputMessage="1" showErrorMessage="1" xr:uid="{00000000-0002-0000-0200-000053000000}">
          <x14:formula1>
            <xm:f>Country!A2:A1000</xm:f>
          </x14:formula1>
          <xm:sqref>C85</xm:sqref>
        </x14:dataValidation>
        <x14:dataValidation type="list" allowBlank="1" showInputMessage="1" showErrorMessage="1" xr:uid="{00000000-0002-0000-0200-000054000000}">
          <x14:formula1>
            <xm:f>Country!A2:A1000</xm:f>
          </x14:formula1>
          <xm:sqref>C86</xm:sqref>
        </x14:dataValidation>
        <x14:dataValidation type="list" allowBlank="1" showInputMessage="1" showErrorMessage="1" xr:uid="{00000000-0002-0000-0200-000055000000}">
          <x14:formula1>
            <xm:f>Country!A2:A1000</xm:f>
          </x14:formula1>
          <xm:sqref>C87</xm:sqref>
        </x14:dataValidation>
        <x14:dataValidation type="list" allowBlank="1" showInputMessage="1" showErrorMessage="1" xr:uid="{00000000-0002-0000-0200-000056000000}">
          <x14:formula1>
            <xm:f>Country!A2:A1000</xm:f>
          </x14:formula1>
          <xm:sqref>C88</xm:sqref>
        </x14:dataValidation>
        <x14:dataValidation type="list" allowBlank="1" showInputMessage="1" showErrorMessage="1" xr:uid="{00000000-0002-0000-0200-000057000000}">
          <x14:formula1>
            <xm:f>Country!A2:A1000</xm:f>
          </x14:formula1>
          <xm:sqref>C89</xm:sqref>
        </x14:dataValidation>
        <x14:dataValidation type="list" allowBlank="1" showInputMessage="1" showErrorMessage="1" xr:uid="{00000000-0002-0000-0200-000058000000}">
          <x14:formula1>
            <xm:f>Country!A2:A1000</xm:f>
          </x14:formula1>
          <xm:sqref>C90</xm:sqref>
        </x14:dataValidation>
        <x14:dataValidation type="list" allowBlank="1" showInputMessage="1" showErrorMessage="1" xr:uid="{00000000-0002-0000-0200-000059000000}">
          <x14:formula1>
            <xm:f>Country!A2:A1000</xm:f>
          </x14:formula1>
          <xm:sqref>C91</xm:sqref>
        </x14:dataValidation>
        <x14:dataValidation type="list" allowBlank="1" showInputMessage="1" showErrorMessage="1" xr:uid="{00000000-0002-0000-0200-00005A000000}">
          <x14:formula1>
            <xm:f>Country!A2:A1000</xm:f>
          </x14:formula1>
          <xm:sqref>C92</xm:sqref>
        </x14:dataValidation>
        <x14:dataValidation type="list" allowBlank="1" showInputMessage="1" showErrorMessage="1" xr:uid="{00000000-0002-0000-0200-00005B000000}">
          <x14:formula1>
            <xm:f>Country!A2:A1000</xm:f>
          </x14:formula1>
          <xm:sqref>C93</xm:sqref>
        </x14:dataValidation>
        <x14:dataValidation type="list" allowBlank="1" showInputMessage="1" showErrorMessage="1" xr:uid="{00000000-0002-0000-0200-00005C000000}">
          <x14:formula1>
            <xm:f>Country!A2:A1000</xm:f>
          </x14:formula1>
          <xm:sqref>C94</xm:sqref>
        </x14:dataValidation>
        <x14:dataValidation type="list" allowBlank="1" showInputMessage="1" showErrorMessage="1" xr:uid="{00000000-0002-0000-0200-00005D000000}">
          <x14:formula1>
            <xm:f>Country!A2:A1000</xm:f>
          </x14:formula1>
          <xm:sqref>C95</xm:sqref>
        </x14:dataValidation>
        <x14:dataValidation type="list" allowBlank="1" showInputMessage="1" showErrorMessage="1" xr:uid="{00000000-0002-0000-0200-00005E000000}">
          <x14:formula1>
            <xm:f>Country!A2:A1000</xm:f>
          </x14:formula1>
          <xm:sqref>C96</xm:sqref>
        </x14:dataValidation>
        <x14:dataValidation type="list" allowBlank="1" showInputMessage="1" showErrorMessage="1" xr:uid="{00000000-0002-0000-0200-00005F000000}">
          <x14:formula1>
            <xm:f>Country!A2:A1000</xm:f>
          </x14:formula1>
          <xm:sqref>C97</xm:sqref>
        </x14:dataValidation>
        <x14:dataValidation type="list" allowBlank="1" showInputMessage="1" showErrorMessage="1" xr:uid="{00000000-0002-0000-0200-000060000000}">
          <x14:formula1>
            <xm:f>Country!A2:A1000</xm:f>
          </x14:formula1>
          <xm:sqref>C98</xm:sqref>
        </x14:dataValidation>
        <x14:dataValidation type="list" allowBlank="1" showInputMessage="1" showErrorMessage="1" xr:uid="{00000000-0002-0000-0200-000061000000}">
          <x14:formula1>
            <xm:f>Country!A2:A1000</xm:f>
          </x14:formula1>
          <xm:sqref>C99</xm:sqref>
        </x14:dataValidation>
        <x14:dataValidation type="list" allowBlank="1" showInputMessage="1" showErrorMessage="1" xr:uid="{00000000-0002-0000-0200-000062000000}">
          <x14:formula1>
            <xm:f>Country!A2:A1000</xm:f>
          </x14:formula1>
          <xm:sqref>C100</xm:sqref>
        </x14:dataValidation>
        <x14:dataValidation type="list" allowBlank="1" showInputMessage="1" showErrorMessage="1" xr:uid="{00000000-0002-0000-0200-000063000000}">
          <x14:formula1>
            <xm:f>Country!A2:A1000</xm:f>
          </x14:formula1>
          <xm:sqref>C101</xm:sqref>
        </x14:dataValidation>
        <x14:dataValidation type="list" allowBlank="1" showInputMessage="1" showErrorMessage="1" xr:uid="{00000000-0002-0000-0200-000064000000}">
          <x14:formula1>
            <xm:f>Country!A2:A1000</xm:f>
          </x14:formula1>
          <xm:sqref>C102</xm:sqref>
        </x14:dataValidation>
        <x14:dataValidation type="list" allowBlank="1" showInputMessage="1" showErrorMessage="1" xr:uid="{00000000-0002-0000-0200-000065000000}">
          <x14:formula1>
            <xm:f>Country!A2:A1000</xm:f>
          </x14:formula1>
          <xm:sqref>C103</xm:sqref>
        </x14:dataValidation>
        <x14:dataValidation type="list" allowBlank="1" showInputMessage="1" showErrorMessage="1" xr:uid="{00000000-0002-0000-0200-000066000000}">
          <x14:formula1>
            <xm:f>Country!A2:A1000</xm:f>
          </x14:formula1>
          <xm:sqref>C104</xm:sqref>
        </x14:dataValidation>
        <x14:dataValidation type="list" allowBlank="1" showInputMessage="1" showErrorMessage="1" xr:uid="{00000000-0002-0000-0200-000067000000}">
          <x14:formula1>
            <xm:f>Country!A2:A1000</xm:f>
          </x14:formula1>
          <xm:sqref>C105</xm:sqref>
        </x14:dataValidation>
        <x14:dataValidation type="list" allowBlank="1" showInputMessage="1" showErrorMessage="1" xr:uid="{00000000-0002-0000-0200-000068000000}">
          <x14:formula1>
            <xm:f>Country!A2:A1000</xm:f>
          </x14:formula1>
          <xm:sqref>C106</xm:sqref>
        </x14:dataValidation>
        <x14:dataValidation type="list" allowBlank="1" showInputMessage="1" showErrorMessage="1" xr:uid="{00000000-0002-0000-0200-000069000000}">
          <x14:formula1>
            <xm:f>Country!A2:A1000</xm:f>
          </x14:formula1>
          <xm:sqref>C107</xm:sqref>
        </x14:dataValidation>
        <x14:dataValidation type="list" allowBlank="1" showInputMessage="1" showErrorMessage="1" xr:uid="{00000000-0002-0000-0200-00006A000000}">
          <x14:formula1>
            <xm:f>Country!A2:A1000</xm:f>
          </x14:formula1>
          <xm:sqref>C108</xm:sqref>
        </x14:dataValidation>
        <x14:dataValidation type="list" allowBlank="1" showInputMessage="1" showErrorMessage="1" xr:uid="{00000000-0002-0000-0200-00006B000000}">
          <x14:formula1>
            <xm:f>Country!A2:A1000</xm:f>
          </x14:formula1>
          <xm:sqref>C109</xm:sqref>
        </x14:dataValidation>
        <x14:dataValidation type="list" allowBlank="1" showInputMessage="1" showErrorMessage="1" xr:uid="{00000000-0002-0000-0200-00006C000000}">
          <x14:formula1>
            <xm:f>Country!A2:A1000</xm:f>
          </x14:formula1>
          <xm:sqref>C110</xm:sqref>
        </x14:dataValidation>
        <x14:dataValidation type="list" allowBlank="1" showInputMessage="1" showErrorMessage="1" xr:uid="{00000000-0002-0000-0200-00006D000000}">
          <x14:formula1>
            <xm:f>Country!A2:A1000</xm:f>
          </x14:formula1>
          <xm:sqref>C111</xm:sqref>
        </x14:dataValidation>
        <x14:dataValidation type="list" allowBlank="1" showInputMessage="1" showErrorMessage="1" xr:uid="{00000000-0002-0000-0200-00006E000000}">
          <x14:formula1>
            <xm:f>Country!A2:A1000</xm:f>
          </x14:formula1>
          <xm:sqref>C112</xm:sqref>
        </x14:dataValidation>
        <x14:dataValidation type="list" allowBlank="1" showInputMessage="1" showErrorMessage="1" xr:uid="{00000000-0002-0000-0200-00006F000000}">
          <x14:formula1>
            <xm:f>Country!A2:A1000</xm:f>
          </x14:formula1>
          <xm:sqref>C113</xm:sqref>
        </x14:dataValidation>
        <x14:dataValidation type="list" allowBlank="1" showInputMessage="1" showErrorMessage="1" xr:uid="{00000000-0002-0000-0200-000070000000}">
          <x14:formula1>
            <xm:f>Country!A2:A1000</xm:f>
          </x14:formula1>
          <xm:sqref>C114</xm:sqref>
        </x14:dataValidation>
        <x14:dataValidation type="list" allowBlank="1" showInputMessage="1" showErrorMessage="1" xr:uid="{00000000-0002-0000-0200-000071000000}">
          <x14:formula1>
            <xm:f>Country!A2:A1000</xm:f>
          </x14:formula1>
          <xm:sqref>C115</xm:sqref>
        </x14:dataValidation>
        <x14:dataValidation type="list" allowBlank="1" showInputMessage="1" showErrorMessage="1" xr:uid="{00000000-0002-0000-0200-000072000000}">
          <x14:formula1>
            <xm:f>Country!A2:A1000</xm:f>
          </x14:formula1>
          <xm:sqref>C116</xm:sqref>
        </x14:dataValidation>
        <x14:dataValidation type="list" allowBlank="1" showInputMessage="1" showErrorMessage="1" xr:uid="{00000000-0002-0000-0200-000073000000}">
          <x14:formula1>
            <xm:f>Country!A2:A1000</xm:f>
          </x14:formula1>
          <xm:sqref>C117</xm:sqref>
        </x14:dataValidation>
        <x14:dataValidation type="list" allowBlank="1" showInputMessage="1" showErrorMessage="1" xr:uid="{00000000-0002-0000-0200-000074000000}">
          <x14:formula1>
            <xm:f>Country!A2:A1000</xm:f>
          </x14:formula1>
          <xm:sqref>C118</xm:sqref>
        </x14:dataValidation>
        <x14:dataValidation type="list" allowBlank="1" showInputMessage="1" showErrorMessage="1" xr:uid="{00000000-0002-0000-0200-000075000000}">
          <x14:formula1>
            <xm:f>Country!A2:A1000</xm:f>
          </x14:formula1>
          <xm:sqref>C119</xm:sqref>
        </x14:dataValidation>
        <x14:dataValidation type="list" allowBlank="1" showInputMessage="1" showErrorMessage="1" xr:uid="{00000000-0002-0000-0200-000076000000}">
          <x14:formula1>
            <xm:f>Country!A2:A1000</xm:f>
          </x14:formula1>
          <xm:sqref>C120</xm:sqref>
        </x14:dataValidation>
        <x14:dataValidation type="list" allowBlank="1" showInputMessage="1" showErrorMessage="1" xr:uid="{00000000-0002-0000-0200-000077000000}">
          <x14:formula1>
            <xm:f>Country!A2:A1000</xm:f>
          </x14:formula1>
          <xm:sqref>C121</xm:sqref>
        </x14:dataValidation>
        <x14:dataValidation type="list" allowBlank="1" showInputMessage="1" showErrorMessage="1" xr:uid="{00000000-0002-0000-0200-000078000000}">
          <x14:formula1>
            <xm:f>Country!A2:A1000</xm:f>
          </x14:formula1>
          <xm:sqref>C122</xm:sqref>
        </x14:dataValidation>
        <x14:dataValidation type="list" allowBlank="1" showInputMessage="1" showErrorMessage="1" xr:uid="{00000000-0002-0000-0200-000079000000}">
          <x14:formula1>
            <xm:f>Country!A2:A1000</xm:f>
          </x14:formula1>
          <xm:sqref>C123</xm:sqref>
        </x14:dataValidation>
        <x14:dataValidation type="list" allowBlank="1" showInputMessage="1" showErrorMessage="1" xr:uid="{00000000-0002-0000-0200-00007A000000}">
          <x14:formula1>
            <xm:f>Country!A2:A1000</xm:f>
          </x14:formula1>
          <xm:sqref>C124</xm:sqref>
        </x14:dataValidation>
        <x14:dataValidation type="list" allowBlank="1" showInputMessage="1" showErrorMessage="1" xr:uid="{00000000-0002-0000-0200-00007B000000}">
          <x14:formula1>
            <xm:f>Country!A2:A1000</xm:f>
          </x14:formula1>
          <xm:sqref>C125</xm:sqref>
        </x14:dataValidation>
        <x14:dataValidation type="list" allowBlank="1" showInputMessage="1" showErrorMessage="1" xr:uid="{00000000-0002-0000-0200-00007C000000}">
          <x14:formula1>
            <xm:f>Country!A2:A1000</xm:f>
          </x14:formula1>
          <xm:sqref>C126</xm:sqref>
        </x14:dataValidation>
        <x14:dataValidation type="list" allowBlank="1" showInputMessage="1" showErrorMessage="1" xr:uid="{00000000-0002-0000-0200-00007D000000}">
          <x14:formula1>
            <xm:f>Country!A2:A1000</xm:f>
          </x14:formula1>
          <xm:sqref>C127</xm:sqref>
        </x14:dataValidation>
        <x14:dataValidation type="list" allowBlank="1" showInputMessage="1" showErrorMessage="1" xr:uid="{00000000-0002-0000-0200-00007E000000}">
          <x14:formula1>
            <xm:f>Country!A2:A1000</xm:f>
          </x14:formula1>
          <xm:sqref>C128</xm:sqref>
        </x14:dataValidation>
        <x14:dataValidation type="list" allowBlank="1" showInputMessage="1" showErrorMessage="1" xr:uid="{00000000-0002-0000-0200-00007F000000}">
          <x14:formula1>
            <xm:f>Country!A2:A1000</xm:f>
          </x14:formula1>
          <xm:sqref>C129</xm:sqref>
        </x14:dataValidation>
        <x14:dataValidation type="list" allowBlank="1" showInputMessage="1" showErrorMessage="1" xr:uid="{00000000-0002-0000-0200-000080000000}">
          <x14:formula1>
            <xm:f>Country!A2:A1000</xm:f>
          </x14:formula1>
          <xm:sqref>C130</xm:sqref>
        </x14:dataValidation>
        <x14:dataValidation type="list" allowBlank="1" showInputMessage="1" showErrorMessage="1" xr:uid="{00000000-0002-0000-0200-000081000000}">
          <x14:formula1>
            <xm:f>Country!A2:A1000</xm:f>
          </x14:formula1>
          <xm:sqref>C131</xm:sqref>
        </x14:dataValidation>
        <x14:dataValidation type="list" allowBlank="1" showInputMessage="1" showErrorMessage="1" xr:uid="{00000000-0002-0000-0200-000082000000}">
          <x14:formula1>
            <xm:f>Country!A2:A1000</xm:f>
          </x14:formula1>
          <xm:sqref>C132</xm:sqref>
        </x14:dataValidation>
        <x14:dataValidation type="list" allowBlank="1" showInputMessage="1" showErrorMessage="1" xr:uid="{00000000-0002-0000-0200-000083000000}">
          <x14:formula1>
            <xm:f>Country!A2:A1000</xm:f>
          </x14:formula1>
          <xm:sqref>C133</xm:sqref>
        </x14:dataValidation>
        <x14:dataValidation type="list" allowBlank="1" showInputMessage="1" showErrorMessage="1" xr:uid="{00000000-0002-0000-0200-000084000000}">
          <x14:formula1>
            <xm:f>Country!A2:A1000</xm:f>
          </x14:formula1>
          <xm:sqref>C134</xm:sqref>
        </x14:dataValidation>
        <x14:dataValidation type="list" allowBlank="1" showInputMessage="1" showErrorMessage="1" xr:uid="{00000000-0002-0000-0200-000085000000}">
          <x14:formula1>
            <xm:f>Country!A2:A1000</xm:f>
          </x14:formula1>
          <xm:sqref>C135</xm:sqref>
        </x14:dataValidation>
        <x14:dataValidation type="list" allowBlank="1" showInputMessage="1" showErrorMessage="1" xr:uid="{00000000-0002-0000-0200-000086000000}">
          <x14:formula1>
            <xm:f>Country!A2:A1000</xm:f>
          </x14:formula1>
          <xm:sqref>C136</xm:sqref>
        </x14:dataValidation>
        <x14:dataValidation type="list" allowBlank="1" showInputMessage="1" showErrorMessage="1" xr:uid="{00000000-0002-0000-0200-000087000000}">
          <x14:formula1>
            <xm:f>Country!A2:A1000</xm:f>
          </x14:formula1>
          <xm:sqref>C137</xm:sqref>
        </x14:dataValidation>
        <x14:dataValidation type="list" allowBlank="1" showInputMessage="1" showErrorMessage="1" xr:uid="{00000000-0002-0000-0200-000088000000}">
          <x14:formula1>
            <xm:f>Country!A2:A1000</xm:f>
          </x14:formula1>
          <xm:sqref>C138</xm:sqref>
        </x14:dataValidation>
        <x14:dataValidation type="list" allowBlank="1" showInputMessage="1" showErrorMessage="1" xr:uid="{00000000-0002-0000-0200-000089000000}">
          <x14:formula1>
            <xm:f>Country!A2:A1000</xm:f>
          </x14:formula1>
          <xm:sqref>C139</xm:sqref>
        </x14:dataValidation>
        <x14:dataValidation type="list" allowBlank="1" showInputMessage="1" showErrorMessage="1" xr:uid="{00000000-0002-0000-0200-00008A000000}">
          <x14:formula1>
            <xm:f>Country!A2:A1000</xm:f>
          </x14:formula1>
          <xm:sqref>C140</xm:sqref>
        </x14:dataValidation>
        <x14:dataValidation type="list" allowBlank="1" showInputMessage="1" showErrorMessage="1" xr:uid="{00000000-0002-0000-0200-00008B000000}">
          <x14:formula1>
            <xm:f>Country!A2:A1000</xm:f>
          </x14:formula1>
          <xm:sqref>C141</xm:sqref>
        </x14:dataValidation>
        <x14:dataValidation type="list" allowBlank="1" showInputMessage="1" showErrorMessage="1" xr:uid="{00000000-0002-0000-0200-00008C000000}">
          <x14:formula1>
            <xm:f>Country!A2:A1000</xm:f>
          </x14:formula1>
          <xm:sqref>C142</xm:sqref>
        </x14:dataValidation>
        <x14:dataValidation type="list" allowBlank="1" showInputMessage="1" showErrorMessage="1" xr:uid="{00000000-0002-0000-0200-00008D000000}">
          <x14:formula1>
            <xm:f>Country!A2:A1000</xm:f>
          </x14:formula1>
          <xm:sqref>C143</xm:sqref>
        </x14:dataValidation>
        <x14:dataValidation type="list" allowBlank="1" showInputMessage="1" showErrorMessage="1" xr:uid="{00000000-0002-0000-0200-00008E000000}">
          <x14:formula1>
            <xm:f>Country!A2:A1000</xm:f>
          </x14:formula1>
          <xm:sqref>C144</xm:sqref>
        </x14:dataValidation>
        <x14:dataValidation type="list" allowBlank="1" showInputMessage="1" showErrorMessage="1" xr:uid="{00000000-0002-0000-0200-00008F000000}">
          <x14:formula1>
            <xm:f>Country!A2:A1000</xm:f>
          </x14:formula1>
          <xm:sqref>C145</xm:sqref>
        </x14:dataValidation>
        <x14:dataValidation type="list" allowBlank="1" showInputMessage="1" showErrorMessage="1" xr:uid="{00000000-0002-0000-0200-000090000000}">
          <x14:formula1>
            <xm:f>Country!A2:A1000</xm:f>
          </x14:formula1>
          <xm:sqref>C146</xm:sqref>
        </x14:dataValidation>
        <x14:dataValidation type="list" allowBlank="1" showInputMessage="1" showErrorMessage="1" xr:uid="{00000000-0002-0000-0200-000091000000}">
          <x14:formula1>
            <xm:f>Country!A2:A1000</xm:f>
          </x14:formula1>
          <xm:sqref>C147</xm:sqref>
        </x14:dataValidation>
        <x14:dataValidation type="list" allowBlank="1" showInputMessage="1" showErrorMessage="1" xr:uid="{00000000-0002-0000-0200-000092000000}">
          <x14:formula1>
            <xm:f>Country!A2:A1000</xm:f>
          </x14:formula1>
          <xm:sqref>C148</xm:sqref>
        </x14:dataValidation>
        <x14:dataValidation type="list" allowBlank="1" showInputMessage="1" showErrorMessage="1" xr:uid="{00000000-0002-0000-0200-000093000000}">
          <x14:formula1>
            <xm:f>Country!A2:A1000</xm:f>
          </x14:formula1>
          <xm:sqref>C149</xm:sqref>
        </x14:dataValidation>
        <x14:dataValidation type="list" allowBlank="1" showInputMessage="1" showErrorMessage="1" xr:uid="{00000000-0002-0000-0200-000094000000}">
          <x14:formula1>
            <xm:f>Country!A2:A1000</xm:f>
          </x14:formula1>
          <xm:sqref>C150</xm:sqref>
        </x14:dataValidation>
        <x14:dataValidation type="list" allowBlank="1" showInputMessage="1" showErrorMessage="1" xr:uid="{00000000-0002-0000-0200-000095000000}">
          <x14:formula1>
            <xm:f>Country!A2:A1000</xm:f>
          </x14:formula1>
          <xm:sqref>C151</xm:sqref>
        </x14:dataValidation>
        <x14:dataValidation type="list" allowBlank="1" showInputMessage="1" showErrorMessage="1" xr:uid="{00000000-0002-0000-0200-000096000000}">
          <x14:formula1>
            <xm:f>Country!A2:A1000</xm:f>
          </x14:formula1>
          <xm:sqref>C152</xm:sqref>
        </x14:dataValidation>
        <x14:dataValidation type="list" allowBlank="1" showInputMessage="1" showErrorMessage="1" xr:uid="{00000000-0002-0000-0200-000097000000}">
          <x14:formula1>
            <xm:f>Country!A2:A1000</xm:f>
          </x14:formula1>
          <xm:sqref>C153</xm:sqref>
        </x14:dataValidation>
        <x14:dataValidation type="list" allowBlank="1" showInputMessage="1" showErrorMessage="1" xr:uid="{00000000-0002-0000-0200-000098000000}">
          <x14:formula1>
            <xm:f>Country!A2:A1000</xm:f>
          </x14:formula1>
          <xm:sqref>C154</xm:sqref>
        </x14:dataValidation>
        <x14:dataValidation type="list" allowBlank="1" showInputMessage="1" showErrorMessage="1" xr:uid="{00000000-0002-0000-0200-000099000000}">
          <x14:formula1>
            <xm:f>Country!A2:A1000</xm:f>
          </x14:formula1>
          <xm:sqref>C155</xm:sqref>
        </x14:dataValidation>
        <x14:dataValidation type="list" allowBlank="1" showInputMessage="1" showErrorMessage="1" xr:uid="{00000000-0002-0000-0200-00009A000000}">
          <x14:formula1>
            <xm:f>Country!A2:A1000</xm:f>
          </x14:formula1>
          <xm:sqref>C156</xm:sqref>
        </x14:dataValidation>
        <x14:dataValidation type="list" allowBlank="1" showInputMessage="1" showErrorMessage="1" xr:uid="{00000000-0002-0000-0200-00009B000000}">
          <x14:formula1>
            <xm:f>Country!A2:A1000</xm:f>
          </x14:formula1>
          <xm:sqref>C157</xm:sqref>
        </x14:dataValidation>
        <x14:dataValidation type="list" allowBlank="1" showInputMessage="1" showErrorMessage="1" xr:uid="{00000000-0002-0000-0200-00009C000000}">
          <x14:formula1>
            <xm:f>Country!A2:A1000</xm:f>
          </x14:formula1>
          <xm:sqref>C158</xm:sqref>
        </x14:dataValidation>
        <x14:dataValidation type="list" allowBlank="1" showInputMessage="1" showErrorMessage="1" xr:uid="{00000000-0002-0000-0200-00009D000000}">
          <x14:formula1>
            <xm:f>Country!A2:A1000</xm:f>
          </x14:formula1>
          <xm:sqref>C159</xm:sqref>
        </x14:dataValidation>
        <x14:dataValidation type="list" allowBlank="1" showInputMessage="1" showErrorMessage="1" xr:uid="{00000000-0002-0000-0200-00009E000000}">
          <x14:formula1>
            <xm:f>Country!A2:A1000</xm:f>
          </x14:formula1>
          <xm:sqref>C160</xm:sqref>
        </x14:dataValidation>
        <x14:dataValidation type="list" allowBlank="1" showInputMessage="1" showErrorMessage="1" xr:uid="{00000000-0002-0000-0200-00009F000000}">
          <x14:formula1>
            <xm:f>Country!A2:A1000</xm:f>
          </x14:formula1>
          <xm:sqref>C161</xm:sqref>
        </x14:dataValidation>
        <x14:dataValidation type="list" allowBlank="1" showInputMessage="1" showErrorMessage="1" xr:uid="{00000000-0002-0000-0200-0000A0000000}">
          <x14:formula1>
            <xm:f>Country!A2:A1000</xm:f>
          </x14:formula1>
          <xm:sqref>C162</xm:sqref>
        </x14:dataValidation>
        <x14:dataValidation type="list" allowBlank="1" showInputMessage="1" showErrorMessage="1" xr:uid="{00000000-0002-0000-0200-0000A1000000}">
          <x14:formula1>
            <xm:f>Country!A2:A1000</xm:f>
          </x14:formula1>
          <xm:sqref>C163</xm:sqref>
        </x14:dataValidation>
        <x14:dataValidation type="list" allowBlank="1" showInputMessage="1" showErrorMessage="1" xr:uid="{00000000-0002-0000-0200-0000A2000000}">
          <x14:formula1>
            <xm:f>Country!A2:A1000</xm:f>
          </x14:formula1>
          <xm:sqref>C164</xm:sqref>
        </x14:dataValidation>
        <x14:dataValidation type="list" allowBlank="1" showInputMessage="1" showErrorMessage="1" xr:uid="{00000000-0002-0000-0200-0000A3000000}">
          <x14:formula1>
            <xm:f>Country!A2:A1000</xm:f>
          </x14:formula1>
          <xm:sqref>C165</xm:sqref>
        </x14:dataValidation>
        <x14:dataValidation type="list" allowBlank="1" showInputMessage="1" showErrorMessage="1" xr:uid="{00000000-0002-0000-0200-0000A4000000}">
          <x14:formula1>
            <xm:f>Country!A2:A1000</xm:f>
          </x14:formula1>
          <xm:sqref>C166</xm:sqref>
        </x14:dataValidation>
        <x14:dataValidation type="list" allowBlank="1" showInputMessage="1" showErrorMessage="1" xr:uid="{00000000-0002-0000-0200-0000A5000000}">
          <x14:formula1>
            <xm:f>Country!A2:A1000</xm:f>
          </x14:formula1>
          <xm:sqref>C167</xm:sqref>
        </x14:dataValidation>
        <x14:dataValidation type="list" allowBlank="1" showInputMessage="1" showErrorMessage="1" xr:uid="{00000000-0002-0000-0200-0000A6000000}">
          <x14:formula1>
            <xm:f>Country!A2:A1000</xm:f>
          </x14:formula1>
          <xm:sqref>C168</xm:sqref>
        </x14:dataValidation>
        <x14:dataValidation type="list" allowBlank="1" showInputMessage="1" showErrorMessage="1" xr:uid="{00000000-0002-0000-0200-0000A7000000}">
          <x14:formula1>
            <xm:f>Country!A2:A1000</xm:f>
          </x14:formula1>
          <xm:sqref>C169</xm:sqref>
        </x14:dataValidation>
        <x14:dataValidation type="list" allowBlank="1" showInputMessage="1" showErrorMessage="1" xr:uid="{00000000-0002-0000-0200-0000A8000000}">
          <x14:formula1>
            <xm:f>Country!A2:A1000</xm:f>
          </x14:formula1>
          <xm:sqref>C170</xm:sqref>
        </x14:dataValidation>
        <x14:dataValidation type="list" allowBlank="1" showInputMessage="1" showErrorMessage="1" xr:uid="{00000000-0002-0000-0200-0000A9000000}">
          <x14:formula1>
            <xm:f>Country!A2:A1000</xm:f>
          </x14:formula1>
          <xm:sqref>C171</xm:sqref>
        </x14:dataValidation>
        <x14:dataValidation type="list" allowBlank="1" showInputMessage="1" showErrorMessage="1" xr:uid="{00000000-0002-0000-0200-0000AA000000}">
          <x14:formula1>
            <xm:f>Country!A2:A1000</xm:f>
          </x14:formula1>
          <xm:sqref>C172</xm:sqref>
        </x14:dataValidation>
        <x14:dataValidation type="list" allowBlank="1" showInputMessage="1" showErrorMessage="1" xr:uid="{00000000-0002-0000-0200-0000AB000000}">
          <x14:formula1>
            <xm:f>Country!A2:A1000</xm:f>
          </x14:formula1>
          <xm:sqref>C173</xm:sqref>
        </x14:dataValidation>
        <x14:dataValidation type="list" allowBlank="1" showInputMessage="1" showErrorMessage="1" xr:uid="{00000000-0002-0000-0200-0000AC000000}">
          <x14:formula1>
            <xm:f>Country!A2:A1000</xm:f>
          </x14:formula1>
          <xm:sqref>C174</xm:sqref>
        </x14:dataValidation>
        <x14:dataValidation type="list" allowBlank="1" showInputMessage="1" showErrorMessage="1" xr:uid="{00000000-0002-0000-0200-0000AD000000}">
          <x14:formula1>
            <xm:f>Country!A2:A1000</xm:f>
          </x14:formula1>
          <xm:sqref>C175</xm:sqref>
        </x14:dataValidation>
        <x14:dataValidation type="list" allowBlank="1" showInputMessage="1" showErrorMessage="1" xr:uid="{00000000-0002-0000-0200-0000AE000000}">
          <x14:formula1>
            <xm:f>Country!A2:A1000</xm:f>
          </x14:formula1>
          <xm:sqref>C176</xm:sqref>
        </x14:dataValidation>
        <x14:dataValidation type="list" allowBlank="1" showInputMessage="1" showErrorMessage="1" xr:uid="{00000000-0002-0000-0200-0000AF000000}">
          <x14:formula1>
            <xm:f>Country!A2:A1000</xm:f>
          </x14:formula1>
          <xm:sqref>C177</xm:sqref>
        </x14:dataValidation>
        <x14:dataValidation type="list" allowBlank="1" showInputMessage="1" showErrorMessage="1" xr:uid="{00000000-0002-0000-0200-0000B0000000}">
          <x14:formula1>
            <xm:f>Country!A2:A1000</xm:f>
          </x14:formula1>
          <xm:sqref>C178</xm:sqref>
        </x14:dataValidation>
        <x14:dataValidation type="list" allowBlank="1" showInputMessage="1" showErrorMessage="1" xr:uid="{00000000-0002-0000-0200-0000B1000000}">
          <x14:formula1>
            <xm:f>Country!A2:A1000</xm:f>
          </x14:formula1>
          <xm:sqref>C179</xm:sqref>
        </x14:dataValidation>
        <x14:dataValidation type="list" allowBlank="1" showInputMessage="1" showErrorMessage="1" xr:uid="{00000000-0002-0000-0200-0000B2000000}">
          <x14:formula1>
            <xm:f>Country!A2:A1000</xm:f>
          </x14:formula1>
          <xm:sqref>C180</xm:sqref>
        </x14:dataValidation>
        <x14:dataValidation type="list" allowBlank="1" showInputMessage="1" showErrorMessage="1" xr:uid="{00000000-0002-0000-0200-0000B3000000}">
          <x14:formula1>
            <xm:f>Country!A2:A1000</xm:f>
          </x14:formula1>
          <xm:sqref>C181</xm:sqref>
        </x14:dataValidation>
        <x14:dataValidation type="list" allowBlank="1" showInputMessage="1" showErrorMessage="1" xr:uid="{00000000-0002-0000-0200-0000B4000000}">
          <x14:formula1>
            <xm:f>Country!A2:A1000</xm:f>
          </x14:formula1>
          <xm:sqref>C182</xm:sqref>
        </x14:dataValidation>
        <x14:dataValidation type="list" allowBlank="1" showInputMessage="1" showErrorMessage="1" xr:uid="{00000000-0002-0000-0200-0000B5000000}">
          <x14:formula1>
            <xm:f>Country!A2:A1000</xm:f>
          </x14:formula1>
          <xm:sqref>C183</xm:sqref>
        </x14:dataValidation>
        <x14:dataValidation type="list" allowBlank="1" showInputMessage="1" showErrorMessage="1" xr:uid="{00000000-0002-0000-0200-0000B6000000}">
          <x14:formula1>
            <xm:f>Country!A2:A1000</xm:f>
          </x14:formula1>
          <xm:sqref>C184</xm:sqref>
        </x14:dataValidation>
        <x14:dataValidation type="list" allowBlank="1" showInputMessage="1" showErrorMessage="1" xr:uid="{00000000-0002-0000-0200-0000B7000000}">
          <x14:formula1>
            <xm:f>Country!A2:A1000</xm:f>
          </x14:formula1>
          <xm:sqref>C185</xm:sqref>
        </x14:dataValidation>
        <x14:dataValidation type="list" allowBlank="1" showInputMessage="1" showErrorMessage="1" xr:uid="{00000000-0002-0000-0200-0000B8000000}">
          <x14:formula1>
            <xm:f>Country!A2:A1000</xm:f>
          </x14:formula1>
          <xm:sqref>C186</xm:sqref>
        </x14:dataValidation>
        <x14:dataValidation type="list" allowBlank="1" showInputMessage="1" showErrorMessage="1" xr:uid="{00000000-0002-0000-0200-0000B9000000}">
          <x14:formula1>
            <xm:f>Country!A2:A1000</xm:f>
          </x14:formula1>
          <xm:sqref>C187</xm:sqref>
        </x14:dataValidation>
        <x14:dataValidation type="list" allowBlank="1" showInputMessage="1" showErrorMessage="1" xr:uid="{00000000-0002-0000-0200-0000BA000000}">
          <x14:formula1>
            <xm:f>Country!A2:A1000</xm:f>
          </x14:formula1>
          <xm:sqref>C188</xm:sqref>
        </x14:dataValidation>
        <x14:dataValidation type="list" allowBlank="1" showInputMessage="1" showErrorMessage="1" xr:uid="{00000000-0002-0000-0200-0000BB000000}">
          <x14:formula1>
            <xm:f>Country!A2:A1000</xm:f>
          </x14:formula1>
          <xm:sqref>C189</xm:sqref>
        </x14:dataValidation>
        <x14:dataValidation type="list" allowBlank="1" showInputMessage="1" showErrorMessage="1" xr:uid="{00000000-0002-0000-0200-0000BC000000}">
          <x14:formula1>
            <xm:f>Country!A2:A1000</xm:f>
          </x14:formula1>
          <xm:sqref>C190</xm:sqref>
        </x14:dataValidation>
        <x14:dataValidation type="list" allowBlank="1" showInputMessage="1" showErrorMessage="1" xr:uid="{00000000-0002-0000-0200-0000BD000000}">
          <x14:formula1>
            <xm:f>Country!A2:A1000</xm:f>
          </x14:formula1>
          <xm:sqref>C191</xm:sqref>
        </x14:dataValidation>
        <x14:dataValidation type="list" allowBlank="1" showInputMessage="1" showErrorMessage="1" xr:uid="{00000000-0002-0000-0200-0000BE000000}">
          <x14:formula1>
            <xm:f>Country!A2:A1000</xm:f>
          </x14:formula1>
          <xm:sqref>C192</xm:sqref>
        </x14:dataValidation>
        <x14:dataValidation type="list" allowBlank="1" showInputMessage="1" showErrorMessage="1" xr:uid="{00000000-0002-0000-0200-0000BF000000}">
          <x14:formula1>
            <xm:f>Country!A2:A1000</xm:f>
          </x14:formula1>
          <xm:sqref>C193</xm:sqref>
        </x14:dataValidation>
        <x14:dataValidation type="list" allowBlank="1" showInputMessage="1" showErrorMessage="1" xr:uid="{00000000-0002-0000-0200-0000C0000000}">
          <x14:formula1>
            <xm:f>Country!A2:A1000</xm:f>
          </x14:formula1>
          <xm:sqref>C194</xm:sqref>
        </x14:dataValidation>
        <x14:dataValidation type="list" allowBlank="1" showInputMessage="1" showErrorMessage="1" xr:uid="{00000000-0002-0000-0200-0000C1000000}">
          <x14:formula1>
            <xm:f>Country!A2:A1000</xm:f>
          </x14:formula1>
          <xm:sqref>C195</xm:sqref>
        </x14:dataValidation>
        <x14:dataValidation type="list" allowBlank="1" showInputMessage="1" showErrorMessage="1" xr:uid="{00000000-0002-0000-0200-0000C2000000}">
          <x14:formula1>
            <xm:f>Country!A2:A1000</xm:f>
          </x14:formula1>
          <xm:sqref>C196</xm:sqref>
        </x14:dataValidation>
        <x14:dataValidation type="list" allowBlank="1" showInputMessage="1" showErrorMessage="1" xr:uid="{00000000-0002-0000-0200-0000C3000000}">
          <x14:formula1>
            <xm:f>Country!A2:A1000</xm:f>
          </x14:formula1>
          <xm:sqref>C197</xm:sqref>
        </x14:dataValidation>
        <x14:dataValidation type="list" allowBlank="1" showInputMessage="1" showErrorMessage="1" xr:uid="{00000000-0002-0000-0200-0000C4000000}">
          <x14:formula1>
            <xm:f>Country!A2:A1000</xm:f>
          </x14:formula1>
          <xm:sqref>C198</xm:sqref>
        </x14:dataValidation>
        <x14:dataValidation type="list" allowBlank="1" showInputMessage="1" showErrorMessage="1" xr:uid="{00000000-0002-0000-0200-0000C5000000}">
          <x14:formula1>
            <xm:f>Country!A2:A1000</xm:f>
          </x14:formula1>
          <xm:sqref>C199</xm:sqref>
        </x14:dataValidation>
        <x14:dataValidation type="list" allowBlank="1" showInputMessage="1" showErrorMessage="1" xr:uid="{00000000-0002-0000-0200-0000C6000000}">
          <x14:formula1>
            <xm:f>Country!A2:A1000</xm:f>
          </x14:formula1>
          <xm:sqref>C200</xm:sqref>
        </x14:dataValidation>
        <x14:dataValidation type="list" allowBlank="1" showInputMessage="1" showErrorMessage="1" xr:uid="{00000000-0002-0000-0200-0000C7000000}">
          <x14:formula1>
            <xm:f>Country!A2:A1000</xm:f>
          </x14:formula1>
          <xm:sqref>C201</xm:sqref>
        </x14:dataValidation>
        <x14:dataValidation type="list" allowBlank="1" showInputMessage="1" showErrorMessage="1" xr:uid="{00000000-0002-0000-0200-0000C8000000}">
          <x14:formula1>
            <xm:f>Country!A2:A1000</xm:f>
          </x14:formula1>
          <xm:sqref>C202</xm:sqref>
        </x14:dataValidation>
        <x14:dataValidation type="list" allowBlank="1" showInputMessage="1" showErrorMessage="1" xr:uid="{00000000-0002-0000-0200-0000C9000000}">
          <x14:formula1>
            <xm:f>Country!A2:A1000</xm:f>
          </x14:formula1>
          <xm:sqref>C203</xm:sqref>
        </x14:dataValidation>
        <x14:dataValidation type="list" allowBlank="1" showInputMessage="1" showErrorMessage="1" xr:uid="{00000000-0002-0000-0200-0000CA000000}">
          <x14:formula1>
            <xm:f>Country!A2:A1000</xm:f>
          </x14:formula1>
          <xm:sqref>C204</xm:sqref>
        </x14:dataValidation>
        <x14:dataValidation type="list" allowBlank="1" showInputMessage="1" showErrorMessage="1" xr:uid="{00000000-0002-0000-0200-0000CB000000}">
          <x14:formula1>
            <xm:f>Country!A2:A1000</xm:f>
          </x14:formula1>
          <xm:sqref>C205</xm:sqref>
        </x14:dataValidation>
        <x14:dataValidation type="list" allowBlank="1" showInputMessage="1" showErrorMessage="1" xr:uid="{00000000-0002-0000-0200-0000CC000000}">
          <x14:formula1>
            <xm:f>Country!A2:A1000</xm:f>
          </x14:formula1>
          <xm:sqref>C206</xm:sqref>
        </x14:dataValidation>
        <x14:dataValidation type="list" allowBlank="1" showInputMessage="1" showErrorMessage="1" xr:uid="{00000000-0002-0000-0200-0000CD000000}">
          <x14:formula1>
            <xm:f>Country!A2:A1000</xm:f>
          </x14:formula1>
          <xm:sqref>C207</xm:sqref>
        </x14:dataValidation>
        <x14:dataValidation type="list" allowBlank="1" showInputMessage="1" showErrorMessage="1" xr:uid="{00000000-0002-0000-0200-0000CE000000}">
          <x14:formula1>
            <xm:f>Country!A2:A1000</xm:f>
          </x14:formula1>
          <xm:sqref>C208</xm:sqref>
        </x14:dataValidation>
        <x14:dataValidation type="list" allowBlank="1" showInputMessage="1" showErrorMessage="1" xr:uid="{00000000-0002-0000-0200-0000CF000000}">
          <x14:formula1>
            <xm:f>Country!A2:A1000</xm:f>
          </x14:formula1>
          <xm:sqref>C209</xm:sqref>
        </x14:dataValidation>
        <x14:dataValidation type="list" allowBlank="1" showInputMessage="1" showErrorMessage="1" xr:uid="{00000000-0002-0000-0200-0000D0000000}">
          <x14:formula1>
            <xm:f>Country!A2:A1000</xm:f>
          </x14:formula1>
          <xm:sqref>C210</xm:sqref>
        </x14:dataValidation>
        <x14:dataValidation type="list" allowBlank="1" showInputMessage="1" showErrorMessage="1" xr:uid="{00000000-0002-0000-0200-0000D1000000}">
          <x14:formula1>
            <xm:f>Country!A2:A1000</xm:f>
          </x14:formula1>
          <xm:sqref>C211</xm:sqref>
        </x14:dataValidation>
        <x14:dataValidation type="list" allowBlank="1" showInputMessage="1" showErrorMessage="1" xr:uid="{00000000-0002-0000-0200-0000D2000000}">
          <x14:formula1>
            <xm:f>Country!A2:A1000</xm:f>
          </x14:formula1>
          <xm:sqref>C212</xm:sqref>
        </x14:dataValidation>
        <x14:dataValidation type="list" allowBlank="1" showInputMessage="1" showErrorMessage="1" xr:uid="{00000000-0002-0000-0200-0000D3000000}">
          <x14:formula1>
            <xm:f>Country!A2:A1000</xm:f>
          </x14:formula1>
          <xm:sqref>C213</xm:sqref>
        </x14:dataValidation>
        <x14:dataValidation type="list" allowBlank="1" showInputMessage="1" showErrorMessage="1" xr:uid="{00000000-0002-0000-0200-0000D4000000}">
          <x14:formula1>
            <xm:f>Country!A2:A1000</xm:f>
          </x14:formula1>
          <xm:sqref>C214</xm:sqref>
        </x14:dataValidation>
        <x14:dataValidation type="list" allowBlank="1" showInputMessage="1" showErrorMessage="1" xr:uid="{00000000-0002-0000-0200-0000D5000000}">
          <x14:formula1>
            <xm:f>Country!A2:A1000</xm:f>
          </x14:formula1>
          <xm:sqref>C215</xm:sqref>
        </x14:dataValidation>
        <x14:dataValidation type="list" allowBlank="1" showInputMessage="1" showErrorMessage="1" xr:uid="{00000000-0002-0000-0200-0000D6000000}">
          <x14:formula1>
            <xm:f>Country!A2:A1000</xm:f>
          </x14:formula1>
          <xm:sqref>C216</xm:sqref>
        </x14:dataValidation>
        <x14:dataValidation type="list" allowBlank="1" showInputMessage="1" showErrorMessage="1" xr:uid="{00000000-0002-0000-0200-0000D7000000}">
          <x14:formula1>
            <xm:f>Country!A2:A1000</xm:f>
          </x14:formula1>
          <xm:sqref>C217</xm:sqref>
        </x14:dataValidation>
        <x14:dataValidation type="list" allowBlank="1" showInputMessage="1" showErrorMessage="1" xr:uid="{00000000-0002-0000-0200-0000D8000000}">
          <x14:formula1>
            <xm:f>Country!A2:A1000</xm:f>
          </x14:formula1>
          <xm:sqref>C218</xm:sqref>
        </x14:dataValidation>
        <x14:dataValidation type="list" allowBlank="1" showInputMessage="1" showErrorMessage="1" xr:uid="{00000000-0002-0000-0200-0000D9000000}">
          <x14:formula1>
            <xm:f>Country!A2:A1000</xm:f>
          </x14:formula1>
          <xm:sqref>C219</xm:sqref>
        </x14:dataValidation>
        <x14:dataValidation type="list" allowBlank="1" showInputMessage="1" showErrorMessage="1" xr:uid="{00000000-0002-0000-0200-0000DA000000}">
          <x14:formula1>
            <xm:f>Country!A2:A1000</xm:f>
          </x14:formula1>
          <xm:sqref>C220</xm:sqref>
        </x14:dataValidation>
        <x14:dataValidation type="list" allowBlank="1" showInputMessage="1" showErrorMessage="1" xr:uid="{00000000-0002-0000-0200-0000DB000000}">
          <x14:formula1>
            <xm:f>Country!A2:A1000</xm:f>
          </x14:formula1>
          <xm:sqref>C221</xm:sqref>
        </x14:dataValidation>
        <x14:dataValidation type="list" allowBlank="1" showInputMessage="1" showErrorMessage="1" xr:uid="{00000000-0002-0000-0200-0000DC000000}">
          <x14:formula1>
            <xm:f>Country!A2:A1000</xm:f>
          </x14:formula1>
          <xm:sqref>C222</xm:sqref>
        </x14:dataValidation>
        <x14:dataValidation type="list" allowBlank="1" showInputMessage="1" showErrorMessage="1" xr:uid="{00000000-0002-0000-0200-0000DD000000}">
          <x14:formula1>
            <xm:f>Country!A2:A1000</xm:f>
          </x14:formula1>
          <xm:sqref>C223</xm:sqref>
        </x14:dataValidation>
        <x14:dataValidation type="list" allowBlank="1" showInputMessage="1" showErrorMessage="1" xr:uid="{00000000-0002-0000-0200-0000DE000000}">
          <x14:formula1>
            <xm:f>Country!A2:A1000</xm:f>
          </x14:formula1>
          <xm:sqref>C224</xm:sqref>
        </x14:dataValidation>
        <x14:dataValidation type="list" allowBlank="1" showInputMessage="1" showErrorMessage="1" xr:uid="{00000000-0002-0000-0200-0000DF000000}">
          <x14:formula1>
            <xm:f>Country!A2:A1000</xm:f>
          </x14:formula1>
          <xm:sqref>C225</xm:sqref>
        </x14:dataValidation>
        <x14:dataValidation type="list" allowBlank="1" showInputMessage="1" showErrorMessage="1" xr:uid="{00000000-0002-0000-0200-0000E0000000}">
          <x14:formula1>
            <xm:f>Country!A2:A1000</xm:f>
          </x14:formula1>
          <xm:sqref>C226</xm:sqref>
        </x14:dataValidation>
        <x14:dataValidation type="list" allowBlank="1" showInputMessage="1" showErrorMessage="1" xr:uid="{00000000-0002-0000-0200-0000E1000000}">
          <x14:formula1>
            <xm:f>Country!A2:A1000</xm:f>
          </x14:formula1>
          <xm:sqref>C227</xm:sqref>
        </x14:dataValidation>
        <x14:dataValidation type="list" allowBlank="1" showInputMessage="1" showErrorMessage="1" xr:uid="{00000000-0002-0000-0200-0000E2000000}">
          <x14:formula1>
            <xm:f>Country!A2:A1000</xm:f>
          </x14:formula1>
          <xm:sqref>C228</xm:sqref>
        </x14:dataValidation>
        <x14:dataValidation type="list" allowBlank="1" showInputMessage="1" showErrorMessage="1" xr:uid="{00000000-0002-0000-0200-0000E3000000}">
          <x14:formula1>
            <xm:f>Country!A2:A1000</xm:f>
          </x14:formula1>
          <xm:sqref>C229</xm:sqref>
        </x14:dataValidation>
        <x14:dataValidation type="list" allowBlank="1" showInputMessage="1" showErrorMessage="1" xr:uid="{00000000-0002-0000-0200-0000E4000000}">
          <x14:formula1>
            <xm:f>Country!A2:A1000</xm:f>
          </x14:formula1>
          <xm:sqref>C230</xm:sqref>
        </x14:dataValidation>
        <x14:dataValidation type="list" allowBlank="1" showInputMessage="1" showErrorMessage="1" xr:uid="{00000000-0002-0000-0200-0000E5000000}">
          <x14:formula1>
            <xm:f>Country!A2:A1000</xm:f>
          </x14:formula1>
          <xm:sqref>C231</xm:sqref>
        </x14:dataValidation>
        <x14:dataValidation type="list" allowBlank="1" showInputMessage="1" showErrorMessage="1" xr:uid="{00000000-0002-0000-0200-0000E6000000}">
          <x14:formula1>
            <xm:f>Country!A2:A1000</xm:f>
          </x14:formula1>
          <xm:sqref>C232</xm:sqref>
        </x14:dataValidation>
        <x14:dataValidation type="list" allowBlank="1" showInputMessage="1" showErrorMessage="1" xr:uid="{00000000-0002-0000-0200-0000E7000000}">
          <x14:formula1>
            <xm:f>Country!A2:A1000</xm:f>
          </x14:formula1>
          <xm:sqref>C233</xm:sqref>
        </x14:dataValidation>
        <x14:dataValidation type="list" allowBlank="1" showInputMessage="1" showErrorMessage="1" xr:uid="{00000000-0002-0000-0200-0000E8000000}">
          <x14:formula1>
            <xm:f>Country!A2:A1000</xm:f>
          </x14:formula1>
          <xm:sqref>C234</xm:sqref>
        </x14:dataValidation>
        <x14:dataValidation type="list" allowBlank="1" showInputMessage="1" showErrorMessage="1" xr:uid="{00000000-0002-0000-0200-0000E9000000}">
          <x14:formula1>
            <xm:f>Country!A2:A1000</xm:f>
          </x14:formula1>
          <xm:sqref>C235</xm:sqref>
        </x14:dataValidation>
        <x14:dataValidation type="list" allowBlank="1" showInputMessage="1" showErrorMessage="1" xr:uid="{00000000-0002-0000-0200-0000EA000000}">
          <x14:formula1>
            <xm:f>Country!A2:A1000</xm:f>
          </x14:formula1>
          <xm:sqref>C236</xm:sqref>
        </x14:dataValidation>
        <x14:dataValidation type="list" allowBlank="1" showInputMessage="1" showErrorMessage="1" xr:uid="{00000000-0002-0000-0200-0000EB000000}">
          <x14:formula1>
            <xm:f>Country!A2:A1000</xm:f>
          </x14:formula1>
          <xm:sqref>C237</xm:sqref>
        </x14:dataValidation>
        <x14:dataValidation type="list" allowBlank="1" showInputMessage="1" showErrorMessage="1" xr:uid="{00000000-0002-0000-0200-0000EC000000}">
          <x14:formula1>
            <xm:f>Country!A2:A1000</xm:f>
          </x14:formula1>
          <xm:sqref>C238</xm:sqref>
        </x14:dataValidation>
        <x14:dataValidation type="list" allowBlank="1" showInputMessage="1" showErrorMessage="1" xr:uid="{00000000-0002-0000-0200-0000ED000000}">
          <x14:formula1>
            <xm:f>Country!A2:A1000</xm:f>
          </x14:formula1>
          <xm:sqref>C239</xm:sqref>
        </x14:dataValidation>
        <x14:dataValidation type="list" allowBlank="1" showInputMessage="1" showErrorMessage="1" xr:uid="{00000000-0002-0000-0200-0000EE000000}">
          <x14:formula1>
            <xm:f>Country!A2:A1000</xm:f>
          </x14:formula1>
          <xm:sqref>C240</xm:sqref>
        </x14:dataValidation>
        <x14:dataValidation type="list" allowBlank="1" showInputMessage="1" showErrorMessage="1" xr:uid="{00000000-0002-0000-0200-0000EF000000}">
          <x14:formula1>
            <xm:f>Country!A2:A1000</xm:f>
          </x14:formula1>
          <xm:sqref>C241</xm:sqref>
        </x14:dataValidation>
        <x14:dataValidation type="list" allowBlank="1" showInputMessage="1" showErrorMessage="1" xr:uid="{00000000-0002-0000-0200-0000F0000000}">
          <x14:formula1>
            <xm:f>Country!A2:A1000</xm:f>
          </x14:formula1>
          <xm:sqref>C242</xm:sqref>
        </x14:dataValidation>
        <x14:dataValidation type="list" allowBlank="1" showInputMessage="1" showErrorMessage="1" xr:uid="{00000000-0002-0000-0200-0000F1000000}">
          <x14:formula1>
            <xm:f>Country!A2:A1000</xm:f>
          </x14:formula1>
          <xm:sqref>C243</xm:sqref>
        </x14:dataValidation>
        <x14:dataValidation type="list" allowBlank="1" showInputMessage="1" showErrorMessage="1" xr:uid="{00000000-0002-0000-0200-0000F2000000}">
          <x14:formula1>
            <xm:f>Country!A2:A1000</xm:f>
          </x14:formula1>
          <xm:sqref>C244</xm:sqref>
        </x14:dataValidation>
        <x14:dataValidation type="list" allowBlank="1" showInputMessage="1" showErrorMessage="1" xr:uid="{00000000-0002-0000-0200-0000F3000000}">
          <x14:formula1>
            <xm:f>Country!A2:A1000</xm:f>
          </x14:formula1>
          <xm:sqref>C245</xm:sqref>
        </x14:dataValidation>
        <x14:dataValidation type="list" allowBlank="1" showInputMessage="1" showErrorMessage="1" xr:uid="{00000000-0002-0000-0200-0000F4000000}">
          <x14:formula1>
            <xm:f>Country!A2:A1000</xm:f>
          </x14:formula1>
          <xm:sqref>C246</xm:sqref>
        </x14:dataValidation>
        <x14:dataValidation type="list" allowBlank="1" showInputMessage="1" showErrorMessage="1" xr:uid="{00000000-0002-0000-0200-0000F5000000}">
          <x14:formula1>
            <xm:f>Country!A2:A1000</xm:f>
          </x14:formula1>
          <xm:sqref>C247</xm:sqref>
        </x14:dataValidation>
        <x14:dataValidation type="list" allowBlank="1" showInputMessage="1" showErrorMessage="1" xr:uid="{00000000-0002-0000-0200-0000F6000000}">
          <x14:formula1>
            <xm:f>Country!A2:A1000</xm:f>
          </x14:formula1>
          <xm:sqref>C248</xm:sqref>
        </x14:dataValidation>
        <x14:dataValidation type="list" allowBlank="1" showInputMessage="1" showErrorMessage="1" xr:uid="{00000000-0002-0000-0200-0000F7000000}">
          <x14:formula1>
            <xm:f>Country!A2:A1000</xm:f>
          </x14:formula1>
          <xm:sqref>C249</xm:sqref>
        </x14:dataValidation>
        <x14:dataValidation type="list" allowBlank="1" showInputMessage="1" showErrorMessage="1" xr:uid="{00000000-0002-0000-0200-0000F8000000}">
          <x14:formula1>
            <xm:f>Country!A2:A1000</xm:f>
          </x14:formula1>
          <xm:sqref>C250</xm:sqref>
        </x14:dataValidation>
        <x14:dataValidation type="list" allowBlank="1" showInputMessage="1" showErrorMessage="1" xr:uid="{00000000-0002-0000-0200-0000F9000000}">
          <x14:formula1>
            <xm:f>Country!A2:A1000</xm:f>
          </x14:formula1>
          <xm:sqref>C251</xm:sqref>
        </x14:dataValidation>
        <x14:dataValidation type="list" allowBlank="1" showInputMessage="1" showErrorMessage="1" xr:uid="{00000000-0002-0000-0200-0000FA000000}">
          <x14:formula1>
            <xm:f>Country!A2:A1000</xm:f>
          </x14:formula1>
          <xm:sqref>C252</xm:sqref>
        </x14:dataValidation>
        <x14:dataValidation type="list" allowBlank="1" showInputMessage="1" showErrorMessage="1" xr:uid="{00000000-0002-0000-0200-0000FB000000}">
          <x14:formula1>
            <xm:f>Country!A2:A1000</xm:f>
          </x14:formula1>
          <xm:sqref>C253</xm:sqref>
        </x14:dataValidation>
        <x14:dataValidation type="list" allowBlank="1" showInputMessage="1" showErrorMessage="1" xr:uid="{00000000-0002-0000-0200-0000FC000000}">
          <x14:formula1>
            <xm:f>Country!A2:A1000</xm:f>
          </x14:formula1>
          <xm:sqref>C254</xm:sqref>
        </x14:dataValidation>
        <x14:dataValidation type="list" allowBlank="1" showInputMessage="1" showErrorMessage="1" xr:uid="{00000000-0002-0000-0200-0000FD000000}">
          <x14:formula1>
            <xm:f>Country!A2:A1000</xm:f>
          </x14:formula1>
          <xm:sqref>C255</xm:sqref>
        </x14:dataValidation>
        <x14:dataValidation type="list" allowBlank="1" showInputMessage="1" showErrorMessage="1" xr:uid="{00000000-0002-0000-0200-0000FE000000}">
          <x14:formula1>
            <xm:f>Country!A2:A1000</xm:f>
          </x14:formula1>
          <xm:sqref>C256</xm:sqref>
        </x14:dataValidation>
        <x14:dataValidation type="list" allowBlank="1" showInputMessage="1" showErrorMessage="1" xr:uid="{00000000-0002-0000-0200-0000FF000000}">
          <x14:formula1>
            <xm:f>Country!A2:A1000</xm:f>
          </x14:formula1>
          <xm:sqref>C257</xm:sqref>
        </x14:dataValidation>
        <x14:dataValidation type="list" allowBlank="1" showInputMessage="1" showErrorMessage="1" xr:uid="{00000000-0002-0000-0200-000000010000}">
          <x14:formula1>
            <xm:f>Country!A2:A1000</xm:f>
          </x14:formula1>
          <xm:sqref>C258</xm:sqref>
        </x14:dataValidation>
        <x14:dataValidation type="list" allowBlank="1" showInputMessage="1" showErrorMessage="1" xr:uid="{00000000-0002-0000-0200-000001010000}">
          <x14:formula1>
            <xm:f>Country!A2:A1000</xm:f>
          </x14:formula1>
          <xm:sqref>C259</xm:sqref>
        </x14:dataValidation>
        <x14:dataValidation type="list" allowBlank="1" showInputMessage="1" showErrorMessage="1" xr:uid="{00000000-0002-0000-0200-000002010000}">
          <x14:formula1>
            <xm:f>Country!A2:A1000</xm:f>
          </x14:formula1>
          <xm:sqref>C260</xm:sqref>
        </x14:dataValidation>
        <x14:dataValidation type="list" allowBlank="1" showInputMessage="1" showErrorMessage="1" xr:uid="{00000000-0002-0000-0200-000003010000}">
          <x14:formula1>
            <xm:f>Country!A2:A1000</xm:f>
          </x14:formula1>
          <xm:sqref>C261</xm:sqref>
        </x14:dataValidation>
        <x14:dataValidation type="list" allowBlank="1" showInputMessage="1" showErrorMessage="1" xr:uid="{00000000-0002-0000-0200-000004010000}">
          <x14:formula1>
            <xm:f>Country!A2:A1000</xm:f>
          </x14:formula1>
          <xm:sqref>C262</xm:sqref>
        </x14:dataValidation>
        <x14:dataValidation type="list" allowBlank="1" showInputMessage="1" showErrorMessage="1" xr:uid="{00000000-0002-0000-0200-000005010000}">
          <x14:formula1>
            <xm:f>Country!A2:A1000</xm:f>
          </x14:formula1>
          <xm:sqref>C263</xm:sqref>
        </x14:dataValidation>
        <x14:dataValidation type="list" allowBlank="1" showInputMessage="1" showErrorMessage="1" xr:uid="{00000000-0002-0000-0200-000006010000}">
          <x14:formula1>
            <xm:f>Country!A2:A1000</xm:f>
          </x14:formula1>
          <xm:sqref>C264</xm:sqref>
        </x14:dataValidation>
        <x14:dataValidation type="list" allowBlank="1" showInputMessage="1" showErrorMessage="1" xr:uid="{00000000-0002-0000-0200-000007010000}">
          <x14:formula1>
            <xm:f>Country!A2:A1000</xm:f>
          </x14:formula1>
          <xm:sqref>C265</xm:sqref>
        </x14:dataValidation>
        <x14:dataValidation type="list" allowBlank="1" showInputMessage="1" showErrorMessage="1" xr:uid="{00000000-0002-0000-0200-000008010000}">
          <x14:formula1>
            <xm:f>Country!A2:A1000</xm:f>
          </x14:formula1>
          <xm:sqref>C266</xm:sqref>
        </x14:dataValidation>
        <x14:dataValidation type="list" allowBlank="1" showInputMessage="1" showErrorMessage="1" xr:uid="{00000000-0002-0000-0200-000009010000}">
          <x14:formula1>
            <xm:f>Country!A2:A1000</xm:f>
          </x14:formula1>
          <xm:sqref>C267</xm:sqref>
        </x14:dataValidation>
        <x14:dataValidation type="list" allowBlank="1" showInputMessage="1" showErrorMessage="1" xr:uid="{00000000-0002-0000-0200-00000A010000}">
          <x14:formula1>
            <xm:f>Country!A2:A1000</xm:f>
          </x14:formula1>
          <xm:sqref>C268</xm:sqref>
        </x14:dataValidation>
        <x14:dataValidation type="list" allowBlank="1" showInputMessage="1" showErrorMessage="1" xr:uid="{00000000-0002-0000-0200-00000B010000}">
          <x14:formula1>
            <xm:f>Country!A2:A1000</xm:f>
          </x14:formula1>
          <xm:sqref>C269</xm:sqref>
        </x14:dataValidation>
        <x14:dataValidation type="list" allowBlank="1" showInputMessage="1" showErrorMessage="1" xr:uid="{00000000-0002-0000-0200-00000C010000}">
          <x14:formula1>
            <xm:f>Country!A2:A1000</xm:f>
          </x14:formula1>
          <xm:sqref>C270</xm:sqref>
        </x14:dataValidation>
        <x14:dataValidation type="list" allowBlank="1" showInputMessage="1" showErrorMessage="1" xr:uid="{00000000-0002-0000-0200-00000D010000}">
          <x14:formula1>
            <xm:f>Country!A2:A1000</xm:f>
          </x14:formula1>
          <xm:sqref>C271</xm:sqref>
        </x14:dataValidation>
        <x14:dataValidation type="list" allowBlank="1" showInputMessage="1" showErrorMessage="1" xr:uid="{00000000-0002-0000-0200-00000E010000}">
          <x14:formula1>
            <xm:f>Country!A2:A1000</xm:f>
          </x14:formula1>
          <xm:sqref>C272</xm:sqref>
        </x14:dataValidation>
        <x14:dataValidation type="list" allowBlank="1" showInputMessage="1" showErrorMessage="1" xr:uid="{00000000-0002-0000-0200-00000F010000}">
          <x14:formula1>
            <xm:f>Country!A2:A1000</xm:f>
          </x14:formula1>
          <xm:sqref>C273</xm:sqref>
        </x14:dataValidation>
        <x14:dataValidation type="list" allowBlank="1" showInputMessage="1" showErrorMessage="1" xr:uid="{00000000-0002-0000-0200-000010010000}">
          <x14:formula1>
            <xm:f>Country!A2:A1000</xm:f>
          </x14:formula1>
          <xm:sqref>C274</xm:sqref>
        </x14:dataValidation>
        <x14:dataValidation type="list" allowBlank="1" showInputMessage="1" showErrorMessage="1" xr:uid="{00000000-0002-0000-0200-000011010000}">
          <x14:formula1>
            <xm:f>Country!A2:A1000</xm:f>
          </x14:formula1>
          <xm:sqref>C275</xm:sqref>
        </x14:dataValidation>
        <x14:dataValidation type="list" allowBlank="1" showInputMessage="1" showErrorMessage="1" xr:uid="{00000000-0002-0000-0200-000012010000}">
          <x14:formula1>
            <xm:f>Country!A2:A1000</xm:f>
          </x14:formula1>
          <xm:sqref>C276</xm:sqref>
        </x14:dataValidation>
        <x14:dataValidation type="list" allowBlank="1" showInputMessage="1" showErrorMessage="1" xr:uid="{00000000-0002-0000-0200-000013010000}">
          <x14:formula1>
            <xm:f>Country!A2:A1000</xm:f>
          </x14:formula1>
          <xm:sqref>C277</xm:sqref>
        </x14:dataValidation>
        <x14:dataValidation type="list" allowBlank="1" showInputMessage="1" showErrorMessage="1" xr:uid="{00000000-0002-0000-0200-000014010000}">
          <x14:formula1>
            <xm:f>Country!A2:A1000</xm:f>
          </x14:formula1>
          <xm:sqref>C278</xm:sqref>
        </x14:dataValidation>
        <x14:dataValidation type="list" allowBlank="1" showInputMessage="1" showErrorMessage="1" xr:uid="{00000000-0002-0000-0200-000015010000}">
          <x14:formula1>
            <xm:f>Country!A2:A1000</xm:f>
          </x14:formula1>
          <xm:sqref>C279</xm:sqref>
        </x14:dataValidation>
        <x14:dataValidation type="list" allowBlank="1" showInputMessage="1" showErrorMessage="1" xr:uid="{00000000-0002-0000-0200-000016010000}">
          <x14:formula1>
            <xm:f>Country!A2:A1000</xm:f>
          </x14:formula1>
          <xm:sqref>C280</xm:sqref>
        </x14:dataValidation>
        <x14:dataValidation type="list" allowBlank="1" showInputMessage="1" showErrorMessage="1" xr:uid="{00000000-0002-0000-0200-000017010000}">
          <x14:formula1>
            <xm:f>Country!A2:A1000</xm:f>
          </x14:formula1>
          <xm:sqref>C281</xm:sqref>
        </x14:dataValidation>
        <x14:dataValidation type="list" allowBlank="1" showInputMessage="1" showErrorMessage="1" xr:uid="{00000000-0002-0000-0200-000018010000}">
          <x14:formula1>
            <xm:f>Country!A2:A1000</xm:f>
          </x14:formula1>
          <xm:sqref>C282</xm:sqref>
        </x14:dataValidation>
        <x14:dataValidation type="list" allowBlank="1" showInputMessage="1" showErrorMessage="1" xr:uid="{00000000-0002-0000-0200-000019010000}">
          <x14:formula1>
            <xm:f>Country!A2:A1000</xm:f>
          </x14:formula1>
          <xm:sqref>C283</xm:sqref>
        </x14:dataValidation>
        <x14:dataValidation type="list" allowBlank="1" showInputMessage="1" showErrorMessage="1" xr:uid="{00000000-0002-0000-0200-00001A010000}">
          <x14:formula1>
            <xm:f>Country!A2:A1000</xm:f>
          </x14:formula1>
          <xm:sqref>C284</xm:sqref>
        </x14:dataValidation>
        <x14:dataValidation type="list" allowBlank="1" showInputMessage="1" showErrorMessage="1" xr:uid="{00000000-0002-0000-0200-00001B010000}">
          <x14:formula1>
            <xm:f>Country!A2:A1000</xm:f>
          </x14:formula1>
          <xm:sqref>C285</xm:sqref>
        </x14:dataValidation>
        <x14:dataValidation type="list" allowBlank="1" showInputMessage="1" showErrorMessage="1" xr:uid="{00000000-0002-0000-0200-00001C010000}">
          <x14:formula1>
            <xm:f>Country!A2:A1000</xm:f>
          </x14:formula1>
          <xm:sqref>C286</xm:sqref>
        </x14:dataValidation>
        <x14:dataValidation type="list" allowBlank="1" showInputMessage="1" showErrorMessage="1" xr:uid="{00000000-0002-0000-0200-00001D010000}">
          <x14:formula1>
            <xm:f>Country!A2:A1000</xm:f>
          </x14:formula1>
          <xm:sqref>C287</xm:sqref>
        </x14:dataValidation>
        <x14:dataValidation type="list" allowBlank="1" showInputMessage="1" showErrorMessage="1" xr:uid="{00000000-0002-0000-0200-00001E010000}">
          <x14:formula1>
            <xm:f>Country!A2:A1000</xm:f>
          </x14:formula1>
          <xm:sqref>C288</xm:sqref>
        </x14:dataValidation>
        <x14:dataValidation type="list" allowBlank="1" showInputMessage="1" showErrorMessage="1" xr:uid="{00000000-0002-0000-0200-00001F010000}">
          <x14:formula1>
            <xm:f>Country!A2:A1000</xm:f>
          </x14:formula1>
          <xm:sqref>C289</xm:sqref>
        </x14:dataValidation>
        <x14:dataValidation type="list" allowBlank="1" showInputMessage="1" showErrorMessage="1" xr:uid="{00000000-0002-0000-0200-000020010000}">
          <x14:formula1>
            <xm:f>Country!A2:A1000</xm:f>
          </x14:formula1>
          <xm:sqref>C290</xm:sqref>
        </x14:dataValidation>
        <x14:dataValidation type="list" allowBlank="1" showInputMessage="1" showErrorMessage="1" xr:uid="{00000000-0002-0000-0200-000021010000}">
          <x14:formula1>
            <xm:f>Country!A2:A1000</xm:f>
          </x14:formula1>
          <xm:sqref>C291</xm:sqref>
        </x14:dataValidation>
        <x14:dataValidation type="list" allowBlank="1" showInputMessage="1" showErrorMessage="1" xr:uid="{00000000-0002-0000-0200-000022010000}">
          <x14:formula1>
            <xm:f>Country!A2:A1000</xm:f>
          </x14:formula1>
          <xm:sqref>C292</xm:sqref>
        </x14:dataValidation>
        <x14:dataValidation type="list" allowBlank="1" showInputMessage="1" showErrorMessage="1" xr:uid="{00000000-0002-0000-0200-000023010000}">
          <x14:formula1>
            <xm:f>Country!A2:A1000</xm:f>
          </x14:formula1>
          <xm:sqref>C293</xm:sqref>
        </x14:dataValidation>
        <x14:dataValidation type="list" allowBlank="1" showInputMessage="1" showErrorMessage="1" xr:uid="{00000000-0002-0000-0200-000024010000}">
          <x14:formula1>
            <xm:f>Country!A2:A1000</xm:f>
          </x14:formula1>
          <xm:sqref>C294</xm:sqref>
        </x14:dataValidation>
        <x14:dataValidation type="list" allowBlank="1" showInputMessage="1" showErrorMessage="1" xr:uid="{00000000-0002-0000-0200-000025010000}">
          <x14:formula1>
            <xm:f>Country!A2:A1000</xm:f>
          </x14:formula1>
          <xm:sqref>C295</xm:sqref>
        </x14:dataValidation>
        <x14:dataValidation type="list" allowBlank="1" showInputMessage="1" showErrorMessage="1" xr:uid="{00000000-0002-0000-0200-000026010000}">
          <x14:formula1>
            <xm:f>Country!A2:A1000</xm:f>
          </x14:formula1>
          <xm:sqref>C296</xm:sqref>
        </x14:dataValidation>
        <x14:dataValidation type="list" allowBlank="1" showInputMessage="1" showErrorMessage="1" xr:uid="{00000000-0002-0000-0200-000027010000}">
          <x14:formula1>
            <xm:f>Country!A2:A1000</xm:f>
          </x14:formula1>
          <xm:sqref>C297</xm:sqref>
        </x14:dataValidation>
        <x14:dataValidation type="list" allowBlank="1" showInputMessage="1" showErrorMessage="1" xr:uid="{00000000-0002-0000-0200-000028010000}">
          <x14:formula1>
            <xm:f>Country!A2:A1000</xm:f>
          </x14:formula1>
          <xm:sqref>C298</xm:sqref>
        </x14:dataValidation>
        <x14:dataValidation type="list" allowBlank="1" showInputMessage="1" showErrorMessage="1" xr:uid="{00000000-0002-0000-0200-000029010000}">
          <x14:formula1>
            <xm:f>Country!A2:A1000</xm:f>
          </x14:formula1>
          <xm:sqref>C299</xm:sqref>
        </x14:dataValidation>
        <x14:dataValidation type="list" allowBlank="1" showInputMessage="1" showErrorMessage="1" xr:uid="{00000000-0002-0000-0200-00002A010000}">
          <x14:formula1>
            <xm:f>Country!A2:A1000</xm:f>
          </x14:formula1>
          <xm:sqref>C300</xm:sqref>
        </x14:dataValidation>
        <x14:dataValidation type="list" allowBlank="1" showInputMessage="1" showErrorMessage="1" xr:uid="{00000000-0002-0000-0200-00002B010000}">
          <x14:formula1>
            <xm:f>Country!A2:A1000</xm:f>
          </x14:formula1>
          <xm:sqref>C301</xm:sqref>
        </x14:dataValidation>
        <x14:dataValidation type="list" allowBlank="1" showInputMessage="1" showErrorMessage="1" xr:uid="{00000000-0002-0000-0200-00002C010000}">
          <x14:formula1>
            <xm:f>Country!A2:A1000</xm:f>
          </x14:formula1>
          <xm:sqref>C302</xm:sqref>
        </x14:dataValidation>
        <x14:dataValidation type="list" allowBlank="1" showInputMessage="1" showErrorMessage="1" xr:uid="{00000000-0002-0000-0200-00002D010000}">
          <x14:formula1>
            <xm:f>Country!A2:A1000</xm:f>
          </x14:formula1>
          <xm:sqref>C303</xm:sqref>
        </x14:dataValidation>
        <x14:dataValidation type="list" allowBlank="1" showInputMessage="1" showErrorMessage="1" xr:uid="{00000000-0002-0000-0200-00002E010000}">
          <x14:formula1>
            <xm:f>Country!A2:A1000</xm:f>
          </x14:formula1>
          <xm:sqref>C304</xm:sqref>
        </x14:dataValidation>
        <x14:dataValidation type="list" allowBlank="1" showInputMessage="1" showErrorMessage="1" xr:uid="{00000000-0002-0000-0200-00002F010000}">
          <x14:formula1>
            <xm:f>Country!A2:A1000</xm:f>
          </x14:formula1>
          <xm:sqref>C305</xm:sqref>
        </x14:dataValidation>
        <x14:dataValidation type="list" allowBlank="1" showInputMessage="1" showErrorMessage="1" xr:uid="{00000000-0002-0000-0200-000030010000}">
          <x14:formula1>
            <xm:f>Country!A2:A1000</xm:f>
          </x14:formula1>
          <xm:sqref>C306</xm:sqref>
        </x14:dataValidation>
        <x14:dataValidation type="list" allowBlank="1" showInputMessage="1" showErrorMessage="1" xr:uid="{00000000-0002-0000-0200-000031010000}">
          <x14:formula1>
            <xm:f>Country!A2:A1000</xm:f>
          </x14:formula1>
          <xm:sqref>C307</xm:sqref>
        </x14:dataValidation>
        <x14:dataValidation type="list" allowBlank="1" showInputMessage="1" showErrorMessage="1" xr:uid="{00000000-0002-0000-0200-000032010000}">
          <x14:formula1>
            <xm:f>Country!A2:A1000</xm:f>
          </x14:formula1>
          <xm:sqref>C308</xm:sqref>
        </x14:dataValidation>
        <x14:dataValidation type="list" allowBlank="1" showInputMessage="1" showErrorMessage="1" xr:uid="{00000000-0002-0000-0200-000033010000}">
          <x14:formula1>
            <xm:f>Country!A2:A1000</xm:f>
          </x14:formula1>
          <xm:sqref>C309</xm:sqref>
        </x14:dataValidation>
        <x14:dataValidation type="list" allowBlank="1" showInputMessage="1" showErrorMessage="1" xr:uid="{00000000-0002-0000-0200-000034010000}">
          <x14:formula1>
            <xm:f>Country!A2:A1000</xm:f>
          </x14:formula1>
          <xm:sqref>C310</xm:sqref>
        </x14:dataValidation>
        <x14:dataValidation type="list" allowBlank="1" showInputMessage="1" showErrorMessage="1" xr:uid="{00000000-0002-0000-0200-000035010000}">
          <x14:formula1>
            <xm:f>Country!A2:A1000</xm:f>
          </x14:formula1>
          <xm:sqref>C311</xm:sqref>
        </x14:dataValidation>
        <x14:dataValidation type="list" allowBlank="1" showInputMessage="1" showErrorMessage="1" xr:uid="{00000000-0002-0000-0200-000036010000}">
          <x14:formula1>
            <xm:f>Country!A2:A1000</xm:f>
          </x14:formula1>
          <xm:sqref>C312</xm:sqref>
        </x14:dataValidation>
        <x14:dataValidation type="list" allowBlank="1" showInputMessage="1" showErrorMessage="1" xr:uid="{00000000-0002-0000-0200-000037010000}">
          <x14:formula1>
            <xm:f>Country!A2:A1000</xm:f>
          </x14:formula1>
          <xm:sqref>C313</xm:sqref>
        </x14:dataValidation>
        <x14:dataValidation type="list" allowBlank="1" showInputMessage="1" showErrorMessage="1" xr:uid="{00000000-0002-0000-0200-000038010000}">
          <x14:formula1>
            <xm:f>Country!A2:A1000</xm:f>
          </x14:formula1>
          <xm:sqref>C314</xm:sqref>
        </x14:dataValidation>
        <x14:dataValidation type="list" allowBlank="1" showInputMessage="1" showErrorMessage="1" xr:uid="{00000000-0002-0000-0200-000039010000}">
          <x14:formula1>
            <xm:f>Country!A2:A1000</xm:f>
          </x14:formula1>
          <xm:sqref>C315</xm:sqref>
        </x14:dataValidation>
        <x14:dataValidation type="list" allowBlank="1" showInputMessage="1" showErrorMessage="1" xr:uid="{00000000-0002-0000-0200-00003A010000}">
          <x14:formula1>
            <xm:f>Country!A2:A1000</xm:f>
          </x14:formula1>
          <xm:sqref>C316</xm:sqref>
        </x14:dataValidation>
        <x14:dataValidation type="list" allowBlank="1" showInputMessage="1" showErrorMessage="1" xr:uid="{00000000-0002-0000-0200-00003B010000}">
          <x14:formula1>
            <xm:f>Country!A2:A1000</xm:f>
          </x14:formula1>
          <xm:sqref>C317</xm:sqref>
        </x14:dataValidation>
        <x14:dataValidation type="list" allowBlank="1" showInputMessage="1" showErrorMessage="1" xr:uid="{00000000-0002-0000-0200-00003C010000}">
          <x14:formula1>
            <xm:f>Country!A2:A1000</xm:f>
          </x14:formula1>
          <xm:sqref>C318</xm:sqref>
        </x14:dataValidation>
        <x14:dataValidation type="list" allowBlank="1" showInputMessage="1" showErrorMessage="1" xr:uid="{00000000-0002-0000-0200-00003D010000}">
          <x14:formula1>
            <xm:f>Country!A2:A1000</xm:f>
          </x14:formula1>
          <xm:sqref>C319</xm:sqref>
        </x14:dataValidation>
        <x14:dataValidation type="list" allowBlank="1" showInputMessage="1" showErrorMessage="1" xr:uid="{00000000-0002-0000-0200-00003E010000}">
          <x14:formula1>
            <xm:f>Country!A2:A1000</xm:f>
          </x14:formula1>
          <xm:sqref>C320</xm:sqref>
        </x14:dataValidation>
        <x14:dataValidation type="list" allowBlank="1" showInputMessage="1" showErrorMessage="1" xr:uid="{00000000-0002-0000-0200-00003F010000}">
          <x14:formula1>
            <xm:f>Country!A2:A1000</xm:f>
          </x14:formula1>
          <xm:sqref>C321</xm:sqref>
        </x14:dataValidation>
        <x14:dataValidation type="list" allowBlank="1" showInputMessage="1" showErrorMessage="1" xr:uid="{00000000-0002-0000-0200-000040010000}">
          <x14:formula1>
            <xm:f>Country!A2:A1000</xm:f>
          </x14:formula1>
          <xm:sqref>C322</xm:sqref>
        </x14:dataValidation>
        <x14:dataValidation type="list" allowBlank="1" showInputMessage="1" showErrorMessage="1" xr:uid="{00000000-0002-0000-0200-000041010000}">
          <x14:formula1>
            <xm:f>Country!A2:A1000</xm:f>
          </x14:formula1>
          <xm:sqref>C323</xm:sqref>
        </x14:dataValidation>
        <x14:dataValidation type="list" allowBlank="1" showInputMessage="1" showErrorMessage="1" xr:uid="{00000000-0002-0000-0200-000042010000}">
          <x14:formula1>
            <xm:f>Country!A2:A1000</xm:f>
          </x14:formula1>
          <xm:sqref>C324</xm:sqref>
        </x14:dataValidation>
        <x14:dataValidation type="list" allowBlank="1" showInputMessage="1" showErrorMessage="1" xr:uid="{00000000-0002-0000-0200-000043010000}">
          <x14:formula1>
            <xm:f>Country!A2:A1000</xm:f>
          </x14:formula1>
          <xm:sqref>C325</xm:sqref>
        </x14:dataValidation>
        <x14:dataValidation type="list" allowBlank="1" showInputMessage="1" showErrorMessage="1" xr:uid="{00000000-0002-0000-0200-000044010000}">
          <x14:formula1>
            <xm:f>Country!A2:A1000</xm:f>
          </x14:formula1>
          <xm:sqref>C326</xm:sqref>
        </x14:dataValidation>
        <x14:dataValidation type="list" allowBlank="1" showInputMessage="1" showErrorMessage="1" xr:uid="{00000000-0002-0000-0200-000045010000}">
          <x14:formula1>
            <xm:f>Country!A2:A1000</xm:f>
          </x14:formula1>
          <xm:sqref>C327</xm:sqref>
        </x14:dataValidation>
        <x14:dataValidation type="list" allowBlank="1" showInputMessage="1" showErrorMessage="1" xr:uid="{00000000-0002-0000-0200-000046010000}">
          <x14:formula1>
            <xm:f>Country!A2:A1000</xm:f>
          </x14:formula1>
          <xm:sqref>C328</xm:sqref>
        </x14:dataValidation>
        <x14:dataValidation type="list" allowBlank="1" showInputMessage="1" showErrorMessage="1" xr:uid="{00000000-0002-0000-0200-000047010000}">
          <x14:formula1>
            <xm:f>Country!A2:A1000</xm:f>
          </x14:formula1>
          <xm:sqref>C329</xm:sqref>
        </x14:dataValidation>
        <x14:dataValidation type="list" allowBlank="1" showInputMessage="1" showErrorMessage="1" xr:uid="{00000000-0002-0000-0200-000048010000}">
          <x14:formula1>
            <xm:f>Country!A2:A1000</xm:f>
          </x14:formula1>
          <xm:sqref>C330</xm:sqref>
        </x14:dataValidation>
        <x14:dataValidation type="list" allowBlank="1" showInputMessage="1" showErrorMessage="1" xr:uid="{00000000-0002-0000-0200-000049010000}">
          <x14:formula1>
            <xm:f>Country!A2:A1000</xm:f>
          </x14:formula1>
          <xm:sqref>C331</xm:sqref>
        </x14:dataValidation>
        <x14:dataValidation type="list" allowBlank="1" showInputMessage="1" showErrorMessage="1" xr:uid="{00000000-0002-0000-0200-00004A010000}">
          <x14:formula1>
            <xm:f>Country!A2:A1000</xm:f>
          </x14:formula1>
          <xm:sqref>C332</xm:sqref>
        </x14:dataValidation>
        <x14:dataValidation type="list" allowBlank="1" showInputMessage="1" showErrorMessage="1" xr:uid="{00000000-0002-0000-0200-00004B010000}">
          <x14:formula1>
            <xm:f>Country!A2:A1000</xm:f>
          </x14:formula1>
          <xm:sqref>C333</xm:sqref>
        </x14:dataValidation>
        <x14:dataValidation type="list" allowBlank="1" showInputMessage="1" showErrorMessage="1" xr:uid="{00000000-0002-0000-0200-00004C010000}">
          <x14:formula1>
            <xm:f>Country!A2:A1000</xm:f>
          </x14:formula1>
          <xm:sqref>C334</xm:sqref>
        </x14:dataValidation>
        <x14:dataValidation type="list" allowBlank="1" showInputMessage="1" showErrorMessage="1" xr:uid="{00000000-0002-0000-0200-00004D010000}">
          <x14:formula1>
            <xm:f>Country!A2:A1000</xm:f>
          </x14:formula1>
          <xm:sqref>C335</xm:sqref>
        </x14:dataValidation>
        <x14:dataValidation type="list" allowBlank="1" showInputMessage="1" showErrorMessage="1" xr:uid="{00000000-0002-0000-0200-00004E010000}">
          <x14:formula1>
            <xm:f>Country!A2:A1000</xm:f>
          </x14:formula1>
          <xm:sqref>C336</xm:sqref>
        </x14:dataValidation>
        <x14:dataValidation type="list" allowBlank="1" showInputMessage="1" showErrorMessage="1" xr:uid="{00000000-0002-0000-0200-00004F010000}">
          <x14:formula1>
            <xm:f>Country!A2:A1000</xm:f>
          </x14:formula1>
          <xm:sqref>C337</xm:sqref>
        </x14:dataValidation>
        <x14:dataValidation type="list" allowBlank="1" showInputMessage="1" showErrorMessage="1" xr:uid="{00000000-0002-0000-0200-000050010000}">
          <x14:formula1>
            <xm:f>Country!A2:A1000</xm:f>
          </x14:formula1>
          <xm:sqref>C338</xm:sqref>
        </x14:dataValidation>
        <x14:dataValidation type="list" allowBlank="1" showInputMessage="1" showErrorMessage="1" xr:uid="{00000000-0002-0000-0200-000051010000}">
          <x14:formula1>
            <xm:f>Country!A2:A1000</xm:f>
          </x14:formula1>
          <xm:sqref>C339</xm:sqref>
        </x14:dataValidation>
        <x14:dataValidation type="list" allowBlank="1" showInputMessage="1" showErrorMessage="1" xr:uid="{00000000-0002-0000-0200-000052010000}">
          <x14:formula1>
            <xm:f>Country!A2:A1000</xm:f>
          </x14:formula1>
          <xm:sqref>C340</xm:sqref>
        </x14:dataValidation>
        <x14:dataValidation type="list" allowBlank="1" showInputMessage="1" showErrorMessage="1" xr:uid="{00000000-0002-0000-0200-000053010000}">
          <x14:formula1>
            <xm:f>Country!A2:A1000</xm:f>
          </x14:formula1>
          <xm:sqref>C341</xm:sqref>
        </x14:dataValidation>
        <x14:dataValidation type="list" allowBlank="1" showInputMessage="1" showErrorMessage="1" xr:uid="{00000000-0002-0000-0200-000054010000}">
          <x14:formula1>
            <xm:f>Country!A2:A1000</xm:f>
          </x14:formula1>
          <xm:sqref>C342</xm:sqref>
        </x14:dataValidation>
        <x14:dataValidation type="list" allowBlank="1" showInputMessage="1" showErrorMessage="1" xr:uid="{00000000-0002-0000-0200-000055010000}">
          <x14:formula1>
            <xm:f>Country!A2:A1000</xm:f>
          </x14:formula1>
          <xm:sqref>C343</xm:sqref>
        </x14:dataValidation>
        <x14:dataValidation type="list" allowBlank="1" showInputMessage="1" showErrorMessage="1" xr:uid="{00000000-0002-0000-0200-000056010000}">
          <x14:formula1>
            <xm:f>Country!A2:A1000</xm:f>
          </x14:formula1>
          <xm:sqref>C344</xm:sqref>
        </x14:dataValidation>
        <x14:dataValidation type="list" allowBlank="1" showInputMessage="1" showErrorMessage="1" xr:uid="{00000000-0002-0000-0200-000057010000}">
          <x14:formula1>
            <xm:f>Country!A2:A1000</xm:f>
          </x14:formula1>
          <xm:sqref>C345</xm:sqref>
        </x14:dataValidation>
        <x14:dataValidation type="list" allowBlank="1" showInputMessage="1" showErrorMessage="1" xr:uid="{00000000-0002-0000-0200-000058010000}">
          <x14:formula1>
            <xm:f>Country!A2:A1000</xm:f>
          </x14:formula1>
          <xm:sqref>C346</xm:sqref>
        </x14:dataValidation>
        <x14:dataValidation type="list" allowBlank="1" showInputMessage="1" showErrorMessage="1" xr:uid="{00000000-0002-0000-0200-000059010000}">
          <x14:formula1>
            <xm:f>Country!A2:A1000</xm:f>
          </x14:formula1>
          <xm:sqref>C347</xm:sqref>
        </x14:dataValidation>
        <x14:dataValidation type="list" allowBlank="1" showInputMessage="1" showErrorMessage="1" xr:uid="{00000000-0002-0000-0200-00005A010000}">
          <x14:formula1>
            <xm:f>Country!A2:A1000</xm:f>
          </x14:formula1>
          <xm:sqref>C348</xm:sqref>
        </x14:dataValidation>
        <x14:dataValidation type="list" allowBlank="1" showInputMessage="1" showErrorMessage="1" xr:uid="{00000000-0002-0000-0200-00005B010000}">
          <x14:formula1>
            <xm:f>Country!A2:A1000</xm:f>
          </x14:formula1>
          <xm:sqref>C349</xm:sqref>
        </x14:dataValidation>
        <x14:dataValidation type="list" allowBlank="1" showInputMessage="1" showErrorMessage="1" xr:uid="{00000000-0002-0000-0200-00005C010000}">
          <x14:formula1>
            <xm:f>Country!A2:A1000</xm:f>
          </x14:formula1>
          <xm:sqref>C350</xm:sqref>
        </x14:dataValidation>
        <x14:dataValidation type="list" allowBlank="1" showInputMessage="1" showErrorMessage="1" xr:uid="{00000000-0002-0000-0200-00005D010000}">
          <x14:formula1>
            <xm:f>Country!A2:A1000</xm:f>
          </x14:formula1>
          <xm:sqref>C351</xm:sqref>
        </x14:dataValidation>
        <x14:dataValidation type="list" allowBlank="1" showInputMessage="1" showErrorMessage="1" xr:uid="{00000000-0002-0000-0200-00005E010000}">
          <x14:formula1>
            <xm:f>Country!A2:A1000</xm:f>
          </x14:formula1>
          <xm:sqref>C352</xm:sqref>
        </x14:dataValidation>
        <x14:dataValidation type="list" allowBlank="1" showInputMessage="1" showErrorMessage="1" xr:uid="{00000000-0002-0000-0200-00005F010000}">
          <x14:formula1>
            <xm:f>Country!A2:A1000</xm:f>
          </x14:formula1>
          <xm:sqref>C353</xm:sqref>
        </x14:dataValidation>
        <x14:dataValidation type="list" allowBlank="1" showInputMessage="1" showErrorMessage="1" xr:uid="{00000000-0002-0000-0200-000060010000}">
          <x14:formula1>
            <xm:f>Country!A2:A1000</xm:f>
          </x14:formula1>
          <xm:sqref>C354</xm:sqref>
        </x14:dataValidation>
        <x14:dataValidation type="list" allowBlank="1" showInputMessage="1" showErrorMessage="1" xr:uid="{00000000-0002-0000-0200-000061010000}">
          <x14:formula1>
            <xm:f>Country!A2:A1000</xm:f>
          </x14:formula1>
          <xm:sqref>C355</xm:sqref>
        </x14:dataValidation>
        <x14:dataValidation type="list" allowBlank="1" showInputMessage="1" showErrorMessage="1" xr:uid="{00000000-0002-0000-0200-000062010000}">
          <x14:formula1>
            <xm:f>Country!A2:A1000</xm:f>
          </x14:formula1>
          <xm:sqref>C356</xm:sqref>
        </x14:dataValidation>
        <x14:dataValidation type="list" allowBlank="1" showInputMessage="1" showErrorMessage="1" xr:uid="{00000000-0002-0000-0200-000063010000}">
          <x14:formula1>
            <xm:f>Country!A2:A1000</xm:f>
          </x14:formula1>
          <xm:sqref>C357</xm:sqref>
        </x14:dataValidation>
        <x14:dataValidation type="list" allowBlank="1" showInputMessage="1" showErrorMessage="1" xr:uid="{00000000-0002-0000-0200-000064010000}">
          <x14:formula1>
            <xm:f>Country!A2:A1000</xm:f>
          </x14:formula1>
          <xm:sqref>C358</xm:sqref>
        </x14:dataValidation>
        <x14:dataValidation type="list" allowBlank="1" showInputMessage="1" showErrorMessage="1" xr:uid="{00000000-0002-0000-0200-000065010000}">
          <x14:formula1>
            <xm:f>Country!A2:A1000</xm:f>
          </x14:formula1>
          <xm:sqref>C359</xm:sqref>
        </x14:dataValidation>
        <x14:dataValidation type="list" allowBlank="1" showInputMessage="1" showErrorMessage="1" xr:uid="{00000000-0002-0000-0200-000066010000}">
          <x14:formula1>
            <xm:f>Country!A2:A1000</xm:f>
          </x14:formula1>
          <xm:sqref>C360</xm:sqref>
        </x14:dataValidation>
        <x14:dataValidation type="list" allowBlank="1" showInputMessage="1" showErrorMessage="1" xr:uid="{00000000-0002-0000-0200-000067010000}">
          <x14:formula1>
            <xm:f>Country!A2:A1000</xm:f>
          </x14:formula1>
          <xm:sqref>C361</xm:sqref>
        </x14:dataValidation>
        <x14:dataValidation type="list" allowBlank="1" showInputMessage="1" showErrorMessage="1" xr:uid="{00000000-0002-0000-0200-000068010000}">
          <x14:formula1>
            <xm:f>Country!A2:A1000</xm:f>
          </x14:formula1>
          <xm:sqref>C362</xm:sqref>
        </x14:dataValidation>
        <x14:dataValidation type="list" allowBlank="1" showInputMessage="1" showErrorMessage="1" xr:uid="{00000000-0002-0000-0200-000069010000}">
          <x14:formula1>
            <xm:f>Country!A2:A1000</xm:f>
          </x14:formula1>
          <xm:sqref>C363</xm:sqref>
        </x14:dataValidation>
        <x14:dataValidation type="list" allowBlank="1" showInputMessage="1" showErrorMessage="1" xr:uid="{00000000-0002-0000-0200-00006A010000}">
          <x14:formula1>
            <xm:f>Country!A2:A1000</xm:f>
          </x14:formula1>
          <xm:sqref>C364</xm:sqref>
        </x14:dataValidation>
        <x14:dataValidation type="list" allowBlank="1" showInputMessage="1" showErrorMessage="1" xr:uid="{00000000-0002-0000-0200-00006B010000}">
          <x14:formula1>
            <xm:f>Country!A2:A1000</xm:f>
          </x14:formula1>
          <xm:sqref>C365</xm:sqref>
        </x14:dataValidation>
        <x14:dataValidation type="list" allowBlank="1" showInputMessage="1" showErrorMessage="1" xr:uid="{00000000-0002-0000-0200-00006C010000}">
          <x14:formula1>
            <xm:f>Country!A2:A1000</xm:f>
          </x14:formula1>
          <xm:sqref>C366</xm:sqref>
        </x14:dataValidation>
        <x14:dataValidation type="list" allowBlank="1" showInputMessage="1" showErrorMessage="1" xr:uid="{00000000-0002-0000-0200-00006D010000}">
          <x14:formula1>
            <xm:f>Country!A2:A1000</xm:f>
          </x14:formula1>
          <xm:sqref>C367</xm:sqref>
        </x14:dataValidation>
        <x14:dataValidation type="list" allowBlank="1" showInputMessage="1" showErrorMessage="1" xr:uid="{00000000-0002-0000-0200-00006E010000}">
          <x14:formula1>
            <xm:f>Country!A2:A1000</xm:f>
          </x14:formula1>
          <xm:sqref>C368</xm:sqref>
        </x14:dataValidation>
        <x14:dataValidation type="list" allowBlank="1" showInputMessage="1" showErrorMessage="1" xr:uid="{00000000-0002-0000-0200-00006F010000}">
          <x14:formula1>
            <xm:f>Country!A2:A1000</xm:f>
          </x14:formula1>
          <xm:sqref>C369</xm:sqref>
        </x14:dataValidation>
        <x14:dataValidation type="list" allowBlank="1" showInputMessage="1" showErrorMessage="1" xr:uid="{00000000-0002-0000-0200-000070010000}">
          <x14:formula1>
            <xm:f>Country!A2:A1000</xm:f>
          </x14:formula1>
          <xm:sqref>C370</xm:sqref>
        </x14:dataValidation>
        <x14:dataValidation type="list" allowBlank="1" showInputMessage="1" showErrorMessage="1" xr:uid="{00000000-0002-0000-0200-000071010000}">
          <x14:formula1>
            <xm:f>Country!A2:A1000</xm:f>
          </x14:formula1>
          <xm:sqref>C371</xm:sqref>
        </x14:dataValidation>
        <x14:dataValidation type="list" allowBlank="1" showInputMessage="1" showErrorMessage="1" xr:uid="{00000000-0002-0000-0200-000072010000}">
          <x14:formula1>
            <xm:f>Country!A2:A1000</xm:f>
          </x14:formula1>
          <xm:sqref>C372</xm:sqref>
        </x14:dataValidation>
        <x14:dataValidation type="list" allowBlank="1" showInputMessage="1" showErrorMessage="1" xr:uid="{00000000-0002-0000-0200-000073010000}">
          <x14:formula1>
            <xm:f>Country!A2:A1000</xm:f>
          </x14:formula1>
          <xm:sqref>C373</xm:sqref>
        </x14:dataValidation>
        <x14:dataValidation type="list" allowBlank="1" showInputMessage="1" showErrorMessage="1" xr:uid="{00000000-0002-0000-0200-000074010000}">
          <x14:formula1>
            <xm:f>Country!A2:A1000</xm:f>
          </x14:formula1>
          <xm:sqref>C374</xm:sqref>
        </x14:dataValidation>
        <x14:dataValidation type="list" allowBlank="1" showInputMessage="1" showErrorMessage="1" xr:uid="{00000000-0002-0000-0200-000075010000}">
          <x14:formula1>
            <xm:f>Country!A2:A1000</xm:f>
          </x14:formula1>
          <xm:sqref>C375</xm:sqref>
        </x14:dataValidation>
        <x14:dataValidation type="list" allowBlank="1" showInputMessage="1" showErrorMessage="1" xr:uid="{00000000-0002-0000-0200-000076010000}">
          <x14:formula1>
            <xm:f>Country!A2:A1000</xm:f>
          </x14:formula1>
          <xm:sqref>C376</xm:sqref>
        </x14:dataValidation>
        <x14:dataValidation type="list" allowBlank="1" showInputMessage="1" showErrorMessage="1" xr:uid="{00000000-0002-0000-0200-000077010000}">
          <x14:formula1>
            <xm:f>Country!A2:A1000</xm:f>
          </x14:formula1>
          <xm:sqref>C377</xm:sqref>
        </x14:dataValidation>
        <x14:dataValidation type="list" allowBlank="1" showInputMessage="1" showErrorMessage="1" xr:uid="{00000000-0002-0000-0200-000078010000}">
          <x14:formula1>
            <xm:f>Country!A2:A1000</xm:f>
          </x14:formula1>
          <xm:sqref>C378</xm:sqref>
        </x14:dataValidation>
        <x14:dataValidation type="list" allowBlank="1" showInputMessage="1" showErrorMessage="1" xr:uid="{00000000-0002-0000-0200-000079010000}">
          <x14:formula1>
            <xm:f>Country!A2:A1000</xm:f>
          </x14:formula1>
          <xm:sqref>C379</xm:sqref>
        </x14:dataValidation>
        <x14:dataValidation type="list" allowBlank="1" showInputMessage="1" showErrorMessage="1" xr:uid="{00000000-0002-0000-0200-00007A010000}">
          <x14:formula1>
            <xm:f>Country!A2:A1000</xm:f>
          </x14:formula1>
          <xm:sqref>C380</xm:sqref>
        </x14:dataValidation>
        <x14:dataValidation type="list" allowBlank="1" showInputMessage="1" showErrorMessage="1" xr:uid="{00000000-0002-0000-0200-00007B010000}">
          <x14:formula1>
            <xm:f>Country!A2:A1000</xm:f>
          </x14:formula1>
          <xm:sqref>C381</xm:sqref>
        </x14:dataValidation>
        <x14:dataValidation type="list" allowBlank="1" showInputMessage="1" showErrorMessage="1" xr:uid="{00000000-0002-0000-0200-00007C010000}">
          <x14:formula1>
            <xm:f>Country!A2:A1000</xm:f>
          </x14:formula1>
          <xm:sqref>C382</xm:sqref>
        </x14:dataValidation>
        <x14:dataValidation type="list" allowBlank="1" showInputMessage="1" showErrorMessage="1" xr:uid="{00000000-0002-0000-0200-00007D010000}">
          <x14:formula1>
            <xm:f>Country!A2:A1000</xm:f>
          </x14:formula1>
          <xm:sqref>C383</xm:sqref>
        </x14:dataValidation>
        <x14:dataValidation type="list" allowBlank="1" showInputMessage="1" showErrorMessage="1" xr:uid="{00000000-0002-0000-0200-00007E010000}">
          <x14:formula1>
            <xm:f>Country!A2:A1000</xm:f>
          </x14:formula1>
          <xm:sqref>C384</xm:sqref>
        </x14:dataValidation>
        <x14:dataValidation type="list" allowBlank="1" showInputMessage="1" showErrorMessage="1" xr:uid="{00000000-0002-0000-0200-00007F010000}">
          <x14:formula1>
            <xm:f>Country!A2:A1000</xm:f>
          </x14:formula1>
          <xm:sqref>C385</xm:sqref>
        </x14:dataValidation>
        <x14:dataValidation type="list" allowBlank="1" showInputMessage="1" showErrorMessage="1" xr:uid="{00000000-0002-0000-0200-000080010000}">
          <x14:formula1>
            <xm:f>Country!A2:A1000</xm:f>
          </x14:formula1>
          <xm:sqref>C386</xm:sqref>
        </x14:dataValidation>
        <x14:dataValidation type="list" allowBlank="1" showInputMessage="1" showErrorMessage="1" xr:uid="{00000000-0002-0000-0200-000081010000}">
          <x14:formula1>
            <xm:f>Country!A2:A1000</xm:f>
          </x14:formula1>
          <xm:sqref>C387</xm:sqref>
        </x14:dataValidation>
        <x14:dataValidation type="list" allowBlank="1" showInputMessage="1" showErrorMessage="1" xr:uid="{00000000-0002-0000-0200-000082010000}">
          <x14:formula1>
            <xm:f>Country!A2:A1000</xm:f>
          </x14:formula1>
          <xm:sqref>C388</xm:sqref>
        </x14:dataValidation>
        <x14:dataValidation type="list" allowBlank="1" showInputMessage="1" showErrorMessage="1" xr:uid="{00000000-0002-0000-0200-000083010000}">
          <x14:formula1>
            <xm:f>Country!A2:A1000</xm:f>
          </x14:formula1>
          <xm:sqref>C389</xm:sqref>
        </x14:dataValidation>
        <x14:dataValidation type="list" allowBlank="1" showInputMessage="1" showErrorMessage="1" xr:uid="{00000000-0002-0000-0200-000084010000}">
          <x14:formula1>
            <xm:f>Country!A2:A1000</xm:f>
          </x14:formula1>
          <xm:sqref>C390</xm:sqref>
        </x14:dataValidation>
        <x14:dataValidation type="list" allowBlank="1" showInputMessage="1" showErrorMessage="1" xr:uid="{00000000-0002-0000-0200-000085010000}">
          <x14:formula1>
            <xm:f>Country!A2:A1000</xm:f>
          </x14:formula1>
          <xm:sqref>C391</xm:sqref>
        </x14:dataValidation>
        <x14:dataValidation type="list" allowBlank="1" showInputMessage="1" showErrorMessage="1" xr:uid="{00000000-0002-0000-0200-000086010000}">
          <x14:formula1>
            <xm:f>Country!A2:A1000</xm:f>
          </x14:formula1>
          <xm:sqref>C392</xm:sqref>
        </x14:dataValidation>
        <x14:dataValidation type="list" allowBlank="1" showInputMessage="1" showErrorMessage="1" xr:uid="{00000000-0002-0000-0200-000087010000}">
          <x14:formula1>
            <xm:f>Country!A2:A1000</xm:f>
          </x14:formula1>
          <xm:sqref>C393</xm:sqref>
        </x14:dataValidation>
        <x14:dataValidation type="list" allowBlank="1" showInputMessage="1" showErrorMessage="1" xr:uid="{00000000-0002-0000-0200-000088010000}">
          <x14:formula1>
            <xm:f>Country!A2:A1000</xm:f>
          </x14:formula1>
          <xm:sqref>C394</xm:sqref>
        </x14:dataValidation>
        <x14:dataValidation type="list" allowBlank="1" showInputMessage="1" showErrorMessage="1" xr:uid="{00000000-0002-0000-0200-000089010000}">
          <x14:formula1>
            <xm:f>Country!A2:A1000</xm:f>
          </x14:formula1>
          <xm:sqref>C395</xm:sqref>
        </x14:dataValidation>
        <x14:dataValidation type="list" allowBlank="1" showInputMessage="1" showErrorMessage="1" xr:uid="{00000000-0002-0000-0200-00008A010000}">
          <x14:formula1>
            <xm:f>Country!A2:A1000</xm:f>
          </x14:formula1>
          <xm:sqref>C396</xm:sqref>
        </x14:dataValidation>
        <x14:dataValidation type="list" allowBlank="1" showInputMessage="1" showErrorMessage="1" xr:uid="{00000000-0002-0000-0200-00008B010000}">
          <x14:formula1>
            <xm:f>Country!A2:A1000</xm:f>
          </x14:formula1>
          <xm:sqref>C397</xm:sqref>
        </x14:dataValidation>
        <x14:dataValidation type="list" allowBlank="1" showInputMessage="1" showErrorMessage="1" xr:uid="{00000000-0002-0000-0200-00008C010000}">
          <x14:formula1>
            <xm:f>Country!A2:A1000</xm:f>
          </x14:formula1>
          <xm:sqref>C398</xm:sqref>
        </x14:dataValidation>
        <x14:dataValidation type="list" allowBlank="1" showInputMessage="1" showErrorMessage="1" xr:uid="{00000000-0002-0000-0200-00008D010000}">
          <x14:formula1>
            <xm:f>Country!A2:A1000</xm:f>
          </x14:formula1>
          <xm:sqref>C399</xm:sqref>
        </x14:dataValidation>
        <x14:dataValidation type="list" allowBlank="1" showInputMessage="1" showErrorMessage="1" xr:uid="{00000000-0002-0000-0200-00008E010000}">
          <x14:formula1>
            <xm:f>Country!A2:A1000</xm:f>
          </x14:formula1>
          <xm:sqref>C400</xm:sqref>
        </x14:dataValidation>
        <x14:dataValidation type="list" allowBlank="1" showInputMessage="1" showErrorMessage="1" xr:uid="{00000000-0002-0000-0200-00008F010000}">
          <x14:formula1>
            <xm:f>Country!A2:A1000</xm:f>
          </x14:formula1>
          <xm:sqref>C401</xm:sqref>
        </x14:dataValidation>
        <x14:dataValidation type="list" allowBlank="1" showInputMessage="1" showErrorMessage="1" xr:uid="{00000000-0002-0000-0200-000090010000}">
          <x14:formula1>
            <xm:f>Country!A2:A1000</xm:f>
          </x14:formula1>
          <xm:sqref>C402</xm:sqref>
        </x14:dataValidation>
        <x14:dataValidation type="list" allowBlank="1" showInputMessage="1" showErrorMessage="1" xr:uid="{00000000-0002-0000-0200-000091010000}">
          <x14:formula1>
            <xm:f>Country!A2:A1000</xm:f>
          </x14:formula1>
          <xm:sqref>C403</xm:sqref>
        </x14:dataValidation>
        <x14:dataValidation type="list" allowBlank="1" showInputMessage="1" showErrorMessage="1" xr:uid="{00000000-0002-0000-0200-000092010000}">
          <x14:formula1>
            <xm:f>Country!A2:A1000</xm:f>
          </x14:formula1>
          <xm:sqref>C404</xm:sqref>
        </x14:dataValidation>
        <x14:dataValidation type="list" allowBlank="1" showInputMessage="1" showErrorMessage="1" xr:uid="{00000000-0002-0000-0200-000093010000}">
          <x14:formula1>
            <xm:f>Country!A2:A1000</xm:f>
          </x14:formula1>
          <xm:sqref>C405</xm:sqref>
        </x14:dataValidation>
        <x14:dataValidation type="list" allowBlank="1" showInputMessage="1" showErrorMessage="1" xr:uid="{00000000-0002-0000-0200-000094010000}">
          <x14:formula1>
            <xm:f>Country!A2:A1000</xm:f>
          </x14:formula1>
          <xm:sqref>C406</xm:sqref>
        </x14:dataValidation>
        <x14:dataValidation type="list" allowBlank="1" showInputMessage="1" showErrorMessage="1" xr:uid="{00000000-0002-0000-0200-000095010000}">
          <x14:formula1>
            <xm:f>Country!A2:A1000</xm:f>
          </x14:formula1>
          <xm:sqref>C407</xm:sqref>
        </x14:dataValidation>
        <x14:dataValidation type="list" allowBlank="1" showInputMessage="1" showErrorMessage="1" xr:uid="{00000000-0002-0000-0200-000096010000}">
          <x14:formula1>
            <xm:f>Country!A2:A1000</xm:f>
          </x14:formula1>
          <xm:sqref>C408</xm:sqref>
        </x14:dataValidation>
        <x14:dataValidation type="list" allowBlank="1" showInputMessage="1" showErrorMessage="1" xr:uid="{00000000-0002-0000-0200-000097010000}">
          <x14:formula1>
            <xm:f>Country!A2:A1000</xm:f>
          </x14:formula1>
          <xm:sqref>C409</xm:sqref>
        </x14:dataValidation>
        <x14:dataValidation type="list" allowBlank="1" showInputMessage="1" showErrorMessage="1" xr:uid="{00000000-0002-0000-0200-000098010000}">
          <x14:formula1>
            <xm:f>Country!A2:A1000</xm:f>
          </x14:formula1>
          <xm:sqref>C410</xm:sqref>
        </x14:dataValidation>
        <x14:dataValidation type="list" allowBlank="1" showInputMessage="1" showErrorMessage="1" xr:uid="{00000000-0002-0000-0200-000099010000}">
          <x14:formula1>
            <xm:f>Country!A2:A1000</xm:f>
          </x14:formula1>
          <xm:sqref>C411</xm:sqref>
        </x14:dataValidation>
        <x14:dataValidation type="list" allowBlank="1" showInputMessage="1" showErrorMessage="1" xr:uid="{00000000-0002-0000-0200-00009A010000}">
          <x14:formula1>
            <xm:f>Country!A2:A1000</xm:f>
          </x14:formula1>
          <xm:sqref>C412</xm:sqref>
        </x14:dataValidation>
        <x14:dataValidation type="list" allowBlank="1" showInputMessage="1" showErrorMessage="1" xr:uid="{00000000-0002-0000-0200-00009B010000}">
          <x14:formula1>
            <xm:f>Country!A2:A1000</xm:f>
          </x14:formula1>
          <xm:sqref>C413</xm:sqref>
        </x14:dataValidation>
        <x14:dataValidation type="list" allowBlank="1" showInputMessage="1" showErrorMessage="1" xr:uid="{00000000-0002-0000-0200-00009C010000}">
          <x14:formula1>
            <xm:f>Country!A2:A1000</xm:f>
          </x14:formula1>
          <xm:sqref>C414</xm:sqref>
        </x14:dataValidation>
        <x14:dataValidation type="list" allowBlank="1" showInputMessage="1" showErrorMessage="1" xr:uid="{00000000-0002-0000-0200-00009D010000}">
          <x14:formula1>
            <xm:f>Country!A2:A1000</xm:f>
          </x14:formula1>
          <xm:sqref>C415</xm:sqref>
        </x14:dataValidation>
        <x14:dataValidation type="list" allowBlank="1" showInputMessage="1" showErrorMessage="1" xr:uid="{00000000-0002-0000-0200-00009E010000}">
          <x14:formula1>
            <xm:f>Country!A2:A1000</xm:f>
          </x14:formula1>
          <xm:sqref>C416</xm:sqref>
        </x14:dataValidation>
        <x14:dataValidation type="list" allowBlank="1" showInputMessage="1" showErrorMessage="1" xr:uid="{00000000-0002-0000-0200-00009F010000}">
          <x14:formula1>
            <xm:f>Country!A2:A1000</xm:f>
          </x14:formula1>
          <xm:sqref>C417</xm:sqref>
        </x14:dataValidation>
        <x14:dataValidation type="list" allowBlank="1" showInputMessage="1" showErrorMessage="1" xr:uid="{00000000-0002-0000-0200-0000A0010000}">
          <x14:formula1>
            <xm:f>Country!A2:A1000</xm:f>
          </x14:formula1>
          <xm:sqref>C418</xm:sqref>
        </x14:dataValidation>
        <x14:dataValidation type="list" allowBlank="1" showInputMessage="1" showErrorMessage="1" xr:uid="{00000000-0002-0000-0200-0000A1010000}">
          <x14:formula1>
            <xm:f>Country!A2:A1000</xm:f>
          </x14:formula1>
          <xm:sqref>C419</xm:sqref>
        </x14:dataValidation>
        <x14:dataValidation type="list" allowBlank="1" showInputMessage="1" showErrorMessage="1" xr:uid="{00000000-0002-0000-0200-0000A2010000}">
          <x14:formula1>
            <xm:f>Country!A2:A1000</xm:f>
          </x14:formula1>
          <xm:sqref>C420</xm:sqref>
        </x14:dataValidation>
        <x14:dataValidation type="list" allowBlank="1" showInputMessage="1" showErrorMessage="1" xr:uid="{00000000-0002-0000-0200-0000A3010000}">
          <x14:formula1>
            <xm:f>Country!A2:A1000</xm:f>
          </x14:formula1>
          <xm:sqref>C421</xm:sqref>
        </x14:dataValidation>
        <x14:dataValidation type="list" allowBlank="1" showInputMessage="1" showErrorMessage="1" xr:uid="{00000000-0002-0000-0200-0000A4010000}">
          <x14:formula1>
            <xm:f>Country!A2:A1000</xm:f>
          </x14:formula1>
          <xm:sqref>C422</xm:sqref>
        </x14:dataValidation>
        <x14:dataValidation type="list" allowBlank="1" showInputMessage="1" showErrorMessage="1" xr:uid="{00000000-0002-0000-0200-0000A5010000}">
          <x14:formula1>
            <xm:f>Country!A2:A1000</xm:f>
          </x14:formula1>
          <xm:sqref>C423</xm:sqref>
        </x14:dataValidation>
        <x14:dataValidation type="list" allowBlank="1" showInputMessage="1" showErrorMessage="1" xr:uid="{00000000-0002-0000-0200-0000A6010000}">
          <x14:formula1>
            <xm:f>Country!A2:A1000</xm:f>
          </x14:formula1>
          <xm:sqref>C424</xm:sqref>
        </x14:dataValidation>
        <x14:dataValidation type="list" allowBlank="1" showInputMessage="1" showErrorMessage="1" xr:uid="{00000000-0002-0000-0200-0000A7010000}">
          <x14:formula1>
            <xm:f>Country!A2:A1000</xm:f>
          </x14:formula1>
          <xm:sqref>C425</xm:sqref>
        </x14:dataValidation>
        <x14:dataValidation type="list" allowBlank="1" showInputMessage="1" showErrorMessage="1" xr:uid="{00000000-0002-0000-0200-0000A8010000}">
          <x14:formula1>
            <xm:f>Country!A2:A1000</xm:f>
          </x14:formula1>
          <xm:sqref>C426</xm:sqref>
        </x14:dataValidation>
        <x14:dataValidation type="list" allowBlank="1" showInputMessage="1" showErrorMessage="1" xr:uid="{00000000-0002-0000-0200-0000A9010000}">
          <x14:formula1>
            <xm:f>Country!A2:A1000</xm:f>
          </x14:formula1>
          <xm:sqref>C427</xm:sqref>
        </x14:dataValidation>
        <x14:dataValidation type="list" allowBlank="1" showInputMessage="1" showErrorMessage="1" xr:uid="{00000000-0002-0000-0200-0000AA010000}">
          <x14:formula1>
            <xm:f>Country!A2:A1000</xm:f>
          </x14:formula1>
          <xm:sqref>C428</xm:sqref>
        </x14:dataValidation>
        <x14:dataValidation type="list" allowBlank="1" showInputMessage="1" showErrorMessage="1" xr:uid="{00000000-0002-0000-0200-0000AB010000}">
          <x14:formula1>
            <xm:f>Country!A2:A1000</xm:f>
          </x14:formula1>
          <xm:sqref>C429</xm:sqref>
        </x14:dataValidation>
        <x14:dataValidation type="list" allowBlank="1" showInputMessage="1" showErrorMessage="1" xr:uid="{00000000-0002-0000-0200-0000AC010000}">
          <x14:formula1>
            <xm:f>Country!A2:A1000</xm:f>
          </x14:formula1>
          <xm:sqref>C430</xm:sqref>
        </x14:dataValidation>
        <x14:dataValidation type="list" allowBlank="1" showInputMessage="1" showErrorMessage="1" xr:uid="{00000000-0002-0000-0200-0000AD010000}">
          <x14:formula1>
            <xm:f>Country!A2:A1000</xm:f>
          </x14:formula1>
          <xm:sqref>C431</xm:sqref>
        </x14:dataValidation>
        <x14:dataValidation type="list" allowBlank="1" showInputMessage="1" showErrorMessage="1" xr:uid="{00000000-0002-0000-0200-0000AE010000}">
          <x14:formula1>
            <xm:f>Country!A2:A1000</xm:f>
          </x14:formula1>
          <xm:sqref>C432</xm:sqref>
        </x14:dataValidation>
        <x14:dataValidation type="list" allowBlank="1" showInputMessage="1" showErrorMessage="1" xr:uid="{00000000-0002-0000-0200-0000AF010000}">
          <x14:formula1>
            <xm:f>Country!A2:A1000</xm:f>
          </x14:formula1>
          <xm:sqref>C433</xm:sqref>
        </x14:dataValidation>
        <x14:dataValidation type="list" allowBlank="1" showInputMessage="1" showErrorMessage="1" xr:uid="{00000000-0002-0000-0200-0000B0010000}">
          <x14:formula1>
            <xm:f>Country!A2:A1000</xm:f>
          </x14:formula1>
          <xm:sqref>C434</xm:sqref>
        </x14:dataValidation>
        <x14:dataValidation type="list" allowBlank="1" showInputMessage="1" showErrorMessage="1" xr:uid="{00000000-0002-0000-0200-0000B1010000}">
          <x14:formula1>
            <xm:f>Country!A2:A1000</xm:f>
          </x14:formula1>
          <xm:sqref>C435</xm:sqref>
        </x14:dataValidation>
        <x14:dataValidation type="list" allowBlank="1" showInputMessage="1" showErrorMessage="1" xr:uid="{00000000-0002-0000-0200-0000B2010000}">
          <x14:formula1>
            <xm:f>Country!A2:A1000</xm:f>
          </x14:formula1>
          <xm:sqref>C436</xm:sqref>
        </x14:dataValidation>
        <x14:dataValidation type="list" allowBlank="1" showInputMessage="1" showErrorMessage="1" xr:uid="{00000000-0002-0000-0200-0000B3010000}">
          <x14:formula1>
            <xm:f>Country!A2:A1000</xm:f>
          </x14:formula1>
          <xm:sqref>C437</xm:sqref>
        </x14:dataValidation>
        <x14:dataValidation type="list" allowBlank="1" showInputMessage="1" showErrorMessage="1" xr:uid="{00000000-0002-0000-0200-0000B4010000}">
          <x14:formula1>
            <xm:f>Country!A2:A1000</xm:f>
          </x14:formula1>
          <xm:sqref>C438</xm:sqref>
        </x14:dataValidation>
        <x14:dataValidation type="list" allowBlank="1" showInputMessage="1" showErrorMessage="1" xr:uid="{00000000-0002-0000-0200-0000B5010000}">
          <x14:formula1>
            <xm:f>Country!A2:A1000</xm:f>
          </x14:formula1>
          <xm:sqref>C439</xm:sqref>
        </x14:dataValidation>
        <x14:dataValidation type="list" allowBlank="1" showInputMessage="1" showErrorMessage="1" xr:uid="{00000000-0002-0000-0200-0000B6010000}">
          <x14:formula1>
            <xm:f>Country!A2:A1000</xm:f>
          </x14:formula1>
          <xm:sqref>C440</xm:sqref>
        </x14:dataValidation>
        <x14:dataValidation type="list" allowBlank="1" showInputMessage="1" showErrorMessage="1" xr:uid="{00000000-0002-0000-0200-0000B7010000}">
          <x14:formula1>
            <xm:f>Country!A2:A1000</xm:f>
          </x14:formula1>
          <xm:sqref>C441</xm:sqref>
        </x14:dataValidation>
        <x14:dataValidation type="list" allowBlank="1" showInputMessage="1" showErrorMessage="1" xr:uid="{00000000-0002-0000-0200-0000B8010000}">
          <x14:formula1>
            <xm:f>Country!A2:A1000</xm:f>
          </x14:formula1>
          <xm:sqref>C442</xm:sqref>
        </x14:dataValidation>
        <x14:dataValidation type="list" allowBlank="1" showInputMessage="1" showErrorMessage="1" xr:uid="{00000000-0002-0000-0200-0000B9010000}">
          <x14:formula1>
            <xm:f>Country!A2:A1000</xm:f>
          </x14:formula1>
          <xm:sqref>C443</xm:sqref>
        </x14:dataValidation>
        <x14:dataValidation type="list" allowBlank="1" showInputMessage="1" showErrorMessage="1" xr:uid="{00000000-0002-0000-0200-0000BA010000}">
          <x14:formula1>
            <xm:f>Country!A2:A1000</xm:f>
          </x14:formula1>
          <xm:sqref>C444</xm:sqref>
        </x14:dataValidation>
        <x14:dataValidation type="list" allowBlank="1" showInputMessage="1" showErrorMessage="1" xr:uid="{00000000-0002-0000-0200-0000BB010000}">
          <x14:formula1>
            <xm:f>Country!A2:A1000</xm:f>
          </x14:formula1>
          <xm:sqref>C445</xm:sqref>
        </x14:dataValidation>
        <x14:dataValidation type="list" allowBlank="1" showInputMessage="1" showErrorMessage="1" xr:uid="{00000000-0002-0000-0200-0000BC010000}">
          <x14:formula1>
            <xm:f>Country!A2:A1000</xm:f>
          </x14:formula1>
          <xm:sqref>C446</xm:sqref>
        </x14:dataValidation>
        <x14:dataValidation type="list" allowBlank="1" showInputMessage="1" showErrorMessage="1" xr:uid="{00000000-0002-0000-0200-0000BD010000}">
          <x14:formula1>
            <xm:f>Country!A2:A1000</xm:f>
          </x14:formula1>
          <xm:sqref>C447</xm:sqref>
        </x14:dataValidation>
        <x14:dataValidation type="list" allowBlank="1" showInputMessage="1" showErrorMessage="1" xr:uid="{00000000-0002-0000-0200-0000BE010000}">
          <x14:formula1>
            <xm:f>Country!A2:A1000</xm:f>
          </x14:formula1>
          <xm:sqref>C448</xm:sqref>
        </x14:dataValidation>
        <x14:dataValidation type="list" allowBlank="1" showInputMessage="1" showErrorMessage="1" xr:uid="{00000000-0002-0000-0200-0000BF010000}">
          <x14:formula1>
            <xm:f>Country!A2:A1000</xm:f>
          </x14:formula1>
          <xm:sqref>C449</xm:sqref>
        </x14:dataValidation>
        <x14:dataValidation type="list" allowBlank="1" showInputMessage="1" showErrorMessage="1" xr:uid="{00000000-0002-0000-0200-0000C0010000}">
          <x14:formula1>
            <xm:f>Country!A2:A1000</xm:f>
          </x14:formula1>
          <xm:sqref>C450</xm:sqref>
        </x14:dataValidation>
        <x14:dataValidation type="list" allowBlank="1" showInputMessage="1" showErrorMessage="1" xr:uid="{00000000-0002-0000-0200-0000C1010000}">
          <x14:formula1>
            <xm:f>Country!A2:A1000</xm:f>
          </x14:formula1>
          <xm:sqref>C451</xm:sqref>
        </x14:dataValidation>
        <x14:dataValidation type="list" allowBlank="1" showInputMessage="1" showErrorMessage="1" xr:uid="{00000000-0002-0000-0200-0000C2010000}">
          <x14:formula1>
            <xm:f>Country!A2:A1000</xm:f>
          </x14:formula1>
          <xm:sqref>C452</xm:sqref>
        </x14:dataValidation>
        <x14:dataValidation type="list" allowBlank="1" showInputMessage="1" showErrorMessage="1" xr:uid="{00000000-0002-0000-0200-0000C3010000}">
          <x14:formula1>
            <xm:f>Country!A2:A1000</xm:f>
          </x14:formula1>
          <xm:sqref>C453</xm:sqref>
        </x14:dataValidation>
        <x14:dataValidation type="list" allowBlank="1" showInputMessage="1" showErrorMessage="1" xr:uid="{00000000-0002-0000-0200-0000C4010000}">
          <x14:formula1>
            <xm:f>Country!A2:A1000</xm:f>
          </x14:formula1>
          <xm:sqref>C454</xm:sqref>
        </x14:dataValidation>
        <x14:dataValidation type="list" allowBlank="1" showInputMessage="1" showErrorMessage="1" xr:uid="{00000000-0002-0000-0200-0000C5010000}">
          <x14:formula1>
            <xm:f>Country!A2:A1000</xm:f>
          </x14:formula1>
          <xm:sqref>C455</xm:sqref>
        </x14:dataValidation>
        <x14:dataValidation type="list" allowBlank="1" showInputMessage="1" showErrorMessage="1" xr:uid="{00000000-0002-0000-0200-0000C6010000}">
          <x14:formula1>
            <xm:f>Country!A2:A1000</xm:f>
          </x14:formula1>
          <xm:sqref>C456</xm:sqref>
        </x14:dataValidation>
        <x14:dataValidation type="list" allowBlank="1" showInputMessage="1" showErrorMessage="1" xr:uid="{00000000-0002-0000-0200-0000C7010000}">
          <x14:formula1>
            <xm:f>Country!A2:A1000</xm:f>
          </x14:formula1>
          <xm:sqref>C457</xm:sqref>
        </x14:dataValidation>
        <x14:dataValidation type="list" allowBlank="1" showInputMessage="1" showErrorMessage="1" xr:uid="{00000000-0002-0000-0200-0000C8010000}">
          <x14:formula1>
            <xm:f>Country!A2:A1000</xm:f>
          </x14:formula1>
          <xm:sqref>C458</xm:sqref>
        </x14:dataValidation>
        <x14:dataValidation type="list" allowBlank="1" showInputMessage="1" showErrorMessage="1" xr:uid="{00000000-0002-0000-0200-0000C9010000}">
          <x14:formula1>
            <xm:f>Country!A2:A1000</xm:f>
          </x14:formula1>
          <xm:sqref>C459</xm:sqref>
        </x14:dataValidation>
        <x14:dataValidation type="list" allowBlank="1" showInputMessage="1" showErrorMessage="1" xr:uid="{00000000-0002-0000-0200-0000CA010000}">
          <x14:formula1>
            <xm:f>Country!A2:A1000</xm:f>
          </x14:formula1>
          <xm:sqref>C460</xm:sqref>
        </x14:dataValidation>
        <x14:dataValidation type="list" allowBlank="1" showInputMessage="1" showErrorMessage="1" xr:uid="{00000000-0002-0000-0200-0000CB010000}">
          <x14:formula1>
            <xm:f>Country!A2:A1000</xm:f>
          </x14:formula1>
          <xm:sqref>C461</xm:sqref>
        </x14:dataValidation>
        <x14:dataValidation type="list" allowBlank="1" showInputMessage="1" showErrorMessage="1" xr:uid="{00000000-0002-0000-0200-0000CC010000}">
          <x14:formula1>
            <xm:f>Country!A2:A1000</xm:f>
          </x14:formula1>
          <xm:sqref>C462</xm:sqref>
        </x14:dataValidation>
        <x14:dataValidation type="list" allowBlank="1" showInputMessage="1" showErrorMessage="1" xr:uid="{00000000-0002-0000-0200-0000CD010000}">
          <x14:formula1>
            <xm:f>Country!A2:A1000</xm:f>
          </x14:formula1>
          <xm:sqref>C463</xm:sqref>
        </x14:dataValidation>
        <x14:dataValidation type="list" allowBlank="1" showInputMessage="1" showErrorMessage="1" xr:uid="{00000000-0002-0000-0200-0000CE010000}">
          <x14:formula1>
            <xm:f>Country!A2:A1000</xm:f>
          </x14:formula1>
          <xm:sqref>C464</xm:sqref>
        </x14:dataValidation>
        <x14:dataValidation type="list" allowBlank="1" showInputMessage="1" showErrorMessage="1" xr:uid="{00000000-0002-0000-0200-0000CF010000}">
          <x14:formula1>
            <xm:f>Country!A2:A1000</xm:f>
          </x14:formula1>
          <xm:sqref>C465</xm:sqref>
        </x14:dataValidation>
        <x14:dataValidation type="list" allowBlank="1" showInputMessage="1" showErrorMessage="1" xr:uid="{00000000-0002-0000-0200-0000D0010000}">
          <x14:formula1>
            <xm:f>Country!A2:A1000</xm:f>
          </x14:formula1>
          <xm:sqref>C466</xm:sqref>
        </x14:dataValidation>
        <x14:dataValidation type="list" allowBlank="1" showInputMessage="1" showErrorMessage="1" xr:uid="{00000000-0002-0000-0200-0000D1010000}">
          <x14:formula1>
            <xm:f>Country!A2:A1000</xm:f>
          </x14:formula1>
          <xm:sqref>C467</xm:sqref>
        </x14:dataValidation>
        <x14:dataValidation type="list" allowBlank="1" showInputMessage="1" showErrorMessage="1" xr:uid="{00000000-0002-0000-0200-0000D2010000}">
          <x14:formula1>
            <xm:f>Country!A2:A1000</xm:f>
          </x14:formula1>
          <xm:sqref>C468</xm:sqref>
        </x14:dataValidation>
        <x14:dataValidation type="list" allowBlank="1" showInputMessage="1" showErrorMessage="1" xr:uid="{00000000-0002-0000-0200-0000D3010000}">
          <x14:formula1>
            <xm:f>Country!A2:A1000</xm:f>
          </x14:formula1>
          <xm:sqref>C469</xm:sqref>
        </x14:dataValidation>
        <x14:dataValidation type="list" allowBlank="1" showInputMessage="1" showErrorMessage="1" xr:uid="{00000000-0002-0000-0200-0000D4010000}">
          <x14:formula1>
            <xm:f>Country!A2:A1000</xm:f>
          </x14:formula1>
          <xm:sqref>C470</xm:sqref>
        </x14:dataValidation>
        <x14:dataValidation type="list" allowBlank="1" showInputMessage="1" showErrorMessage="1" xr:uid="{00000000-0002-0000-0200-0000D5010000}">
          <x14:formula1>
            <xm:f>Country!A2:A1000</xm:f>
          </x14:formula1>
          <xm:sqref>C471</xm:sqref>
        </x14:dataValidation>
        <x14:dataValidation type="list" allowBlank="1" showInputMessage="1" showErrorMessage="1" xr:uid="{00000000-0002-0000-0200-0000D6010000}">
          <x14:formula1>
            <xm:f>Country!A2:A1000</xm:f>
          </x14:formula1>
          <xm:sqref>C472</xm:sqref>
        </x14:dataValidation>
        <x14:dataValidation type="list" allowBlank="1" showInputMessage="1" showErrorMessage="1" xr:uid="{00000000-0002-0000-0200-0000D7010000}">
          <x14:formula1>
            <xm:f>Country!A2:A1000</xm:f>
          </x14:formula1>
          <xm:sqref>C473</xm:sqref>
        </x14:dataValidation>
        <x14:dataValidation type="list" allowBlank="1" showInputMessage="1" showErrorMessage="1" xr:uid="{00000000-0002-0000-0200-0000D8010000}">
          <x14:formula1>
            <xm:f>Country!A2:A1000</xm:f>
          </x14:formula1>
          <xm:sqref>C474</xm:sqref>
        </x14:dataValidation>
        <x14:dataValidation type="list" allowBlank="1" showInputMessage="1" showErrorMessage="1" xr:uid="{00000000-0002-0000-0200-0000D9010000}">
          <x14:formula1>
            <xm:f>Country!A2:A1000</xm:f>
          </x14:formula1>
          <xm:sqref>C475</xm:sqref>
        </x14:dataValidation>
        <x14:dataValidation type="list" allowBlank="1" showInputMessage="1" showErrorMessage="1" xr:uid="{00000000-0002-0000-0200-0000DA010000}">
          <x14:formula1>
            <xm:f>Country!A2:A1000</xm:f>
          </x14:formula1>
          <xm:sqref>C476</xm:sqref>
        </x14:dataValidation>
        <x14:dataValidation type="list" allowBlank="1" showInputMessage="1" showErrorMessage="1" xr:uid="{00000000-0002-0000-0200-0000DB010000}">
          <x14:formula1>
            <xm:f>Country!A2:A1000</xm:f>
          </x14:formula1>
          <xm:sqref>C477</xm:sqref>
        </x14:dataValidation>
        <x14:dataValidation type="list" allowBlank="1" showInputMessage="1" showErrorMessage="1" xr:uid="{00000000-0002-0000-0200-0000DC010000}">
          <x14:formula1>
            <xm:f>Country!A2:A1000</xm:f>
          </x14:formula1>
          <xm:sqref>C478</xm:sqref>
        </x14:dataValidation>
        <x14:dataValidation type="list" allowBlank="1" showInputMessage="1" showErrorMessage="1" xr:uid="{00000000-0002-0000-0200-0000DD010000}">
          <x14:formula1>
            <xm:f>Country!A2:A1000</xm:f>
          </x14:formula1>
          <xm:sqref>C479</xm:sqref>
        </x14:dataValidation>
        <x14:dataValidation type="list" allowBlank="1" showInputMessage="1" showErrorMessage="1" xr:uid="{00000000-0002-0000-0200-0000DE010000}">
          <x14:formula1>
            <xm:f>Country!A2:A1000</xm:f>
          </x14:formula1>
          <xm:sqref>C480</xm:sqref>
        </x14:dataValidation>
        <x14:dataValidation type="list" allowBlank="1" showInputMessage="1" showErrorMessage="1" xr:uid="{00000000-0002-0000-0200-0000DF010000}">
          <x14:formula1>
            <xm:f>Country!A2:A1000</xm:f>
          </x14:formula1>
          <xm:sqref>C481</xm:sqref>
        </x14:dataValidation>
        <x14:dataValidation type="list" allowBlank="1" showInputMessage="1" showErrorMessage="1" xr:uid="{00000000-0002-0000-0200-0000E0010000}">
          <x14:formula1>
            <xm:f>Country!A2:A1000</xm:f>
          </x14:formula1>
          <xm:sqref>C482</xm:sqref>
        </x14:dataValidation>
        <x14:dataValidation type="list" allowBlank="1" showInputMessage="1" showErrorMessage="1" xr:uid="{00000000-0002-0000-0200-0000E1010000}">
          <x14:formula1>
            <xm:f>Country!A2:A1000</xm:f>
          </x14:formula1>
          <xm:sqref>C483</xm:sqref>
        </x14:dataValidation>
        <x14:dataValidation type="list" allowBlank="1" showInputMessage="1" showErrorMessage="1" xr:uid="{00000000-0002-0000-0200-0000E2010000}">
          <x14:formula1>
            <xm:f>Country!A2:A1000</xm:f>
          </x14:formula1>
          <xm:sqref>C484</xm:sqref>
        </x14:dataValidation>
        <x14:dataValidation type="list" allowBlank="1" showInputMessage="1" showErrorMessage="1" xr:uid="{00000000-0002-0000-0200-0000E3010000}">
          <x14:formula1>
            <xm:f>Country!A2:A1000</xm:f>
          </x14:formula1>
          <xm:sqref>C485</xm:sqref>
        </x14:dataValidation>
        <x14:dataValidation type="list" allowBlank="1" showInputMessage="1" showErrorMessage="1" xr:uid="{00000000-0002-0000-0200-0000E4010000}">
          <x14:formula1>
            <xm:f>Country!A2:A1000</xm:f>
          </x14:formula1>
          <xm:sqref>C486</xm:sqref>
        </x14:dataValidation>
        <x14:dataValidation type="list" allowBlank="1" showInputMessage="1" showErrorMessage="1" xr:uid="{00000000-0002-0000-0200-0000E5010000}">
          <x14:formula1>
            <xm:f>Country!A2:A1000</xm:f>
          </x14:formula1>
          <xm:sqref>C487</xm:sqref>
        </x14:dataValidation>
        <x14:dataValidation type="list" allowBlank="1" showInputMessage="1" showErrorMessage="1" xr:uid="{00000000-0002-0000-0200-0000E6010000}">
          <x14:formula1>
            <xm:f>Country!A2:A1000</xm:f>
          </x14:formula1>
          <xm:sqref>C488</xm:sqref>
        </x14:dataValidation>
        <x14:dataValidation type="list" allowBlank="1" showInputMessage="1" showErrorMessage="1" xr:uid="{00000000-0002-0000-0200-0000E7010000}">
          <x14:formula1>
            <xm:f>Country!A2:A1000</xm:f>
          </x14:formula1>
          <xm:sqref>C489</xm:sqref>
        </x14:dataValidation>
        <x14:dataValidation type="list" allowBlank="1" showInputMessage="1" showErrorMessage="1" xr:uid="{00000000-0002-0000-0200-0000E8010000}">
          <x14:formula1>
            <xm:f>Country!A2:A1000</xm:f>
          </x14:formula1>
          <xm:sqref>C490</xm:sqref>
        </x14:dataValidation>
        <x14:dataValidation type="list" allowBlank="1" showInputMessage="1" showErrorMessage="1" xr:uid="{00000000-0002-0000-0200-0000E9010000}">
          <x14:formula1>
            <xm:f>Country!A2:A1000</xm:f>
          </x14:formula1>
          <xm:sqref>C491</xm:sqref>
        </x14:dataValidation>
        <x14:dataValidation type="list" allowBlank="1" showInputMessage="1" showErrorMessage="1" xr:uid="{00000000-0002-0000-0200-0000EA010000}">
          <x14:formula1>
            <xm:f>Country!A2:A1000</xm:f>
          </x14:formula1>
          <xm:sqref>C492</xm:sqref>
        </x14:dataValidation>
        <x14:dataValidation type="list" allowBlank="1" showInputMessage="1" showErrorMessage="1" xr:uid="{00000000-0002-0000-0200-0000EB010000}">
          <x14:formula1>
            <xm:f>Country!A2:A1000</xm:f>
          </x14:formula1>
          <xm:sqref>C493</xm:sqref>
        </x14:dataValidation>
        <x14:dataValidation type="list" allowBlank="1" showInputMessage="1" showErrorMessage="1" xr:uid="{00000000-0002-0000-0200-0000EC010000}">
          <x14:formula1>
            <xm:f>Country!A2:A1000</xm:f>
          </x14:formula1>
          <xm:sqref>C494</xm:sqref>
        </x14:dataValidation>
        <x14:dataValidation type="list" allowBlank="1" showInputMessage="1" showErrorMessage="1" xr:uid="{00000000-0002-0000-0200-0000ED010000}">
          <x14:formula1>
            <xm:f>Country!A2:A1000</xm:f>
          </x14:formula1>
          <xm:sqref>C495</xm:sqref>
        </x14:dataValidation>
        <x14:dataValidation type="list" allowBlank="1" showInputMessage="1" showErrorMessage="1" xr:uid="{00000000-0002-0000-0200-0000EE010000}">
          <x14:formula1>
            <xm:f>Country!A2:A1000</xm:f>
          </x14:formula1>
          <xm:sqref>C496</xm:sqref>
        </x14:dataValidation>
        <x14:dataValidation type="list" allowBlank="1" showInputMessage="1" showErrorMessage="1" xr:uid="{00000000-0002-0000-0200-0000EF010000}">
          <x14:formula1>
            <xm:f>Country!A2:A1000</xm:f>
          </x14:formula1>
          <xm:sqref>C497</xm:sqref>
        </x14:dataValidation>
        <x14:dataValidation type="list" allowBlank="1" showInputMessage="1" showErrorMessage="1" xr:uid="{00000000-0002-0000-0200-0000F0010000}">
          <x14:formula1>
            <xm:f>Country!A2:A1000</xm:f>
          </x14:formula1>
          <xm:sqref>C498</xm:sqref>
        </x14:dataValidation>
        <x14:dataValidation type="list" allowBlank="1" showInputMessage="1" showErrorMessage="1" xr:uid="{00000000-0002-0000-0200-0000F1010000}">
          <x14:formula1>
            <xm:f>Country!A2:A1000</xm:f>
          </x14:formula1>
          <xm:sqref>C499</xm:sqref>
        </x14:dataValidation>
        <x14:dataValidation type="list" allowBlank="1" showInputMessage="1" showErrorMessage="1" xr:uid="{00000000-0002-0000-0200-0000F2010000}">
          <x14:formula1>
            <xm:f>Country!A2:A1000</xm:f>
          </x14:formula1>
          <xm:sqref>C500</xm:sqref>
        </x14:dataValidation>
        <x14:dataValidation type="list" allowBlank="1" showInputMessage="1" showErrorMessage="1" xr:uid="{00000000-0002-0000-0200-0000F3010000}">
          <x14:formula1>
            <xm:f>Country!A2:A1000</xm:f>
          </x14:formula1>
          <xm:sqref>C501</xm:sqref>
        </x14:dataValidation>
        <x14:dataValidation type="list" allowBlank="1" showInputMessage="1" showErrorMessage="1" xr:uid="{00000000-0002-0000-0200-0000F4010000}">
          <x14:formula1>
            <xm:f>Country!A2:A1000</xm:f>
          </x14:formula1>
          <xm:sqref>C502</xm:sqref>
        </x14:dataValidation>
        <x14:dataValidation type="list" allowBlank="1" showInputMessage="1" showErrorMessage="1" xr:uid="{00000000-0002-0000-0200-0000F5010000}">
          <x14:formula1>
            <xm:f>Country!A2:A1000</xm:f>
          </x14:formula1>
          <xm:sqref>C503</xm:sqref>
        </x14:dataValidation>
        <x14:dataValidation type="list" allowBlank="1" showInputMessage="1" showErrorMessage="1" xr:uid="{00000000-0002-0000-0200-0000F6010000}">
          <x14:formula1>
            <xm:f>Country!A2:A1000</xm:f>
          </x14:formula1>
          <xm:sqref>C504</xm:sqref>
        </x14:dataValidation>
        <x14:dataValidation type="list" allowBlank="1" showInputMessage="1" showErrorMessage="1" xr:uid="{00000000-0002-0000-0200-0000F7010000}">
          <x14:formula1>
            <xm:f>Country!A2:A1000</xm:f>
          </x14:formula1>
          <xm:sqref>C505</xm:sqref>
        </x14:dataValidation>
        <x14:dataValidation type="list" allowBlank="1" showInputMessage="1" showErrorMessage="1" xr:uid="{00000000-0002-0000-0200-0000F8010000}">
          <x14:formula1>
            <xm:f>Country!A2:A1000</xm:f>
          </x14:formula1>
          <xm:sqref>C506</xm:sqref>
        </x14:dataValidation>
        <x14:dataValidation type="list" allowBlank="1" showInputMessage="1" showErrorMessage="1" xr:uid="{00000000-0002-0000-0200-0000F9010000}">
          <x14:formula1>
            <xm:f>Country!A2:A1000</xm:f>
          </x14:formula1>
          <xm:sqref>C507</xm:sqref>
        </x14:dataValidation>
        <x14:dataValidation type="list" allowBlank="1" showInputMessage="1" showErrorMessage="1" xr:uid="{00000000-0002-0000-0200-0000FA010000}">
          <x14:formula1>
            <xm:f>Country!A2:A1000</xm:f>
          </x14:formula1>
          <xm:sqref>C508</xm:sqref>
        </x14:dataValidation>
        <x14:dataValidation type="list" allowBlank="1" showInputMessage="1" showErrorMessage="1" xr:uid="{00000000-0002-0000-0200-0000FB010000}">
          <x14:formula1>
            <xm:f>Country!A2:A1000</xm:f>
          </x14:formula1>
          <xm:sqref>C509</xm:sqref>
        </x14:dataValidation>
        <x14:dataValidation type="list" allowBlank="1" showInputMessage="1" showErrorMessage="1" xr:uid="{00000000-0002-0000-0200-0000FC010000}">
          <x14:formula1>
            <xm:f>Country!A2:A1000</xm:f>
          </x14:formula1>
          <xm:sqref>C510</xm:sqref>
        </x14:dataValidation>
        <x14:dataValidation type="list" allowBlank="1" showInputMessage="1" showErrorMessage="1" xr:uid="{00000000-0002-0000-0200-0000FD010000}">
          <x14:formula1>
            <xm:f>Country!A2:A1000</xm:f>
          </x14:formula1>
          <xm:sqref>C511</xm:sqref>
        </x14:dataValidation>
        <x14:dataValidation type="list" allowBlank="1" showInputMessage="1" showErrorMessage="1" xr:uid="{00000000-0002-0000-0200-0000FE010000}">
          <x14:formula1>
            <xm:f>Country!A2:A1000</xm:f>
          </x14:formula1>
          <xm:sqref>C512</xm:sqref>
        </x14:dataValidation>
        <x14:dataValidation type="list" allowBlank="1" showInputMessage="1" showErrorMessage="1" xr:uid="{00000000-0002-0000-0200-0000FF010000}">
          <x14:formula1>
            <xm:f>Country!A2:A1000</xm:f>
          </x14:formula1>
          <xm:sqref>C513</xm:sqref>
        </x14:dataValidation>
        <x14:dataValidation type="list" allowBlank="1" showInputMessage="1" showErrorMessage="1" xr:uid="{00000000-0002-0000-0200-000000020000}">
          <x14:formula1>
            <xm:f>Country!A2:A1000</xm:f>
          </x14:formula1>
          <xm:sqref>C514</xm:sqref>
        </x14:dataValidation>
        <x14:dataValidation type="list" allowBlank="1" showInputMessage="1" showErrorMessage="1" xr:uid="{00000000-0002-0000-0200-000001020000}">
          <x14:formula1>
            <xm:f>Country!A2:A1000</xm:f>
          </x14:formula1>
          <xm:sqref>C515</xm:sqref>
        </x14:dataValidation>
        <x14:dataValidation type="list" allowBlank="1" showInputMessage="1" showErrorMessage="1" xr:uid="{00000000-0002-0000-0200-000002020000}">
          <x14:formula1>
            <xm:f>Country!A2:A1000</xm:f>
          </x14:formula1>
          <xm:sqref>C516</xm:sqref>
        </x14:dataValidation>
        <x14:dataValidation type="list" allowBlank="1" showInputMessage="1" showErrorMessage="1" xr:uid="{00000000-0002-0000-0200-000003020000}">
          <x14:formula1>
            <xm:f>Country!A2:A1000</xm:f>
          </x14:formula1>
          <xm:sqref>C517</xm:sqref>
        </x14:dataValidation>
        <x14:dataValidation type="list" allowBlank="1" showInputMessage="1" showErrorMessage="1" xr:uid="{00000000-0002-0000-0200-000004020000}">
          <x14:formula1>
            <xm:f>Country!A2:A1000</xm:f>
          </x14:formula1>
          <xm:sqref>C518</xm:sqref>
        </x14:dataValidation>
        <x14:dataValidation type="list" allowBlank="1" showInputMessage="1" showErrorMessage="1" xr:uid="{00000000-0002-0000-0200-000005020000}">
          <x14:formula1>
            <xm:f>Country!A2:A1000</xm:f>
          </x14:formula1>
          <xm:sqref>C519</xm:sqref>
        </x14:dataValidation>
        <x14:dataValidation type="list" allowBlank="1" showInputMessage="1" showErrorMessage="1" xr:uid="{00000000-0002-0000-0200-000006020000}">
          <x14:formula1>
            <xm:f>Country!A2:A1000</xm:f>
          </x14:formula1>
          <xm:sqref>C520</xm:sqref>
        </x14:dataValidation>
        <x14:dataValidation type="list" allowBlank="1" showInputMessage="1" showErrorMessage="1" xr:uid="{00000000-0002-0000-0200-000007020000}">
          <x14:formula1>
            <xm:f>Country!A2:A1000</xm:f>
          </x14:formula1>
          <xm:sqref>C521</xm:sqref>
        </x14:dataValidation>
        <x14:dataValidation type="list" allowBlank="1" showInputMessage="1" showErrorMessage="1" xr:uid="{00000000-0002-0000-0200-000008020000}">
          <x14:formula1>
            <xm:f>Country!A2:A1000</xm:f>
          </x14:formula1>
          <xm:sqref>C522</xm:sqref>
        </x14:dataValidation>
        <x14:dataValidation type="list" allowBlank="1" showInputMessage="1" showErrorMessage="1" xr:uid="{00000000-0002-0000-0200-000009020000}">
          <x14:formula1>
            <xm:f>Country!A2:A1000</xm:f>
          </x14:formula1>
          <xm:sqref>C523</xm:sqref>
        </x14:dataValidation>
        <x14:dataValidation type="list" allowBlank="1" showInputMessage="1" showErrorMessage="1" xr:uid="{00000000-0002-0000-0200-00000A020000}">
          <x14:formula1>
            <xm:f>Country!A2:A1000</xm:f>
          </x14:formula1>
          <xm:sqref>C524</xm:sqref>
        </x14:dataValidation>
        <x14:dataValidation type="list" allowBlank="1" showInputMessage="1" showErrorMessage="1" xr:uid="{00000000-0002-0000-0200-00000B020000}">
          <x14:formula1>
            <xm:f>Country!A2:A1000</xm:f>
          </x14:formula1>
          <xm:sqref>C525</xm:sqref>
        </x14:dataValidation>
        <x14:dataValidation type="list" allowBlank="1" showInputMessage="1" showErrorMessage="1" xr:uid="{00000000-0002-0000-0200-00000C020000}">
          <x14:formula1>
            <xm:f>Country!A2:A1000</xm:f>
          </x14:formula1>
          <xm:sqref>C526</xm:sqref>
        </x14:dataValidation>
        <x14:dataValidation type="list" allowBlank="1" showInputMessage="1" showErrorMessage="1" xr:uid="{00000000-0002-0000-0200-00000D020000}">
          <x14:formula1>
            <xm:f>Country!A2:A1000</xm:f>
          </x14:formula1>
          <xm:sqref>C527</xm:sqref>
        </x14:dataValidation>
        <x14:dataValidation type="list" allowBlank="1" showInputMessage="1" showErrorMessage="1" xr:uid="{00000000-0002-0000-0200-00000E020000}">
          <x14:formula1>
            <xm:f>Country!A2:A1000</xm:f>
          </x14:formula1>
          <xm:sqref>C528</xm:sqref>
        </x14:dataValidation>
        <x14:dataValidation type="list" allowBlank="1" showInputMessage="1" showErrorMessage="1" xr:uid="{00000000-0002-0000-0200-00000F020000}">
          <x14:formula1>
            <xm:f>Country!A2:A1000</xm:f>
          </x14:formula1>
          <xm:sqref>C529</xm:sqref>
        </x14:dataValidation>
        <x14:dataValidation type="list" allowBlank="1" showInputMessage="1" showErrorMessage="1" xr:uid="{00000000-0002-0000-0200-000010020000}">
          <x14:formula1>
            <xm:f>Country!A2:A1000</xm:f>
          </x14:formula1>
          <xm:sqref>C530</xm:sqref>
        </x14:dataValidation>
        <x14:dataValidation type="list" allowBlank="1" showInputMessage="1" showErrorMessage="1" xr:uid="{00000000-0002-0000-0200-000011020000}">
          <x14:formula1>
            <xm:f>Country!A2:A1000</xm:f>
          </x14:formula1>
          <xm:sqref>C531</xm:sqref>
        </x14:dataValidation>
        <x14:dataValidation type="list" allowBlank="1" showInputMessage="1" showErrorMessage="1" xr:uid="{00000000-0002-0000-0200-000012020000}">
          <x14:formula1>
            <xm:f>Country!A2:A1000</xm:f>
          </x14:formula1>
          <xm:sqref>C532</xm:sqref>
        </x14:dataValidation>
        <x14:dataValidation type="list" allowBlank="1" showInputMessage="1" showErrorMessage="1" xr:uid="{00000000-0002-0000-0200-000013020000}">
          <x14:formula1>
            <xm:f>Country!A2:A1000</xm:f>
          </x14:formula1>
          <xm:sqref>C533</xm:sqref>
        </x14:dataValidation>
        <x14:dataValidation type="list" allowBlank="1" showInputMessage="1" showErrorMessage="1" xr:uid="{00000000-0002-0000-0200-000014020000}">
          <x14:formula1>
            <xm:f>Country!A2:A1000</xm:f>
          </x14:formula1>
          <xm:sqref>C534</xm:sqref>
        </x14:dataValidation>
        <x14:dataValidation type="list" allowBlank="1" showInputMessage="1" showErrorMessage="1" xr:uid="{00000000-0002-0000-0200-000015020000}">
          <x14:formula1>
            <xm:f>Country!A2:A1000</xm:f>
          </x14:formula1>
          <xm:sqref>C535</xm:sqref>
        </x14:dataValidation>
        <x14:dataValidation type="list" allowBlank="1" showInputMessage="1" showErrorMessage="1" xr:uid="{00000000-0002-0000-0200-000016020000}">
          <x14:formula1>
            <xm:f>Country!A2:A1000</xm:f>
          </x14:formula1>
          <xm:sqref>C536</xm:sqref>
        </x14:dataValidation>
        <x14:dataValidation type="list" allowBlank="1" showInputMessage="1" showErrorMessage="1" xr:uid="{00000000-0002-0000-0200-000017020000}">
          <x14:formula1>
            <xm:f>Country!A2:A1000</xm:f>
          </x14:formula1>
          <xm:sqref>C537</xm:sqref>
        </x14:dataValidation>
        <x14:dataValidation type="list" allowBlank="1" showInputMessage="1" showErrorMessage="1" xr:uid="{00000000-0002-0000-0200-000018020000}">
          <x14:formula1>
            <xm:f>Country!A2:A1000</xm:f>
          </x14:formula1>
          <xm:sqref>C538</xm:sqref>
        </x14:dataValidation>
        <x14:dataValidation type="list" allowBlank="1" showInputMessage="1" showErrorMessage="1" xr:uid="{00000000-0002-0000-0200-000019020000}">
          <x14:formula1>
            <xm:f>Country!A2:A1000</xm:f>
          </x14:formula1>
          <xm:sqref>C539</xm:sqref>
        </x14:dataValidation>
        <x14:dataValidation type="list" allowBlank="1" showInputMessage="1" showErrorMessage="1" xr:uid="{00000000-0002-0000-0200-00001A020000}">
          <x14:formula1>
            <xm:f>Country!A2:A1000</xm:f>
          </x14:formula1>
          <xm:sqref>C540</xm:sqref>
        </x14:dataValidation>
        <x14:dataValidation type="list" allowBlank="1" showInputMessage="1" showErrorMessage="1" xr:uid="{00000000-0002-0000-0200-00001B020000}">
          <x14:formula1>
            <xm:f>Country!A2:A1000</xm:f>
          </x14:formula1>
          <xm:sqref>C541</xm:sqref>
        </x14:dataValidation>
        <x14:dataValidation type="list" allowBlank="1" showInputMessage="1" showErrorMessage="1" xr:uid="{00000000-0002-0000-0200-00001C020000}">
          <x14:formula1>
            <xm:f>Country!A2:A1000</xm:f>
          </x14:formula1>
          <xm:sqref>C542</xm:sqref>
        </x14:dataValidation>
        <x14:dataValidation type="list" allowBlank="1" showInputMessage="1" showErrorMessage="1" xr:uid="{00000000-0002-0000-0200-00001D020000}">
          <x14:formula1>
            <xm:f>Country!A2:A1000</xm:f>
          </x14:formula1>
          <xm:sqref>C543</xm:sqref>
        </x14:dataValidation>
        <x14:dataValidation type="list" allowBlank="1" showInputMessage="1" showErrorMessage="1" xr:uid="{00000000-0002-0000-0200-00001E020000}">
          <x14:formula1>
            <xm:f>Country!A2:A1000</xm:f>
          </x14:formula1>
          <xm:sqref>C544</xm:sqref>
        </x14:dataValidation>
        <x14:dataValidation type="list" allowBlank="1" showInputMessage="1" showErrorMessage="1" xr:uid="{00000000-0002-0000-0200-00001F020000}">
          <x14:formula1>
            <xm:f>Country!A2:A1000</xm:f>
          </x14:formula1>
          <xm:sqref>C545</xm:sqref>
        </x14:dataValidation>
        <x14:dataValidation type="list" allowBlank="1" showInputMessage="1" showErrorMessage="1" xr:uid="{00000000-0002-0000-0200-000020020000}">
          <x14:formula1>
            <xm:f>Country!A2:A1000</xm:f>
          </x14:formula1>
          <xm:sqref>C546</xm:sqref>
        </x14:dataValidation>
        <x14:dataValidation type="list" allowBlank="1" showInputMessage="1" showErrorMessage="1" xr:uid="{00000000-0002-0000-0200-000021020000}">
          <x14:formula1>
            <xm:f>Country!A2:A1000</xm:f>
          </x14:formula1>
          <xm:sqref>C547</xm:sqref>
        </x14:dataValidation>
        <x14:dataValidation type="list" allowBlank="1" showInputMessage="1" showErrorMessage="1" xr:uid="{00000000-0002-0000-0200-000022020000}">
          <x14:formula1>
            <xm:f>Country!A2:A1000</xm:f>
          </x14:formula1>
          <xm:sqref>C548</xm:sqref>
        </x14:dataValidation>
        <x14:dataValidation type="list" allowBlank="1" showInputMessage="1" showErrorMessage="1" xr:uid="{00000000-0002-0000-0200-000023020000}">
          <x14:formula1>
            <xm:f>Country!A2:A1000</xm:f>
          </x14:formula1>
          <xm:sqref>C549</xm:sqref>
        </x14:dataValidation>
        <x14:dataValidation type="list" allowBlank="1" showInputMessage="1" showErrorMessage="1" xr:uid="{00000000-0002-0000-0200-000024020000}">
          <x14:formula1>
            <xm:f>Country!A2:A1000</xm:f>
          </x14:formula1>
          <xm:sqref>C550</xm:sqref>
        </x14:dataValidation>
        <x14:dataValidation type="list" allowBlank="1" showInputMessage="1" showErrorMessage="1" xr:uid="{00000000-0002-0000-0200-000025020000}">
          <x14:formula1>
            <xm:f>Country!A2:A1000</xm:f>
          </x14:formula1>
          <xm:sqref>C551</xm:sqref>
        </x14:dataValidation>
        <x14:dataValidation type="list" allowBlank="1" showInputMessage="1" showErrorMessage="1" xr:uid="{00000000-0002-0000-0200-000026020000}">
          <x14:formula1>
            <xm:f>Country!A2:A1000</xm:f>
          </x14:formula1>
          <xm:sqref>C552</xm:sqref>
        </x14:dataValidation>
        <x14:dataValidation type="list" allowBlank="1" showInputMessage="1" showErrorMessage="1" xr:uid="{00000000-0002-0000-0200-000027020000}">
          <x14:formula1>
            <xm:f>Country!A2:A1000</xm:f>
          </x14:formula1>
          <xm:sqref>C553</xm:sqref>
        </x14:dataValidation>
        <x14:dataValidation type="list" allowBlank="1" showInputMessage="1" showErrorMessage="1" xr:uid="{00000000-0002-0000-0200-000028020000}">
          <x14:formula1>
            <xm:f>Country!A2:A1000</xm:f>
          </x14:formula1>
          <xm:sqref>C554</xm:sqref>
        </x14:dataValidation>
        <x14:dataValidation type="list" allowBlank="1" showInputMessage="1" showErrorMessage="1" xr:uid="{00000000-0002-0000-0200-000029020000}">
          <x14:formula1>
            <xm:f>Country!A2:A1000</xm:f>
          </x14:formula1>
          <xm:sqref>C555</xm:sqref>
        </x14:dataValidation>
        <x14:dataValidation type="list" allowBlank="1" showInputMessage="1" showErrorMessage="1" xr:uid="{00000000-0002-0000-0200-00002A020000}">
          <x14:formula1>
            <xm:f>Country!A2:A1000</xm:f>
          </x14:formula1>
          <xm:sqref>C556</xm:sqref>
        </x14:dataValidation>
        <x14:dataValidation type="list" allowBlank="1" showInputMessage="1" showErrorMessage="1" xr:uid="{00000000-0002-0000-0200-00002B020000}">
          <x14:formula1>
            <xm:f>Country!A2:A1000</xm:f>
          </x14:formula1>
          <xm:sqref>C557</xm:sqref>
        </x14:dataValidation>
        <x14:dataValidation type="list" allowBlank="1" showInputMessage="1" showErrorMessage="1" xr:uid="{00000000-0002-0000-0200-00002C020000}">
          <x14:formula1>
            <xm:f>Country!A2:A1000</xm:f>
          </x14:formula1>
          <xm:sqref>C558</xm:sqref>
        </x14:dataValidation>
        <x14:dataValidation type="list" allowBlank="1" showInputMessage="1" showErrorMessage="1" xr:uid="{00000000-0002-0000-0200-00002D020000}">
          <x14:formula1>
            <xm:f>Country!A2:A1000</xm:f>
          </x14:formula1>
          <xm:sqref>C559</xm:sqref>
        </x14:dataValidation>
        <x14:dataValidation type="list" allowBlank="1" showInputMessage="1" showErrorMessage="1" xr:uid="{00000000-0002-0000-0200-00002E020000}">
          <x14:formula1>
            <xm:f>Country!A2:A1000</xm:f>
          </x14:formula1>
          <xm:sqref>C560</xm:sqref>
        </x14:dataValidation>
        <x14:dataValidation type="list" allowBlank="1" showInputMessage="1" showErrorMessage="1" xr:uid="{00000000-0002-0000-0200-00002F020000}">
          <x14:formula1>
            <xm:f>Country!A2:A1000</xm:f>
          </x14:formula1>
          <xm:sqref>C561</xm:sqref>
        </x14:dataValidation>
        <x14:dataValidation type="list" allowBlank="1" showInputMessage="1" showErrorMessage="1" xr:uid="{00000000-0002-0000-0200-000030020000}">
          <x14:formula1>
            <xm:f>Country!A2:A1000</xm:f>
          </x14:formula1>
          <xm:sqref>C562</xm:sqref>
        </x14:dataValidation>
        <x14:dataValidation type="list" allowBlank="1" showInputMessage="1" showErrorMessage="1" xr:uid="{00000000-0002-0000-0200-000031020000}">
          <x14:formula1>
            <xm:f>Country!A2:A1000</xm:f>
          </x14:formula1>
          <xm:sqref>C563</xm:sqref>
        </x14:dataValidation>
        <x14:dataValidation type="list" allowBlank="1" showInputMessage="1" showErrorMessage="1" xr:uid="{00000000-0002-0000-0200-000032020000}">
          <x14:formula1>
            <xm:f>Country!A2:A1000</xm:f>
          </x14:formula1>
          <xm:sqref>C564</xm:sqref>
        </x14:dataValidation>
        <x14:dataValidation type="list" allowBlank="1" showInputMessage="1" showErrorMessage="1" xr:uid="{00000000-0002-0000-0200-000033020000}">
          <x14:formula1>
            <xm:f>Country!A2:A1000</xm:f>
          </x14:formula1>
          <xm:sqref>C565</xm:sqref>
        </x14:dataValidation>
        <x14:dataValidation type="list" allowBlank="1" showInputMessage="1" showErrorMessage="1" xr:uid="{00000000-0002-0000-0200-000034020000}">
          <x14:formula1>
            <xm:f>Country!A2:A1000</xm:f>
          </x14:formula1>
          <xm:sqref>C566</xm:sqref>
        </x14:dataValidation>
        <x14:dataValidation type="list" allowBlank="1" showInputMessage="1" showErrorMessage="1" xr:uid="{00000000-0002-0000-0200-000035020000}">
          <x14:formula1>
            <xm:f>Country!A2:A1000</xm:f>
          </x14:formula1>
          <xm:sqref>C567</xm:sqref>
        </x14:dataValidation>
        <x14:dataValidation type="list" allowBlank="1" showInputMessage="1" showErrorMessage="1" xr:uid="{00000000-0002-0000-0200-000036020000}">
          <x14:formula1>
            <xm:f>Country!A2:A1000</xm:f>
          </x14:formula1>
          <xm:sqref>C568</xm:sqref>
        </x14:dataValidation>
        <x14:dataValidation type="list" allowBlank="1" showInputMessage="1" showErrorMessage="1" xr:uid="{00000000-0002-0000-0200-000037020000}">
          <x14:formula1>
            <xm:f>Country!A2:A1000</xm:f>
          </x14:formula1>
          <xm:sqref>C569</xm:sqref>
        </x14:dataValidation>
        <x14:dataValidation type="list" allowBlank="1" showInputMessage="1" showErrorMessage="1" xr:uid="{00000000-0002-0000-0200-000038020000}">
          <x14:formula1>
            <xm:f>Country!A2:A1000</xm:f>
          </x14:formula1>
          <xm:sqref>C570</xm:sqref>
        </x14:dataValidation>
        <x14:dataValidation type="list" allowBlank="1" showInputMessage="1" showErrorMessage="1" xr:uid="{00000000-0002-0000-0200-000039020000}">
          <x14:formula1>
            <xm:f>Country!A2:A1000</xm:f>
          </x14:formula1>
          <xm:sqref>C571</xm:sqref>
        </x14:dataValidation>
        <x14:dataValidation type="list" allowBlank="1" showInputMessage="1" showErrorMessage="1" xr:uid="{00000000-0002-0000-0200-00003A020000}">
          <x14:formula1>
            <xm:f>Country!A2:A1000</xm:f>
          </x14:formula1>
          <xm:sqref>C572</xm:sqref>
        </x14:dataValidation>
        <x14:dataValidation type="list" allowBlank="1" showInputMessage="1" showErrorMessage="1" xr:uid="{00000000-0002-0000-0200-00003B020000}">
          <x14:formula1>
            <xm:f>Country!A2:A1000</xm:f>
          </x14:formula1>
          <xm:sqref>C573</xm:sqref>
        </x14:dataValidation>
        <x14:dataValidation type="list" allowBlank="1" showInputMessage="1" showErrorMessage="1" xr:uid="{00000000-0002-0000-0200-00003C020000}">
          <x14:formula1>
            <xm:f>Country!A2:A1000</xm:f>
          </x14:formula1>
          <xm:sqref>C574</xm:sqref>
        </x14:dataValidation>
        <x14:dataValidation type="list" allowBlank="1" showInputMessage="1" showErrorMessage="1" xr:uid="{00000000-0002-0000-0200-00003D020000}">
          <x14:formula1>
            <xm:f>Country!A2:A1000</xm:f>
          </x14:formula1>
          <xm:sqref>C575</xm:sqref>
        </x14:dataValidation>
        <x14:dataValidation type="list" allowBlank="1" showInputMessage="1" showErrorMessage="1" xr:uid="{00000000-0002-0000-0200-00003E020000}">
          <x14:formula1>
            <xm:f>Country!A2:A1000</xm:f>
          </x14:formula1>
          <xm:sqref>C576</xm:sqref>
        </x14:dataValidation>
        <x14:dataValidation type="list" allowBlank="1" showInputMessage="1" showErrorMessage="1" xr:uid="{00000000-0002-0000-0200-00003F020000}">
          <x14:formula1>
            <xm:f>Country!A2:A1000</xm:f>
          </x14:formula1>
          <xm:sqref>C577</xm:sqref>
        </x14:dataValidation>
        <x14:dataValidation type="list" allowBlank="1" showInputMessage="1" showErrorMessage="1" xr:uid="{00000000-0002-0000-0200-000040020000}">
          <x14:formula1>
            <xm:f>Country!A2:A1000</xm:f>
          </x14:formula1>
          <xm:sqref>C578</xm:sqref>
        </x14:dataValidation>
        <x14:dataValidation type="list" allowBlank="1" showInputMessage="1" showErrorMessage="1" xr:uid="{00000000-0002-0000-0200-000041020000}">
          <x14:formula1>
            <xm:f>Country!A2:A1000</xm:f>
          </x14:formula1>
          <xm:sqref>C579</xm:sqref>
        </x14:dataValidation>
        <x14:dataValidation type="list" allowBlank="1" showInputMessage="1" showErrorMessage="1" xr:uid="{00000000-0002-0000-0200-000042020000}">
          <x14:formula1>
            <xm:f>Country!A2:A1000</xm:f>
          </x14:formula1>
          <xm:sqref>C580</xm:sqref>
        </x14:dataValidation>
        <x14:dataValidation type="list" allowBlank="1" showInputMessage="1" showErrorMessage="1" xr:uid="{00000000-0002-0000-0200-000043020000}">
          <x14:formula1>
            <xm:f>Country!A2:A1000</xm:f>
          </x14:formula1>
          <xm:sqref>C581</xm:sqref>
        </x14:dataValidation>
        <x14:dataValidation type="list" allowBlank="1" showInputMessage="1" showErrorMessage="1" xr:uid="{00000000-0002-0000-0200-000044020000}">
          <x14:formula1>
            <xm:f>Country!A2:A1000</xm:f>
          </x14:formula1>
          <xm:sqref>C582</xm:sqref>
        </x14:dataValidation>
        <x14:dataValidation type="list" allowBlank="1" showInputMessage="1" showErrorMessage="1" xr:uid="{00000000-0002-0000-0200-000045020000}">
          <x14:formula1>
            <xm:f>Country!A2:A1000</xm:f>
          </x14:formula1>
          <xm:sqref>C583</xm:sqref>
        </x14:dataValidation>
        <x14:dataValidation type="list" allowBlank="1" showInputMessage="1" showErrorMessage="1" xr:uid="{00000000-0002-0000-0200-000046020000}">
          <x14:formula1>
            <xm:f>Country!A2:A1000</xm:f>
          </x14:formula1>
          <xm:sqref>C584</xm:sqref>
        </x14:dataValidation>
        <x14:dataValidation type="list" allowBlank="1" showInputMessage="1" showErrorMessage="1" xr:uid="{00000000-0002-0000-0200-000047020000}">
          <x14:formula1>
            <xm:f>Country!A2:A1000</xm:f>
          </x14:formula1>
          <xm:sqref>C585</xm:sqref>
        </x14:dataValidation>
        <x14:dataValidation type="list" allowBlank="1" showInputMessage="1" showErrorMessage="1" xr:uid="{00000000-0002-0000-0200-000048020000}">
          <x14:formula1>
            <xm:f>Country!A2:A1000</xm:f>
          </x14:formula1>
          <xm:sqref>C586</xm:sqref>
        </x14:dataValidation>
        <x14:dataValidation type="list" allowBlank="1" showInputMessage="1" showErrorMessage="1" xr:uid="{00000000-0002-0000-0200-000049020000}">
          <x14:formula1>
            <xm:f>Country!A2:A1000</xm:f>
          </x14:formula1>
          <xm:sqref>C587</xm:sqref>
        </x14:dataValidation>
        <x14:dataValidation type="list" allowBlank="1" showInputMessage="1" showErrorMessage="1" xr:uid="{00000000-0002-0000-0200-00004A020000}">
          <x14:formula1>
            <xm:f>Country!A2:A1000</xm:f>
          </x14:formula1>
          <xm:sqref>C588</xm:sqref>
        </x14:dataValidation>
        <x14:dataValidation type="list" allowBlank="1" showInputMessage="1" showErrorMessage="1" xr:uid="{00000000-0002-0000-0200-00004B020000}">
          <x14:formula1>
            <xm:f>Country!A2:A1000</xm:f>
          </x14:formula1>
          <xm:sqref>C589</xm:sqref>
        </x14:dataValidation>
        <x14:dataValidation type="list" allowBlank="1" showInputMessage="1" showErrorMessage="1" xr:uid="{00000000-0002-0000-0200-00004C020000}">
          <x14:formula1>
            <xm:f>Country!A2:A1000</xm:f>
          </x14:formula1>
          <xm:sqref>C590</xm:sqref>
        </x14:dataValidation>
        <x14:dataValidation type="list" allowBlank="1" showInputMessage="1" showErrorMessage="1" xr:uid="{00000000-0002-0000-0200-00004D020000}">
          <x14:formula1>
            <xm:f>Country!A2:A1000</xm:f>
          </x14:formula1>
          <xm:sqref>C591</xm:sqref>
        </x14:dataValidation>
        <x14:dataValidation type="list" allowBlank="1" showInputMessage="1" showErrorMessage="1" xr:uid="{00000000-0002-0000-0200-00004E020000}">
          <x14:formula1>
            <xm:f>Country!A2:A1000</xm:f>
          </x14:formula1>
          <xm:sqref>C592</xm:sqref>
        </x14:dataValidation>
        <x14:dataValidation type="list" allowBlank="1" showInputMessage="1" showErrorMessage="1" xr:uid="{00000000-0002-0000-0200-00004F020000}">
          <x14:formula1>
            <xm:f>Country!A2:A1000</xm:f>
          </x14:formula1>
          <xm:sqref>C593</xm:sqref>
        </x14:dataValidation>
        <x14:dataValidation type="list" allowBlank="1" showInputMessage="1" showErrorMessage="1" xr:uid="{00000000-0002-0000-0200-000050020000}">
          <x14:formula1>
            <xm:f>Country!A2:A1000</xm:f>
          </x14:formula1>
          <xm:sqref>C594</xm:sqref>
        </x14:dataValidation>
        <x14:dataValidation type="list" allowBlank="1" showInputMessage="1" showErrorMessage="1" xr:uid="{00000000-0002-0000-0200-000051020000}">
          <x14:formula1>
            <xm:f>Country!A2:A1000</xm:f>
          </x14:formula1>
          <xm:sqref>C595</xm:sqref>
        </x14:dataValidation>
        <x14:dataValidation type="list" allowBlank="1" showInputMessage="1" showErrorMessage="1" xr:uid="{00000000-0002-0000-0200-000052020000}">
          <x14:formula1>
            <xm:f>Country!A2:A1000</xm:f>
          </x14:formula1>
          <xm:sqref>C596</xm:sqref>
        </x14:dataValidation>
        <x14:dataValidation type="list" allowBlank="1" showInputMessage="1" showErrorMessage="1" xr:uid="{00000000-0002-0000-0200-000053020000}">
          <x14:formula1>
            <xm:f>Country!A2:A1000</xm:f>
          </x14:formula1>
          <xm:sqref>C597</xm:sqref>
        </x14:dataValidation>
        <x14:dataValidation type="list" allowBlank="1" showInputMessage="1" showErrorMessage="1" xr:uid="{00000000-0002-0000-0200-000054020000}">
          <x14:formula1>
            <xm:f>Country!A2:A1000</xm:f>
          </x14:formula1>
          <xm:sqref>C598</xm:sqref>
        </x14:dataValidation>
        <x14:dataValidation type="list" allowBlank="1" showInputMessage="1" showErrorMessage="1" xr:uid="{00000000-0002-0000-0200-000055020000}">
          <x14:formula1>
            <xm:f>Country!A2:A1000</xm:f>
          </x14:formula1>
          <xm:sqref>C599</xm:sqref>
        </x14:dataValidation>
        <x14:dataValidation type="list" allowBlank="1" showInputMessage="1" showErrorMessage="1" xr:uid="{00000000-0002-0000-0200-000056020000}">
          <x14:formula1>
            <xm:f>Country!A2:A1000</xm:f>
          </x14:formula1>
          <xm:sqref>C600</xm:sqref>
        </x14:dataValidation>
        <x14:dataValidation type="list" allowBlank="1" showInputMessage="1" showErrorMessage="1" xr:uid="{00000000-0002-0000-0200-000057020000}">
          <x14:formula1>
            <xm:f>Country!A2:A1000</xm:f>
          </x14:formula1>
          <xm:sqref>C601</xm:sqref>
        </x14:dataValidation>
        <x14:dataValidation type="list" allowBlank="1" showInputMessage="1" showErrorMessage="1" xr:uid="{00000000-0002-0000-0200-000058020000}">
          <x14:formula1>
            <xm:f>Country!A2:A1000</xm:f>
          </x14:formula1>
          <xm:sqref>C602</xm:sqref>
        </x14:dataValidation>
        <x14:dataValidation type="list" allowBlank="1" showInputMessage="1" showErrorMessage="1" xr:uid="{00000000-0002-0000-0200-000059020000}">
          <x14:formula1>
            <xm:f>Country!A2:A1000</xm:f>
          </x14:formula1>
          <xm:sqref>C603</xm:sqref>
        </x14:dataValidation>
        <x14:dataValidation type="list" allowBlank="1" showInputMessage="1" showErrorMessage="1" xr:uid="{00000000-0002-0000-0200-00005A020000}">
          <x14:formula1>
            <xm:f>Country!A2:A1000</xm:f>
          </x14:formula1>
          <xm:sqref>C604</xm:sqref>
        </x14:dataValidation>
        <x14:dataValidation type="list" allowBlank="1" showInputMessage="1" showErrorMessage="1" xr:uid="{00000000-0002-0000-0200-00005B020000}">
          <x14:formula1>
            <xm:f>Country!A2:A1000</xm:f>
          </x14:formula1>
          <xm:sqref>C605</xm:sqref>
        </x14:dataValidation>
        <x14:dataValidation type="list" allowBlank="1" showInputMessage="1" showErrorMessage="1" xr:uid="{00000000-0002-0000-0200-00005C020000}">
          <x14:formula1>
            <xm:f>Country!A2:A1000</xm:f>
          </x14:formula1>
          <xm:sqref>C606</xm:sqref>
        </x14:dataValidation>
        <x14:dataValidation type="list" allowBlank="1" showInputMessage="1" showErrorMessage="1" xr:uid="{00000000-0002-0000-0200-00005D020000}">
          <x14:formula1>
            <xm:f>Country!A2:A1000</xm:f>
          </x14:formula1>
          <xm:sqref>C607</xm:sqref>
        </x14:dataValidation>
        <x14:dataValidation type="list" allowBlank="1" showInputMessage="1" showErrorMessage="1" xr:uid="{00000000-0002-0000-0200-00005E020000}">
          <x14:formula1>
            <xm:f>Country!A2:A1000</xm:f>
          </x14:formula1>
          <xm:sqref>C608</xm:sqref>
        </x14:dataValidation>
        <x14:dataValidation type="list" allowBlank="1" showInputMessage="1" showErrorMessage="1" xr:uid="{00000000-0002-0000-0200-00005F020000}">
          <x14:formula1>
            <xm:f>Country!A2:A1000</xm:f>
          </x14:formula1>
          <xm:sqref>C609</xm:sqref>
        </x14:dataValidation>
        <x14:dataValidation type="list" allowBlank="1" showInputMessage="1" showErrorMessage="1" xr:uid="{00000000-0002-0000-0200-000060020000}">
          <x14:formula1>
            <xm:f>Country!A2:A1000</xm:f>
          </x14:formula1>
          <xm:sqref>C610</xm:sqref>
        </x14:dataValidation>
        <x14:dataValidation type="list" allowBlank="1" showInputMessage="1" showErrorMessage="1" xr:uid="{00000000-0002-0000-0200-000061020000}">
          <x14:formula1>
            <xm:f>Country!A2:A1000</xm:f>
          </x14:formula1>
          <xm:sqref>C611</xm:sqref>
        </x14:dataValidation>
        <x14:dataValidation type="list" allowBlank="1" showInputMessage="1" showErrorMessage="1" xr:uid="{00000000-0002-0000-0200-000062020000}">
          <x14:formula1>
            <xm:f>Country!A2:A1000</xm:f>
          </x14:formula1>
          <xm:sqref>C612</xm:sqref>
        </x14:dataValidation>
        <x14:dataValidation type="list" allowBlank="1" showInputMessage="1" showErrorMessage="1" xr:uid="{00000000-0002-0000-0200-000063020000}">
          <x14:formula1>
            <xm:f>Country!A2:A1000</xm:f>
          </x14:formula1>
          <xm:sqref>C613</xm:sqref>
        </x14:dataValidation>
        <x14:dataValidation type="list" allowBlank="1" showInputMessage="1" showErrorMessage="1" xr:uid="{00000000-0002-0000-0200-000064020000}">
          <x14:formula1>
            <xm:f>Country!A2:A1000</xm:f>
          </x14:formula1>
          <xm:sqref>C614</xm:sqref>
        </x14:dataValidation>
        <x14:dataValidation type="list" allowBlank="1" showInputMessage="1" showErrorMessage="1" xr:uid="{00000000-0002-0000-0200-000065020000}">
          <x14:formula1>
            <xm:f>Country!A2:A1000</xm:f>
          </x14:formula1>
          <xm:sqref>C615</xm:sqref>
        </x14:dataValidation>
        <x14:dataValidation type="list" allowBlank="1" showInputMessage="1" showErrorMessage="1" xr:uid="{00000000-0002-0000-0200-000066020000}">
          <x14:formula1>
            <xm:f>Country!A2:A1000</xm:f>
          </x14:formula1>
          <xm:sqref>C616</xm:sqref>
        </x14:dataValidation>
        <x14:dataValidation type="list" allowBlank="1" showInputMessage="1" showErrorMessage="1" xr:uid="{00000000-0002-0000-0200-000067020000}">
          <x14:formula1>
            <xm:f>Country!A2:A1000</xm:f>
          </x14:formula1>
          <xm:sqref>C617</xm:sqref>
        </x14:dataValidation>
        <x14:dataValidation type="list" allowBlank="1" showInputMessage="1" showErrorMessage="1" xr:uid="{00000000-0002-0000-0200-000068020000}">
          <x14:formula1>
            <xm:f>Country!A2:A1000</xm:f>
          </x14:formula1>
          <xm:sqref>C618</xm:sqref>
        </x14:dataValidation>
        <x14:dataValidation type="list" allowBlank="1" showInputMessage="1" showErrorMessage="1" xr:uid="{00000000-0002-0000-0200-000069020000}">
          <x14:formula1>
            <xm:f>Country!A2:A1000</xm:f>
          </x14:formula1>
          <xm:sqref>C619</xm:sqref>
        </x14:dataValidation>
        <x14:dataValidation type="list" allowBlank="1" showInputMessage="1" showErrorMessage="1" xr:uid="{00000000-0002-0000-0200-00006A020000}">
          <x14:formula1>
            <xm:f>Country!A2:A1000</xm:f>
          </x14:formula1>
          <xm:sqref>C620</xm:sqref>
        </x14:dataValidation>
        <x14:dataValidation type="list" allowBlank="1" showInputMessage="1" showErrorMessage="1" xr:uid="{00000000-0002-0000-0200-00006B020000}">
          <x14:formula1>
            <xm:f>Country!A2:A1000</xm:f>
          </x14:formula1>
          <xm:sqref>C621</xm:sqref>
        </x14:dataValidation>
        <x14:dataValidation type="list" allowBlank="1" showInputMessage="1" showErrorMessage="1" xr:uid="{00000000-0002-0000-0200-00006C020000}">
          <x14:formula1>
            <xm:f>Country!A2:A1000</xm:f>
          </x14:formula1>
          <xm:sqref>C622</xm:sqref>
        </x14:dataValidation>
        <x14:dataValidation type="list" allowBlank="1" showInputMessage="1" showErrorMessage="1" xr:uid="{00000000-0002-0000-0200-00006D020000}">
          <x14:formula1>
            <xm:f>Country!A2:A1000</xm:f>
          </x14:formula1>
          <xm:sqref>C623</xm:sqref>
        </x14:dataValidation>
        <x14:dataValidation type="list" allowBlank="1" showInputMessage="1" showErrorMessage="1" xr:uid="{00000000-0002-0000-0200-00006E020000}">
          <x14:formula1>
            <xm:f>Country!A2:A1000</xm:f>
          </x14:formula1>
          <xm:sqref>C624</xm:sqref>
        </x14:dataValidation>
        <x14:dataValidation type="list" allowBlank="1" showInputMessage="1" showErrorMessage="1" xr:uid="{00000000-0002-0000-0200-00006F020000}">
          <x14:formula1>
            <xm:f>Country!A2:A1000</xm:f>
          </x14:formula1>
          <xm:sqref>C625</xm:sqref>
        </x14:dataValidation>
        <x14:dataValidation type="list" allowBlank="1" showInputMessage="1" showErrorMessage="1" xr:uid="{00000000-0002-0000-0200-000070020000}">
          <x14:formula1>
            <xm:f>Country!A2:A1000</xm:f>
          </x14:formula1>
          <xm:sqref>C626</xm:sqref>
        </x14:dataValidation>
        <x14:dataValidation type="list" allowBlank="1" showInputMessage="1" showErrorMessage="1" xr:uid="{00000000-0002-0000-0200-000071020000}">
          <x14:formula1>
            <xm:f>Country!A2:A1000</xm:f>
          </x14:formula1>
          <xm:sqref>C627</xm:sqref>
        </x14:dataValidation>
        <x14:dataValidation type="list" allowBlank="1" showInputMessage="1" showErrorMessage="1" xr:uid="{00000000-0002-0000-0200-000072020000}">
          <x14:formula1>
            <xm:f>Country!A2:A1000</xm:f>
          </x14:formula1>
          <xm:sqref>C628</xm:sqref>
        </x14:dataValidation>
        <x14:dataValidation type="list" allowBlank="1" showInputMessage="1" showErrorMessage="1" xr:uid="{00000000-0002-0000-0200-000073020000}">
          <x14:formula1>
            <xm:f>Country!A2:A1000</xm:f>
          </x14:formula1>
          <xm:sqref>C629</xm:sqref>
        </x14:dataValidation>
        <x14:dataValidation type="list" allowBlank="1" showInputMessage="1" showErrorMessage="1" xr:uid="{00000000-0002-0000-0200-000074020000}">
          <x14:formula1>
            <xm:f>Country!A2:A1000</xm:f>
          </x14:formula1>
          <xm:sqref>C630</xm:sqref>
        </x14:dataValidation>
        <x14:dataValidation type="list" allowBlank="1" showInputMessage="1" showErrorMessage="1" xr:uid="{00000000-0002-0000-0200-000075020000}">
          <x14:formula1>
            <xm:f>Country!A2:A1000</xm:f>
          </x14:formula1>
          <xm:sqref>C631</xm:sqref>
        </x14:dataValidation>
        <x14:dataValidation type="list" allowBlank="1" showInputMessage="1" showErrorMessage="1" xr:uid="{00000000-0002-0000-0200-000076020000}">
          <x14:formula1>
            <xm:f>Country!A2:A1000</xm:f>
          </x14:formula1>
          <xm:sqref>C632</xm:sqref>
        </x14:dataValidation>
        <x14:dataValidation type="list" allowBlank="1" showInputMessage="1" showErrorMessage="1" xr:uid="{00000000-0002-0000-0200-000077020000}">
          <x14:formula1>
            <xm:f>Country!A2:A1000</xm:f>
          </x14:formula1>
          <xm:sqref>C633</xm:sqref>
        </x14:dataValidation>
        <x14:dataValidation type="list" allowBlank="1" showInputMessage="1" showErrorMessage="1" xr:uid="{00000000-0002-0000-0200-000078020000}">
          <x14:formula1>
            <xm:f>Country!A2:A1000</xm:f>
          </x14:formula1>
          <xm:sqref>C634</xm:sqref>
        </x14:dataValidation>
        <x14:dataValidation type="list" allowBlank="1" showInputMessage="1" showErrorMessage="1" xr:uid="{00000000-0002-0000-0200-000079020000}">
          <x14:formula1>
            <xm:f>Country!A2:A1000</xm:f>
          </x14:formula1>
          <xm:sqref>C635</xm:sqref>
        </x14:dataValidation>
        <x14:dataValidation type="list" allowBlank="1" showInputMessage="1" showErrorMessage="1" xr:uid="{00000000-0002-0000-0200-00007A020000}">
          <x14:formula1>
            <xm:f>Country!A2:A1000</xm:f>
          </x14:formula1>
          <xm:sqref>C636</xm:sqref>
        </x14:dataValidation>
        <x14:dataValidation type="list" allowBlank="1" showInputMessage="1" showErrorMessage="1" xr:uid="{00000000-0002-0000-0200-00007B020000}">
          <x14:formula1>
            <xm:f>Country!A2:A1000</xm:f>
          </x14:formula1>
          <xm:sqref>C637</xm:sqref>
        </x14:dataValidation>
        <x14:dataValidation type="list" allowBlank="1" showInputMessage="1" showErrorMessage="1" xr:uid="{00000000-0002-0000-0200-00007C020000}">
          <x14:formula1>
            <xm:f>Country!A2:A1000</xm:f>
          </x14:formula1>
          <xm:sqref>C638</xm:sqref>
        </x14:dataValidation>
        <x14:dataValidation type="list" allowBlank="1" showInputMessage="1" showErrorMessage="1" xr:uid="{00000000-0002-0000-0200-00007D020000}">
          <x14:formula1>
            <xm:f>Country!A2:A1000</xm:f>
          </x14:formula1>
          <xm:sqref>C639</xm:sqref>
        </x14:dataValidation>
        <x14:dataValidation type="list" allowBlank="1" showInputMessage="1" showErrorMessage="1" xr:uid="{00000000-0002-0000-0200-00007E020000}">
          <x14:formula1>
            <xm:f>Country!A2:A1000</xm:f>
          </x14:formula1>
          <xm:sqref>C640</xm:sqref>
        </x14:dataValidation>
        <x14:dataValidation type="list" allowBlank="1" showInputMessage="1" showErrorMessage="1" xr:uid="{00000000-0002-0000-0200-00007F020000}">
          <x14:formula1>
            <xm:f>Country!A2:A1000</xm:f>
          </x14:formula1>
          <xm:sqref>C641</xm:sqref>
        </x14:dataValidation>
        <x14:dataValidation type="list" allowBlank="1" showInputMessage="1" showErrorMessage="1" xr:uid="{00000000-0002-0000-0200-000080020000}">
          <x14:formula1>
            <xm:f>Country!A2:A1000</xm:f>
          </x14:formula1>
          <xm:sqref>C642</xm:sqref>
        </x14:dataValidation>
        <x14:dataValidation type="list" allowBlank="1" showInputMessage="1" showErrorMessage="1" xr:uid="{00000000-0002-0000-0200-000081020000}">
          <x14:formula1>
            <xm:f>Country!A2:A1000</xm:f>
          </x14:formula1>
          <xm:sqref>C643</xm:sqref>
        </x14:dataValidation>
        <x14:dataValidation type="list" allowBlank="1" showInputMessage="1" showErrorMessage="1" xr:uid="{00000000-0002-0000-0200-000082020000}">
          <x14:formula1>
            <xm:f>Country!A2:A1000</xm:f>
          </x14:formula1>
          <xm:sqref>C644</xm:sqref>
        </x14:dataValidation>
        <x14:dataValidation type="list" allowBlank="1" showInputMessage="1" showErrorMessage="1" xr:uid="{00000000-0002-0000-0200-000083020000}">
          <x14:formula1>
            <xm:f>Country!A2:A1000</xm:f>
          </x14:formula1>
          <xm:sqref>C645</xm:sqref>
        </x14:dataValidation>
        <x14:dataValidation type="list" allowBlank="1" showInputMessage="1" showErrorMessage="1" xr:uid="{00000000-0002-0000-0200-000084020000}">
          <x14:formula1>
            <xm:f>Country!A2:A1000</xm:f>
          </x14:formula1>
          <xm:sqref>C646</xm:sqref>
        </x14:dataValidation>
        <x14:dataValidation type="list" allowBlank="1" showInputMessage="1" showErrorMessage="1" xr:uid="{00000000-0002-0000-0200-000085020000}">
          <x14:formula1>
            <xm:f>Country!A2:A1000</xm:f>
          </x14:formula1>
          <xm:sqref>C647</xm:sqref>
        </x14:dataValidation>
        <x14:dataValidation type="list" allowBlank="1" showInputMessage="1" showErrorMessage="1" xr:uid="{00000000-0002-0000-0200-000086020000}">
          <x14:formula1>
            <xm:f>Country!A2:A1000</xm:f>
          </x14:formula1>
          <xm:sqref>C648</xm:sqref>
        </x14:dataValidation>
        <x14:dataValidation type="list" allowBlank="1" showInputMessage="1" showErrorMessage="1" xr:uid="{00000000-0002-0000-0200-000087020000}">
          <x14:formula1>
            <xm:f>Country!A2:A1000</xm:f>
          </x14:formula1>
          <xm:sqref>C649</xm:sqref>
        </x14:dataValidation>
        <x14:dataValidation type="list" allowBlank="1" showInputMessage="1" showErrorMessage="1" xr:uid="{00000000-0002-0000-0200-000088020000}">
          <x14:formula1>
            <xm:f>Country!A2:A1000</xm:f>
          </x14:formula1>
          <xm:sqref>C650</xm:sqref>
        </x14:dataValidation>
        <x14:dataValidation type="list" allowBlank="1" showInputMessage="1" showErrorMessage="1" xr:uid="{00000000-0002-0000-0200-000089020000}">
          <x14:formula1>
            <xm:f>Country!A2:A1000</xm:f>
          </x14:formula1>
          <xm:sqref>C651</xm:sqref>
        </x14:dataValidation>
        <x14:dataValidation type="list" allowBlank="1" showInputMessage="1" showErrorMessage="1" xr:uid="{00000000-0002-0000-0200-00008A020000}">
          <x14:formula1>
            <xm:f>Country!A2:A1000</xm:f>
          </x14:formula1>
          <xm:sqref>C652</xm:sqref>
        </x14:dataValidation>
        <x14:dataValidation type="list" allowBlank="1" showInputMessage="1" showErrorMessage="1" xr:uid="{00000000-0002-0000-0200-00008B020000}">
          <x14:formula1>
            <xm:f>Country!A2:A1000</xm:f>
          </x14:formula1>
          <xm:sqref>C653</xm:sqref>
        </x14:dataValidation>
        <x14:dataValidation type="list" allowBlank="1" showInputMessage="1" showErrorMessage="1" xr:uid="{00000000-0002-0000-0200-00008C020000}">
          <x14:formula1>
            <xm:f>Country!A2:A1000</xm:f>
          </x14:formula1>
          <xm:sqref>C654</xm:sqref>
        </x14:dataValidation>
        <x14:dataValidation type="list" allowBlank="1" showInputMessage="1" showErrorMessage="1" xr:uid="{00000000-0002-0000-0200-00008D020000}">
          <x14:formula1>
            <xm:f>Country!A2:A1000</xm:f>
          </x14:formula1>
          <xm:sqref>C655</xm:sqref>
        </x14:dataValidation>
        <x14:dataValidation type="list" allowBlank="1" showInputMessage="1" showErrorMessage="1" xr:uid="{00000000-0002-0000-0200-00008E020000}">
          <x14:formula1>
            <xm:f>Country!A2:A1000</xm:f>
          </x14:formula1>
          <xm:sqref>C656</xm:sqref>
        </x14:dataValidation>
        <x14:dataValidation type="list" allowBlank="1" showInputMessage="1" showErrorMessage="1" xr:uid="{00000000-0002-0000-0200-00008F020000}">
          <x14:formula1>
            <xm:f>Country!A2:A1000</xm:f>
          </x14:formula1>
          <xm:sqref>C657</xm:sqref>
        </x14:dataValidation>
        <x14:dataValidation type="list" allowBlank="1" showInputMessage="1" showErrorMessage="1" xr:uid="{00000000-0002-0000-0200-000090020000}">
          <x14:formula1>
            <xm:f>Country!A2:A1000</xm:f>
          </x14:formula1>
          <xm:sqref>C658</xm:sqref>
        </x14:dataValidation>
        <x14:dataValidation type="list" allowBlank="1" showInputMessage="1" showErrorMessage="1" xr:uid="{00000000-0002-0000-0200-000091020000}">
          <x14:formula1>
            <xm:f>Country!A2:A1000</xm:f>
          </x14:formula1>
          <xm:sqref>C659</xm:sqref>
        </x14:dataValidation>
        <x14:dataValidation type="list" allowBlank="1" showInputMessage="1" showErrorMessage="1" xr:uid="{00000000-0002-0000-0200-000092020000}">
          <x14:formula1>
            <xm:f>Country!A2:A1000</xm:f>
          </x14:formula1>
          <xm:sqref>C660</xm:sqref>
        </x14:dataValidation>
        <x14:dataValidation type="list" allowBlank="1" showInputMessage="1" showErrorMessage="1" xr:uid="{00000000-0002-0000-0200-000093020000}">
          <x14:formula1>
            <xm:f>Country!A2:A1000</xm:f>
          </x14:formula1>
          <xm:sqref>C661</xm:sqref>
        </x14:dataValidation>
        <x14:dataValidation type="list" allowBlank="1" showInputMessage="1" showErrorMessage="1" xr:uid="{00000000-0002-0000-0200-000094020000}">
          <x14:formula1>
            <xm:f>Country!A2:A1000</xm:f>
          </x14:formula1>
          <xm:sqref>C662</xm:sqref>
        </x14:dataValidation>
        <x14:dataValidation type="list" allowBlank="1" showInputMessage="1" showErrorMessage="1" xr:uid="{00000000-0002-0000-0200-000095020000}">
          <x14:formula1>
            <xm:f>Country!A2:A1000</xm:f>
          </x14:formula1>
          <xm:sqref>C663</xm:sqref>
        </x14:dataValidation>
        <x14:dataValidation type="list" allowBlank="1" showInputMessage="1" showErrorMessage="1" xr:uid="{00000000-0002-0000-0200-000096020000}">
          <x14:formula1>
            <xm:f>Country!A2:A1000</xm:f>
          </x14:formula1>
          <xm:sqref>C664</xm:sqref>
        </x14:dataValidation>
        <x14:dataValidation type="list" allowBlank="1" showInputMessage="1" showErrorMessage="1" xr:uid="{00000000-0002-0000-0200-000097020000}">
          <x14:formula1>
            <xm:f>Country!A2:A1000</xm:f>
          </x14:formula1>
          <xm:sqref>C665</xm:sqref>
        </x14:dataValidation>
        <x14:dataValidation type="list" allowBlank="1" showInputMessage="1" showErrorMessage="1" xr:uid="{00000000-0002-0000-0200-000098020000}">
          <x14:formula1>
            <xm:f>Country!A2:A1000</xm:f>
          </x14:formula1>
          <xm:sqref>C666</xm:sqref>
        </x14:dataValidation>
        <x14:dataValidation type="list" allowBlank="1" showInputMessage="1" showErrorMessage="1" xr:uid="{00000000-0002-0000-0200-000099020000}">
          <x14:formula1>
            <xm:f>Country!A2:A1000</xm:f>
          </x14:formula1>
          <xm:sqref>C667</xm:sqref>
        </x14:dataValidation>
        <x14:dataValidation type="list" allowBlank="1" showInputMessage="1" showErrorMessage="1" xr:uid="{00000000-0002-0000-0200-00009A020000}">
          <x14:formula1>
            <xm:f>Country!A2:A1000</xm:f>
          </x14:formula1>
          <xm:sqref>C668</xm:sqref>
        </x14:dataValidation>
        <x14:dataValidation type="list" allowBlank="1" showInputMessage="1" showErrorMessage="1" xr:uid="{00000000-0002-0000-0200-00009B020000}">
          <x14:formula1>
            <xm:f>Country!A2:A1000</xm:f>
          </x14:formula1>
          <xm:sqref>C669</xm:sqref>
        </x14:dataValidation>
        <x14:dataValidation type="list" allowBlank="1" showInputMessage="1" showErrorMessage="1" xr:uid="{00000000-0002-0000-0200-00009C020000}">
          <x14:formula1>
            <xm:f>Country!A2:A1000</xm:f>
          </x14:formula1>
          <xm:sqref>C670</xm:sqref>
        </x14:dataValidation>
        <x14:dataValidation type="list" allowBlank="1" showInputMessage="1" showErrorMessage="1" xr:uid="{00000000-0002-0000-0200-00009D020000}">
          <x14:formula1>
            <xm:f>Country!A2:A1000</xm:f>
          </x14:formula1>
          <xm:sqref>C671</xm:sqref>
        </x14:dataValidation>
        <x14:dataValidation type="list" allowBlank="1" showInputMessage="1" showErrorMessage="1" xr:uid="{00000000-0002-0000-0200-00009E020000}">
          <x14:formula1>
            <xm:f>Country!A2:A1000</xm:f>
          </x14:formula1>
          <xm:sqref>C672</xm:sqref>
        </x14:dataValidation>
        <x14:dataValidation type="list" allowBlank="1" showInputMessage="1" showErrorMessage="1" xr:uid="{00000000-0002-0000-0200-00009F020000}">
          <x14:formula1>
            <xm:f>Country!A2:A1000</xm:f>
          </x14:formula1>
          <xm:sqref>C673</xm:sqref>
        </x14:dataValidation>
        <x14:dataValidation type="list" allowBlank="1" showInputMessage="1" showErrorMessage="1" xr:uid="{00000000-0002-0000-0200-0000A0020000}">
          <x14:formula1>
            <xm:f>Country!A2:A1000</xm:f>
          </x14:formula1>
          <xm:sqref>C674</xm:sqref>
        </x14:dataValidation>
        <x14:dataValidation type="list" allowBlank="1" showInputMessage="1" showErrorMessage="1" xr:uid="{00000000-0002-0000-0200-0000A1020000}">
          <x14:formula1>
            <xm:f>Country!A2:A1000</xm:f>
          </x14:formula1>
          <xm:sqref>C675</xm:sqref>
        </x14:dataValidation>
        <x14:dataValidation type="list" allowBlank="1" showInputMessage="1" showErrorMessage="1" xr:uid="{00000000-0002-0000-0200-0000A2020000}">
          <x14:formula1>
            <xm:f>Country!A2:A1000</xm:f>
          </x14:formula1>
          <xm:sqref>C676</xm:sqref>
        </x14:dataValidation>
        <x14:dataValidation type="list" allowBlank="1" showInputMessage="1" showErrorMessage="1" xr:uid="{00000000-0002-0000-0200-0000A3020000}">
          <x14:formula1>
            <xm:f>Country!A2:A1000</xm:f>
          </x14:formula1>
          <xm:sqref>C677</xm:sqref>
        </x14:dataValidation>
        <x14:dataValidation type="list" allowBlank="1" showInputMessage="1" showErrorMessage="1" xr:uid="{00000000-0002-0000-0200-0000A4020000}">
          <x14:formula1>
            <xm:f>Country!A2:A1000</xm:f>
          </x14:formula1>
          <xm:sqref>C678</xm:sqref>
        </x14:dataValidation>
        <x14:dataValidation type="list" allowBlank="1" showInputMessage="1" showErrorMessage="1" xr:uid="{00000000-0002-0000-0200-0000A5020000}">
          <x14:formula1>
            <xm:f>Country!A2:A1000</xm:f>
          </x14:formula1>
          <xm:sqref>C679</xm:sqref>
        </x14:dataValidation>
        <x14:dataValidation type="list" allowBlank="1" showInputMessage="1" showErrorMessage="1" xr:uid="{00000000-0002-0000-0200-0000A6020000}">
          <x14:formula1>
            <xm:f>Country!A2:A1000</xm:f>
          </x14:formula1>
          <xm:sqref>C680</xm:sqref>
        </x14:dataValidation>
        <x14:dataValidation type="list" allowBlank="1" showInputMessage="1" showErrorMessage="1" xr:uid="{00000000-0002-0000-0200-0000A7020000}">
          <x14:formula1>
            <xm:f>Country!A2:A1000</xm:f>
          </x14:formula1>
          <xm:sqref>C681</xm:sqref>
        </x14:dataValidation>
        <x14:dataValidation type="list" allowBlank="1" showInputMessage="1" showErrorMessage="1" xr:uid="{00000000-0002-0000-0200-0000A8020000}">
          <x14:formula1>
            <xm:f>Country!A2:A1000</xm:f>
          </x14:formula1>
          <xm:sqref>C682</xm:sqref>
        </x14:dataValidation>
        <x14:dataValidation type="list" allowBlank="1" showInputMessage="1" showErrorMessage="1" xr:uid="{00000000-0002-0000-0200-0000A9020000}">
          <x14:formula1>
            <xm:f>Country!A2:A1000</xm:f>
          </x14:formula1>
          <xm:sqref>C683</xm:sqref>
        </x14:dataValidation>
        <x14:dataValidation type="list" allowBlank="1" showInputMessage="1" showErrorMessage="1" xr:uid="{00000000-0002-0000-0200-0000AA020000}">
          <x14:formula1>
            <xm:f>Country!A2:A1000</xm:f>
          </x14:formula1>
          <xm:sqref>C684</xm:sqref>
        </x14:dataValidation>
        <x14:dataValidation type="list" allowBlank="1" showInputMessage="1" showErrorMessage="1" xr:uid="{00000000-0002-0000-0200-0000AB020000}">
          <x14:formula1>
            <xm:f>Country!A2:A1000</xm:f>
          </x14:formula1>
          <xm:sqref>C685</xm:sqref>
        </x14:dataValidation>
        <x14:dataValidation type="list" allowBlank="1" showInputMessage="1" showErrorMessage="1" xr:uid="{00000000-0002-0000-0200-0000AC020000}">
          <x14:formula1>
            <xm:f>Country!A2:A1000</xm:f>
          </x14:formula1>
          <xm:sqref>C686</xm:sqref>
        </x14:dataValidation>
        <x14:dataValidation type="list" allowBlank="1" showInputMessage="1" showErrorMessage="1" xr:uid="{00000000-0002-0000-0200-0000AD020000}">
          <x14:formula1>
            <xm:f>Country!A2:A1000</xm:f>
          </x14:formula1>
          <xm:sqref>C687</xm:sqref>
        </x14:dataValidation>
        <x14:dataValidation type="list" allowBlank="1" showInputMessage="1" showErrorMessage="1" xr:uid="{00000000-0002-0000-0200-0000AE020000}">
          <x14:formula1>
            <xm:f>Country!A2:A1000</xm:f>
          </x14:formula1>
          <xm:sqref>C688</xm:sqref>
        </x14:dataValidation>
        <x14:dataValidation type="list" allowBlank="1" showInputMessage="1" showErrorMessage="1" xr:uid="{00000000-0002-0000-0200-0000AF020000}">
          <x14:formula1>
            <xm:f>Country!A2:A1000</xm:f>
          </x14:formula1>
          <xm:sqref>C689</xm:sqref>
        </x14:dataValidation>
        <x14:dataValidation type="list" allowBlank="1" showInputMessage="1" showErrorMessage="1" xr:uid="{00000000-0002-0000-0200-0000B0020000}">
          <x14:formula1>
            <xm:f>Country!A2:A1000</xm:f>
          </x14:formula1>
          <xm:sqref>C690</xm:sqref>
        </x14:dataValidation>
        <x14:dataValidation type="list" allowBlank="1" showInputMessage="1" showErrorMessage="1" xr:uid="{00000000-0002-0000-0200-0000B1020000}">
          <x14:formula1>
            <xm:f>Country!A2:A1000</xm:f>
          </x14:formula1>
          <xm:sqref>C691</xm:sqref>
        </x14:dataValidation>
        <x14:dataValidation type="list" allowBlank="1" showInputMessage="1" showErrorMessage="1" xr:uid="{00000000-0002-0000-0200-0000B2020000}">
          <x14:formula1>
            <xm:f>Country!A2:A1000</xm:f>
          </x14:formula1>
          <xm:sqref>C692</xm:sqref>
        </x14:dataValidation>
        <x14:dataValidation type="list" allowBlank="1" showInputMessage="1" showErrorMessage="1" xr:uid="{00000000-0002-0000-0200-0000B3020000}">
          <x14:formula1>
            <xm:f>Country!A2:A1000</xm:f>
          </x14:formula1>
          <xm:sqref>C693</xm:sqref>
        </x14:dataValidation>
        <x14:dataValidation type="list" allowBlank="1" showInputMessage="1" showErrorMessage="1" xr:uid="{00000000-0002-0000-0200-0000B4020000}">
          <x14:formula1>
            <xm:f>Country!A2:A1000</xm:f>
          </x14:formula1>
          <xm:sqref>C694</xm:sqref>
        </x14:dataValidation>
        <x14:dataValidation type="list" allowBlank="1" showInputMessage="1" showErrorMessage="1" xr:uid="{00000000-0002-0000-0200-0000B5020000}">
          <x14:formula1>
            <xm:f>Country!A2:A1000</xm:f>
          </x14:formula1>
          <xm:sqref>C695</xm:sqref>
        </x14:dataValidation>
        <x14:dataValidation type="list" allowBlank="1" showInputMessage="1" showErrorMessage="1" xr:uid="{00000000-0002-0000-0200-0000B6020000}">
          <x14:formula1>
            <xm:f>Country!A2:A1000</xm:f>
          </x14:formula1>
          <xm:sqref>C696</xm:sqref>
        </x14:dataValidation>
        <x14:dataValidation type="list" allowBlank="1" showInputMessage="1" showErrorMessage="1" xr:uid="{00000000-0002-0000-0200-0000B7020000}">
          <x14:formula1>
            <xm:f>Country!A2:A1000</xm:f>
          </x14:formula1>
          <xm:sqref>C697</xm:sqref>
        </x14:dataValidation>
        <x14:dataValidation type="list" allowBlank="1" showInputMessage="1" showErrorMessage="1" xr:uid="{00000000-0002-0000-0200-0000B8020000}">
          <x14:formula1>
            <xm:f>Country!A2:A1000</xm:f>
          </x14:formula1>
          <xm:sqref>C698</xm:sqref>
        </x14:dataValidation>
        <x14:dataValidation type="list" allowBlank="1" showInputMessage="1" showErrorMessage="1" xr:uid="{00000000-0002-0000-0200-0000B9020000}">
          <x14:formula1>
            <xm:f>Country!A2:A1000</xm:f>
          </x14:formula1>
          <xm:sqref>C699</xm:sqref>
        </x14:dataValidation>
        <x14:dataValidation type="list" allowBlank="1" showInputMessage="1" showErrorMessage="1" xr:uid="{00000000-0002-0000-0200-0000BA020000}">
          <x14:formula1>
            <xm:f>Country!A2:A1000</xm:f>
          </x14:formula1>
          <xm:sqref>C700</xm:sqref>
        </x14:dataValidation>
        <x14:dataValidation type="list" allowBlank="1" showInputMessage="1" showErrorMessage="1" xr:uid="{00000000-0002-0000-0200-0000BB020000}">
          <x14:formula1>
            <xm:f>Country!A2:A1000</xm:f>
          </x14:formula1>
          <xm:sqref>C701</xm:sqref>
        </x14:dataValidation>
        <x14:dataValidation type="list" allowBlank="1" showInputMessage="1" showErrorMessage="1" xr:uid="{00000000-0002-0000-0200-0000BC020000}">
          <x14:formula1>
            <xm:f>Country!A2:A1000</xm:f>
          </x14:formula1>
          <xm:sqref>C702</xm:sqref>
        </x14:dataValidation>
        <x14:dataValidation type="list" allowBlank="1" showInputMessage="1" showErrorMessage="1" xr:uid="{00000000-0002-0000-0200-0000BD020000}">
          <x14:formula1>
            <xm:f>Country!A2:A1000</xm:f>
          </x14:formula1>
          <xm:sqref>C703</xm:sqref>
        </x14:dataValidation>
        <x14:dataValidation type="list" allowBlank="1" showInputMessage="1" showErrorMessage="1" xr:uid="{00000000-0002-0000-0200-0000BE020000}">
          <x14:formula1>
            <xm:f>Country!A2:A1000</xm:f>
          </x14:formula1>
          <xm:sqref>C704</xm:sqref>
        </x14:dataValidation>
        <x14:dataValidation type="list" allowBlank="1" showInputMessage="1" showErrorMessage="1" xr:uid="{00000000-0002-0000-0200-0000BF020000}">
          <x14:formula1>
            <xm:f>Country!A2:A1000</xm:f>
          </x14:formula1>
          <xm:sqref>C705</xm:sqref>
        </x14:dataValidation>
        <x14:dataValidation type="list" allowBlank="1" showInputMessage="1" showErrorMessage="1" xr:uid="{00000000-0002-0000-0200-0000C0020000}">
          <x14:formula1>
            <xm:f>Country!A2:A1000</xm:f>
          </x14:formula1>
          <xm:sqref>C706</xm:sqref>
        </x14:dataValidation>
        <x14:dataValidation type="list" allowBlank="1" showInputMessage="1" showErrorMessage="1" xr:uid="{00000000-0002-0000-0200-0000C1020000}">
          <x14:formula1>
            <xm:f>Country!A2:A1000</xm:f>
          </x14:formula1>
          <xm:sqref>C707</xm:sqref>
        </x14:dataValidation>
        <x14:dataValidation type="list" allowBlank="1" showInputMessage="1" showErrorMessage="1" xr:uid="{00000000-0002-0000-0200-0000C2020000}">
          <x14:formula1>
            <xm:f>Country!A2:A1000</xm:f>
          </x14:formula1>
          <xm:sqref>C708</xm:sqref>
        </x14:dataValidation>
        <x14:dataValidation type="list" allowBlank="1" showInputMessage="1" showErrorMessage="1" xr:uid="{00000000-0002-0000-0200-0000C3020000}">
          <x14:formula1>
            <xm:f>Country!A2:A1000</xm:f>
          </x14:formula1>
          <xm:sqref>C709</xm:sqref>
        </x14:dataValidation>
        <x14:dataValidation type="list" allowBlank="1" showInputMessage="1" showErrorMessage="1" xr:uid="{00000000-0002-0000-0200-0000C4020000}">
          <x14:formula1>
            <xm:f>Country!A2:A1000</xm:f>
          </x14:formula1>
          <xm:sqref>C710</xm:sqref>
        </x14:dataValidation>
        <x14:dataValidation type="list" allowBlank="1" showInputMessage="1" showErrorMessage="1" xr:uid="{00000000-0002-0000-0200-0000C5020000}">
          <x14:formula1>
            <xm:f>Country!A2:A1000</xm:f>
          </x14:formula1>
          <xm:sqref>C711</xm:sqref>
        </x14:dataValidation>
        <x14:dataValidation type="list" allowBlank="1" showInputMessage="1" showErrorMessage="1" xr:uid="{00000000-0002-0000-0200-0000C6020000}">
          <x14:formula1>
            <xm:f>Country!A2:A1000</xm:f>
          </x14:formula1>
          <xm:sqref>C712</xm:sqref>
        </x14:dataValidation>
        <x14:dataValidation type="list" allowBlank="1" showInputMessage="1" showErrorMessage="1" xr:uid="{00000000-0002-0000-0200-0000C7020000}">
          <x14:formula1>
            <xm:f>Country!A2:A1000</xm:f>
          </x14:formula1>
          <xm:sqref>C713</xm:sqref>
        </x14:dataValidation>
        <x14:dataValidation type="list" allowBlank="1" showInputMessage="1" showErrorMessage="1" xr:uid="{00000000-0002-0000-0200-0000C8020000}">
          <x14:formula1>
            <xm:f>Country!A2:A1000</xm:f>
          </x14:formula1>
          <xm:sqref>C714</xm:sqref>
        </x14:dataValidation>
        <x14:dataValidation type="list" allowBlank="1" showInputMessage="1" showErrorMessage="1" xr:uid="{00000000-0002-0000-0200-0000C9020000}">
          <x14:formula1>
            <xm:f>Country!A2:A1000</xm:f>
          </x14:formula1>
          <xm:sqref>C715</xm:sqref>
        </x14:dataValidation>
        <x14:dataValidation type="list" allowBlank="1" showInputMessage="1" showErrorMessage="1" xr:uid="{00000000-0002-0000-0200-0000CA020000}">
          <x14:formula1>
            <xm:f>Country!A2:A1000</xm:f>
          </x14:formula1>
          <xm:sqref>C716</xm:sqref>
        </x14:dataValidation>
        <x14:dataValidation type="list" allowBlank="1" showInputMessage="1" showErrorMessage="1" xr:uid="{00000000-0002-0000-0200-0000CB020000}">
          <x14:formula1>
            <xm:f>Country!A2:A1000</xm:f>
          </x14:formula1>
          <xm:sqref>C717</xm:sqref>
        </x14:dataValidation>
        <x14:dataValidation type="list" allowBlank="1" showInputMessage="1" showErrorMessage="1" xr:uid="{00000000-0002-0000-0200-0000CC020000}">
          <x14:formula1>
            <xm:f>Country!A2:A1000</xm:f>
          </x14:formula1>
          <xm:sqref>C718</xm:sqref>
        </x14:dataValidation>
        <x14:dataValidation type="list" allowBlank="1" showInputMessage="1" showErrorMessage="1" xr:uid="{00000000-0002-0000-0200-0000CD020000}">
          <x14:formula1>
            <xm:f>Country!A2:A1000</xm:f>
          </x14:formula1>
          <xm:sqref>C719</xm:sqref>
        </x14:dataValidation>
        <x14:dataValidation type="list" allowBlank="1" showInputMessage="1" showErrorMessage="1" xr:uid="{00000000-0002-0000-0200-0000CE020000}">
          <x14:formula1>
            <xm:f>Country!A2:A1000</xm:f>
          </x14:formula1>
          <xm:sqref>C720</xm:sqref>
        </x14:dataValidation>
        <x14:dataValidation type="list" allowBlank="1" showInputMessage="1" showErrorMessage="1" xr:uid="{00000000-0002-0000-0200-0000CF020000}">
          <x14:formula1>
            <xm:f>Country!A2:A1000</xm:f>
          </x14:formula1>
          <xm:sqref>C721</xm:sqref>
        </x14:dataValidation>
        <x14:dataValidation type="list" allowBlank="1" showInputMessage="1" showErrorMessage="1" xr:uid="{00000000-0002-0000-0200-0000D0020000}">
          <x14:formula1>
            <xm:f>Country!A2:A1000</xm:f>
          </x14:formula1>
          <xm:sqref>C722</xm:sqref>
        </x14:dataValidation>
        <x14:dataValidation type="list" allowBlank="1" showInputMessage="1" showErrorMessage="1" xr:uid="{00000000-0002-0000-0200-0000D1020000}">
          <x14:formula1>
            <xm:f>Country!A2:A1000</xm:f>
          </x14:formula1>
          <xm:sqref>C723</xm:sqref>
        </x14:dataValidation>
        <x14:dataValidation type="list" allowBlank="1" showInputMessage="1" showErrorMessage="1" xr:uid="{00000000-0002-0000-0200-0000D2020000}">
          <x14:formula1>
            <xm:f>Country!A2:A1000</xm:f>
          </x14:formula1>
          <xm:sqref>C724</xm:sqref>
        </x14:dataValidation>
        <x14:dataValidation type="list" allowBlank="1" showInputMessage="1" showErrorMessage="1" xr:uid="{00000000-0002-0000-0200-0000D3020000}">
          <x14:formula1>
            <xm:f>Country!A2:A1000</xm:f>
          </x14:formula1>
          <xm:sqref>C725</xm:sqref>
        </x14:dataValidation>
        <x14:dataValidation type="list" allowBlank="1" showInputMessage="1" showErrorMessage="1" xr:uid="{00000000-0002-0000-0200-0000D4020000}">
          <x14:formula1>
            <xm:f>Country!A2:A1000</xm:f>
          </x14:formula1>
          <xm:sqref>C726</xm:sqref>
        </x14:dataValidation>
        <x14:dataValidation type="list" allowBlank="1" showInputMessage="1" showErrorMessage="1" xr:uid="{00000000-0002-0000-0200-0000D5020000}">
          <x14:formula1>
            <xm:f>Country!A2:A1000</xm:f>
          </x14:formula1>
          <xm:sqref>C727</xm:sqref>
        </x14:dataValidation>
        <x14:dataValidation type="list" allowBlank="1" showInputMessage="1" showErrorMessage="1" xr:uid="{00000000-0002-0000-0200-0000D6020000}">
          <x14:formula1>
            <xm:f>Country!A2:A1000</xm:f>
          </x14:formula1>
          <xm:sqref>C728</xm:sqref>
        </x14:dataValidation>
        <x14:dataValidation type="list" allowBlank="1" showInputMessage="1" showErrorMessage="1" xr:uid="{00000000-0002-0000-0200-0000D7020000}">
          <x14:formula1>
            <xm:f>Country!A2:A1000</xm:f>
          </x14:formula1>
          <xm:sqref>C729</xm:sqref>
        </x14:dataValidation>
        <x14:dataValidation type="list" allowBlank="1" showInputMessage="1" showErrorMessage="1" xr:uid="{00000000-0002-0000-0200-0000D8020000}">
          <x14:formula1>
            <xm:f>Country!A2:A1000</xm:f>
          </x14:formula1>
          <xm:sqref>C730</xm:sqref>
        </x14:dataValidation>
        <x14:dataValidation type="list" allowBlank="1" showInputMessage="1" showErrorMessage="1" xr:uid="{00000000-0002-0000-0200-0000D9020000}">
          <x14:formula1>
            <xm:f>Country!A2:A1000</xm:f>
          </x14:formula1>
          <xm:sqref>C731</xm:sqref>
        </x14:dataValidation>
        <x14:dataValidation type="list" allowBlank="1" showInputMessage="1" showErrorMessage="1" xr:uid="{00000000-0002-0000-0200-0000DA020000}">
          <x14:formula1>
            <xm:f>Country!A2:A1000</xm:f>
          </x14:formula1>
          <xm:sqref>C732</xm:sqref>
        </x14:dataValidation>
        <x14:dataValidation type="list" allowBlank="1" showInputMessage="1" showErrorMessage="1" xr:uid="{00000000-0002-0000-0200-0000DB020000}">
          <x14:formula1>
            <xm:f>Country!A2:A1000</xm:f>
          </x14:formula1>
          <xm:sqref>C733</xm:sqref>
        </x14:dataValidation>
        <x14:dataValidation type="list" allowBlank="1" showInputMessage="1" showErrorMessage="1" xr:uid="{00000000-0002-0000-0200-0000DC020000}">
          <x14:formula1>
            <xm:f>Country!A2:A1000</xm:f>
          </x14:formula1>
          <xm:sqref>C734</xm:sqref>
        </x14:dataValidation>
        <x14:dataValidation type="list" allowBlank="1" showInputMessage="1" showErrorMessage="1" xr:uid="{00000000-0002-0000-0200-0000DD020000}">
          <x14:formula1>
            <xm:f>Country!A2:A1000</xm:f>
          </x14:formula1>
          <xm:sqref>C735</xm:sqref>
        </x14:dataValidation>
        <x14:dataValidation type="list" allowBlank="1" showInputMessage="1" showErrorMessage="1" xr:uid="{00000000-0002-0000-0200-0000DE020000}">
          <x14:formula1>
            <xm:f>Country!A2:A1000</xm:f>
          </x14:formula1>
          <xm:sqref>C736</xm:sqref>
        </x14:dataValidation>
        <x14:dataValidation type="list" allowBlank="1" showInputMessage="1" showErrorMessage="1" xr:uid="{00000000-0002-0000-0200-0000DF020000}">
          <x14:formula1>
            <xm:f>Country!A2:A1000</xm:f>
          </x14:formula1>
          <xm:sqref>C737</xm:sqref>
        </x14:dataValidation>
        <x14:dataValidation type="list" allowBlank="1" showInputMessage="1" showErrorMessage="1" xr:uid="{00000000-0002-0000-0200-0000E0020000}">
          <x14:formula1>
            <xm:f>Country!A2:A1000</xm:f>
          </x14:formula1>
          <xm:sqref>C738</xm:sqref>
        </x14:dataValidation>
        <x14:dataValidation type="list" allowBlank="1" showInputMessage="1" showErrorMessage="1" xr:uid="{00000000-0002-0000-0200-0000E1020000}">
          <x14:formula1>
            <xm:f>Country!A2:A1000</xm:f>
          </x14:formula1>
          <xm:sqref>C739</xm:sqref>
        </x14:dataValidation>
        <x14:dataValidation type="list" allowBlank="1" showInputMessage="1" showErrorMessage="1" xr:uid="{00000000-0002-0000-0200-0000E2020000}">
          <x14:formula1>
            <xm:f>Country!A2:A1000</xm:f>
          </x14:formula1>
          <xm:sqref>C740</xm:sqref>
        </x14:dataValidation>
        <x14:dataValidation type="list" allowBlank="1" showInputMessage="1" showErrorMessage="1" xr:uid="{00000000-0002-0000-0200-0000E3020000}">
          <x14:formula1>
            <xm:f>Country!A2:A1000</xm:f>
          </x14:formula1>
          <xm:sqref>C741</xm:sqref>
        </x14:dataValidation>
        <x14:dataValidation type="list" allowBlank="1" showInputMessage="1" showErrorMessage="1" xr:uid="{00000000-0002-0000-0200-0000E4020000}">
          <x14:formula1>
            <xm:f>Country!A2:A1000</xm:f>
          </x14:formula1>
          <xm:sqref>C742</xm:sqref>
        </x14:dataValidation>
        <x14:dataValidation type="list" allowBlank="1" showInputMessage="1" showErrorMessage="1" xr:uid="{00000000-0002-0000-0200-0000E5020000}">
          <x14:formula1>
            <xm:f>Country!A2:A1000</xm:f>
          </x14:formula1>
          <xm:sqref>C743</xm:sqref>
        </x14:dataValidation>
        <x14:dataValidation type="list" allowBlank="1" showInputMessage="1" showErrorMessage="1" xr:uid="{00000000-0002-0000-0200-0000E6020000}">
          <x14:formula1>
            <xm:f>Country!A2:A1000</xm:f>
          </x14:formula1>
          <xm:sqref>C744</xm:sqref>
        </x14:dataValidation>
        <x14:dataValidation type="list" allowBlank="1" showInputMessage="1" showErrorMessage="1" xr:uid="{00000000-0002-0000-0200-0000E7020000}">
          <x14:formula1>
            <xm:f>Country!A2:A1000</xm:f>
          </x14:formula1>
          <xm:sqref>C745</xm:sqref>
        </x14:dataValidation>
        <x14:dataValidation type="list" allowBlank="1" showInputMessage="1" showErrorMessage="1" xr:uid="{00000000-0002-0000-0200-0000E8020000}">
          <x14:formula1>
            <xm:f>Country!A2:A1000</xm:f>
          </x14:formula1>
          <xm:sqref>C746</xm:sqref>
        </x14:dataValidation>
        <x14:dataValidation type="list" allowBlank="1" showInputMessage="1" showErrorMessage="1" xr:uid="{00000000-0002-0000-0200-0000E9020000}">
          <x14:formula1>
            <xm:f>Country!A2:A1000</xm:f>
          </x14:formula1>
          <xm:sqref>C747</xm:sqref>
        </x14:dataValidation>
        <x14:dataValidation type="list" allowBlank="1" showInputMessage="1" showErrorMessage="1" xr:uid="{00000000-0002-0000-0200-0000EA020000}">
          <x14:formula1>
            <xm:f>Country!A2:A1000</xm:f>
          </x14:formula1>
          <xm:sqref>C748</xm:sqref>
        </x14:dataValidation>
        <x14:dataValidation type="list" allowBlank="1" showInputMessage="1" showErrorMessage="1" xr:uid="{00000000-0002-0000-0200-0000EB020000}">
          <x14:formula1>
            <xm:f>Country!A2:A1000</xm:f>
          </x14:formula1>
          <xm:sqref>C749</xm:sqref>
        </x14:dataValidation>
        <x14:dataValidation type="list" allowBlank="1" showInputMessage="1" showErrorMessage="1" xr:uid="{00000000-0002-0000-0200-0000EC020000}">
          <x14:formula1>
            <xm:f>Country!A2:A1000</xm:f>
          </x14:formula1>
          <xm:sqref>C750</xm:sqref>
        </x14:dataValidation>
        <x14:dataValidation type="list" allowBlank="1" showInputMessage="1" showErrorMessage="1" xr:uid="{00000000-0002-0000-0200-0000ED020000}">
          <x14:formula1>
            <xm:f>Country!A2:A1000</xm:f>
          </x14:formula1>
          <xm:sqref>C751</xm:sqref>
        </x14:dataValidation>
        <x14:dataValidation type="list" allowBlank="1" showInputMessage="1" showErrorMessage="1" xr:uid="{00000000-0002-0000-0200-0000EE020000}">
          <x14:formula1>
            <xm:f>Country!A2:A1000</xm:f>
          </x14:formula1>
          <xm:sqref>C752</xm:sqref>
        </x14:dataValidation>
        <x14:dataValidation type="list" allowBlank="1" showInputMessage="1" showErrorMessage="1" xr:uid="{00000000-0002-0000-0200-0000EF020000}">
          <x14:formula1>
            <xm:f>Country!A2:A1000</xm:f>
          </x14:formula1>
          <xm:sqref>C753</xm:sqref>
        </x14:dataValidation>
        <x14:dataValidation type="list" allowBlank="1" showInputMessage="1" showErrorMessage="1" xr:uid="{00000000-0002-0000-0200-0000F0020000}">
          <x14:formula1>
            <xm:f>Country!A2:A1000</xm:f>
          </x14:formula1>
          <xm:sqref>C754</xm:sqref>
        </x14:dataValidation>
        <x14:dataValidation type="list" allowBlank="1" showInputMessage="1" showErrorMessage="1" xr:uid="{00000000-0002-0000-0200-0000F1020000}">
          <x14:formula1>
            <xm:f>Country!A2:A1000</xm:f>
          </x14:formula1>
          <xm:sqref>C755</xm:sqref>
        </x14:dataValidation>
        <x14:dataValidation type="list" allowBlank="1" showInputMessage="1" showErrorMessage="1" xr:uid="{00000000-0002-0000-0200-0000F2020000}">
          <x14:formula1>
            <xm:f>Country!A2:A1000</xm:f>
          </x14:formula1>
          <xm:sqref>C756</xm:sqref>
        </x14:dataValidation>
        <x14:dataValidation type="list" allowBlank="1" showInputMessage="1" showErrorMessage="1" xr:uid="{00000000-0002-0000-0200-0000F3020000}">
          <x14:formula1>
            <xm:f>Country!A2:A1000</xm:f>
          </x14:formula1>
          <xm:sqref>C757</xm:sqref>
        </x14:dataValidation>
        <x14:dataValidation type="list" allowBlank="1" showInputMessage="1" showErrorMessage="1" xr:uid="{00000000-0002-0000-0200-0000F4020000}">
          <x14:formula1>
            <xm:f>Country!A2:A1000</xm:f>
          </x14:formula1>
          <xm:sqref>C758</xm:sqref>
        </x14:dataValidation>
        <x14:dataValidation type="list" allowBlank="1" showInputMessage="1" showErrorMessage="1" xr:uid="{00000000-0002-0000-0200-0000F5020000}">
          <x14:formula1>
            <xm:f>Country!A2:A1000</xm:f>
          </x14:formula1>
          <xm:sqref>C759</xm:sqref>
        </x14:dataValidation>
        <x14:dataValidation type="list" allowBlank="1" showInputMessage="1" showErrorMessage="1" xr:uid="{00000000-0002-0000-0200-0000F6020000}">
          <x14:formula1>
            <xm:f>Country!A2:A1000</xm:f>
          </x14:formula1>
          <xm:sqref>C760</xm:sqref>
        </x14:dataValidation>
        <x14:dataValidation type="list" allowBlank="1" showInputMessage="1" showErrorMessage="1" xr:uid="{00000000-0002-0000-0200-0000F7020000}">
          <x14:formula1>
            <xm:f>Country!A2:A1000</xm:f>
          </x14:formula1>
          <xm:sqref>C761</xm:sqref>
        </x14:dataValidation>
        <x14:dataValidation type="list" allowBlank="1" showInputMessage="1" showErrorMessage="1" xr:uid="{00000000-0002-0000-0200-0000F8020000}">
          <x14:formula1>
            <xm:f>Country!A2:A1000</xm:f>
          </x14:formula1>
          <xm:sqref>C762</xm:sqref>
        </x14:dataValidation>
        <x14:dataValidation type="list" allowBlank="1" showInputMessage="1" showErrorMessage="1" xr:uid="{00000000-0002-0000-0200-0000F9020000}">
          <x14:formula1>
            <xm:f>Country!A2:A1000</xm:f>
          </x14:formula1>
          <xm:sqref>C763</xm:sqref>
        </x14:dataValidation>
        <x14:dataValidation type="list" allowBlank="1" showInputMessage="1" showErrorMessage="1" xr:uid="{00000000-0002-0000-0200-0000FA020000}">
          <x14:formula1>
            <xm:f>Country!A2:A1000</xm:f>
          </x14:formula1>
          <xm:sqref>C764</xm:sqref>
        </x14:dataValidation>
        <x14:dataValidation type="list" allowBlank="1" showInputMessage="1" showErrorMessage="1" xr:uid="{00000000-0002-0000-0200-0000FB020000}">
          <x14:formula1>
            <xm:f>Country!A2:A1000</xm:f>
          </x14:formula1>
          <xm:sqref>C765</xm:sqref>
        </x14:dataValidation>
        <x14:dataValidation type="list" allowBlank="1" showInputMessage="1" showErrorMessage="1" xr:uid="{00000000-0002-0000-0200-0000FC020000}">
          <x14:formula1>
            <xm:f>Country!A2:A1000</xm:f>
          </x14:formula1>
          <xm:sqref>C766</xm:sqref>
        </x14:dataValidation>
        <x14:dataValidation type="list" allowBlank="1" showInputMessage="1" showErrorMessage="1" xr:uid="{00000000-0002-0000-0200-0000FD020000}">
          <x14:formula1>
            <xm:f>Country!A2:A1000</xm:f>
          </x14:formula1>
          <xm:sqref>C767</xm:sqref>
        </x14:dataValidation>
        <x14:dataValidation type="list" allowBlank="1" showInputMessage="1" showErrorMessage="1" xr:uid="{00000000-0002-0000-0200-0000FE020000}">
          <x14:formula1>
            <xm:f>Country!A2:A1000</xm:f>
          </x14:formula1>
          <xm:sqref>C768</xm:sqref>
        </x14:dataValidation>
        <x14:dataValidation type="list" allowBlank="1" showInputMessage="1" showErrorMessage="1" xr:uid="{00000000-0002-0000-0200-0000FF020000}">
          <x14:formula1>
            <xm:f>Country!A2:A1000</xm:f>
          </x14:formula1>
          <xm:sqref>C769</xm:sqref>
        </x14:dataValidation>
        <x14:dataValidation type="list" allowBlank="1" showInputMessage="1" showErrorMessage="1" xr:uid="{00000000-0002-0000-0200-000000030000}">
          <x14:formula1>
            <xm:f>Country!A2:A1000</xm:f>
          </x14:formula1>
          <xm:sqref>C770</xm:sqref>
        </x14:dataValidation>
        <x14:dataValidation type="list" allowBlank="1" showInputMessage="1" showErrorMessage="1" xr:uid="{00000000-0002-0000-0200-000001030000}">
          <x14:formula1>
            <xm:f>Country!A2:A1000</xm:f>
          </x14:formula1>
          <xm:sqref>C771</xm:sqref>
        </x14:dataValidation>
        <x14:dataValidation type="list" allowBlank="1" showInputMessage="1" showErrorMessage="1" xr:uid="{00000000-0002-0000-0200-000002030000}">
          <x14:formula1>
            <xm:f>Country!A2:A1000</xm:f>
          </x14:formula1>
          <xm:sqref>C772</xm:sqref>
        </x14:dataValidation>
        <x14:dataValidation type="list" allowBlank="1" showInputMessage="1" showErrorMessage="1" xr:uid="{00000000-0002-0000-0200-000003030000}">
          <x14:formula1>
            <xm:f>Country!A2:A1000</xm:f>
          </x14:formula1>
          <xm:sqref>C773</xm:sqref>
        </x14:dataValidation>
        <x14:dataValidation type="list" allowBlank="1" showInputMessage="1" showErrorMessage="1" xr:uid="{00000000-0002-0000-0200-000004030000}">
          <x14:formula1>
            <xm:f>Country!A2:A1000</xm:f>
          </x14:formula1>
          <xm:sqref>C774</xm:sqref>
        </x14:dataValidation>
        <x14:dataValidation type="list" allowBlank="1" showInputMessage="1" showErrorMessage="1" xr:uid="{00000000-0002-0000-0200-000005030000}">
          <x14:formula1>
            <xm:f>Country!A2:A1000</xm:f>
          </x14:formula1>
          <xm:sqref>C775</xm:sqref>
        </x14:dataValidation>
        <x14:dataValidation type="list" allowBlank="1" showInputMessage="1" showErrorMessage="1" xr:uid="{00000000-0002-0000-0200-000006030000}">
          <x14:formula1>
            <xm:f>Country!A2:A1000</xm:f>
          </x14:formula1>
          <xm:sqref>C776</xm:sqref>
        </x14:dataValidation>
        <x14:dataValidation type="list" allowBlank="1" showInputMessage="1" showErrorMessage="1" xr:uid="{00000000-0002-0000-0200-000007030000}">
          <x14:formula1>
            <xm:f>Country!A2:A1000</xm:f>
          </x14:formula1>
          <xm:sqref>C777</xm:sqref>
        </x14:dataValidation>
        <x14:dataValidation type="list" allowBlank="1" showInputMessage="1" showErrorMessage="1" xr:uid="{00000000-0002-0000-0200-000008030000}">
          <x14:formula1>
            <xm:f>Country!A2:A1000</xm:f>
          </x14:formula1>
          <xm:sqref>C778</xm:sqref>
        </x14:dataValidation>
        <x14:dataValidation type="list" allowBlank="1" showInputMessage="1" showErrorMessage="1" xr:uid="{00000000-0002-0000-0200-000009030000}">
          <x14:formula1>
            <xm:f>Country!A2:A1000</xm:f>
          </x14:formula1>
          <xm:sqref>C779</xm:sqref>
        </x14:dataValidation>
        <x14:dataValidation type="list" allowBlank="1" showInputMessage="1" showErrorMessage="1" xr:uid="{00000000-0002-0000-0200-00000A030000}">
          <x14:formula1>
            <xm:f>Country!A2:A1000</xm:f>
          </x14:formula1>
          <xm:sqref>C780</xm:sqref>
        </x14:dataValidation>
        <x14:dataValidation type="list" allowBlank="1" showInputMessage="1" showErrorMessage="1" xr:uid="{00000000-0002-0000-0200-00000B030000}">
          <x14:formula1>
            <xm:f>Country!A2:A1000</xm:f>
          </x14:formula1>
          <xm:sqref>C781</xm:sqref>
        </x14:dataValidation>
        <x14:dataValidation type="list" allowBlank="1" showInputMessage="1" showErrorMessage="1" xr:uid="{00000000-0002-0000-0200-00000C030000}">
          <x14:formula1>
            <xm:f>Country!A2:A1000</xm:f>
          </x14:formula1>
          <xm:sqref>C782</xm:sqref>
        </x14:dataValidation>
        <x14:dataValidation type="list" allowBlank="1" showInputMessage="1" showErrorMessage="1" xr:uid="{00000000-0002-0000-0200-00000D030000}">
          <x14:formula1>
            <xm:f>Country!A2:A1000</xm:f>
          </x14:formula1>
          <xm:sqref>C783</xm:sqref>
        </x14:dataValidation>
        <x14:dataValidation type="list" allowBlank="1" showInputMessage="1" showErrorMessage="1" xr:uid="{00000000-0002-0000-0200-00000E030000}">
          <x14:formula1>
            <xm:f>Country!A2:A1000</xm:f>
          </x14:formula1>
          <xm:sqref>C784</xm:sqref>
        </x14:dataValidation>
        <x14:dataValidation type="list" allowBlank="1" showInputMessage="1" showErrorMessage="1" xr:uid="{00000000-0002-0000-0200-00000F030000}">
          <x14:formula1>
            <xm:f>Country!A2:A1000</xm:f>
          </x14:formula1>
          <xm:sqref>C785</xm:sqref>
        </x14:dataValidation>
        <x14:dataValidation type="list" allowBlank="1" showInputMessage="1" showErrorMessage="1" xr:uid="{00000000-0002-0000-0200-000010030000}">
          <x14:formula1>
            <xm:f>Country!A2:A1000</xm:f>
          </x14:formula1>
          <xm:sqref>C786</xm:sqref>
        </x14:dataValidation>
        <x14:dataValidation type="list" allowBlank="1" showInputMessage="1" showErrorMessage="1" xr:uid="{00000000-0002-0000-0200-000011030000}">
          <x14:formula1>
            <xm:f>Country!A2:A1000</xm:f>
          </x14:formula1>
          <xm:sqref>C787</xm:sqref>
        </x14:dataValidation>
        <x14:dataValidation type="list" allowBlank="1" showInputMessage="1" showErrorMessage="1" xr:uid="{00000000-0002-0000-0200-000012030000}">
          <x14:formula1>
            <xm:f>Country!A2:A1000</xm:f>
          </x14:formula1>
          <xm:sqref>C788</xm:sqref>
        </x14:dataValidation>
        <x14:dataValidation type="list" allowBlank="1" showInputMessage="1" showErrorMessage="1" xr:uid="{00000000-0002-0000-0200-000013030000}">
          <x14:formula1>
            <xm:f>Country!A2:A1000</xm:f>
          </x14:formula1>
          <xm:sqref>C789</xm:sqref>
        </x14:dataValidation>
        <x14:dataValidation type="list" allowBlank="1" showInputMessage="1" showErrorMessage="1" xr:uid="{00000000-0002-0000-0200-000014030000}">
          <x14:formula1>
            <xm:f>Country!A2:A1000</xm:f>
          </x14:formula1>
          <xm:sqref>C790</xm:sqref>
        </x14:dataValidation>
        <x14:dataValidation type="list" allowBlank="1" showInputMessage="1" showErrorMessage="1" xr:uid="{00000000-0002-0000-0200-000015030000}">
          <x14:formula1>
            <xm:f>Country!A2:A1000</xm:f>
          </x14:formula1>
          <xm:sqref>C791</xm:sqref>
        </x14:dataValidation>
        <x14:dataValidation type="list" allowBlank="1" showInputMessage="1" showErrorMessage="1" xr:uid="{00000000-0002-0000-0200-000016030000}">
          <x14:formula1>
            <xm:f>Country!A2:A1000</xm:f>
          </x14:formula1>
          <xm:sqref>C792</xm:sqref>
        </x14:dataValidation>
        <x14:dataValidation type="list" allowBlank="1" showInputMessage="1" showErrorMessage="1" xr:uid="{00000000-0002-0000-0200-000017030000}">
          <x14:formula1>
            <xm:f>Country!A2:A1000</xm:f>
          </x14:formula1>
          <xm:sqref>C793</xm:sqref>
        </x14:dataValidation>
        <x14:dataValidation type="list" allowBlank="1" showInputMessage="1" showErrorMessage="1" xr:uid="{00000000-0002-0000-0200-000018030000}">
          <x14:formula1>
            <xm:f>Country!A2:A1000</xm:f>
          </x14:formula1>
          <xm:sqref>C794</xm:sqref>
        </x14:dataValidation>
        <x14:dataValidation type="list" allowBlank="1" showInputMessage="1" showErrorMessage="1" xr:uid="{00000000-0002-0000-0200-000019030000}">
          <x14:formula1>
            <xm:f>Country!A2:A1000</xm:f>
          </x14:formula1>
          <xm:sqref>C795</xm:sqref>
        </x14:dataValidation>
        <x14:dataValidation type="list" allowBlank="1" showInputMessage="1" showErrorMessage="1" xr:uid="{00000000-0002-0000-0200-00001A030000}">
          <x14:formula1>
            <xm:f>Country!A2:A1000</xm:f>
          </x14:formula1>
          <xm:sqref>C796</xm:sqref>
        </x14:dataValidation>
        <x14:dataValidation type="list" allowBlank="1" showInputMessage="1" showErrorMessage="1" xr:uid="{00000000-0002-0000-0200-00001B030000}">
          <x14:formula1>
            <xm:f>Country!A2:A1000</xm:f>
          </x14:formula1>
          <xm:sqref>C797</xm:sqref>
        </x14:dataValidation>
        <x14:dataValidation type="list" allowBlank="1" showInputMessage="1" showErrorMessage="1" xr:uid="{00000000-0002-0000-0200-00001C030000}">
          <x14:formula1>
            <xm:f>Country!A2:A1000</xm:f>
          </x14:formula1>
          <xm:sqref>C798</xm:sqref>
        </x14:dataValidation>
        <x14:dataValidation type="list" allowBlank="1" showInputMessage="1" showErrorMessage="1" xr:uid="{00000000-0002-0000-0200-00001D030000}">
          <x14:formula1>
            <xm:f>Country!A2:A1000</xm:f>
          </x14:formula1>
          <xm:sqref>C799</xm:sqref>
        </x14:dataValidation>
        <x14:dataValidation type="list" allowBlank="1" showInputMessage="1" showErrorMessage="1" xr:uid="{00000000-0002-0000-0200-00001E030000}">
          <x14:formula1>
            <xm:f>Country!A2:A1000</xm:f>
          </x14:formula1>
          <xm:sqref>C800</xm:sqref>
        </x14:dataValidation>
        <x14:dataValidation type="list" allowBlank="1" showInputMessage="1" showErrorMessage="1" xr:uid="{00000000-0002-0000-0200-00001F030000}">
          <x14:formula1>
            <xm:f>Country!A2:A1000</xm:f>
          </x14:formula1>
          <xm:sqref>C801</xm:sqref>
        </x14:dataValidation>
        <x14:dataValidation type="list" allowBlank="1" showInputMessage="1" showErrorMessage="1" xr:uid="{00000000-0002-0000-0200-000020030000}">
          <x14:formula1>
            <xm:f>Country!A2:A1000</xm:f>
          </x14:formula1>
          <xm:sqref>C802</xm:sqref>
        </x14:dataValidation>
        <x14:dataValidation type="list" allowBlank="1" showInputMessage="1" showErrorMessage="1" xr:uid="{00000000-0002-0000-0200-000021030000}">
          <x14:formula1>
            <xm:f>Country!A2:A1000</xm:f>
          </x14:formula1>
          <xm:sqref>C803</xm:sqref>
        </x14:dataValidation>
        <x14:dataValidation type="list" allowBlank="1" showInputMessage="1" showErrorMessage="1" xr:uid="{00000000-0002-0000-0200-000022030000}">
          <x14:formula1>
            <xm:f>Country!A2:A1000</xm:f>
          </x14:formula1>
          <xm:sqref>C804</xm:sqref>
        </x14:dataValidation>
        <x14:dataValidation type="list" allowBlank="1" showInputMessage="1" showErrorMessage="1" xr:uid="{00000000-0002-0000-0200-000023030000}">
          <x14:formula1>
            <xm:f>Country!A2:A1000</xm:f>
          </x14:formula1>
          <xm:sqref>C805</xm:sqref>
        </x14:dataValidation>
        <x14:dataValidation type="list" allowBlank="1" showInputMessage="1" showErrorMessage="1" xr:uid="{00000000-0002-0000-0200-000024030000}">
          <x14:formula1>
            <xm:f>Country!A2:A1000</xm:f>
          </x14:formula1>
          <xm:sqref>C806</xm:sqref>
        </x14:dataValidation>
        <x14:dataValidation type="list" allowBlank="1" showInputMessage="1" showErrorMessage="1" xr:uid="{00000000-0002-0000-0200-000025030000}">
          <x14:formula1>
            <xm:f>Country!A2:A1000</xm:f>
          </x14:formula1>
          <xm:sqref>C807</xm:sqref>
        </x14:dataValidation>
        <x14:dataValidation type="list" allowBlank="1" showInputMessage="1" showErrorMessage="1" xr:uid="{00000000-0002-0000-0200-000026030000}">
          <x14:formula1>
            <xm:f>Country!A2:A1000</xm:f>
          </x14:formula1>
          <xm:sqref>C808</xm:sqref>
        </x14:dataValidation>
        <x14:dataValidation type="list" allowBlank="1" showInputMessage="1" showErrorMessage="1" xr:uid="{00000000-0002-0000-0200-000027030000}">
          <x14:formula1>
            <xm:f>Country!A2:A1000</xm:f>
          </x14:formula1>
          <xm:sqref>C809</xm:sqref>
        </x14:dataValidation>
        <x14:dataValidation type="list" allowBlank="1" showInputMessage="1" showErrorMessage="1" xr:uid="{00000000-0002-0000-0200-000028030000}">
          <x14:formula1>
            <xm:f>Country!A2:A1000</xm:f>
          </x14:formula1>
          <xm:sqref>C810</xm:sqref>
        </x14:dataValidation>
        <x14:dataValidation type="list" allowBlank="1" showInputMessage="1" showErrorMessage="1" xr:uid="{00000000-0002-0000-0200-000029030000}">
          <x14:formula1>
            <xm:f>Country!A2:A1000</xm:f>
          </x14:formula1>
          <xm:sqref>C811</xm:sqref>
        </x14:dataValidation>
        <x14:dataValidation type="list" allowBlank="1" showInputMessage="1" showErrorMessage="1" xr:uid="{00000000-0002-0000-0200-00002A030000}">
          <x14:formula1>
            <xm:f>Country!A2:A1000</xm:f>
          </x14:formula1>
          <xm:sqref>C812</xm:sqref>
        </x14:dataValidation>
        <x14:dataValidation type="list" allowBlank="1" showInputMessage="1" showErrorMessage="1" xr:uid="{00000000-0002-0000-0200-00002B030000}">
          <x14:formula1>
            <xm:f>Country!A2:A1000</xm:f>
          </x14:formula1>
          <xm:sqref>C813</xm:sqref>
        </x14:dataValidation>
        <x14:dataValidation type="list" allowBlank="1" showInputMessage="1" showErrorMessage="1" xr:uid="{00000000-0002-0000-0200-00002C030000}">
          <x14:formula1>
            <xm:f>Country!A2:A1000</xm:f>
          </x14:formula1>
          <xm:sqref>C814</xm:sqref>
        </x14:dataValidation>
        <x14:dataValidation type="list" allowBlank="1" showInputMessage="1" showErrorMessage="1" xr:uid="{00000000-0002-0000-0200-00002D030000}">
          <x14:formula1>
            <xm:f>Country!A2:A1000</xm:f>
          </x14:formula1>
          <xm:sqref>C815</xm:sqref>
        </x14:dataValidation>
        <x14:dataValidation type="list" allowBlank="1" showInputMessage="1" showErrorMessage="1" xr:uid="{00000000-0002-0000-0200-00002E030000}">
          <x14:formula1>
            <xm:f>Country!A2:A1000</xm:f>
          </x14:formula1>
          <xm:sqref>C816</xm:sqref>
        </x14:dataValidation>
        <x14:dataValidation type="list" allowBlank="1" showInputMessage="1" showErrorMessage="1" xr:uid="{00000000-0002-0000-0200-00002F030000}">
          <x14:formula1>
            <xm:f>Country!A2:A1000</xm:f>
          </x14:formula1>
          <xm:sqref>C817</xm:sqref>
        </x14:dataValidation>
        <x14:dataValidation type="list" allowBlank="1" showInputMessage="1" showErrorMessage="1" xr:uid="{00000000-0002-0000-0200-000030030000}">
          <x14:formula1>
            <xm:f>Country!A2:A1000</xm:f>
          </x14:formula1>
          <xm:sqref>C818</xm:sqref>
        </x14:dataValidation>
        <x14:dataValidation type="list" allowBlank="1" showInputMessage="1" showErrorMessage="1" xr:uid="{00000000-0002-0000-0200-000031030000}">
          <x14:formula1>
            <xm:f>Country!A2:A1000</xm:f>
          </x14:formula1>
          <xm:sqref>C819</xm:sqref>
        </x14:dataValidation>
        <x14:dataValidation type="list" allowBlank="1" showInputMessage="1" showErrorMessage="1" xr:uid="{00000000-0002-0000-0200-000032030000}">
          <x14:formula1>
            <xm:f>Country!A2:A1000</xm:f>
          </x14:formula1>
          <xm:sqref>C820</xm:sqref>
        </x14:dataValidation>
        <x14:dataValidation type="list" allowBlank="1" showInputMessage="1" showErrorMessage="1" xr:uid="{00000000-0002-0000-0200-000033030000}">
          <x14:formula1>
            <xm:f>Country!A2:A1000</xm:f>
          </x14:formula1>
          <xm:sqref>C821</xm:sqref>
        </x14:dataValidation>
        <x14:dataValidation type="list" allowBlank="1" showInputMessage="1" showErrorMessage="1" xr:uid="{00000000-0002-0000-0200-000034030000}">
          <x14:formula1>
            <xm:f>Country!A2:A1000</xm:f>
          </x14:formula1>
          <xm:sqref>C822</xm:sqref>
        </x14:dataValidation>
        <x14:dataValidation type="list" allowBlank="1" showInputMessage="1" showErrorMessage="1" xr:uid="{00000000-0002-0000-0200-000035030000}">
          <x14:formula1>
            <xm:f>Country!A2:A1000</xm:f>
          </x14:formula1>
          <xm:sqref>C823</xm:sqref>
        </x14:dataValidation>
        <x14:dataValidation type="list" allowBlank="1" showInputMessage="1" showErrorMessage="1" xr:uid="{00000000-0002-0000-0200-000036030000}">
          <x14:formula1>
            <xm:f>Country!A2:A1000</xm:f>
          </x14:formula1>
          <xm:sqref>C824</xm:sqref>
        </x14:dataValidation>
        <x14:dataValidation type="list" allowBlank="1" showInputMessage="1" showErrorMessage="1" xr:uid="{00000000-0002-0000-0200-000037030000}">
          <x14:formula1>
            <xm:f>Country!A2:A1000</xm:f>
          </x14:formula1>
          <xm:sqref>C825</xm:sqref>
        </x14:dataValidation>
        <x14:dataValidation type="list" allowBlank="1" showInputMessage="1" showErrorMessage="1" xr:uid="{00000000-0002-0000-0200-000038030000}">
          <x14:formula1>
            <xm:f>Country!A2:A1000</xm:f>
          </x14:formula1>
          <xm:sqref>C826</xm:sqref>
        </x14:dataValidation>
        <x14:dataValidation type="list" allowBlank="1" showInputMessage="1" showErrorMessage="1" xr:uid="{00000000-0002-0000-0200-000039030000}">
          <x14:formula1>
            <xm:f>Country!A2:A1000</xm:f>
          </x14:formula1>
          <xm:sqref>C827</xm:sqref>
        </x14:dataValidation>
        <x14:dataValidation type="list" allowBlank="1" showInputMessage="1" showErrorMessage="1" xr:uid="{00000000-0002-0000-0200-00003A030000}">
          <x14:formula1>
            <xm:f>Country!A2:A1000</xm:f>
          </x14:formula1>
          <xm:sqref>C828</xm:sqref>
        </x14:dataValidation>
        <x14:dataValidation type="list" allowBlank="1" showInputMessage="1" showErrorMessage="1" xr:uid="{00000000-0002-0000-0200-00003B030000}">
          <x14:formula1>
            <xm:f>Country!A2:A1000</xm:f>
          </x14:formula1>
          <xm:sqref>C829</xm:sqref>
        </x14:dataValidation>
        <x14:dataValidation type="list" allowBlank="1" showInputMessage="1" showErrorMessage="1" xr:uid="{00000000-0002-0000-0200-00003C030000}">
          <x14:formula1>
            <xm:f>Country!A2:A1000</xm:f>
          </x14:formula1>
          <xm:sqref>C830</xm:sqref>
        </x14:dataValidation>
        <x14:dataValidation type="list" allowBlank="1" showInputMessage="1" showErrorMessage="1" xr:uid="{00000000-0002-0000-0200-00003D030000}">
          <x14:formula1>
            <xm:f>Country!A2:A1000</xm:f>
          </x14:formula1>
          <xm:sqref>C831</xm:sqref>
        </x14:dataValidation>
        <x14:dataValidation type="list" allowBlank="1" showInputMessage="1" showErrorMessage="1" xr:uid="{00000000-0002-0000-0200-00003E030000}">
          <x14:formula1>
            <xm:f>Country!A2:A1000</xm:f>
          </x14:formula1>
          <xm:sqref>C832</xm:sqref>
        </x14:dataValidation>
        <x14:dataValidation type="list" allowBlank="1" showInputMessage="1" showErrorMessage="1" xr:uid="{00000000-0002-0000-0200-00003F030000}">
          <x14:formula1>
            <xm:f>Country!A2:A1000</xm:f>
          </x14:formula1>
          <xm:sqref>C833</xm:sqref>
        </x14:dataValidation>
        <x14:dataValidation type="list" allowBlank="1" showInputMessage="1" showErrorMessage="1" xr:uid="{00000000-0002-0000-0200-000040030000}">
          <x14:formula1>
            <xm:f>Country!A2:A1000</xm:f>
          </x14:formula1>
          <xm:sqref>C834</xm:sqref>
        </x14:dataValidation>
        <x14:dataValidation type="list" allowBlank="1" showInputMessage="1" showErrorMessage="1" xr:uid="{00000000-0002-0000-0200-000041030000}">
          <x14:formula1>
            <xm:f>Country!A2:A1000</xm:f>
          </x14:formula1>
          <xm:sqref>C835</xm:sqref>
        </x14:dataValidation>
        <x14:dataValidation type="list" allowBlank="1" showInputMessage="1" showErrorMessage="1" xr:uid="{00000000-0002-0000-0200-000042030000}">
          <x14:formula1>
            <xm:f>Country!A2:A1000</xm:f>
          </x14:formula1>
          <xm:sqref>C836</xm:sqref>
        </x14:dataValidation>
        <x14:dataValidation type="list" allowBlank="1" showInputMessage="1" showErrorMessage="1" xr:uid="{00000000-0002-0000-0200-000043030000}">
          <x14:formula1>
            <xm:f>Country!A2:A1000</xm:f>
          </x14:formula1>
          <xm:sqref>C837</xm:sqref>
        </x14:dataValidation>
        <x14:dataValidation type="list" allowBlank="1" showInputMessage="1" showErrorMessage="1" xr:uid="{00000000-0002-0000-0200-000044030000}">
          <x14:formula1>
            <xm:f>Country!A2:A1000</xm:f>
          </x14:formula1>
          <xm:sqref>C838</xm:sqref>
        </x14:dataValidation>
        <x14:dataValidation type="list" allowBlank="1" showInputMessage="1" showErrorMessage="1" xr:uid="{00000000-0002-0000-0200-000045030000}">
          <x14:formula1>
            <xm:f>Country!A2:A1000</xm:f>
          </x14:formula1>
          <xm:sqref>C839</xm:sqref>
        </x14:dataValidation>
        <x14:dataValidation type="list" allowBlank="1" showInputMessage="1" showErrorMessage="1" xr:uid="{00000000-0002-0000-0200-000046030000}">
          <x14:formula1>
            <xm:f>Country!A2:A1000</xm:f>
          </x14:formula1>
          <xm:sqref>C840</xm:sqref>
        </x14:dataValidation>
        <x14:dataValidation type="list" allowBlank="1" showInputMessage="1" showErrorMessage="1" xr:uid="{00000000-0002-0000-0200-000047030000}">
          <x14:formula1>
            <xm:f>Country!A2:A1000</xm:f>
          </x14:formula1>
          <xm:sqref>C841</xm:sqref>
        </x14:dataValidation>
        <x14:dataValidation type="list" allowBlank="1" showInputMessage="1" showErrorMessage="1" xr:uid="{00000000-0002-0000-0200-000048030000}">
          <x14:formula1>
            <xm:f>Country!A2:A1000</xm:f>
          </x14:formula1>
          <xm:sqref>C842</xm:sqref>
        </x14:dataValidation>
        <x14:dataValidation type="list" allowBlank="1" showInputMessage="1" showErrorMessage="1" xr:uid="{00000000-0002-0000-0200-000049030000}">
          <x14:formula1>
            <xm:f>Country!A2:A1000</xm:f>
          </x14:formula1>
          <xm:sqref>C843</xm:sqref>
        </x14:dataValidation>
        <x14:dataValidation type="list" allowBlank="1" showInputMessage="1" showErrorMessage="1" xr:uid="{00000000-0002-0000-0200-00004A030000}">
          <x14:formula1>
            <xm:f>Country!A2:A1000</xm:f>
          </x14:formula1>
          <xm:sqref>C844</xm:sqref>
        </x14:dataValidation>
        <x14:dataValidation type="list" allowBlank="1" showInputMessage="1" showErrorMessage="1" xr:uid="{00000000-0002-0000-0200-00004B030000}">
          <x14:formula1>
            <xm:f>Country!A2:A1000</xm:f>
          </x14:formula1>
          <xm:sqref>C845</xm:sqref>
        </x14:dataValidation>
        <x14:dataValidation type="list" allowBlank="1" showInputMessage="1" showErrorMessage="1" xr:uid="{00000000-0002-0000-0200-00004C030000}">
          <x14:formula1>
            <xm:f>Country!A2:A1000</xm:f>
          </x14:formula1>
          <xm:sqref>C846</xm:sqref>
        </x14:dataValidation>
        <x14:dataValidation type="list" allowBlank="1" showInputMessage="1" showErrorMessage="1" xr:uid="{00000000-0002-0000-0200-00004D030000}">
          <x14:formula1>
            <xm:f>Country!A2:A1000</xm:f>
          </x14:formula1>
          <xm:sqref>C847</xm:sqref>
        </x14:dataValidation>
        <x14:dataValidation type="list" allowBlank="1" showInputMessage="1" showErrorMessage="1" xr:uid="{00000000-0002-0000-0200-00004E030000}">
          <x14:formula1>
            <xm:f>Country!A2:A1000</xm:f>
          </x14:formula1>
          <xm:sqref>C848</xm:sqref>
        </x14:dataValidation>
        <x14:dataValidation type="list" allowBlank="1" showInputMessage="1" showErrorMessage="1" xr:uid="{00000000-0002-0000-0200-00004F030000}">
          <x14:formula1>
            <xm:f>Country!A2:A1000</xm:f>
          </x14:formula1>
          <xm:sqref>C849</xm:sqref>
        </x14:dataValidation>
        <x14:dataValidation type="list" allowBlank="1" showInputMessage="1" showErrorMessage="1" xr:uid="{00000000-0002-0000-0200-000050030000}">
          <x14:formula1>
            <xm:f>Country!A2:A1000</xm:f>
          </x14:formula1>
          <xm:sqref>C850</xm:sqref>
        </x14:dataValidation>
        <x14:dataValidation type="list" allowBlank="1" showInputMessage="1" showErrorMessage="1" xr:uid="{00000000-0002-0000-0200-000051030000}">
          <x14:formula1>
            <xm:f>Country!A2:A1000</xm:f>
          </x14:formula1>
          <xm:sqref>C851</xm:sqref>
        </x14:dataValidation>
        <x14:dataValidation type="list" allowBlank="1" showInputMessage="1" showErrorMessage="1" xr:uid="{00000000-0002-0000-0200-000052030000}">
          <x14:formula1>
            <xm:f>Country!A2:A1000</xm:f>
          </x14:formula1>
          <xm:sqref>C852</xm:sqref>
        </x14:dataValidation>
        <x14:dataValidation type="list" allowBlank="1" showInputMessage="1" showErrorMessage="1" xr:uid="{00000000-0002-0000-0200-000053030000}">
          <x14:formula1>
            <xm:f>Country!A2:A1000</xm:f>
          </x14:formula1>
          <xm:sqref>C853</xm:sqref>
        </x14:dataValidation>
        <x14:dataValidation type="list" allowBlank="1" showInputMessage="1" showErrorMessage="1" xr:uid="{00000000-0002-0000-0200-000054030000}">
          <x14:formula1>
            <xm:f>Country!A2:A1000</xm:f>
          </x14:formula1>
          <xm:sqref>C854</xm:sqref>
        </x14:dataValidation>
        <x14:dataValidation type="list" allowBlank="1" showInputMessage="1" showErrorMessage="1" xr:uid="{00000000-0002-0000-0200-000055030000}">
          <x14:formula1>
            <xm:f>Country!A2:A1000</xm:f>
          </x14:formula1>
          <xm:sqref>C855</xm:sqref>
        </x14:dataValidation>
        <x14:dataValidation type="list" allowBlank="1" showInputMessage="1" showErrorMessage="1" xr:uid="{00000000-0002-0000-0200-000056030000}">
          <x14:formula1>
            <xm:f>Country!A2:A1000</xm:f>
          </x14:formula1>
          <xm:sqref>C856</xm:sqref>
        </x14:dataValidation>
        <x14:dataValidation type="list" allowBlank="1" showInputMessage="1" showErrorMessage="1" xr:uid="{00000000-0002-0000-0200-000057030000}">
          <x14:formula1>
            <xm:f>Country!A2:A1000</xm:f>
          </x14:formula1>
          <xm:sqref>C857</xm:sqref>
        </x14:dataValidation>
        <x14:dataValidation type="list" allowBlank="1" showInputMessage="1" showErrorMessage="1" xr:uid="{00000000-0002-0000-0200-000058030000}">
          <x14:formula1>
            <xm:f>Country!A2:A1000</xm:f>
          </x14:formula1>
          <xm:sqref>C858</xm:sqref>
        </x14:dataValidation>
        <x14:dataValidation type="list" allowBlank="1" showInputMessage="1" showErrorMessage="1" xr:uid="{00000000-0002-0000-0200-000059030000}">
          <x14:formula1>
            <xm:f>Country!A2:A1000</xm:f>
          </x14:formula1>
          <xm:sqref>C859</xm:sqref>
        </x14:dataValidation>
        <x14:dataValidation type="list" allowBlank="1" showInputMessage="1" showErrorMessage="1" xr:uid="{00000000-0002-0000-0200-00005A030000}">
          <x14:formula1>
            <xm:f>Country!A2:A1000</xm:f>
          </x14:formula1>
          <xm:sqref>C860</xm:sqref>
        </x14:dataValidation>
        <x14:dataValidation type="list" allowBlank="1" showInputMessage="1" showErrorMessage="1" xr:uid="{00000000-0002-0000-0200-00005B030000}">
          <x14:formula1>
            <xm:f>Country!A2:A1000</xm:f>
          </x14:formula1>
          <xm:sqref>C861</xm:sqref>
        </x14:dataValidation>
        <x14:dataValidation type="list" allowBlank="1" showInputMessage="1" showErrorMessage="1" xr:uid="{00000000-0002-0000-0200-00005C030000}">
          <x14:formula1>
            <xm:f>Country!A2:A1000</xm:f>
          </x14:formula1>
          <xm:sqref>C862</xm:sqref>
        </x14:dataValidation>
        <x14:dataValidation type="list" allowBlank="1" showInputMessage="1" showErrorMessage="1" xr:uid="{00000000-0002-0000-0200-00005D030000}">
          <x14:formula1>
            <xm:f>Country!A2:A1000</xm:f>
          </x14:formula1>
          <xm:sqref>C863</xm:sqref>
        </x14:dataValidation>
        <x14:dataValidation type="list" allowBlank="1" showInputMessage="1" showErrorMessage="1" xr:uid="{00000000-0002-0000-0200-00005E030000}">
          <x14:formula1>
            <xm:f>Country!A2:A1000</xm:f>
          </x14:formula1>
          <xm:sqref>C864</xm:sqref>
        </x14:dataValidation>
        <x14:dataValidation type="list" allowBlank="1" showInputMessage="1" showErrorMessage="1" xr:uid="{00000000-0002-0000-0200-00005F030000}">
          <x14:formula1>
            <xm:f>Country!A2:A1000</xm:f>
          </x14:formula1>
          <xm:sqref>C865</xm:sqref>
        </x14:dataValidation>
        <x14:dataValidation type="list" allowBlank="1" showInputMessage="1" showErrorMessage="1" xr:uid="{00000000-0002-0000-0200-000060030000}">
          <x14:formula1>
            <xm:f>Country!A2:A1000</xm:f>
          </x14:formula1>
          <xm:sqref>C866</xm:sqref>
        </x14:dataValidation>
        <x14:dataValidation type="list" allowBlank="1" showInputMessage="1" showErrorMessage="1" xr:uid="{00000000-0002-0000-0200-000061030000}">
          <x14:formula1>
            <xm:f>Country!A2:A1000</xm:f>
          </x14:formula1>
          <xm:sqref>C867</xm:sqref>
        </x14:dataValidation>
        <x14:dataValidation type="list" allowBlank="1" showInputMessage="1" showErrorMessage="1" xr:uid="{00000000-0002-0000-0200-000062030000}">
          <x14:formula1>
            <xm:f>Country!A2:A1000</xm:f>
          </x14:formula1>
          <xm:sqref>C868</xm:sqref>
        </x14:dataValidation>
        <x14:dataValidation type="list" allowBlank="1" showInputMessage="1" showErrorMessage="1" xr:uid="{00000000-0002-0000-0200-000063030000}">
          <x14:formula1>
            <xm:f>Country!A2:A1000</xm:f>
          </x14:formula1>
          <xm:sqref>C869</xm:sqref>
        </x14:dataValidation>
        <x14:dataValidation type="list" allowBlank="1" showInputMessage="1" showErrorMessage="1" xr:uid="{00000000-0002-0000-0200-000064030000}">
          <x14:formula1>
            <xm:f>Country!A2:A1000</xm:f>
          </x14:formula1>
          <xm:sqref>C870</xm:sqref>
        </x14:dataValidation>
        <x14:dataValidation type="list" allowBlank="1" showInputMessage="1" showErrorMessage="1" xr:uid="{00000000-0002-0000-0200-000065030000}">
          <x14:formula1>
            <xm:f>Country!A2:A1000</xm:f>
          </x14:formula1>
          <xm:sqref>C871</xm:sqref>
        </x14:dataValidation>
        <x14:dataValidation type="list" allowBlank="1" showInputMessage="1" showErrorMessage="1" xr:uid="{00000000-0002-0000-0200-000066030000}">
          <x14:formula1>
            <xm:f>Country!A2:A1000</xm:f>
          </x14:formula1>
          <xm:sqref>C872</xm:sqref>
        </x14:dataValidation>
        <x14:dataValidation type="list" allowBlank="1" showInputMessage="1" showErrorMessage="1" xr:uid="{00000000-0002-0000-0200-000067030000}">
          <x14:formula1>
            <xm:f>Country!A2:A1000</xm:f>
          </x14:formula1>
          <xm:sqref>C873</xm:sqref>
        </x14:dataValidation>
        <x14:dataValidation type="list" allowBlank="1" showInputMessage="1" showErrorMessage="1" xr:uid="{00000000-0002-0000-0200-000068030000}">
          <x14:formula1>
            <xm:f>Country!A2:A1000</xm:f>
          </x14:formula1>
          <xm:sqref>C874</xm:sqref>
        </x14:dataValidation>
        <x14:dataValidation type="list" allowBlank="1" showInputMessage="1" showErrorMessage="1" xr:uid="{00000000-0002-0000-0200-000069030000}">
          <x14:formula1>
            <xm:f>Country!A2:A1000</xm:f>
          </x14:formula1>
          <xm:sqref>C875</xm:sqref>
        </x14:dataValidation>
        <x14:dataValidation type="list" allowBlank="1" showInputMessage="1" showErrorMessage="1" xr:uid="{00000000-0002-0000-0200-00006A030000}">
          <x14:formula1>
            <xm:f>Country!A2:A1000</xm:f>
          </x14:formula1>
          <xm:sqref>C876</xm:sqref>
        </x14:dataValidation>
        <x14:dataValidation type="list" allowBlank="1" showInputMessage="1" showErrorMessage="1" xr:uid="{00000000-0002-0000-0200-00006B030000}">
          <x14:formula1>
            <xm:f>Country!A2:A1000</xm:f>
          </x14:formula1>
          <xm:sqref>C877</xm:sqref>
        </x14:dataValidation>
        <x14:dataValidation type="list" allowBlank="1" showInputMessage="1" showErrorMessage="1" xr:uid="{00000000-0002-0000-0200-00006C030000}">
          <x14:formula1>
            <xm:f>Country!A2:A1000</xm:f>
          </x14:formula1>
          <xm:sqref>C878</xm:sqref>
        </x14:dataValidation>
        <x14:dataValidation type="list" allowBlank="1" showInputMessage="1" showErrorMessage="1" xr:uid="{00000000-0002-0000-0200-00006D030000}">
          <x14:formula1>
            <xm:f>Country!A2:A1000</xm:f>
          </x14:formula1>
          <xm:sqref>C879</xm:sqref>
        </x14:dataValidation>
        <x14:dataValidation type="list" allowBlank="1" showInputMessage="1" showErrorMessage="1" xr:uid="{00000000-0002-0000-0200-00006E030000}">
          <x14:formula1>
            <xm:f>Country!A2:A1000</xm:f>
          </x14:formula1>
          <xm:sqref>C880</xm:sqref>
        </x14:dataValidation>
        <x14:dataValidation type="list" allowBlank="1" showInputMessage="1" showErrorMessage="1" xr:uid="{00000000-0002-0000-0200-00006F030000}">
          <x14:formula1>
            <xm:f>Country!A2:A1000</xm:f>
          </x14:formula1>
          <xm:sqref>C881</xm:sqref>
        </x14:dataValidation>
        <x14:dataValidation type="list" allowBlank="1" showInputMessage="1" showErrorMessage="1" xr:uid="{00000000-0002-0000-0200-000070030000}">
          <x14:formula1>
            <xm:f>Country!A2:A1000</xm:f>
          </x14:formula1>
          <xm:sqref>C882</xm:sqref>
        </x14:dataValidation>
        <x14:dataValidation type="list" allowBlank="1" showInputMessage="1" showErrorMessage="1" xr:uid="{00000000-0002-0000-0200-000071030000}">
          <x14:formula1>
            <xm:f>Country!A2:A1000</xm:f>
          </x14:formula1>
          <xm:sqref>C883</xm:sqref>
        </x14:dataValidation>
        <x14:dataValidation type="list" allowBlank="1" showInputMessage="1" showErrorMessage="1" xr:uid="{00000000-0002-0000-0200-000072030000}">
          <x14:formula1>
            <xm:f>Country!A2:A1000</xm:f>
          </x14:formula1>
          <xm:sqref>C884</xm:sqref>
        </x14:dataValidation>
        <x14:dataValidation type="list" allowBlank="1" showInputMessage="1" showErrorMessage="1" xr:uid="{00000000-0002-0000-0200-000073030000}">
          <x14:formula1>
            <xm:f>Country!A2:A1000</xm:f>
          </x14:formula1>
          <xm:sqref>C885</xm:sqref>
        </x14:dataValidation>
        <x14:dataValidation type="list" allowBlank="1" showInputMessage="1" showErrorMessage="1" xr:uid="{00000000-0002-0000-0200-000074030000}">
          <x14:formula1>
            <xm:f>Country!A2:A1000</xm:f>
          </x14:formula1>
          <xm:sqref>C886</xm:sqref>
        </x14:dataValidation>
        <x14:dataValidation type="list" allowBlank="1" showInputMessage="1" showErrorMessage="1" xr:uid="{00000000-0002-0000-0200-000075030000}">
          <x14:formula1>
            <xm:f>Country!A2:A1000</xm:f>
          </x14:formula1>
          <xm:sqref>C887</xm:sqref>
        </x14:dataValidation>
        <x14:dataValidation type="list" allowBlank="1" showInputMessage="1" showErrorMessage="1" xr:uid="{00000000-0002-0000-0200-000076030000}">
          <x14:formula1>
            <xm:f>Country!A2:A1000</xm:f>
          </x14:formula1>
          <xm:sqref>C888</xm:sqref>
        </x14:dataValidation>
        <x14:dataValidation type="list" allowBlank="1" showInputMessage="1" showErrorMessage="1" xr:uid="{00000000-0002-0000-0200-000077030000}">
          <x14:formula1>
            <xm:f>Country!A2:A1000</xm:f>
          </x14:formula1>
          <xm:sqref>C889</xm:sqref>
        </x14:dataValidation>
        <x14:dataValidation type="list" allowBlank="1" showInputMessage="1" showErrorMessage="1" xr:uid="{00000000-0002-0000-0200-000078030000}">
          <x14:formula1>
            <xm:f>Country!A2:A1000</xm:f>
          </x14:formula1>
          <xm:sqref>C890</xm:sqref>
        </x14:dataValidation>
        <x14:dataValidation type="list" allowBlank="1" showInputMessage="1" showErrorMessage="1" xr:uid="{00000000-0002-0000-0200-000079030000}">
          <x14:formula1>
            <xm:f>Country!A2:A1000</xm:f>
          </x14:formula1>
          <xm:sqref>C891</xm:sqref>
        </x14:dataValidation>
        <x14:dataValidation type="list" allowBlank="1" showInputMessage="1" showErrorMessage="1" xr:uid="{00000000-0002-0000-0200-00007A030000}">
          <x14:formula1>
            <xm:f>Country!A2:A1000</xm:f>
          </x14:formula1>
          <xm:sqref>C892</xm:sqref>
        </x14:dataValidation>
        <x14:dataValidation type="list" allowBlank="1" showInputMessage="1" showErrorMessage="1" xr:uid="{00000000-0002-0000-0200-00007B030000}">
          <x14:formula1>
            <xm:f>Country!A2:A1000</xm:f>
          </x14:formula1>
          <xm:sqref>C893</xm:sqref>
        </x14:dataValidation>
        <x14:dataValidation type="list" allowBlank="1" showInputMessage="1" showErrorMessage="1" xr:uid="{00000000-0002-0000-0200-00007C030000}">
          <x14:formula1>
            <xm:f>Country!A2:A1000</xm:f>
          </x14:formula1>
          <xm:sqref>C894</xm:sqref>
        </x14:dataValidation>
        <x14:dataValidation type="list" allowBlank="1" showInputMessage="1" showErrorMessage="1" xr:uid="{00000000-0002-0000-0200-00007D030000}">
          <x14:formula1>
            <xm:f>Country!A2:A1000</xm:f>
          </x14:formula1>
          <xm:sqref>C895</xm:sqref>
        </x14:dataValidation>
        <x14:dataValidation type="list" allowBlank="1" showInputMessage="1" showErrorMessage="1" xr:uid="{00000000-0002-0000-0200-00007E030000}">
          <x14:formula1>
            <xm:f>Country!A2:A1000</xm:f>
          </x14:formula1>
          <xm:sqref>C896</xm:sqref>
        </x14:dataValidation>
        <x14:dataValidation type="list" allowBlank="1" showInputMessage="1" showErrorMessage="1" xr:uid="{00000000-0002-0000-0200-00007F030000}">
          <x14:formula1>
            <xm:f>Country!A2:A1000</xm:f>
          </x14:formula1>
          <xm:sqref>C897</xm:sqref>
        </x14:dataValidation>
        <x14:dataValidation type="list" allowBlank="1" showInputMessage="1" showErrorMessage="1" xr:uid="{00000000-0002-0000-0200-000080030000}">
          <x14:formula1>
            <xm:f>Country!A2:A1000</xm:f>
          </x14:formula1>
          <xm:sqref>C898</xm:sqref>
        </x14:dataValidation>
        <x14:dataValidation type="list" allowBlank="1" showInputMessage="1" showErrorMessage="1" xr:uid="{00000000-0002-0000-0200-000081030000}">
          <x14:formula1>
            <xm:f>Country!A2:A1000</xm:f>
          </x14:formula1>
          <xm:sqref>C899</xm:sqref>
        </x14:dataValidation>
        <x14:dataValidation type="list" allowBlank="1" showInputMessage="1" showErrorMessage="1" xr:uid="{00000000-0002-0000-0200-000082030000}">
          <x14:formula1>
            <xm:f>Country!A2:A1000</xm:f>
          </x14:formula1>
          <xm:sqref>C900</xm:sqref>
        </x14:dataValidation>
        <x14:dataValidation type="list" allowBlank="1" showInputMessage="1" showErrorMessage="1" xr:uid="{00000000-0002-0000-0200-000083030000}">
          <x14:formula1>
            <xm:f>Country!A2:A1000</xm:f>
          </x14:formula1>
          <xm:sqref>C901</xm:sqref>
        </x14:dataValidation>
        <x14:dataValidation type="list" allowBlank="1" showInputMessage="1" showErrorMessage="1" xr:uid="{00000000-0002-0000-0200-000084030000}">
          <x14:formula1>
            <xm:f>Country!A2:A1000</xm:f>
          </x14:formula1>
          <xm:sqref>C902</xm:sqref>
        </x14:dataValidation>
        <x14:dataValidation type="list" allowBlank="1" showInputMessage="1" showErrorMessage="1" xr:uid="{00000000-0002-0000-0200-000085030000}">
          <x14:formula1>
            <xm:f>Country!A2:A1000</xm:f>
          </x14:formula1>
          <xm:sqref>C903</xm:sqref>
        </x14:dataValidation>
        <x14:dataValidation type="list" allowBlank="1" showInputMessage="1" showErrorMessage="1" xr:uid="{00000000-0002-0000-0200-000086030000}">
          <x14:formula1>
            <xm:f>Country!A2:A1000</xm:f>
          </x14:formula1>
          <xm:sqref>C904</xm:sqref>
        </x14:dataValidation>
        <x14:dataValidation type="list" allowBlank="1" showInputMessage="1" showErrorMessage="1" xr:uid="{00000000-0002-0000-0200-000087030000}">
          <x14:formula1>
            <xm:f>Country!A2:A1000</xm:f>
          </x14:formula1>
          <xm:sqref>C905</xm:sqref>
        </x14:dataValidation>
        <x14:dataValidation type="list" allowBlank="1" showInputMessage="1" showErrorMessage="1" xr:uid="{00000000-0002-0000-0200-000088030000}">
          <x14:formula1>
            <xm:f>Country!A2:A1000</xm:f>
          </x14:formula1>
          <xm:sqref>C906</xm:sqref>
        </x14:dataValidation>
        <x14:dataValidation type="list" allowBlank="1" showInputMessage="1" showErrorMessage="1" xr:uid="{00000000-0002-0000-0200-000089030000}">
          <x14:formula1>
            <xm:f>Country!A2:A1000</xm:f>
          </x14:formula1>
          <xm:sqref>C907</xm:sqref>
        </x14:dataValidation>
        <x14:dataValidation type="list" allowBlank="1" showInputMessage="1" showErrorMessage="1" xr:uid="{00000000-0002-0000-0200-00008A030000}">
          <x14:formula1>
            <xm:f>Country!A2:A1000</xm:f>
          </x14:formula1>
          <xm:sqref>C908</xm:sqref>
        </x14:dataValidation>
        <x14:dataValidation type="list" allowBlank="1" showInputMessage="1" showErrorMessage="1" xr:uid="{00000000-0002-0000-0200-00008B030000}">
          <x14:formula1>
            <xm:f>Country!A2:A1000</xm:f>
          </x14:formula1>
          <xm:sqref>C909</xm:sqref>
        </x14:dataValidation>
        <x14:dataValidation type="list" allowBlank="1" showInputMessage="1" showErrorMessage="1" xr:uid="{00000000-0002-0000-0200-00008C030000}">
          <x14:formula1>
            <xm:f>Country!A2:A1000</xm:f>
          </x14:formula1>
          <xm:sqref>C910</xm:sqref>
        </x14:dataValidation>
        <x14:dataValidation type="list" allowBlank="1" showInputMessage="1" showErrorMessage="1" xr:uid="{00000000-0002-0000-0200-00008D030000}">
          <x14:formula1>
            <xm:f>Country!A2:A1000</xm:f>
          </x14:formula1>
          <xm:sqref>C911</xm:sqref>
        </x14:dataValidation>
        <x14:dataValidation type="list" allowBlank="1" showInputMessage="1" showErrorMessage="1" xr:uid="{00000000-0002-0000-0200-00008E030000}">
          <x14:formula1>
            <xm:f>Country!A2:A1000</xm:f>
          </x14:formula1>
          <xm:sqref>C912</xm:sqref>
        </x14:dataValidation>
        <x14:dataValidation type="list" allowBlank="1" showInputMessage="1" showErrorMessage="1" xr:uid="{00000000-0002-0000-0200-00008F030000}">
          <x14:formula1>
            <xm:f>Country!A2:A1000</xm:f>
          </x14:formula1>
          <xm:sqref>C913</xm:sqref>
        </x14:dataValidation>
        <x14:dataValidation type="list" allowBlank="1" showInputMessage="1" showErrorMessage="1" xr:uid="{00000000-0002-0000-0200-000090030000}">
          <x14:formula1>
            <xm:f>Country!A2:A1000</xm:f>
          </x14:formula1>
          <xm:sqref>C914</xm:sqref>
        </x14:dataValidation>
        <x14:dataValidation type="list" allowBlank="1" showInputMessage="1" showErrorMessage="1" xr:uid="{00000000-0002-0000-0200-000091030000}">
          <x14:formula1>
            <xm:f>Country!A2:A1000</xm:f>
          </x14:formula1>
          <xm:sqref>C915</xm:sqref>
        </x14:dataValidation>
        <x14:dataValidation type="list" allowBlank="1" showInputMessage="1" showErrorMessage="1" xr:uid="{00000000-0002-0000-0200-000092030000}">
          <x14:formula1>
            <xm:f>Country!A2:A1000</xm:f>
          </x14:formula1>
          <xm:sqref>C916</xm:sqref>
        </x14:dataValidation>
        <x14:dataValidation type="list" allowBlank="1" showInputMessage="1" showErrorMessage="1" xr:uid="{00000000-0002-0000-0200-000093030000}">
          <x14:formula1>
            <xm:f>Country!A2:A1000</xm:f>
          </x14:formula1>
          <xm:sqref>C917</xm:sqref>
        </x14:dataValidation>
        <x14:dataValidation type="list" allowBlank="1" showInputMessage="1" showErrorMessage="1" xr:uid="{00000000-0002-0000-0200-000094030000}">
          <x14:formula1>
            <xm:f>Country!A2:A1000</xm:f>
          </x14:formula1>
          <xm:sqref>C918</xm:sqref>
        </x14:dataValidation>
        <x14:dataValidation type="list" allowBlank="1" showInputMessage="1" showErrorMessage="1" xr:uid="{00000000-0002-0000-0200-000095030000}">
          <x14:formula1>
            <xm:f>Country!A2:A1000</xm:f>
          </x14:formula1>
          <xm:sqref>C919</xm:sqref>
        </x14:dataValidation>
        <x14:dataValidation type="list" allowBlank="1" showInputMessage="1" showErrorMessage="1" xr:uid="{00000000-0002-0000-0200-000096030000}">
          <x14:formula1>
            <xm:f>Country!A2:A1000</xm:f>
          </x14:formula1>
          <xm:sqref>C920</xm:sqref>
        </x14:dataValidation>
        <x14:dataValidation type="list" allowBlank="1" showInputMessage="1" showErrorMessage="1" xr:uid="{00000000-0002-0000-0200-000097030000}">
          <x14:formula1>
            <xm:f>Country!A2:A1000</xm:f>
          </x14:formula1>
          <xm:sqref>C921</xm:sqref>
        </x14:dataValidation>
        <x14:dataValidation type="list" allowBlank="1" showInputMessage="1" showErrorMessage="1" xr:uid="{00000000-0002-0000-0200-000098030000}">
          <x14:formula1>
            <xm:f>Country!A2:A1000</xm:f>
          </x14:formula1>
          <xm:sqref>C922</xm:sqref>
        </x14:dataValidation>
        <x14:dataValidation type="list" allowBlank="1" showInputMessage="1" showErrorMessage="1" xr:uid="{00000000-0002-0000-0200-000099030000}">
          <x14:formula1>
            <xm:f>Country!A2:A1000</xm:f>
          </x14:formula1>
          <xm:sqref>C923</xm:sqref>
        </x14:dataValidation>
        <x14:dataValidation type="list" allowBlank="1" showInputMessage="1" showErrorMessage="1" xr:uid="{00000000-0002-0000-0200-00009A030000}">
          <x14:formula1>
            <xm:f>Country!A2:A1000</xm:f>
          </x14:formula1>
          <xm:sqref>C924</xm:sqref>
        </x14:dataValidation>
        <x14:dataValidation type="list" allowBlank="1" showInputMessage="1" showErrorMessage="1" xr:uid="{00000000-0002-0000-0200-00009B030000}">
          <x14:formula1>
            <xm:f>Country!A2:A1000</xm:f>
          </x14:formula1>
          <xm:sqref>C925</xm:sqref>
        </x14:dataValidation>
        <x14:dataValidation type="list" allowBlank="1" showInputMessage="1" showErrorMessage="1" xr:uid="{00000000-0002-0000-0200-00009C030000}">
          <x14:formula1>
            <xm:f>Country!A2:A1000</xm:f>
          </x14:formula1>
          <xm:sqref>C926</xm:sqref>
        </x14:dataValidation>
        <x14:dataValidation type="list" allowBlank="1" showInputMessage="1" showErrorMessage="1" xr:uid="{00000000-0002-0000-0200-00009D030000}">
          <x14:formula1>
            <xm:f>Country!A2:A1000</xm:f>
          </x14:formula1>
          <xm:sqref>C927</xm:sqref>
        </x14:dataValidation>
        <x14:dataValidation type="list" allowBlank="1" showInputMessage="1" showErrorMessage="1" xr:uid="{00000000-0002-0000-0200-00009E030000}">
          <x14:formula1>
            <xm:f>Country!A2:A1000</xm:f>
          </x14:formula1>
          <xm:sqref>C928</xm:sqref>
        </x14:dataValidation>
        <x14:dataValidation type="list" allowBlank="1" showInputMessage="1" showErrorMessage="1" xr:uid="{00000000-0002-0000-0200-00009F030000}">
          <x14:formula1>
            <xm:f>Country!A2:A1000</xm:f>
          </x14:formula1>
          <xm:sqref>C929</xm:sqref>
        </x14:dataValidation>
        <x14:dataValidation type="list" allowBlank="1" showInputMessage="1" showErrorMessage="1" xr:uid="{00000000-0002-0000-0200-0000A0030000}">
          <x14:formula1>
            <xm:f>Country!A2:A1000</xm:f>
          </x14:formula1>
          <xm:sqref>C930</xm:sqref>
        </x14:dataValidation>
        <x14:dataValidation type="list" allowBlank="1" showInputMessage="1" showErrorMessage="1" xr:uid="{00000000-0002-0000-0200-0000A1030000}">
          <x14:formula1>
            <xm:f>Country!A2:A1000</xm:f>
          </x14:formula1>
          <xm:sqref>C931</xm:sqref>
        </x14:dataValidation>
        <x14:dataValidation type="list" allowBlank="1" showInputMessage="1" showErrorMessage="1" xr:uid="{00000000-0002-0000-0200-0000A2030000}">
          <x14:formula1>
            <xm:f>Country!A2:A1000</xm:f>
          </x14:formula1>
          <xm:sqref>C932</xm:sqref>
        </x14:dataValidation>
        <x14:dataValidation type="list" allowBlank="1" showInputMessage="1" showErrorMessage="1" xr:uid="{00000000-0002-0000-0200-0000A3030000}">
          <x14:formula1>
            <xm:f>Country!A2:A1000</xm:f>
          </x14:formula1>
          <xm:sqref>C933</xm:sqref>
        </x14:dataValidation>
        <x14:dataValidation type="list" allowBlank="1" showInputMessage="1" showErrorMessage="1" xr:uid="{00000000-0002-0000-0200-0000A4030000}">
          <x14:formula1>
            <xm:f>Country!A2:A1000</xm:f>
          </x14:formula1>
          <xm:sqref>C934</xm:sqref>
        </x14:dataValidation>
        <x14:dataValidation type="list" allowBlank="1" showInputMessage="1" showErrorMessage="1" xr:uid="{00000000-0002-0000-0200-0000A5030000}">
          <x14:formula1>
            <xm:f>Country!A2:A1000</xm:f>
          </x14:formula1>
          <xm:sqref>C935</xm:sqref>
        </x14:dataValidation>
        <x14:dataValidation type="list" allowBlank="1" showInputMessage="1" showErrorMessage="1" xr:uid="{00000000-0002-0000-0200-0000A6030000}">
          <x14:formula1>
            <xm:f>Country!A2:A1000</xm:f>
          </x14:formula1>
          <xm:sqref>C936</xm:sqref>
        </x14:dataValidation>
        <x14:dataValidation type="list" allowBlank="1" showInputMessage="1" showErrorMessage="1" xr:uid="{00000000-0002-0000-0200-0000A7030000}">
          <x14:formula1>
            <xm:f>Country!A2:A1000</xm:f>
          </x14:formula1>
          <xm:sqref>C937</xm:sqref>
        </x14:dataValidation>
        <x14:dataValidation type="list" allowBlank="1" showInputMessage="1" showErrorMessage="1" xr:uid="{00000000-0002-0000-0200-0000A8030000}">
          <x14:formula1>
            <xm:f>Country!A2:A1000</xm:f>
          </x14:formula1>
          <xm:sqref>C938</xm:sqref>
        </x14:dataValidation>
        <x14:dataValidation type="list" allowBlank="1" showInputMessage="1" showErrorMessage="1" xr:uid="{00000000-0002-0000-0200-0000A9030000}">
          <x14:formula1>
            <xm:f>Country!A2:A1000</xm:f>
          </x14:formula1>
          <xm:sqref>C939</xm:sqref>
        </x14:dataValidation>
        <x14:dataValidation type="list" allowBlank="1" showInputMessage="1" showErrorMessage="1" xr:uid="{00000000-0002-0000-0200-0000AA030000}">
          <x14:formula1>
            <xm:f>Country!A2:A1000</xm:f>
          </x14:formula1>
          <xm:sqref>C940</xm:sqref>
        </x14:dataValidation>
        <x14:dataValidation type="list" allowBlank="1" showInputMessage="1" showErrorMessage="1" xr:uid="{00000000-0002-0000-0200-0000AB030000}">
          <x14:formula1>
            <xm:f>Country!A2:A1000</xm:f>
          </x14:formula1>
          <xm:sqref>C941</xm:sqref>
        </x14:dataValidation>
        <x14:dataValidation type="list" allowBlank="1" showInputMessage="1" showErrorMessage="1" xr:uid="{00000000-0002-0000-0200-0000AC030000}">
          <x14:formula1>
            <xm:f>Country!A2:A1000</xm:f>
          </x14:formula1>
          <xm:sqref>C942</xm:sqref>
        </x14:dataValidation>
        <x14:dataValidation type="list" allowBlank="1" showInputMessage="1" showErrorMessage="1" xr:uid="{00000000-0002-0000-0200-0000AD030000}">
          <x14:formula1>
            <xm:f>Country!A2:A1000</xm:f>
          </x14:formula1>
          <xm:sqref>C943</xm:sqref>
        </x14:dataValidation>
        <x14:dataValidation type="list" allowBlank="1" showInputMessage="1" showErrorMessage="1" xr:uid="{00000000-0002-0000-0200-0000AE030000}">
          <x14:formula1>
            <xm:f>Country!A2:A1000</xm:f>
          </x14:formula1>
          <xm:sqref>C944</xm:sqref>
        </x14:dataValidation>
        <x14:dataValidation type="list" allowBlank="1" showInputMessage="1" showErrorMessage="1" xr:uid="{00000000-0002-0000-0200-0000AF030000}">
          <x14:formula1>
            <xm:f>Country!A2:A1000</xm:f>
          </x14:formula1>
          <xm:sqref>C945</xm:sqref>
        </x14:dataValidation>
        <x14:dataValidation type="list" allowBlank="1" showInputMessage="1" showErrorMessage="1" xr:uid="{00000000-0002-0000-0200-0000B0030000}">
          <x14:formula1>
            <xm:f>Country!A2:A1000</xm:f>
          </x14:formula1>
          <xm:sqref>C946</xm:sqref>
        </x14:dataValidation>
        <x14:dataValidation type="list" allowBlank="1" showInputMessage="1" showErrorMessage="1" xr:uid="{00000000-0002-0000-0200-0000B1030000}">
          <x14:formula1>
            <xm:f>Country!A2:A1000</xm:f>
          </x14:formula1>
          <xm:sqref>C947</xm:sqref>
        </x14:dataValidation>
        <x14:dataValidation type="list" allowBlank="1" showInputMessage="1" showErrorMessage="1" xr:uid="{00000000-0002-0000-0200-0000B2030000}">
          <x14:formula1>
            <xm:f>Country!A2:A1000</xm:f>
          </x14:formula1>
          <xm:sqref>C948</xm:sqref>
        </x14:dataValidation>
        <x14:dataValidation type="list" allowBlank="1" showInputMessage="1" showErrorMessage="1" xr:uid="{00000000-0002-0000-0200-0000B3030000}">
          <x14:formula1>
            <xm:f>Country!A2:A1000</xm:f>
          </x14:formula1>
          <xm:sqref>C949</xm:sqref>
        </x14:dataValidation>
        <x14:dataValidation type="list" allowBlank="1" showInputMessage="1" showErrorMessage="1" xr:uid="{00000000-0002-0000-0200-0000B4030000}">
          <x14:formula1>
            <xm:f>Country!A2:A1000</xm:f>
          </x14:formula1>
          <xm:sqref>C950</xm:sqref>
        </x14:dataValidation>
        <x14:dataValidation type="list" allowBlank="1" showInputMessage="1" showErrorMessage="1" xr:uid="{00000000-0002-0000-0200-0000B5030000}">
          <x14:formula1>
            <xm:f>Country!A2:A1000</xm:f>
          </x14:formula1>
          <xm:sqref>C951</xm:sqref>
        </x14:dataValidation>
        <x14:dataValidation type="list" allowBlank="1" showInputMessage="1" showErrorMessage="1" xr:uid="{00000000-0002-0000-0200-0000B6030000}">
          <x14:formula1>
            <xm:f>Country!A2:A1000</xm:f>
          </x14:formula1>
          <xm:sqref>C952</xm:sqref>
        </x14:dataValidation>
        <x14:dataValidation type="list" allowBlank="1" showInputMessage="1" showErrorMessage="1" xr:uid="{00000000-0002-0000-0200-0000B7030000}">
          <x14:formula1>
            <xm:f>Country!A2:A1000</xm:f>
          </x14:formula1>
          <xm:sqref>C953</xm:sqref>
        </x14:dataValidation>
        <x14:dataValidation type="list" allowBlank="1" showInputMessage="1" showErrorMessage="1" xr:uid="{00000000-0002-0000-0200-0000B8030000}">
          <x14:formula1>
            <xm:f>Country!A2:A1000</xm:f>
          </x14:formula1>
          <xm:sqref>C954</xm:sqref>
        </x14:dataValidation>
        <x14:dataValidation type="list" allowBlank="1" showInputMessage="1" showErrorMessage="1" xr:uid="{00000000-0002-0000-0200-0000B9030000}">
          <x14:formula1>
            <xm:f>Country!A2:A1000</xm:f>
          </x14:formula1>
          <xm:sqref>C955</xm:sqref>
        </x14:dataValidation>
        <x14:dataValidation type="list" allowBlank="1" showInputMessage="1" showErrorMessage="1" xr:uid="{00000000-0002-0000-0200-0000BA030000}">
          <x14:formula1>
            <xm:f>Country!A2:A1000</xm:f>
          </x14:formula1>
          <xm:sqref>C956</xm:sqref>
        </x14:dataValidation>
        <x14:dataValidation type="list" allowBlank="1" showInputMessage="1" showErrorMessage="1" xr:uid="{00000000-0002-0000-0200-0000BB030000}">
          <x14:formula1>
            <xm:f>Country!A2:A1000</xm:f>
          </x14:formula1>
          <xm:sqref>C957</xm:sqref>
        </x14:dataValidation>
        <x14:dataValidation type="list" allowBlank="1" showInputMessage="1" showErrorMessage="1" xr:uid="{00000000-0002-0000-0200-0000BC030000}">
          <x14:formula1>
            <xm:f>Country!A2:A1000</xm:f>
          </x14:formula1>
          <xm:sqref>C958</xm:sqref>
        </x14:dataValidation>
        <x14:dataValidation type="list" allowBlank="1" showInputMessage="1" showErrorMessage="1" xr:uid="{00000000-0002-0000-0200-0000BD030000}">
          <x14:formula1>
            <xm:f>Country!A2:A1000</xm:f>
          </x14:formula1>
          <xm:sqref>C959</xm:sqref>
        </x14:dataValidation>
        <x14:dataValidation type="list" allowBlank="1" showInputMessage="1" showErrorMessage="1" xr:uid="{00000000-0002-0000-0200-0000BE030000}">
          <x14:formula1>
            <xm:f>Country!A2:A1000</xm:f>
          </x14:formula1>
          <xm:sqref>C960</xm:sqref>
        </x14:dataValidation>
        <x14:dataValidation type="list" allowBlank="1" showInputMessage="1" showErrorMessage="1" xr:uid="{00000000-0002-0000-0200-0000BF030000}">
          <x14:formula1>
            <xm:f>Country!A2:A1000</xm:f>
          </x14:formula1>
          <xm:sqref>C961</xm:sqref>
        </x14:dataValidation>
        <x14:dataValidation type="list" allowBlank="1" showInputMessage="1" showErrorMessage="1" xr:uid="{00000000-0002-0000-0200-0000C0030000}">
          <x14:formula1>
            <xm:f>Country!A2:A1000</xm:f>
          </x14:formula1>
          <xm:sqref>C962</xm:sqref>
        </x14:dataValidation>
        <x14:dataValidation type="list" allowBlank="1" showInputMessage="1" showErrorMessage="1" xr:uid="{00000000-0002-0000-0200-0000C1030000}">
          <x14:formula1>
            <xm:f>Country!A2:A1000</xm:f>
          </x14:formula1>
          <xm:sqref>C963</xm:sqref>
        </x14:dataValidation>
        <x14:dataValidation type="list" allowBlank="1" showInputMessage="1" showErrorMessage="1" xr:uid="{00000000-0002-0000-0200-0000C2030000}">
          <x14:formula1>
            <xm:f>Country!A2:A1000</xm:f>
          </x14:formula1>
          <xm:sqref>C964</xm:sqref>
        </x14:dataValidation>
        <x14:dataValidation type="list" allowBlank="1" showInputMessage="1" showErrorMessage="1" xr:uid="{00000000-0002-0000-0200-0000C3030000}">
          <x14:formula1>
            <xm:f>Country!A2:A1000</xm:f>
          </x14:formula1>
          <xm:sqref>C965</xm:sqref>
        </x14:dataValidation>
        <x14:dataValidation type="list" allowBlank="1" showInputMessage="1" showErrorMessage="1" xr:uid="{00000000-0002-0000-0200-0000C4030000}">
          <x14:formula1>
            <xm:f>Country!A2:A1000</xm:f>
          </x14:formula1>
          <xm:sqref>C966</xm:sqref>
        </x14:dataValidation>
        <x14:dataValidation type="list" allowBlank="1" showInputMessage="1" showErrorMessage="1" xr:uid="{00000000-0002-0000-0200-0000C5030000}">
          <x14:formula1>
            <xm:f>Country!A2:A1000</xm:f>
          </x14:formula1>
          <xm:sqref>C967</xm:sqref>
        </x14:dataValidation>
        <x14:dataValidation type="list" allowBlank="1" showInputMessage="1" showErrorMessage="1" xr:uid="{00000000-0002-0000-0200-0000C6030000}">
          <x14:formula1>
            <xm:f>Country!A2:A1000</xm:f>
          </x14:formula1>
          <xm:sqref>C968</xm:sqref>
        </x14:dataValidation>
        <x14:dataValidation type="list" allowBlank="1" showInputMessage="1" showErrorMessage="1" xr:uid="{00000000-0002-0000-0200-0000C7030000}">
          <x14:formula1>
            <xm:f>Country!A2:A1000</xm:f>
          </x14:formula1>
          <xm:sqref>C969</xm:sqref>
        </x14:dataValidation>
        <x14:dataValidation type="list" allowBlank="1" showInputMessage="1" showErrorMessage="1" xr:uid="{00000000-0002-0000-0200-0000C8030000}">
          <x14:formula1>
            <xm:f>Country!A2:A1000</xm:f>
          </x14:formula1>
          <xm:sqref>C970</xm:sqref>
        </x14:dataValidation>
        <x14:dataValidation type="list" allowBlank="1" showInputMessage="1" showErrorMessage="1" xr:uid="{00000000-0002-0000-0200-0000C9030000}">
          <x14:formula1>
            <xm:f>Country!A2:A1000</xm:f>
          </x14:formula1>
          <xm:sqref>C971</xm:sqref>
        </x14:dataValidation>
        <x14:dataValidation type="list" allowBlank="1" showInputMessage="1" showErrorMessage="1" xr:uid="{00000000-0002-0000-0200-0000CA030000}">
          <x14:formula1>
            <xm:f>Country!A2:A1000</xm:f>
          </x14:formula1>
          <xm:sqref>C972</xm:sqref>
        </x14:dataValidation>
        <x14:dataValidation type="list" allowBlank="1" showInputMessage="1" showErrorMessage="1" xr:uid="{00000000-0002-0000-0200-0000CB030000}">
          <x14:formula1>
            <xm:f>Country!A2:A1000</xm:f>
          </x14:formula1>
          <xm:sqref>C973</xm:sqref>
        </x14:dataValidation>
        <x14:dataValidation type="list" allowBlank="1" showInputMessage="1" showErrorMessage="1" xr:uid="{00000000-0002-0000-0200-0000CC030000}">
          <x14:formula1>
            <xm:f>Country!A2:A1000</xm:f>
          </x14:formula1>
          <xm:sqref>C974</xm:sqref>
        </x14:dataValidation>
        <x14:dataValidation type="list" allowBlank="1" showInputMessage="1" showErrorMessage="1" xr:uid="{00000000-0002-0000-0200-0000CD030000}">
          <x14:formula1>
            <xm:f>Country!A2:A1000</xm:f>
          </x14:formula1>
          <xm:sqref>C975</xm:sqref>
        </x14:dataValidation>
        <x14:dataValidation type="list" allowBlank="1" showInputMessage="1" showErrorMessage="1" xr:uid="{00000000-0002-0000-0200-0000CE030000}">
          <x14:formula1>
            <xm:f>Country!A2:A1000</xm:f>
          </x14:formula1>
          <xm:sqref>C976</xm:sqref>
        </x14:dataValidation>
        <x14:dataValidation type="list" allowBlank="1" showInputMessage="1" showErrorMessage="1" xr:uid="{00000000-0002-0000-0200-0000CF030000}">
          <x14:formula1>
            <xm:f>Country!A2:A1000</xm:f>
          </x14:formula1>
          <xm:sqref>C977</xm:sqref>
        </x14:dataValidation>
        <x14:dataValidation type="list" allowBlank="1" showInputMessage="1" showErrorMessage="1" xr:uid="{00000000-0002-0000-0200-0000D0030000}">
          <x14:formula1>
            <xm:f>Country!A2:A1000</xm:f>
          </x14:formula1>
          <xm:sqref>C978</xm:sqref>
        </x14:dataValidation>
        <x14:dataValidation type="list" allowBlank="1" showInputMessage="1" showErrorMessage="1" xr:uid="{00000000-0002-0000-0200-0000D1030000}">
          <x14:formula1>
            <xm:f>Country!A2:A1000</xm:f>
          </x14:formula1>
          <xm:sqref>C979</xm:sqref>
        </x14:dataValidation>
        <x14:dataValidation type="list" allowBlank="1" showInputMessage="1" showErrorMessage="1" xr:uid="{00000000-0002-0000-0200-0000D2030000}">
          <x14:formula1>
            <xm:f>Country!A2:A1000</xm:f>
          </x14:formula1>
          <xm:sqref>C980</xm:sqref>
        </x14:dataValidation>
        <x14:dataValidation type="list" allowBlank="1" showInputMessage="1" showErrorMessage="1" xr:uid="{00000000-0002-0000-0200-0000D3030000}">
          <x14:formula1>
            <xm:f>Country!A2:A1000</xm:f>
          </x14:formula1>
          <xm:sqref>C981</xm:sqref>
        </x14:dataValidation>
        <x14:dataValidation type="list" allowBlank="1" showInputMessage="1" showErrorMessage="1" xr:uid="{00000000-0002-0000-0200-0000D4030000}">
          <x14:formula1>
            <xm:f>Country!A2:A1000</xm:f>
          </x14:formula1>
          <xm:sqref>C982</xm:sqref>
        </x14:dataValidation>
        <x14:dataValidation type="list" allowBlank="1" showInputMessage="1" showErrorMessage="1" xr:uid="{00000000-0002-0000-0200-0000D5030000}">
          <x14:formula1>
            <xm:f>Country!A2:A1000</xm:f>
          </x14:formula1>
          <xm:sqref>C983</xm:sqref>
        </x14:dataValidation>
        <x14:dataValidation type="list" allowBlank="1" showInputMessage="1" showErrorMessage="1" xr:uid="{00000000-0002-0000-0200-0000D6030000}">
          <x14:formula1>
            <xm:f>Country!A2:A1000</xm:f>
          </x14:formula1>
          <xm:sqref>C984</xm:sqref>
        </x14:dataValidation>
        <x14:dataValidation type="list" allowBlank="1" showInputMessage="1" showErrorMessage="1" xr:uid="{00000000-0002-0000-0200-0000D7030000}">
          <x14:formula1>
            <xm:f>Country!A2:A1000</xm:f>
          </x14:formula1>
          <xm:sqref>C985</xm:sqref>
        </x14:dataValidation>
        <x14:dataValidation type="list" allowBlank="1" showInputMessage="1" showErrorMessage="1" xr:uid="{00000000-0002-0000-0200-0000D8030000}">
          <x14:formula1>
            <xm:f>Country!A2:A1000</xm:f>
          </x14:formula1>
          <xm:sqref>C986</xm:sqref>
        </x14:dataValidation>
        <x14:dataValidation type="list" allowBlank="1" showInputMessage="1" showErrorMessage="1" xr:uid="{00000000-0002-0000-0200-0000D9030000}">
          <x14:formula1>
            <xm:f>Country!A2:A1000</xm:f>
          </x14:formula1>
          <xm:sqref>C987</xm:sqref>
        </x14:dataValidation>
        <x14:dataValidation type="list" allowBlank="1" showInputMessage="1" showErrorMessage="1" xr:uid="{00000000-0002-0000-0200-0000DA030000}">
          <x14:formula1>
            <xm:f>Country!A2:A1000</xm:f>
          </x14:formula1>
          <xm:sqref>C988</xm:sqref>
        </x14:dataValidation>
        <x14:dataValidation type="list" allowBlank="1" showInputMessage="1" showErrorMessage="1" xr:uid="{00000000-0002-0000-0200-0000DB030000}">
          <x14:formula1>
            <xm:f>Country!A2:A1000</xm:f>
          </x14:formula1>
          <xm:sqref>C989</xm:sqref>
        </x14:dataValidation>
        <x14:dataValidation type="list" allowBlank="1" showInputMessage="1" showErrorMessage="1" xr:uid="{00000000-0002-0000-0200-0000DC030000}">
          <x14:formula1>
            <xm:f>Country!A2:A1000</xm:f>
          </x14:formula1>
          <xm:sqref>C990</xm:sqref>
        </x14:dataValidation>
        <x14:dataValidation type="list" allowBlank="1" showInputMessage="1" showErrorMessage="1" xr:uid="{00000000-0002-0000-0200-0000DD030000}">
          <x14:formula1>
            <xm:f>Country!A2:A1000</xm:f>
          </x14:formula1>
          <xm:sqref>C991</xm:sqref>
        </x14:dataValidation>
        <x14:dataValidation type="list" allowBlank="1" showInputMessage="1" showErrorMessage="1" xr:uid="{00000000-0002-0000-0200-0000DE030000}">
          <x14:formula1>
            <xm:f>Country!A2:A1000</xm:f>
          </x14:formula1>
          <xm:sqref>C992</xm:sqref>
        </x14:dataValidation>
        <x14:dataValidation type="list" allowBlank="1" showInputMessage="1" showErrorMessage="1" xr:uid="{00000000-0002-0000-0200-0000DF030000}">
          <x14:formula1>
            <xm:f>Country!A2:A1000</xm:f>
          </x14:formula1>
          <xm:sqref>C993</xm:sqref>
        </x14:dataValidation>
        <x14:dataValidation type="list" allowBlank="1" showInputMessage="1" showErrorMessage="1" xr:uid="{00000000-0002-0000-0200-0000E0030000}">
          <x14:formula1>
            <xm:f>Country!A2:A1000</xm:f>
          </x14:formula1>
          <xm:sqref>C994</xm:sqref>
        </x14:dataValidation>
        <x14:dataValidation type="list" allowBlank="1" showInputMessage="1" showErrorMessage="1" xr:uid="{00000000-0002-0000-0200-0000E1030000}">
          <x14:formula1>
            <xm:f>Country!A2:A1000</xm:f>
          </x14:formula1>
          <xm:sqref>C995</xm:sqref>
        </x14:dataValidation>
        <x14:dataValidation type="list" allowBlank="1" showInputMessage="1" showErrorMessage="1" xr:uid="{00000000-0002-0000-0200-0000E2030000}">
          <x14:formula1>
            <xm:f>Country!A2:A1000</xm:f>
          </x14:formula1>
          <xm:sqref>C996</xm:sqref>
        </x14:dataValidation>
        <x14:dataValidation type="list" allowBlank="1" showInputMessage="1" showErrorMessage="1" xr:uid="{00000000-0002-0000-0200-0000E3030000}">
          <x14:formula1>
            <xm:f>Country!A2:A1000</xm:f>
          </x14:formula1>
          <xm:sqref>C997</xm:sqref>
        </x14:dataValidation>
        <x14:dataValidation type="list" allowBlank="1" showInputMessage="1" showErrorMessage="1" xr:uid="{00000000-0002-0000-0200-0000E4030000}">
          <x14:formula1>
            <xm:f>Country!A2:A1000</xm:f>
          </x14:formula1>
          <xm:sqref>C998</xm:sqref>
        </x14:dataValidation>
        <x14:dataValidation type="list" allowBlank="1" showInputMessage="1" showErrorMessage="1" xr:uid="{00000000-0002-0000-0200-0000E5030000}">
          <x14:formula1>
            <xm:f>Country!A2:A1000</xm:f>
          </x14:formula1>
          <xm:sqref>C999</xm:sqref>
        </x14:dataValidation>
        <x14:dataValidation type="list" allowBlank="1" showInputMessage="1" showErrorMessage="1" xr:uid="{00000000-0002-0000-0200-0000E6030000}">
          <x14:formula1>
            <xm:f>Country!A2:A1000</xm:f>
          </x14:formula1>
          <xm:sqref>C1000</xm:sqref>
        </x14:dataValidation>
        <x14:dataValidation type="list" allowBlank="1" showInputMessage="1" showErrorMessage="1" xr:uid="{00000000-0002-0000-0200-0000E7030000}">
          <x14:formula1>
            <xm:f>Country!A2:A1000</xm:f>
          </x14:formula1>
          <xm:sqref>C1001</xm:sqref>
        </x14:dataValidation>
        <x14:dataValidation type="list" allowBlank="1" showInputMessage="1" showErrorMessage="1" xr:uid="{00000000-0002-0000-0200-0000E8030000}">
          <x14:formula1>
            <xm:f>PriceAreaConnection!A2:A1000</xm:f>
          </x14:formula1>
          <xm:sqref>D2</xm:sqref>
        </x14:dataValidation>
        <x14:dataValidation type="list" allowBlank="1" showInputMessage="1" showErrorMessage="1" xr:uid="{00000000-0002-0000-0200-0000E9030000}">
          <x14:formula1>
            <xm:f>PriceAreaConnection!A2:A1000</xm:f>
          </x14:formula1>
          <xm:sqref>D3</xm:sqref>
        </x14:dataValidation>
        <x14:dataValidation type="list" allowBlank="1" showInputMessage="1" showErrorMessage="1" xr:uid="{00000000-0002-0000-0200-0000EA030000}">
          <x14:formula1>
            <xm:f>PriceAreaConnection!A2:A1000</xm:f>
          </x14:formula1>
          <xm:sqref>D4</xm:sqref>
        </x14:dataValidation>
        <x14:dataValidation type="list" allowBlank="1" showInputMessage="1" showErrorMessage="1" xr:uid="{00000000-0002-0000-0200-0000EB030000}">
          <x14:formula1>
            <xm:f>PriceAreaConnection!A2:A1000</xm:f>
          </x14:formula1>
          <xm:sqref>D5</xm:sqref>
        </x14:dataValidation>
        <x14:dataValidation type="list" allowBlank="1" showInputMessage="1" showErrorMessage="1" xr:uid="{00000000-0002-0000-0200-0000EC030000}">
          <x14:formula1>
            <xm:f>PriceAreaConnection!A2:A1000</xm:f>
          </x14:formula1>
          <xm:sqref>D6</xm:sqref>
        </x14:dataValidation>
        <x14:dataValidation type="list" allowBlank="1" showInputMessage="1" showErrorMessage="1" xr:uid="{00000000-0002-0000-0200-0000ED030000}">
          <x14:formula1>
            <xm:f>PriceAreaConnection!A2:A1000</xm:f>
          </x14:formula1>
          <xm:sqref>D7</xm:sqref>
        </x14:dataValidation>
        <x14:dataValidation type="list" allowBlank="1" showInputMessage="1" showErrorMessage="1" xr:uid="{00000000-0002-0000-0200-0000EE030000}">
          <x14:formula1>
            <xm:f>PriceAreaConnection!A2:A1000</xm:f>
          </x14:formula1>
          <xm:sqref>D8</xm:sqref>
        </x14:dataValidation>
        <x14:dataValidation type="list" allowBlank="1" showInputMessage="1" showErrorMessage="1" xr:uid="{00000000-0002-0000-0200-0000EF030000}">
          <x14:formula1>
            <xm:f>PriceAreaConnection!A2:A1000</xm:f>
          </x14:formula1>
          <xm:sqref>D9</xm:sqref>
        </x14:dataValidation>
        <x14:dataValidation type="list" allowBlank="1" showInputMessage="1" showErrorMessage="1" xr:uid="{00000000-0002-0000-0200-0000F0030000}">
          <x14:formula1>
            <xm:f>PriceAreaConnection!A2:A1000</xm:f>
          </x14:formula1>
          <xm:sqref>D10</xm:sqref>
        </x14:dataValidation>
        <x14:dataValidation type="list" allowBlank="1" showInputMessage="1" showErrorMessage="1" xr:uid="{00000000-0002-0000-0200-0000F1030000}">
          <x14:formula1>
            <xm:f>PriceAreaConnection!A2:A1000</xm:f>
          </x14:formula1>
          <xm:sqref>D11</xm:sqref>
        </x14:dataValidation>
        <x14:dataValidation type="list" allowBlank="1" showInputMessage="1" showErrorMessage="1" xr:uid="{00000000-0002-0000-0200-0000F2030000}">
          <x14:formula1>
            <xm:f>PriceAreaConnection!A2:A1000</xm:f>
          </x14:formula1>
          <xm:sqref>D12</xm:sqref>
        </x14:dataValidation>
        <x14:dataValidation type="list" allowBlank="1" showInputMessage="1" showErrorMessage="1" xr:uid="{00000000-0002-0000-0200-0000F3030000}">
          <x14:formula1>
            <xm:f>PriceAreaConnection!A2:A1000</xm:f>
          </x14:formula1>
          <xm:sqref>D13</xm:sqref>
        </x14:dataValidation>
        <x14:dataValidation type="list" allowBlank="1" showInputMessage="1" showErrorMessage="1" xr:uid="{00000000-0002-0000-0200-0000F4030000}">
          <x14:formula1>
            <xm:f>PriceAreaConnection!A2:A1000</xm:f>
          </x14:formula1>
          <xm:sqref>D14</xm:sqref>
        </x14:dataValidation>
        <x14:dataValidation type="list" allowBlank="1" showInputMessage="1" showErrorMessage="1" xr:uid="{00000000-0002-0000-0200-0000F5030000}">
          <x14:formula1>
            <xm:f>PriceAreaConnection!A2:A1000</xm:f>
          </x14:formula1>
          <xm:sqref>D15</xm:sqref>
        </x14:dataValidation>
        <x14:dataValidation type="list" allowBlank="1" showInputMessage="1" showErrorMessage="1" xr:uid="{00000000-0002-0000-0200-0000F6030000}">
          <x14:formula1>
            <xm:f>PriceAreaConnection!A2:A1000</xm:f>
          </x14:formula1>
          <xm:sqref>D16</xm:sqref>
        </x14:dataValidation>
        <x14:dataValidation type="list" allowBlank="1" showInputMessage="1" showErrorMessage="1" xr:uid="{00000000-0002-0000-0200-0000F7030000}">
          <x14:formula1>
            <xm:f>PriceAreaConnection!A2:A1000</xm:f>
          </x14:formula1>
          <xm:sqref>D17</xm:sqref>
        </x14:dataValidation>
        <x14:dataValidation type="list" allowBlank="1" showInputMessage="1" showErrorMessage="1" xr:uid="{00000000-0002-0000-0200-0000F8030000}">
          <x14:formula1>
            <xm:f>PriceAreaConnection!A2:A1000</xm:f>
          </x14:formula1>
          <xm:sqref>D18</xm:sqref>
        </x14:dataValidation>
        <x14:dataValidation type="list" allowBlank="1" showInputMessage="1" showErrorMessage="1" xr:uid="{00000000-0002-0000-0200-0000F9030000}">
          <x14:formula1>
            <xm:f>PriceAreaConnection!A2:A1000</xm:f>
          </x14:formula1>
          <xm:sqref>D19</xm:sqref>
        </x14:dataValidation>
        <x14:dataValidation type="list" allowBlank="1" showInputMessage="1" showErrorMessage="1" xr:uid="{00000000-0002-0000-0200-0000FA030000}">
          <x14:formula1>
            <xm:f>PriceAreaConnection!A2:A1000</xm:f>
          </x14:formula1>
          <xm:sqref>D20</xm:sqref>
        </x14:dataValidation>
        <x14:dataValidation type="list" allowBlank="1" showInputMessage="1" showErrorMessage="1" xr:uid="{00000000-0002-0000-0200-0000FB030000}">
          <x14:formula1>
            <xm:f>PriceAreaConnection!A2:A1000</xm:f>
          </x14:formula1>
          <xm:sqref>D21</xm:sqref>
        </x14:dataValidation>
        <x14:dataValidation type="list" allowBlank="1" showInputMessage="1" showErrorMessage="1" xr:uid="{00000000-0002-0000-0200-0000FC030000}">
          <x14:formula1>
            <xm:f>PriceAreaConnection!A2:A1000</xm:f>
          </x14:formula1>
          <xm:sqref>D22</xm:sqref>
        </x14:dataValidation>
        <x14:dataValidation type="list" allowBlank="1" showInputMessage="1" showErrorMessage="1" xr:uid="{00000000-0002-0000-0200-0000FD030000}">
          <x14:formula1>
            <xm:f>PriceAreaConnection!A2:A1000</xm:f>
          </x14:formula1>
          <xm:sqref>D23</xm:sqref>
        </x14:dataValidation>
        <x14:dataValidation type="list" allowBlank="1" showInputMessage="1" showErrorMessage="1" xr:uid="{00000000-0002-0000-0200-0000FE030000}">
          <x14:formula1>
            <xm:f>PriceAreaConnection!A2:A1000</xm:f>
          </x14:formula1>
          <xm:sqref>D24</xm:sqref>
        </x14:dataValidation>
        <x14:dataValidation type="list" allowBlank="1" showInputMessage="1" showErrorMessage="1" xr:uid="{00000000-0002-0000-0200-0000FF030000}">
          <x14:formula1>
            <xm:f>PriceAreaConnection!A2:A1000</xm:f>
          </x14:formula1>
          <xm:sqref>D25</xm:sqref>
        </x14:dataValidation>
        <x14:dataValidation type="list" allowBlank="1" showInputMessage="1" showErrorMessage="1" xr:uid="{00000000-0002-0000-0200-000000040000}">
          <x14:formula1>
            <xm:f>PriceAreaConnection!A2:A1000</xm:f>
          </x14:formula1>
          <xm:sqref>D26</xm:sqref>
        </x14:dataValidation>
        <x14:dataValidation type="list" allowBlank="1" showInputMessage="1" showErrorMessage="1" xr:uid="{00000000-0002-0000-0200-000001040000}">
          <x14:formula1>
            <xm:f>PriceAreaConnection!A2:A1000</xm:f>
          </x14:formula1>
          <xm:sqref>D27</xm:sqref>
        </x14:dataValidation>
        <x14:dataValidation type="list" allowBlank="1" showInputMessage="1" showErrorMessage="1" xr:uid="{00000000-0002-0000-0200-000002040000}">
          <x14:formula1>
            <xm:f>PriceAreaConnection!A2:A1000</xm:f>
          </x14:formula1>
          <xm:sqref>D28</xm:sqref>
        </x14:dataValidation>
        <x14:dataValidation type="list" allowBlank="1" showInputMessage="1" showErrorMessage="1" xr:uid="{00000000-0002-0000-0200-000003040000}">
          <x14:formula1>
            <xm:f>PriceAreaConnection!A2:A1000</xm:f>
          </x14:formula1>
          <xm:sqref>D29</xm:sqref>
        </x14:dataValidation>
        <x14:dataValidation type="list" allowBlank="1" showInputMessage="1" showErrorMessage="1" xr:uid="{00000000-0002-0000-0200-000004040000}">
          <x14:formula1>
            <xm:f>PriceAreaConnection!A2:A1000</xm:f>
          </x14:formula1>
          <xm:sqref>D30</xm:sqref>
        </x14:dataValidation>
        <x14:dataValidation type="list" allowBlank="1" showInputMessage="1" showErrorMessage="1" xr:uid="{00000000-0002-0000-0200-000005040000}">
          <x14:formula1>
            <xm:f>PriceAreaConnection!A2:A1000</xm:f>
          </x14:formula1>
          <xm:sqref>D31</xm:sqref>
        </x14:dataValidation>
        <x14:dataValidation type="list" allowBlank="1" showInputMessage="1" showErrorMessage="1" xr:uid="{00000000-0002-0000-0200-000006040000}">
          <x14:formula1>
            <xm:f>PriceAreaConnection!A2:A1000</xm:f>
          </x14:formula1>
          <xm:sqref>D32</xm:sqref>
        </x14:dataValidation>
        <x14:dataValidation type="list" allowBlank="1" showInputMessage="1" showErrorMessage="1" xr:uid="{00000000-0002-0000-0200-000007040000}">
          <x14:formula1>
            <xm:f>PriceAreaConnection!A2:A1000</xm:f>
          </x14:formula1>
          <xm:sqref>D33</xm:sqref>
        </x14:dataValidation>
        <x14:dataValidation type="list" allowBlank="1" showInputMessage="1" showErrorMessage="1" xr:uid="{00000000-0002-0000-0200-000008040000}">
          <x14:formula1>
            <xm:f>PriceAreaConnection!A2:A1000</xm:f>
          </x14:formula1>
          <xm:sqref>D34</xm:sqref>
        </x14:dataValidation>
        <x14:dataValidation type="list" allowBlank="1" showInputMessage="1" showErrorMessage="1" xr:uid="{00000000-0002-0000-0200-000009040000}">
          <x14:formula1>
            <xm:f>PriceAreaConnection!A2:A1000</xm:f>
          </x14:formula1>
          <xm:sqref>D35</xm:sqref>
        </x14:dataValidation>
        <x14:dataValidation type="list" allowBlank="1" showInputMessage="1" showErrorMessage="1" xr:uid="{00000000-0002-0000-0200-00000A040000}">
          <x14:formula1>
            <xm:f>PriceAreaConnection!A2:A1000</xm:f>
          </x14:formula1>
          <xm:sqref>D36</xm:sqref>
        </x14:dataValidation>
        <x14:dataValidation type="list" allowBlank="1" showInputMessage="1" showErrorMessage="1" xr:uid="{00000000-0002-0000-0200-00000B040000}">
          <x14:formula1>
            <xm:f>PriceAreaConnection!A2:A1000</xm:f>
          </x14:formula1>
          <xm:sqref>D37</xm:sqref>
        </x14:dataValidation>
        <x14:dataValidation type="list" allowBlank="1" showInputMessage="1" showErrorMessage="1" xr:uid="{00000000-0002-0000-0200-00000C040000}">
          <x14:formula1>
            <xm:f>PriceAreaConnection!A2:A1000</xm:f>
          </x14:formula1>
          <xm:sqref>D38</xm:sqref>
        </x14:dataValidation>
        <x14:dataValidation type="list" allowBlank="1" showInputMessage="1" showErrorMessage="1" xr:uid="{00000000-0002-0000-0200-00000D040000}">
          <x14:formula1>
            <xm:f>PriceAreaConnection!A2:A1000</xm:f>
          </x14:formula1>
          <xm:sqref>D39</xm:sqref>
        </x14:dataValidation>
        <x14:dataValidation type="list" allowBlank="1" showInputMessage="1" showErrorMessage="1" xr:uid="{00000000-0002-0000-0200-00000E040000}">
          <x14:formula1>
            <xm:f>PriceAreaConnection!A2:A1000</xm:f>
          </x14:formula1>
          <xm:sqref>D40</xm:sqref>
        </x14:dataValidation>
        <x14:dataValidation type="list" allowBlank="1" showInputMessage="1" showErrorMessage="1" xr:uid="{00000000-0002-0000-0200-00000F040000}">
          <x14:formula1>
            <xm:f>PriceAreaConnection!A2:A1000</xm:f>
          </x14:formula1>
          <xm:sqref>D41</xm:sqref>
        </x14:dataValidation>
        <x14:dataValidation type="list" allowBlank="1" showInputMessage="1" showErrorMessage="1" xr:uid="{00000000-0002-0000-0200-000010040000}">
          <x14:formula1>
            <xm:f>PriceAreaConnection!A2:A1000</xm:f>
          </x14:formula1>
          <xm:sqref>D42</xm:sqref>
        </x14:dataValidation>
        <x14:dataValidation type="list" allowBlank="1" showInputMessage="1" showErrorMessage="1" xr:uid="{00000000-0002-0000-0200-000011040000}">
          <x14:formula1>
            <xm:f>PriceAreaConnection!A2:A1000</xm:f>
          </x14:formula1>
          <xm:sqref>D43</xm:sqref>
        </x14:dataValidation>
        <x14:dataValidation type="list" allowBlank="1" showInputMessage="1" showErrorMessage="1" xr:uid="{00000000-0002-0000-0200-000012040000}">
          <x14:formula1>
            <xm:f>PriceAreaConnection!A2:A1000</xm:f>
          </x14:formula1>
          <xm:sqref>D44</xm:sqref>
        </x14:dataValidation>
        <x14:dataValidation type="list" allowBlank="1" showInputMessage="1" showErrorMessage="1" xr:uid="{00000000-0002-0000-0200-000013040000}">
          <x14:formula1>
            <xm:f>PriceAreaConnection!A2:A1000</xm:f>
          </x14:formula1>
          <xm:sqref>D45</xm:sqref>
        </x14:dataValidation>
        <x14:dataValidation type="list" allowBlank="1" showInputMessage="1" showErrorMessage="1" xr:uid="{00000000-0002-0000-0200-000014040000}">
          <x14:formula1>
            <xm:f>PriceAreaConnection!A2:A1000</xm:f>
          </x14:formula1>
          <xm:sqref>D46</xm:sqref>
        </x14:dataValidation>
        <x14:dataValidation type="list" allowBlank="1" showInputMessage="1" showErrorMessage="1" xr:uid="{00000000-0002-0000-0200-000015040000}">
          <x14:formula1>
            <xm:f>PriceAreaConnection!A2:A1000</xm:f>
          </x14:formula1>
          <xm:sqref>D47</xm:sqref>
        </x14:dataValidation>
        <x14:dataValidation type="list" allowBlank="1" showInputMessage="1" showErrorMessage="1" xr:uid="{00000000-0002-0000-0200-000016040000}">
          <x14:formula1>
            <xm:f>PriceAreaConnection!A2:A1000</xm:f>
          </x14:formula1>
          <xm:sqref>D48</xm:sqref>
        </x14:dataValidation>
        <x14:dataValidation type="list" allowBlank="1" showInputMessage="1" showErrorMessage="1" xr:uid="{00000000-0002-0000-0200-000017040000}">
          <x14:formula1>
            <xm:f>PriceAreaConnection!A2:A1000</xm:f>
          </x14:formula1>
          <xm:sqref>D49</xm:sqref>
        </x14:dataValidation>
        <x14:dataValidation type="list" allowBlank="1" showInputMessage="1" showErrorMessage="1" xr:uid="{00000000-0002-0000-0200-000018040000}">
          <x14:formula1>
            <xm:f>PriceAreaConnection!A2:A1000</xm:f>
          </x14:formula1>
          <xm:sqref>D50</xm:sqref>
        </x14:dataValidation>
        <x14:dataValidation type="list" allowBlank="1" showInputMessage="1" showErrorMessage="1" xr:uid="{00000000-0002-0000-0200-000019040000}">
          <x14:formula1>
            <xm:f>PriceAreaConnection!A2:A1000</xm:f>
          </x14:formula1>
          <xm:sqref>D51</xm:sqref>
        </x14:dataValidation>
        <x14:dataValidation type="list" allowBlank="1" showInputMessage="1" showErrorMessage="1" xr:uid="{00000000-0002-0000-0200-00001A040000}">
          <x14:formula1>
            <xm:f>PriceAreaConnection!A2:A1000</xm:f>
          </x14:formula1>
          <xm:sqref>D52</xm:sqref>
        </x14:dataValidation>
        <x14:dataValidation type="list" allowBlank="1" showInputMessage="1" showErrorMessage="1" xr:uid="{00000000-0002-0000-0200-00001B040000}">
          <x14:formula1>
            <xm:f>PriceAreaConnection!A2:A1000</xm:f>
          </x14:formula1>
          <xm:sqref>D53</xm:sqref>
        </x14:dataValidation>
        <x14:dataValidation type="list" allowBlank="1" showInputMessage="1" showErrorMessage="1" xr:uid="{00000000-0002-0000-0200-00001C040000}">
          <x14:formula1>
            <xm:f>PriceAreaConnection!A2:A1000</xm:f>
          </x14:formula1>
          <xm:sqref>D54</xm:sqref>
        </x14:dataValidation>
        <x14:dataValidation type="list" allowBlank="1" showInputMessage="1" showErrorMessage="1" xr:uid="{00000000-0002-0000-0200-00001D040000}">
          <x14:formula1>
            <xm:f>PriceAreaConnection!A2:A1000</xm:f>
          </x14:formula1>
          <xm:sqref>D55</xm:sqref>
        </x14:dataValidation>
        <x14:dataValidation type="list" allowBlank="1" showInputMessage="1" showErrorMessage="1" xr:uid="{00000000-0002-0000-0200-00001E040000}">
          <x14:formula1>
            <xm:f>PriceAreaConnection!A2:A1000</xm:f>
          </x14:formula1>
          <xm:sqref>D56</xm:sqref>
        </x14:dataValidation>
        <x14:dataValidation type="list" allowBlank="1" showInputMessage="1" showErrorMessage="1" xr:uid="{00000000-0002-0000-0200-00001F040000}">
          <x14:formula1>
            <xm:f>PriceAreaConnection!A2:A1000</xm:f>
          </x14:formula1>
          <xm:sqref>D57</xm:sqref>
        </x14:dataValidation>
        <x14:dataValidation type="list" allowBlank="1" showInputMessage="1" showErrorMessage="1" xr:uid="{00000000-0002-0000-0200-000020040000}">
          <x14:formula1>
            <xm:f>PriceAreaConnection!A2:A1000</xm:f>
          </x14:formula1>
          <xm:sqref>D58</xm:sqref>
        </x14:dataValidation>
        <x14:dataValidation type="list" allowBlank="1" showInputMessage="1" showErrorMessage="1" xr:uid="{00000000-0002-0000-0200-000021040000}">
          <x14:formula1>
            <xm:f>PriceAreaConnection!A2:A1000</xm:f>
          </x14:formula1>
          <xm:sqref>D59</xm:sqref>
        </x14:dataValidation>
        <x14:dataValidation type="list" allowBlank="1" showInputMessage="1" showErrorMessage="1" xr:uid="{00000000-0002-0000-0200-000022040000}">
          <x14:formula1>
            <xm:f>PriceAreaConnection!A2:A1000</xm:f>
          </x14:formula1>
          <xm:sqref>D60</xm:sqref>
        </x14:dataValidation>
        <x14:dataValidation type="list" allowBlank="1" showInputMessage="1" showErrorMessage="1" xr:uid="{00000000-0002-0000-0200-000023040000}">
          <x14:formula1>
            <xm:f>PriceAreaConnection!A2:A1000</xm:f>
          </x14:formula1>
          <xm:sqref>D61</xm:sqref>
        </x14:dataValidation>
        <x14:dataValidation type="list" allowBlank="1" showInputMessage="1" showErrorMessage="1" xr:uid="{00000000-0002-0000-0200-000024040000}">
          <x14:formula1>
            <xm:f>PriceAreaConnection!A2:A1000</xm:f>
          </x14:formula1>
          <xm:sqref>D62</xm:sqref>
        </x14:dataValidation>
        <x14:dataValidation type="list" allowBlank="1" showInputMessage="1" showErrorMessage="1" xr:uid="{00000000-0002-0000-0200-000025040000}">
          <x14:formula1>
            <xm:f>PriceAreaConnection!A2:A1000</xm:f>
          </x14:formula1>
          <xm:sqref>D63</xm:sqref>
        </x14:dataValidation>
        <x14:dataValidation type="list" allowBlank="1" showInputMessage="1" showErrorMessage="1" xr:uid="{00000000-0002-0000-0200-000026040000}">
          <x14:formula1>
            <xm:f>PriceAreaConnection!A2:A1000</xm:f>
          </x14:formula1>
          <xm:sqref>D64</xm:sqref>
        </x14:dataValidation>
        <x14:dataValidation type="list" allowBlank="1" showInputMessage="1" showErrorMessage="1" xr:uid="{00000000-0002-0000-0200-000027040000}">
          <x14:formula1>
            <xm:f>PriceAreaConnection!A2:A1000</xm:f>
          </x14:formula1>
          <xm:sqref>D65</xm:sqref>
        </x14:dataValidation>
        <x14:dataValidation type="list" allowBlank="1" showInputMessage="1" showErrorMessage="1" xr:uid="{00000000-0002-0000-0200-000028040000}">
          <x14:formula1>
            <xm:f>PriceAreaConnection!A2:A1000</xm:f>
          </x14:formula1>
          <xm:sqref>D66</xm:sqref>
        </x14:dataValidation>
        <x14:dataValidation type="list" allowBlank="1" showInputMessage="1" showErrorMessage="1" xr:uid="{00000000-0002-0000-0200-000029040000}">
          <x14:formula1>
            <xm:f>PriceAreaConnection!A2:A1000</xm:f>
          </x14:formula1>
          <xm:sqref>D67</xm:sqref>
        </x14:dataValidation>
        <x14:dataValidation type="list" allowBlank="1" showInputMessage="1" showErrorMessage="1" xr:uid="{00000000-0002-0000-0200-00002A040000}">
          <x14:formula1>
            <xm:f>PriceAreaConnection!A2:A1000</xm:f>
          </x14:formula1>
          <xm:sqref>D68</xm:sqref>
        </x14:dataValidation>
        <x14:dataValidation type="list" allowBlank="1" showInputMessage="1" showErrorMessage="1" xr:uid="{00000000-0002-0000-0200-00002B040000}">
          <x14:formula1>
            <xm:f>PriceAreaConnection!A2:A1000</xm:f>
          </x14:formula1>
          <xm:sqref>D69</xm:sqref>
        </x14:dataValidation>
        <x14:dataValidation type="list" allowBlank="1" showInputMessage="1" showErrorMessage="1" xr:uid="{00000000-0002-0000-0200-00002C040000}">
          <x14:formula1>
            <xm:f>PriceAreaConnection!A2:A1000</xm:f>
          </x14:formula1>
          <xm:sqref>D70</xm:sqref>
        </x14:dataValidation>
        <x14:dataValidation type="list" allowBlank="1" showInputMessage="1" showErrorMessage="1" xr:uid="{00000000-0002-0000-0200-00002D040000}">
          <x14:formula1>
            <xm:f>PriceAreaConnection!A2:A1000</xm:f>
          </x14:formula1>
          <xm:sqref>D71</xm:sqref>
        </x14:dataValidation>
        <x14:dataValidation type="list" allowBlank="1" showInputMessage="1" showErrorMessage="1" xr:uid="{00000000-0002-0000-0200-00002E040000}">
          <x14:formula1>
            <xm:f>PriceAreaConnection!A2:A1000</xm:f>
          </x14:formula1>
          <xm:sqref>D72</xm:sqref>
        </x14:dataValidation>
        <x14:dataValidation type="list" allowBlank="1" showInputMessage="1" showErrorMessage="1" xr:uid="{00000000-0002-0000-0200-00002F040000}">
          <x14:formula1>
            <xm:f>PriceAreaConnection!A2:A1000</xm:f>
          </x14:formula1>
          <xm:sqref>D73</xm:sqref>
        </x14:dataValidation>
        <x14:dataValidation type="list" allowBlank="1" showInputMessage="1" showErrorMessage="1" xr:uid="{00000000-0002-0000-0200-000030040000}">
          <x14:formula1>
            <xm:f>PriceAreaConnection!A2:A1000</xm:f>
          </x14:formula1>
          <xm:sqref>D74</xm:sqref>
        </x14:dataValidation>
        <x14:dataValidation type="list" allowBlank="1" showInputMessage="1" showErrorMessage="1" xr:uid="{00000000-0002-0000-0200-000031040000}">
          <x14:formula1>
            <xm:f>PriceAreaConnection!A2:A1000</xm:f>
          </x14:formula1>
          <xm:sqref>D75</xm:sqref>
        </x14:dataValidation>
        <x14:dataValidation type="list" allowBlank="1" showInputMessage="1" showErrorMessage="1" xr:uid="{00000000-0002-0000-0200-000032040000}">
          <x14:formula1>
            <xm:f>PriceAreaConnection!A2:A1000</xm:f>
          </x14:formula1>
          <xm:sqref>D76</xm:sqref>
        </x14:dataValidation>
        <x14:dataValidation type="list" allowBlank="1" showInputMessage="1" showErrorMessage="1" xr:uid="{00000000-0002-0000-0200-000033040000}">
          <x14:formula1>
            <xm:f>PriceAreaConnection!A2:A1000</xm:f>
          </x14:formula1>
          <xm:sqref>D77</xm:sqref>
        </x14:dataValidation>
        <x14:dataValidation type="list" allowBlank="1" showInputMessage="1" showErrorMessage="1" xr:uid="{00000000-0002-0000-0200-000034040000}">
          <x14:formula1>
            <xm:f>PriceAreaConnection!A2:A1000</xm:f>
          </x14:formula1>
          <xm:sqref>D78</xm:sqref>
        </x14:dataValidation>
        <x14:dataValidation type="list" allowBlank="1" showInputMessage="1" showErrorMessage="1" xr:uid="{00000000-0002-0000-0200-000035040000}">
          <x14:formula1>
            <xm:f>PriceAreaConnection!A2:A1000</xm:f>
          </x14:formula1>
          <xm:sqref>D79</xm:sqref>
        </x14:dataValidation>
        <x14:dataValidation type="list" allowBlank="1" showInputMessage="1" showErrorMessage="1" xr:uid="{00000000-0002-0000-0200-000036040000}">
          <x14:formula1>
            <xm:f>PriceAreaConnection!A2:A1000</xm:f>
          </x14:formula1>
          <xm:sqref>D80</xm:sqref>
        </x14:dataValidation>
        <x14:dataValidation type="list" allowBlank="1" showInputMessage="1" showErrorMessage="1" xr:uid="{00000000-0002-0000-0200-000037040000}">
          <x14:formula1>
            <xm:f>PriceAreaConnection!A2:A1000</xm:f>
          </x14:formula1>
          <xm:sqref>D81</xm:sqref>
        </x14:dataValidation>
        <x14:dataValidation type="list" allowBlank="1" showInputMessage="1" showErrorMessage="1" xr:uid="{00000000-0002-0000-0200-000038040000}">
          <x14:formula1>
            <xm:f>PriceAreaConnection!A2:A1000</xm:f>
          </x14:formula1>
          <xm:sqref>D82</xm:sqref>
        </x14:dataValidation>
        <x14:dataValidation type="list" allowBlank="1" showInputMessage="1" showErrorMessage="1" xr:uid="{00000000-0002-0000-0200-000039040000}">
          <x14:formula1>
            <xm:f>PriceAreaConnection!A2:A1000</xm:f>
          </x14:formula1>
          <xm:sqref>D83</xm:sqref>
        </x14:dataValidation>
        <x14:dataValidation type="list" allowBlank="1" showInputMessage="1" showErrorMessage="1" xr:uid="{00000000-0002-0000-0200-00003A040000}">
          <x14:formula1>
            <xm:f>PriceAreaConnection!A2:A1000</xm:f>
          </x14:formula1>
          <xm:sqref>D84</xm:sqref>
        </x14:dataValidation>
        <x14:dataValidation type="list" allowBlank="1" showInputMessage="1" showErrorMessage="1" xr:uid="{00000000-0002-0000-0200-00003B040000}">
          <x14:formula1>
            <xm:f>PriceAreaConnection!A2:A1000</xm:f>
          </x14:formula1>
          <xm:sqref>D85</xm:sqref>
        </x14:dataValidation>
        <x14:dataValidation type="list" allowBlank="1" showInputMessage="1" showErrorMessage="1" xr:uid="{00000000-0002-0000-0200-00003C040000}">
          <x14:formula1>
            <xm:f>PriceAreaConnection!A2:A1000</xm:f>
          </x14:formula1>
          <xm:sqref>D86</xm:sqref>
        </x14:dataValidation>
        <x14:dataValidation type="list" allowBlank="1" showInputMessage="1" showErrorMessage="1" xr:uid="{00000000-0002-0000-0200-00003D040000}">
          <x14:formula1>
            <xm:f>PriceAreaConnection!A2:A1000</xm:f>
          </x14:formula1>
          <xm:sqref>D87</xm:sqref>
        </x14:dataValidation>
        <x14:dataValidation type="list" allowBlank="1" showInputMessage="1" showErrorMessage="1" xr:uid="{00000000-0002-0000-0200-00003E040000}">
          <x14:formula1>
            <xm:f>PriceAreaConnection!A2:A1000</xm:f>
          </x14:formula1>
          <xm:sqref>D88</xm:sqref>
        </x14:dataValidation>
        <x14:dataValidation type="list" allowBlank="1" showInputMessage="1" showErrorMessage="1" xr:uid="{00000000-0002-0000-0200-00003F040000}">
          <x14:formula1>
            <xm:f>PriceAreaConnection!A2:A1000</xm:f>
          </x14:formula1>
          <xm:sqref>D89</xm:sqref>
        </x14:dataValidation>
        <x14:dataValidation type="list" allowBlank="1" showInputMessage="1" showErrorMessage="1" xr:uid="{00000000-0002-0000-0200-000040040000}">
          <x14:formula1>
            <xm:f>PriceAreaConnection!A2:A1000</xm:f>
          </x14:formula1>
          <xm:sqref>D90</xm:sqref>
        </x14:dataValidation>
        <x14:dataValidation type="list" allowBlank="1" showInputMessage="1" showErrorMessage="1" xr:uid="{00000000-0002-0000-0200-000041040000}">
          <x14:formula1>
            <xm:f>PriceAreaConnection!A2:A1000</xm:f>
          </x14:formula1>
          <xm:sqref>D91</xm:sqref>
        </x14:dataValidation>
        <x14:dataValidation type="list" allowBlank="1" showInputMessage="1" showErrorMessage="1" xr:uid="{00000000-0002-0000-0200-000042040000}">
          <x14:formula1>
            <xm:f>PriceAreaConnection!A2:A1000</xm:f>
          </x14:formula1>
          <xm:sqref>D92</xm:sqref>
        </x14:dataValidation>
        <x14:dataValidation type="list" allowBlank="1" showInputMessage="1" showErrorMessage="1" xr:uid="{00000000-0002-0000-0200-000043040000}">
          <x14:formula1>
            <xm:f>PriceAreaConnection!A2:A1000</xm:f>
          </x14:formula1>
          <xm:sqref>D93</xm:sqref>
        </x14:dataValidation>
        <x14:dataValidation type="list" allowBlank="1" showInputMessage="1" showErrorMessage="1" xr:uid="{00000000-0002-0000-0200-000044040000}">
          <x14:formula1>
            <xm:f>PriceAreaConnection!A2:A1000</xm:f>
          </x14:formula1>
          <xm:sqref>D94</xm:sqref>
        </x14:dataValidation>
        <x14:dataValidation type="list" allowBlank="1" showInputMessage="1" showErrorMessage="1" xr:uid="{00000000-0002-0000-0200-000045040000}">
          <x14:formula1>
            <xm:f>PriceAreaConnection!A2:A1000</xm:f>
          </x14:formula1>
          <xm:sqref>D95</xm:sqref>
        </x14:dataValidation>
        <x14:dataValidation type="list" allowBlank="1" showInputMessage="1" showErrorMessage="1" xr:uid="{00000000-0002-0000-0200-000046040000}">
          <x14:formula1>
            <xm:f>PriceAreaConnection!A2:A1000</xm:f>
          </x14:formula1>
          <xm:sqref>D96</xm:sqref>
        </x14:dataValidation>
        <x14:dataValidation type="list" allowBlank="1" showInputMessage="1" showErrorMessage="1" xr:uid="{00000000-0002-0000-0200-000047040000}">
          <x14:formula1>
            <xm:f>PriceAreaConnection!A2:A1000</xm:f>
          </x14:formula1>
          <xm:sqref>D97</xm:sqref>
        </x14:dataValidation>
        <x14:dataValidation type="list" allowBlank="1" showInputMessage="1" showErrorMessage="1" xr:uid="{00000000-0002-0000-0200-000048040000}">
          <x14:formula1>
            <xm:f>PriceAreaConnection!A2:A1000</xm:f>
          </x14:formula1>
          <xm:sqref>D98</xm:sqref>
        </x14:dataValidation>
        <x14:dataValidation type="list" allowBlank="1" showInputMessage="1" showErrorMessage="1" xr:uid="{00000000-0002-0000-0200-000049040000}">
          <x14:formula1>
            <xm:f>PriceAreaConnection!A2:A1000</xm:f>
          </x14:formula1>
          <xm:sqref>D99</xm:sqref>
        </x14:dataValidation>
        <x14:dataValidation type="list" allowBlank="1" showInputMessage="1" showErrorMessage="1" xr:uid="{00000000-0002-0000-0200-00004A040000}">
          <x14:formula1>
            <xm:f>PriceAreaConnection!A2:A1000</xm:f>
          </x14:formula1>
          <xm:sqref>D100</xm:sqref>
        </x14:dataValidation>
        <x14:dataValidation type="list" allowBlank="1" showInputMessage="1" showErrorMessage="1" xr:uid="{00000000-0002-0000-0200-00004B040000}">
          <x14:formula1>
            <xm:f>PriceAreaConnection!A2:A1000</xm:f>
          </x14:formula1>
          <xm:sqref>D101</xm:sqref>
        </x14:dataValidation>
        <x14:dataValidation type="list" allowBlank="1" showInputMessage="1" showErrorMessage="1" xr:uid="{00000000-0002-0000-0200-00004C040000}">
          <x14:formula1>
            <xm:f>PriceAreaConnection!A2:A1000</xm:f>
          </x14:formula1>
          <xm:sqref>D102</xm:sqref>
        </x14:dataValidation>
        <x14:dataValidation type="list" allowBlank="1" showInputMessage="1" showErrorMessage="1" xr:uid="{00000000-0002-0000-0200-00004D040000}">
          <x14:formula1>
            <xm:f>PriceAreaConnection!A2:A1000</xm:f>
          </x14:formula1>
          <xm:sqref>D103</xm:sqref>
        </x14:dataValidation>
        <x14:dataValidation type="list" allowBlank="1" showInputMessage="1" showErrorMessage="1" xr:uid="{00000000-0002-0000-0200-00004E040000}">
          <x14:formula1>
            <xm:f>PriceAreaConnection!A2:A1000</xm:f>
          </x14:formula1>
          <xm:sqref>D104</xm:sqref>
        </x14:dataValidation>
        <x14:dataValidation type="list" allowBlank="1" showInputMessage="1" showErrorMessage="1" xr:uid="{00000000-0002-0000-0200-00004F040000}">
          <x14:formula1>
            <xm:f>PriceAreaConnection!A2:A1000</xm:f>
          </x14:formula1>
          <xm:sqref>D105</xm:sqref>
        </x14:dataValidation>
        <x14:dataValidation type="list" allowBlank="1" showInputMessage="1" showErrorMessage="1" xr:uid="{00000000-0002-0000-0200-000050040000}">
          <x14:formula1>
            <xm:f>PriceAreaConnection!A2:A1000</xm:f>
          </x14:formula1>
          <xm:sqref>D106</xm:sqref>
        </x14:dataValidation>
        <x14:dataValidation type="list" allowBlank="1" showInputMessage="1" showErrorMessage="1" xr:uid="{00000000-0002-0000-0200-000051040000}">
          <x14:formula1>
            <xm:f>PriceAreaConnection!A2:A1000</xm:f>
          </x14:formula1>
          <xm:sqref>D107</xm:sqref>
        </x14:dataValidation>
        <x14:dataValidation type="list" allowBlank="1" showInputMessage="1" showErrorMessage="1" xr:uid="{00000000-0002-0000-0200-000052040000}">
          <x14:formula1>
            <xm:f>PriceAreaConnection!A2:A1000</xm:f>
          </x14:formula1>
          <xm:sqref>D108</xm:sqref>
        </x14:dataValidation>
        <x14:dataValidation type="list" allowBlank="1" showInputMessage="1" showErrorMessage="1" xr:uid="{00000000-0002-0000-0200-000053040000}">
          <x14:formula1>
            <xm:f>PriceAreaConnection!A2:A1000</xm:f>
          </x14:formula1>
          <xm:sqref>D109</xm:sqref>
        </x14:dataValidation>
        <x14:dataValidation type="list" allowBlank="1" showInputMessage="1" showErrorMessage="1" xr:uid="{00000000-0002-0000-0200-000054040000}">
          <x14:formula1>
            <xm:f>PriceAreaConnection!A2:A1000</xm:f>
          </x14:formula1>
          <xm:sqref>D110</xm:sqref>
        </x14:dataValidation>
        <x14:dataValidation type="list" allowBlank="1" showInputMessage="1" showErrorMessage="1" xr:uid="{00000000-0002-0000-0200-000055040000}">
          <x14:formula1>
            <xm:f>PriceAreaConnection!A2:A1000</xm:f>
          </x14:formula1>
          <xm:sqref>D111</xm:sqref>
        </x14:dataValidation>
        <x14:dataValidation type="list" allowBlank="1" showInputMessage="1" showErrorMessage="1" xr:uid="{00000000-0002-0000-0200-000056040000}">
          <x14:formula1>
            <xm:f>PriceAreaConnection!A2:A1000</xm:f>
          </x14:formula1>
          <xm:sqref>D112</xm:sqref>
        </x14:dataValidation>
        <x14:dataValidation type="list" allowBlank="1" showInputMessage="1" showErrorMessage="1" xr:uid="{00000000-0002-0000-0200-000057040000}">
          <x14:formula1>
            <xm:f>PriceAreaConnection!A2:A1000</xm:f>
          </x14:formula1>
          <xm:sqref>D113</xm:sqref>
        </x14:dataValidation>
        <x14:dataValidation type="list" allowBlank="1" showInputMessage="1" showErrorMessage="1" xr:uid="{00000000-0002-0000-0200-000058040000}">
          <x14:formula1>
            <xm:f>PriceAreaConnection!A2:A1000</xm:f>
          </x14:formula1>
          <xm:sqref>D114</xm:sqref>
        </x14:dataValidation>
        <x14:dataValidation type="list" allowBlank="1" showInputMessage="1" showErrorMessage="1" xr:uid="{00000000-0002-0000-0200-000059040000}">
          <x14:formula1>
            <xm:f>PriceAreaConnection!A2:A1000</xm:f>
          </x14:formula1>
          <xm:sqref>D115</xm:sqref>
        </x14:dataValidation>
        <x14:dataValidation type="list" allowBlank="1" showInputMessage="1" showErrorMessage="1" xr:uid="{00000000-0002-0000-0200-00005A040000}">
          <x14:formula1>
            <xm:f>PriceAreaConnection!A2:A1000</xm:f>
          </x14:formula1>
          <xm:sqref>D116</xm:sqref>
        </x14:dataValidation>
        <x14:dataValidation type="list" allowBlank="1" showInputMessage="1" showErrorMessage="1" xr:uid="{00000000-0002-0000-0200-00005B040000}">
          <x14:formula1>
            <xm:f>PriceAreaConnection!A2:A1000</xm:f>
          </x14:formula1>
          <xm:sqref>D117</xm:sqref>
        </x14:dataValidation>
        <x14:dataValidation type="list" allowBlank="1" showInputMessage="1" showErrorMessage="1" xr:uid="{00000000-0002-0000-0200-00005C040000}">
          <x14:formula1>
            <xm:f>PriceAreaConnection!A2:A1000</xm:f>
          </x14:formula1>
          <xm:sqref>D118</xm:sqref>
        </x14:dataValidation>
        <x14:dataValidation type="list" allowBlank="1" showInputMessage="1" showErrorMessage="1" xr:uid="{00000000-0002-0000-0200-00005D040000}">
          <x14:formula1>
            <xm:f>PriceAreaConnection!A2:A1000</xm:f>
          </x14:formula1>
          <xm:sqref>D119</xm:sqref>
        </x14:dataValidation>
        <x14:dataValidation type="list" allowBlank="1" showInputMessage="1" showErrorMessage="1" xr:uid="{00000000-0002-0000-0200-00005E040000}">
          <x14:formula1>
            <xm:f>PriceAreaConnection!A2:A1000</xm:f>
          </x14:formula1>
          <xm:sqref>D120</xm:sqref>
        </x14:dataValidation>
        <x14:dataValidation type="list" allowBlank="1" showInputMessage="1" showErrorMessage="1" xr:uid="{00000000-0002-0000-0200-00005F040000}">
          <x14:formula1>
            <xm:f>PriceAreaConnection!A2:A1000</xm:f>
          </x14:formula1>
          <xm:sqref>D121</xm:sqref>
        </x14:dataValidation>
        <x14:dataValidation type="list" allowBlank="1" showInputMessage="1" showErrorMessage="1" xr:uid="{00000000-0002-0000-0200-000060040000}">
          <x14:formula1>
            <xm:f>PriceAreaConnection!A2:A1000</xm:f>
          </x14:formula1>
          <xm:sqref>D122</xm:sqref>
        </x14:dataValidation>
        <x14:dataValidation type="list" allowBlank="1" showInputMessage="1" showErrorMessage="1" xr:uid="{00000000-0002-0000-0200-000061040000}">
          <x14:formula1>
            <xm:f>PriceAreaConnection!A2:A1000</xm:f>
          </x14:formula1>
          <xm:sqref>D123</xm:sqref>
        </x14:dataValidation>
        <x14:dataValidation type="list" allowBlank="1" showInputMessage="1" showErrorMessage="1" xr:uid="{00000000-0002-0000-0200-000062040000}">
          <x14:formula1>
            <xm:f>PriceAreaConnection!A2:A1000</xm:f>
          </x14:formula1>
          <xm:sqref>D124</xm:sqref>
        </x14:dataValidation>
        <x14:dataValidation type="list" allowBlank="1" showInputMessage="1" showErrorMessage="1" xr:uid="{00000000-0002-0000-0200-000063040000}">
          <x14:formula1>
            <xm:f>PriceAreaConnection!A2:A1000</xm:f>
          </x14:formula1>
          <xm:sqref>D125</xm:sqref>
        </x14:dataValidation>
        <x14:dataValidation type="list" allowBlank="1" showInputMessage="1" showErrorMessage="1" xr:uid="{00000000-0002-0000-0200-000064040000}">
          <x14:formula1>
            <xm:f>PriceAreaConnection!A2:A1000</xm:f>
          </x14:formula1>
          <xm:sqref>D126</xm:sqref>
        </x14:dataValidation>
        <x14:dataValidation type="list" allowBlank="1" showInputMessage="1" showErrorMessage="1" xr:uid="{00000000-0002-0000-0200-000065040000}">
          <x14:formula1>
            <xm:f>PriceAreaConnection!A2:A1000</xm:f>
          </x14:formula1>
          <xm:sqref>D127</xm:sqref>
        </x14:dataValidation>
        <x14:dataValidation type="list" allowBlank="1" showInputMessage="1" showErrorMessage="1" xr:uid="{00000000-0002-0000-0200-000066040000}">
          <x14:formula1>
            <xm:f>PriceAreaConnection!A2:A1000</xm:f>
          </x14:formula1>
          <xm:sqref>D128</xm:sqref>
        </x14:dataValidation>
        <x14:dataValidation type="list" allowBlank="1" showInputMessage="1" showErrorMessage="1" xr:uid="{00000000-0002-0000-0200-000067040000}">
          <x14:formula1>
            <xm:f>PriceAreaConnection!A2:A1000</xm:f>
          </x14:formula1>
          <xm:sqref>D129</xm:sqref>
        </x14:dataValidation>
        <x14:dataValidation type="list" allowBlank="1" showInputMessage="1" showErrorMessage="1" xr:uid="{00000000-0002-0000-0200-000068040000}">
          <x14:formula1>
            <xm:f>PriceAreaConnection!A2:A1000</xm:f>
          </x14:formula1>
          <xm:sqref>D130</xm:sqref>
        </x14:dataValidation>
        <x14:dataValidation type="list" allowBlank="1" showInputMessage="1" showErrorMessage="1" xr:uid="{00000000-0002-0000-0200-000069040000}">
          <x14:formula1>
            <xm:f>PriceAreaConnection!A2:A1000</xm:f>
          </x14:formula1>
          <xm:sqref>D131</xm:sqref>
        </x14:dataValidation>
        <x14:dataValidation type="list" allowBlank="1" showInputMessage="1" showErrorMessage="1" xr:uid="{00000000-0002-0000-0200-00006A040000}">
          <x14:formula1>
            <xm:f>PriceAreaConnection!A2:A1000</xm:f>
          </x14:formula1>
          <xm:sqref>D132</xm:sqref>
        </x14:dataValidation>
        <x14:dataValidation type="list" allowBlank="1" showInputMessage="1" showErrorMessage="1" xr:uid="{00000000-0002-0000-0200-00006B040000}">
          <x14:formula1>
            <xm:f>PriceAreaConnection!A2:A1000</xm:f>
          </x14:formula1>
          <xm:sqref>D133</xm:sqref>
        </x14:dataValidation>
        <x14:dataValidation type="list" allowBlank="1" showInputMessage="1" showErrorMessage="1" xr:uid="{00000000-0002-0000-0200-00006C040000}">
          <x14:formula1>
            <xm:f>PriceAreaConnection!A2:A1000</xm:f>
          </x14:formula1>
          <xm:sqref>D134</xm:sqref>
        </x14:dataValidation>
        <x14:dataValidation type="list" allowBlank="1" showInputMessage="1" showErrorMessage="1" xr:uid="{00000000-0002-0000-0200-00006D040000}">
          <x14:formula1>
            <xm:f>PriceAreaConnection!A2:A1000</xm:f>
          </x14:formula1>
          <xm:sqref>D135</xm:sqref>
        </x14:dataValidation>
        <x14:dataValidation type="list" allowBlank="1" showInputMessage="1" showErrorMessage="1" xr:uid="{00000000-0002-0000-0200-00006E040000}">
          <x14:formula1>
            <xm:f>PriceAreaConnection!A2:A1000</xm:f>
          </x14:formula1>
          <xm:sqref>D136</xm:sqref>
        </x14:dataValidation>
        <x14:dataValidation type="list" allowBlank="1" showInputMessage="1" showErrorMessage="1" xr:uid="{00000000-0002-0000-0200-00006F040000}">
          <x14:formula1>
            <xm:f>PriceAreaConnection!A2:A1000</xm:f>
          </x14:formula1>
          <xm:sqref>D137</xm:sqref>
        </x14:dataValidation>
        <x14:dataValidation type="list" allowBlank="1" showInputMessage="1" showErrorMessage="1" xr:uid="{00000000-0002-0000-0200-000070040000}">
          <x14:formula1>
            <xm:f>PriceAreaConnection!A2:A1000</xm:f>
          </x14:formula1>
          <xm:sqref>D138</xm:sqref>
        </x14:dataValidation>
        <x14:dataValidation type="list" allowBlank="1" showInputMessage="1" showErrorMessage="1" xr:uid="{00000000-0002-0000-0200-000071040000}">
          <x14:formula1>
            <xm:f>PriceAreaConnection!A2:A1000</xm:f>
          </x14:formula1>
          <xm:sqref>D139</xm:sqref>
        </x14:dataValidation>
        <x14:dataValidation type="list" allowBlank="1" showInputMessage="1" showErrorMessage="1" xr:uid="{00000000-0002-0000-0200-000072040000}">
          <x14:formula1>
            <xm:f>PriceAreaConnection!A2:A1000</xm:f>
          </x14:formula1>
          <xm:sqref>D140</xm:sqref>
        </x14:dataValidation>
        <x14:dataValidation type="list" allowBlank="1" showInputMessage="1" showErrorMessage="1" xr:uid="{00000000-0002-0000-0200-000073040000}">
          <x14:formula1>
            <xm:f>PriceAreaConnection!A2:A1000</xm:f>
          </x14:formula1>
          <xm:sqref>D141</xm:sqref>
        </x14:dataValidation>
        <x14:dataValidation type="list" allowBlank="1" showInputMessage="1" showErrorMessage="1" xr:uid="{00000000-0002-0000-0200-000074040000}">
          <x14:formula1>
            <xm:f>PriceAreaConnection!A2:A1000</xm:f>
          </x14:formula1>
          <xm:sqref>D142</xm:sqref>
        </x14:dataValidation>
        <x14:dataValidation type="list" allowBlank="1" showInputMessage="1" showErrorMessage="1" xr:uid="{00000000-0002-0000-0200-000075040000}">
          <x14:formula1>
            <xm:f>PriceAreaConnection!A2:A1000</xm:f>
          </x14:formula1>
          <xm:sqref>D143</xm:sqref>
        </x14:dataValidation>
        <x14:dataValidation type="list" allowBlank="1" showInputMessage="1" showErrorMessage="1" xr:uid="{00000000-0002-0000-0200-000076040000}">
          <x14:formula1>
            <xm:f>PriceAreaConnection!A2:A1000</xm:f>
          </x14:formula1>
          <xm:sqref>D144</xm:sqref>
        </x14:dataValidation>
        <x14:dataValidation type="list" allowBlank="1" showInputMessage="1" showErrorMessage="1" xr:uid="{00000000-0002-0000-0200-000077040000}">
          <x14:formula1>
            <xm:f>PriceAreaConnection!A2:A1000</xm:f>
          </x14:formula1>
          <xm:sqref>D145</xm:sqref>
        </x14:dataValidation>
        <x14:dataValidation type="list" allowBlank="1" showInputMessage="1" showErrorMessage="1" xr:uid="{00000000-0002-0000-0200-000078040000}">
          <x14:formula1>
            <xm:f>PriceAreaConnection!A2:A1000</xm:f>
          </x14:formula1>
          <xm:sqref>D146</xm:sqref>
        </x14:dataValidation>
        <x14:dataValidation type="list" allowBlank="1" showInputMessage="1" showErrorMessage="1" xr:uid="{00000000-0002-0000-0200-000079040000}">
          <x14:formula1>
            <xm:f>PriceAreaConnection!A2:A1000</xm:f>
          </x14:formula1>
          <xm:sqref>D147</xm:sqref>
        </x14:dataValidation>
        <x14:dataValidation type="list" allowBlank="1" showInputMessage="1" showErrorMessage="1" xr:uid="{00000000-0002-0000-0200-00007A040000}">
          <x14:formula1>
            <xm:f>PriceAreaConnection!A2:A1000</xm:f>
          </x14:formula1>
          <xm:sqref>D148</xm:sqref>
        </x14:dataValidation>
        <x14:dataValidation type="list" allowBlank="1" showInputMessage="1" showErrorMessage="1" xr:uid="{00000000-0002-0000-0200-00007B040000}">
          <x14:formula1>
            <xm:f>PriceAreaConnection!A2:A1000</xm:f>
          </x14:formula1>
          <xm:sqref>D149</xm:sqref>
        </x14:dataValidation>
        <x14:dataValidation type="list" allowBlank="1" showInputMessage="1" showErrorMessage="1" xr:uid="{00000000-0002-0000-0200-00007C040000}">
          <x14:formula1>
            <xm:f>PriceAreaConnection!A2:A1000</xm:f>
          </x14:formula1>
          <xm:sqref>D150</xm:sqref>
        </x14:dataValidation>
        <x14:dataValidation type="list" allowBlank="1" showInputMessage="1" showErrorMessage="1" xr:uid="{00000000-0002-0000-0200-00007D040000}">
          <x14:formula1>
            <xm:f>PriceAreaConnection!A2:A1000</xm:f>
          </x14:formula1>
          <xm:sqref>D151</xm:sqref>
        </x14:dataValidation>
        <x14:dataValidation type="list" allowBlank="1" showInputMessage="1" showErrorMessage="1" xr:uid="{00000000-0002-0000-0200-00007E040000}">
          <x14:formula1>
            <xm:f>PriceAreaConnection!A2:A1000</xm:f>
          </x14:formula1>
          <xm:sqref>D152</xm:sqref>
        </x14:dataValidation>
        <x14:dataValidation type="list" allowBlank="1" showInputMessage="1" showErrorMessage="1" xr:uid="{00000000-0002-0000-0200-00007F040000}">
          <x14:formula1>
            <xm:f>PriceAreaConnection!A2:A1000</xm:f>
          </x14:formula1>
          <xm:sqref>D153</xm:sqref>
        </x14:dataValidation>
        <x14:dataValidation type="list" allowBlank="1" showInputMessage="1" showErrorMessage="1" xr:uid="{00000000-0002-0000-0200-000080040000}">
          <x14:formula1>
            <xm:f>PriceAreaConnection!A2:A1000</xm:f>
          </x14:formula1>
          <xm:sqref>D154</xm:sqref>
        </x14:dataValidation>
        <x14:dataValidation type="list" allowBlank="1" showInputMessage="1" showErrorMessage="1" xr:uid="{00000000-0002-0000-0200-000081040000}">
          <x14:formula1>
            <xm:f>PriceAreaConnection!A2:A1000</xm:f>
          </x14:formula1>
          <xm:sqref>D155</xm:sqref>
        </x14:dataValidation>
        <x14:dataValidation type="list" allowBlank="1" showInputMessage="1" showErrorMessage="1" xr:uid="{00000000-0002-0000-0200-000082040000}">
          <x14:formula1>
            <xm:f>PriceAreaConnection!A2:A1000</xm:f>
          </x14:formula1>
          <xm:sqref>D156</xm:sqref>
        </x14:dataValidation>
        <x14:dataValidation type="list" allowBlank="1" showInputMessage="1" showErrorMessage="1" xr:uid="{00000000-0002-0000-0200-000083040000}">
          <x14:formula1>
            <xm:f>PriceAreaConnection!A2:A1000</xm:f>
          </x14:formula1>
          <xm:sqref>D157</xm:sqref>
        </x14:dataValidation>
        <x14:dataValidation type="list" allowBlank="1" showInputMessage="1" showErrorMessage="1" xr:uid="{00000000-0002-0000-0200-000084040000}">
          <x14:formula1>
            <xm:f>PriceAreaConnection!A2:A1000</xm:f>
          </x14:formula1>
          <xm:sqref>D158</xm:sqref>
        </x14:dataValidation>
        <x14:dataValidation type="list" allowBlank="1" showInputMessage="1" showErrorMessage="1" xr:uid="{00000000-0002-0000-0200-000085040000}">
          <x14:formula1>
            <xm:f>PriceAreaConnection!A2:A1000</xm:f>
          </x14:formula1>
          <xm:sqref>D159</xm:sqref>
        </x14:dataValidation>
        <x14:dataValidation type="list" allowBlank="1" showInputMessage="1" showErrorMessage="1" xr:uid="{00000000-0002-0000-0200-000086040000}">
          <x14:formula1>
            <xm:f>PriceAreaConnection!A2:A1000</xm:f>
          </x14:formula1>
          <xm:sqref>D160</xm:sqref>
        </x14:dataValidation>
        <x14:dataValidation type="list" allowBlank="1" showInputMessage="1" showErrorMessage="1" xr:uid="{00000000-0002-0000-0200-000087040000}">
          <x14:formula1>
            <xm:f>PriceAreaConnection!A2:A1000</xm:f>
          </x14:formula1>
          <xm:sqref>D161</xm:sqref>
        </x14:dataValidation>
        <x14:dataValidation type="list" allowBlank="1" showInputMessage="1" showErrorMessage="1" xr:uid="{00000000-0002-0000-0200-000088040000}">
          <x14:formula1>
            <xm:f>PriceAreaConnection!A2:A1000</xm:f>
          </x14:formula1>
          <xm:sqref>D162</xm:sqref>
        </x14:dataValidation>
        <x14:dataValidation type="list" allowBlank="1" showInputMessage="1" showErrorMessage="1" xr:uid="{00000000-0002-0000-0200-000089040000}">
          <x14:formula1>
            <xm:f>PriceAreaConnection!A2:A1000</xm:f>
          </x14:formula1>
          <xm:sqref>D163</xm:sqref>
        </x14:dataValidation>
        <x14:dataValidation type="list" allowBlank="1" showInputMessage="1" showErrorMessage="1" xr:uid="{00000000-0002-0000-0200-00008A040000}">
          <x14:formula1>
            <xm:f>PriceAreaConnection!A2:A1000</xm:f>
          </x14:formula1>
          <xm:sqref>D164</xm:sqref>
        </x14:dataValidation>
        <x14:dataValidation type="list" allowBlank="1" showInputMessage="1" showErrorMessage="1" xr:uid="{00000000-0002-0000-0200-00008B040000}">
          <x14:formula1>
            <xm:f>PriceAreaConnection!A2:A1000</xm:f>
          </x14:formula1>
          <xm:sqref>D165</xm:sqref>
        </x14:dataValidation>
        <x14:dataValidation type="list" allowBlank="1" showInputMessage="1" showErrorMessage="1" xr:uid="{00000000-0002-0000-0200-00008C040000}">
          <x14:formula1>
            <xm:f>PriceAreaConnection!A2:A1000</xm:f>
          </x14:formula1>
          <xm:sqref>D166</xm:sqref>
        </x14:dataValidation>
        <x14:dataValidation type="list" allowBlank="1" showInputMessage="1" showErrorMessage="1" xr:uid="{00000000-0002-0000-0200-00008D040000}">
          <x14:formula1>
            <xm:f>PriceAreaConnection!A2:A1000</xm:f>
          </x14:formula1>
          <xm:sqref>D167</xm:sqref>
        </x14:dataValidation>
        <x14:dataValidation type="list" allowBlank="1" showInputMessage="1" showErrorMessage="1" xr:uid="{00000000-0002-0000-0200-00008E040000}">
          <x14:formula1>
            <xm:f>PriceAreaConnection!A2:A1000</xm:f>
          </x14:formula1>
          <xm:sqref>D168</xm:sqref>
        </x14:dataValidation>
        <x14:dataValidation type="list" allowBlank="1" showInputMessage="1" showErrorMessage="1" xr:uid="{00000000-0002-0000-0200-00008F040000}">
          <x14:formula1>
            <xm:f>PriceAreaConnection!A2:A1000</xm:f>
          </x14:formula1>
          <xm:sqref>D169</xm:sqref>
        </x14:dataValidation>
        <x14:dataValidation type="list" allowBlank="1" showInputMessage="1" showErrorMessage="1" xr:uid="{00000000-0002-0000-0200-000090040000}">
          <x14:formula1>
            <xm:f>PriceAreaConnection!A2:A1000</xm:f>
          </x14:formula1>
          <xm:sqref>D170</xm:sqref>
        </x14:dataValidation>
        <x14:dataValidation type="list" allowBlank="1" showInputMessage="1" showErrorMessage="1" xr:uid="{00000000-0002-0000-0200-000091040000}">
          <x14:formula1>
            <xm:f>PriceAreaConnection!A2:A1000</xm:f>
          </x14:formula1>
          <xm:sqref>D171</xm:sqref>
        </x14:dataValidation>
        <x14:dataValidation type="list" allowBlank="1" showInputMessage="1" showErrorMessage="1" xr:uid="{00000000-0002-0000-0200-000092040000}">
          <x14:formula1>
            <xm:f>PriceAreaConnection!A2:A1000</xm:f>
          </x14:formula1>
          <xm:sqref>D172</xm:sqref>
        </x14:dataValidation>
        <x14:dataValidation type="list" allowBlank="1" showInputMessage="1" showErrorMessage="1" xr:uid="{00000000-0002-0000-0200-000093040000}">
          <x14:formula1>
            <xm:f>PriceAreaConnection!A2:A1000</xm:f>
          </x14:formula1>
          <xm:sqref>D173</xm:sqref>
        </x14:dataValidation>
        <x14:dataValidation type="list" allowBlank="1" showInputMessage="1" showErrorMessage="1" xr:uid="{00000000-0002-0000-0200-000094040000}">
          <x14:formula1>
            <xm:f>PriceAreaConnection!A2:A1000</xm:f>
          </x14:formula1>
          <xm:sqref>D174</xm:sqref>
        </x14:dataValidation>
        <x14:dataValidation type="list" allowBlank="1" showInputMessage="1" showErrorMessage="1" xr:uid="{00000000-0002-0000-0200-000095040000}">
          <x14:formula1>
            <xm:f>PriceAreaConnection!A2:A1000</xm:f>
          </x14:formula1>
          <xm:sqref>D175</xm:sqref>
        </x14:dataValidation>
        <x14:dataValidation type="list" allowBlank="1" showInputMessage="1" showErrorMessage="1" xr:uid="{00000000-0002-0000-0200-000096040000}">
          <x14:formula1>
            <xm:f>PriceAreaConnection!A2:A1000</xm:f>
          </x14:formula1>
          <xm:sqref>D176</xm:sqref>
        </x14:dataValidation>
        <x14:dataValidation type="list" allowBlank="1" showInputMessage="1" showErrorMessage="1" xr:uid="{00000000-0002-0000-0200-000097040000}">
          <x14:formula1>
            <xm:f>PriceAreaConnection!A2:A1000</xm:f>
          </x14:formula1>
          <xm:sqref>D177</xm:sqref>
        </x14:dataValidation>
        <x14:dataValidation type="list" allowBlank="1" showInputMessage="1" showErrorMessage="1" xr:uid="{00000000-0002-0000-0200-000098040000}">
          <x14:formula1>
            <xm:f>PriceAreaConnection!A2:A1000</xm:f>
          </x14:formula1>
          <xm:sqref>D178</xm:sqref>
        </x14:dataValidation>
        <x14:dataValidation type="list" allowBlank="1" showInputMessage="1" showErrorMessage="1" xr:uid="{00000000-0002-0000-0200-000099040000}">
          <x14:formula1>
            <xm:f>PriceAreaConnection!A2:A1000</xm:f>
          </x14:formula1>
          <xm:sqref>D179</xm:sqref>
        </x14:dataValidation>
        <x14:dataValidation type="list" allowBlank="1" showInputMessage="1" showErrorMessage="1" xr:uid="{00000000-0002-0000-0200-00009A040000}">
          <x14:formula1>
            <xm:f>PriceAreaConnection!A2:A1000</xm:f>
          </x14:formula1>
          <xm:sqref>D180</xm:sqref>
        </x14:dataValidation>
        <x14:dataValidation type="list" allowBlank="1" showInputMessage="1" showErrorMessage="1" xr:uid="{00000000-0002-0000-0200-00009B040000}">
          <x14:formula1>
            <xm:f>PriceAreaConnection!A2:A1000</xm:f>
          </x14:formula1>
          <xm:sqref>D181</xm:sqref>
        </x14:dataValidation>
        <x14:dataValidation type="list" allowBlank="1" showInputMessage="1" showErrorMessage="1" xr:uid="{00000000-0002-0000-0200-00009C040000}">
          <x14:formula1>
            <xm:f>PriceAreaConnection!A2:A1000</xm:f>
          </x14:formula1>
          <xm:sqref>D182</xm:sqref>
        </x14:dataValidation>
        <x14:dataValidation type="list" allowBlank="1" showInputMessage="1" showErrorMessage="1" xr:uid="{00000000-0002-0000-0200-00009D040000}">
          <x14:formula1>
            <xm:f>PriceAreaConnection!A2:A1000</xm:f>
          </x14:formula1>
          <xm:sqref>D183</xm:sqref>
        </x14:dataValidation>
        <x14:dataValidation type="list" allowBlank="1" showInputMessage="1" showErrorMessage="1" xr:uid="{00000000-0002-0000-0200-00009E040000}">
          <x14:formula1>
            <xm:f>PriceAreaConnection!A2:A1000</xm:f>
          </x14:formula1>
          <xm:sqref>D184</xm:sqref>
        </x14:dataValidation>
        <x14:dataValidation type="list" allowBlank="1" showInputMessage="1" showErrorMessage="1" xr:uid="{00000000-0002-0000-0200-00009F040000}">
          <x14:formula1>
            <xm:f>PriceAreaConnection!A2:A1000</xm:f>
          </x14:formula1>
          <xm:sqref>D185</xm:sqref>
        </x14:dataValidation>
        <x14:dataValidation type="list" allowBlank="1" showInputMessage="1" showErrorMessage="1" xr:uid="{00000000-0002-0000-0200-0000A0040000}">
          <x14:formula1>
            <xm:f>PriceAreaConnection!A2:A1000</xm:f>
          </x14:formula1>
          <xm:sqref>D186</xm:sqref>
        </x14:dataValidation>
        <x14:dataValidation type="list" allowBlank="1" showInputMessage="1" showErrorMessage="1" xr:uid="{00000000-0002-0000-0200-0000A1040000}">
          <x14:formula1>
            <xm:f>PriceAreaConnection!A2:A1000</xm:f>
          </x14:formula1>
          <xm:sqref>D187</xm:sqref>
        </x14:dataValidation>
        <x14:dataValidation type="list" allowBlank="1" showInputMessage="1" showErrorMessage="1" xr:uid="{00000000-0002-0000-0200-0000A2040000}">
          <x14:formula1>
            <xm:f>PriceAreaConnection!A2:A1000</xm:f>
          </x14:formula1>
          <xm:sqref>D188</xm:sqref>
        </x14:dataValidation>
        <x14:dataValidation type="list" allowBlank="1" showInputMessage="1" showErrorMessage="1" xr:uid="{00000000-0002-0000-0200-0000A3040000}">
          <x14:formula1>
            <xm:f>PriceAreaConnection!A2:A1000</xm:f>
          </x14:formula1>
          <xm:sqref>D189</xm:sqref>
        </x14:dataValidation>
        <x14:dataValidation type="list" allowBlank="1" showInputMessage="1" showErrorMessage="1" xr:uid="{00000000-0002-0000-0200-0000A4040000}">
          <x14:formula1>
            <xm:f>PriceAreaConnection!A2:A1000</xm:f>
          </x14:formula1>
          <xm:sqref>D190</xm:sqref>
        </x14:dataValidation>
        <x14:dataValidation type="list" allowBlank="1" showInputMessage="1" showErrorMessage="1" xr:uid="{00000000-0002-0000-0200-0000A5040000}">
          <x14:formula1>
            <xm:f>PriceAreaConnection!A2:A1000</xm:f>
          </x14:formula1>
          <xm:sqref>D191</xm:sqref>
        </x14:dataValidation>
        <x14:dataValidation type="list" allowBlank="1" showInputMessage="1" showErrorMessage="1" xr:uid="{00000000-0002-0000-0200-0000A6040000}">
          <x14:formula1>
            <xm:f>PriceAreaConnection!A2:A1000</xm:f>
          </x14:formula1>
          <xm:sqref>D192</xm:sqref>
        </x14:dataValidation>
        <x14:dataValidation type="list" allowBlank="1" showInputMessage="1" showErrorMessage="1" xr:uid="{00000000-0002-0000-0200-0000A7040000}">
          <x14:formula1>
            <xm:f>PriceAreaConnection!A2:A1000</xm:f>
          </x14:formula1>
          <xm:sqref>D193</xm:sqref>
        </x14:dataValidation>
        <x14:dataValidation type="list" allowBlank="1" showInputMessage="1" showErrorMessage="1" xr:uid="{00000000-0002-0000-0200-0000A8040000}">
          <x14:formula1>
            <xm:f>PriceAreaConnection!A2:A1000</xm:f>
          </x14:formula1>
          <xm:sqref>D194</xm:sqref>
        </x14:dataValidation>
        <x14:dataValidation type="list" allowBlank="1" showInputMessage="1" showErrorMessage="1" xr:uid="{00000000-0002-0000-0200-0000A9040000}">
          <x14:formula1>
            <xm:f>PriceAreaConnection!A2:A1000</xm:f>
          </x14:formula1>
          <xm:sqref>D195</xm:sqref>
        </x14:dataValidation>
        <x14:dataValidation type="list" allowBlank="1" showInputMessage="1" showErrorMessage="1" xr:uid="{00000000-0002-0000-0200-0000AA040000}">
          <x14:formula1>
            <xm:f>PriceAreaConnection!A2:A1000</xm:f>
          </x14:formula1>
          <xm:sqref>D196</xm:sqref>
        </x14:dataValidation>
        <x14:dataValidation type="list" allowBlank="1" showInputMessage="1" showErrorMessage="1" xr:uid="{00000000-0002-0000-0200-0000AB040000}">
          <x14:formula1>
            <xm:f>PriceAreaConnection!A2:A1000</xm:f>
          </x14:formula1>
          <xm:sqref>D197</xm:sqref>
        </x14:dataValidation>
        <x14:dataValidation type="list" allowBlank="1" showInputMessage="1" showErrorMessage="1" xr:uid="{00000000-0002-0000-0200-0000AC040000}">
          <x14:formula1>
            <xm:f>PriceAreaConnection!A2:A1000</xm:f>
          </x14:formula1>
          <xm:sqref>D198</xm:sqref>
        </x14:dataValidation>
        <x14:dataValidation type="list" allowBlank="1" showInputMessage="1" showErrorMessage="1" xr:uid="{00000000-0002-0000-0200-0000AD040000}">
          <x14:formula1>
            <xm:f>PriceAreaConnection!A2:A1000</xm:f>
          </x14:formula1>
          <xm:sqref>D199</xm:sqref>
        </x14:dataValidation>
        <x14:dataValidation type="list" allowBlank="1" showInputMessage="1" showErrorMessage="1" xr:uid="{00000000-0002-0000-0200-0000AE040000}">
          <x14:formula1>
            <xm:f>PriceAreaConnection!A2:A1000</xm:f>
          </x14:formula1>
          <xm:sqref>D200</xm:sqref>
        </x14:dataValidation>
        <x14:dataValidation type="list" allowBlank="1" showInputMessage="1" showErrorMessage="1" xr:uid="{00000000-0002-0000-0200-0000AF040000}">
          <x14:formula1>
            <xm:f>PriceAreaConnection!A2:A1000</xm:f>
          </x14:formula1>
          <xm:sqref>D201</xm:sqref>
        </x14:dataValidation>
        <x14:dataValidation type="list" allowBlank="1" showInputMessage="1" showErrorMessage="1" xr:uid="{00000000-0002-0000-0200-0000B0040000}">
          <x14:formula1>
            <xm:f>PriceAreaConnection!A2:A1000</xm:f>
          </x14:formula1>
          <xm:sqref>D202</xm:sqref>
        </x14:dataValidation>
        <x14:dataValidation type="list" allowBlank="1" showInputMessage="1" showErrorMessage="1" xr:uid="{00000000-0002-0000-0200-0000B1040000}">
          <x14:formula1>
            <xm:f>PriceAreaConnection!A2:A1000</xm:f>
          </x14:formula1>
          <xm:sqref>D203</xm:sqref>
        </x14:dataValidation>
        <x14:dataValidation type="list" allowBlank="1" showInputMessage="1" showErrorMessage="1" xr:uid="{00000000-0002-0000-0200-0000B2040000}">
          <x14:formula1>
            <xm:f>PriceAreaConnection!A2:A1000</xm:f>
          </x14:formula1>
          <xm:sqref>D204</xm:sqref>
        </x14:dataValidation>
        <x14:dataValidation type="list" allowBlank="1" showInputMessage="1" showErrorMessage="1" xr:uid="{00000000-0002-0000-0200-0000B3040000}">
          <x14:formula1>
            <xm:f>PriceAreaConnection!A2:A1000</xm:f>
          </x14:formula1>
          <xm:sqref>D205</xm:sqref>
        </x14:dataValidation>
        <x14:dataValidation type="list" allowBlank="1" showInputMessage="1" showErrorMessage="1" xr:uid="{00000000-0002-0000-0200-0000B4040000}">
          <x14:formula1>
            <xm:f>PriceAreaConnection!A2:A1000</xm:f>
          </x14:formula1>
          <xm:sqref>D206</xm:sqref>
        </x14:dataValidation>
        <x14:dataValidation type="list" allowBlank="1" showInputMessage="1" showErrorMessage="1" xr:uid="{00000000-0002-0000-0200-0000B5040000}">
          <x14:formula1>
            <xm:f>PriceAreaConnection!A2:A1000</xm:f>
          </x14:formula1>
          <xm:sqref>D207</xm:sqref>
        </x14:dataValidation>
        <x14:dataValidation type="list" allowBlank="1" showInputMessage="1" showErrorMessage="1" xr:uid="{00000000-0002-0000-0200-0000B6040000}">
          <x14:formula1>
            <xm:f>PriceAreaConnection!A2:A1000</xm:f>
          </x14:formula1>
          <xm:sqref>D208</xm:sqref>
        </x14:dataValidation>
        <x14:dataValidation type="list" allowBlank="1" showInputMessage="1" showErrorMessage="1" xr:uid="{00000000-0002-0000-0200-0000B7040000}">
          <x14:formula1>
            <xm:f>PriceAreaConnection!A2:A1000</xm:f>
          </x14:formula1>
          <xm:sqref>D209</xm:sqref>
        </x14:dataValidation>
        <x14:dataValidation type="list" allowBlank="1" showInputMessage="1" showErrorMessage="1" xr:uid="{00000000-0002-0000-0200-0000B8040000}">
          <x14:formula1>
            <xm:f>PriceAreaConnection!A2:A1000</xm:f>
          </x14:formula1>
          <xm:sqref>D210</xm:sqref>
        </x14:dataValidation>
        <x14:dataValidation type="list" allowBlank="1" showInputMessage="1" showErrorMessage="1" xr:uid="{00000000-0002-0000-0200-0000B9040000}">
          <x14:formula1>
            <xm:f>PriceAreaConnection!A2:A1000</xm:f>
          </x14:formula1>
          <xm:sqref>D211</xm:sqref>
        </x14:dataValidation>
        <x14:dataValidation type="list" allowBlank="1" showInputMessage="1" showErrorMessage="1" xr:uid="{00000000-0002-0000-0200-0000BA040000}">
          <x14:formula1>
            <xm:f>PriceAreaConnection!A2:A1000</xm:f>
          </x14:formula1>
          <xm:sqref>D212</xm:sqref>
        </x14:dataValidation>
        <x14:dataValidation type="list" allowBlank="1" showInputMessage="1" showErrorMessage="1" xr:uid="{00000000-0002-0000-0200-0000BB040000}">
          <x14:formula1>
            <xm:f>PriceAreaConnection!A2:A1000</xm:f>
          </x14:formula1>
          <xm:sqref>D213</xm:sqref>
        </x14:dataValidation>
        <x14:dataValidation type="list" allowBlank="1" showInputMessage="1" showErrorMessage="1" xr:uid="{00000000-0002-0000-0200-0000BC040000}">
          <x14:formula1>
            <xm:f>PriceAreaConnection!A2:A1000</xm:f>
          </x14:formula1>
          <xm:sqref>D214</xm:sqref>
        </x14:dataValidation>
        <x14:dataValidation type="list" allowBlank="1" showInputMessage="1" showErrorMessage="1" xr:uid="{00000000-0002-0000-0200-0000BD040000}">
          <x14:formula1>
            <xm:f>PriceAreaConnection!A2:A1000</xm:f>
          </x14:formula1>
          <xm:sqref>D215</xm:sqref>
        </x14:dataValidation>
        <x14:dataValidation type="list" allowBlank="1" showInputMessage="1" showErrorMessage="1" xr:uid="{00000000-0002-0000-0200-0000BE040000}">
          <x14:formula1>
            <xm:f>PriceAreaConnection!A2:A1000</xm:f>
          </x14:formula1>
          <xm:sqref>D216</xm:sqref>
        </x14:dataValidation>
        <x14:dataValidation type="list" allowBlank="1" showInputMessage="1" showErrorMessage="1" xr:uid="{00000000-0002-0000-0200-0000BF040000}">
          <x14:formula1>
            <xm:f>PriceAreaConnection!A2:A1000</xm:f>
          </x14:formula1>
          <xm:sqref>D217</xm:sqref>
        </x14:dataValidation>
        <x14:dataValidation type="list" allowBlank="1" showInputMessage="1" showErrorMessage="1" xr:uid="{00000000-0002-0000-0200-0000C0040000}">
          <x14:formula1>
            <xm:f>PriceAreaConnection!A2:A1000</xm:f>
          </x14:formula1>
          <xm:sqref>D218</xm:sqref>
        </x14:dataValidation>
        <x14:dataValidation type="list" allowBlank="1" showInputMessage="1" showErrorMessage="1" xr:uid="{00000000-0002-0000-0200-0000C1040000}">
          <x14:formula1>
            <xm:f>PriceAreaConnection!A2:A1000</xm:f>
          </x14:formula1>
          <xm:sqref>D219</xm:sqref>
        </x14:dataValidation>
        <x14:dataValidation type="list" allowBlank="1" showInputMessage="1" showErrorMessage="1" xr:uid="{00000000-0002-0000-0200-0000C2040000}">
          <x14:formula1>
            <xm:f>PriceAreaConnection!A2:A1000</xm:f>
          </x14:formula1>
          <xm:sqref>D220</xm:sqref>
        </x14:dataValidation>
        <x14:dataValidation type="list" allowBlank="1" showInputMessage="1" showErrorMessage="1" xr:uid="{00000000-0002-0000-0200-0000C3040000}">
          <x14:formula1>
            <xm:f>PriceAreaConnection!A2:A1000</xm:f>
          </x14:formula1>
          <xm:sqref>D221</xm:sqref>
        </x14:dataValidation>
        <x14:dataValidation type="list" allowBlank="1" showInputMessage="1" showErrorMessage="1" xr:uid="{00000000-0002-0000-0200-0000C4040000}">
          <x14:formula1>
            <xm:f>PriceAreaConnection!A2:A1000</xm:f>
          </x14:formula1>
          <xm:sqref>D222</xm:sqref>
        </x14:dataValidation>
        <x14:dataValidation type="list" allowBlank="1" showInputMessage="1" showErrorMessage="1" xr:uid="{00000000-0002-0000-0200-0000C5040000}">
          <x14:formula1>
            <xm:f>PriceAreaConnection!A2:A1000</xm:f>
          </x14:formula1>
          <xm:sqref>D223</xm:sqref>
        </x14:dataValidation>
        <x14:dataValidation type="list" allowBlank="1" showInputMessage="1" showErrorMessage="1" xr:uid="{00000000-0002-0000-0200-0000C6040000}">
          <x14:formula1>
            <xm:f>PriceAreaConnection!A2:A1000</xm:f>
          </x14:formula1>
          <xm:sqref>D224</xm:sqref>
        </x14:dataValidation>
        <x14:dataValidation type="list" allowBlank="1" showInputMessage="1" showErrorMessage="1" xr:uid="{00000000-0002-0000-0200-0000C7040000}">
          <x14:formula1>
            <xm:f>PriceAreaConnection!A2:A1000</xm:f>
          </x14:formula1>
          <xm:sqref>D225</xm:sqref>
        </x14:dataValidation>
        <x14:dataValidation type="list" allowBlank="1" showInputMessage="1" showErrorMessage="1" xr:uid="{00000000-0002-0000-0200-0000C8040000}">
          <x14:formula1>
            <xm:f>PriceAreaConnection!A2:A1000</xm:f>
          </x14:formula1>
          <xm:sqref>D226</xm:sqref>
        </x14:dataValidation>
        <x14:dataValidation type="list" allowBlank="1" showInputMessage="1" showErrorMessage="1" xr:uid="{00000000-0002-0000-0200-0000C9040000}">
          <x14:formula1>
            <xm:f>PriceAreaConnection!A2:A1000</xm:f>
          </x14:formula1>
          <xm:sqref>D227</xm:sqref>
        </x14:dataValidation>
        <x14:dataValidation type="list" allowBlank="1" showInputMessage="1" showErrorMessage="1" xr:uid="{00000000-0002-0000-0200-0000CA040000}">
          <x14:formula1>
            <xm:f>PriceAreaConnection!A2:A1000</xm:f>
          </x14:formula1>
          <xm:sqref>D228</xm:sqref>
        </x14:dataValidation>
        <x14:dataValidation type="list" allowBlank="1" showInputMessage="1" showErrorMessage="1" xr:uid="{00000000-0002-0000-0200-0000CB040000}">
          <x14:formula1>
            <xm:f>PriceAreaConnection!A2:A1000</xm:f>
          </x14:formula1>
          <xm:sqref>D229</xm:sqref>
        </x14:dataValidation>
        <x14:dataValidation type="list" allowBlank="1" showInputMessage="1" showErrorMessage="1" xr:uid="{00000000-0002-0000-0200-0000CC040000}">
          <x14:formula1>
            <xm:f>PriceAreaConnection!A2:A1000</xm:f>
          </x14:formula1>
          <xm:sqref>D230</xm:sqref>
        </x14:dataValidation>
        <x14:dataValidation type="list" allowBlank="1" showInputMessage="1" showErrorMessage="1" xr:uid="{00000000-0002-0000-0200-0000CD040000}">
          <x14:formula1>
            <xm:f>PriceAreaConnection!A2:A1000</xm:f>
          </x14:formula1>
          <xm:sqref>D231</xm:sqref>
        </x14:dataValidation>
        <x14:dataValidation type="list" allowBlank="1" showInputMessage="1" showErrorMessage="1" xr:uid="{00000000-0002-0000-0200-0000CE040000}">
          <x14:formula1>
            <xm:f>PriceAreaConnection!A2:A1000</xm:f>
          </x14:formula1>
          <xm:sqref>D232</xm:sqref>
        </x14:dataValidation>
        <x14:dataValidation type="list" allowBlank="1" showInputMessage="1" showErrorMessage="1" xr:uid="{00000000-0002-0000-0200-0000CF040000}">
          <x14:formula1>
            <xm:f>PriceAreaConnection!A2:A1000</xm:f>
          </x14:formula1>
          <xm:sqref>D233</xm:sqref>
        </x14:dataValidation>
        <x14:dataValidation type="list" allowBlank="1" showInputMessage="1" showErrorMessage="1" xr:uid="{00000000-0002-0000-0200-0000D0040000}">
          <x14:formula1>
            <xm:f>PriceAreaConnection!A2:A1000</xm:f>
          </x14:formula1>
          <xm:sqref>D234</xm:sqref>
        </x14:dataValidation>
        <x14:dataValidation type="list" allowBlank="1" showInputMessage="1" showErrorMessage="1" xr:uid="{00000000-0002-0000-0200-0000D1040000}">
          <x14:formula1>
            <xm:f>PriceAreaConnection!A2:A1000</xm:f>
          </x14:formula1>
          <xm:sqref>D235</xm:sqref>
        </x14:dataValidation>
        <x14:dataValidation type="list" allowBlank="1" showInputMessage="1" showErrorMessage="1" xr:uid="{00000000-0002-0000-0200-0000D2040000}">
          <x14:formula1>
            <xm:f>PriceAreaConnection!A2:A1000</xm:f>
          </x14:formula1>
          <xm:sqref>D236</xm:sqref>
        </x14:dataValidation>
        <x14:dataValidation type="list" allowBlank="1" showInputMessage="1" showErrorMessage="1" xr:uid="{00000000-0002-0000-0200-0000D3040000}">
          <x14:formula1>
            <xm:f>PriceAreaConnection!A2:A1000</xm:f>
          </x14:formula1>
          <xm:sqref>D237</xm:sqref>
        </x14:dataValidation>
        <x14:dataValidation type="list" allowBlank="1" showInputMessage="1" showErrorMessage="1" xr:uid="{00000000-0002-0000-0200-0000D4040000}">
          <x14:formula1>
            <xm:f>PriceAreaConnection!A2:A1000</xm:f>
          </x14:formula1>
          <xm:sqref>D238</xm:sqref>
        </x14:dataValidation>
        <x14:dataValidation type="list" allowBlank="1" showInputMessage="1" showErrorMessage="1" xr:uid="{00000000-0002-0000-0200-0000D5040000}">
          <x14:formula1>
            <xm:f>PriceAreaConnection!A2:A1000</xm:f>
          </x14:formula1>
          <xm:sqref>D239</xm:sqref>
        </x14:dataValidation>
        <x14:dataValidation type="list" allowBlank="1" showInputMessage="1" showErrorMessage="1" xr:uid="{00000000-0002-0000-0200-0000D6040000}">
          <x14:formula1>
            <xm:f>PriceAreaConnection!A2:A1000</xm:f>
          </x14:formula1>
          <xm:sqref>D240</xm:sqref>
        </x14:dataValidation>
        <x14:dataValidation type="list" allowBlank="1" showInputMessage="1" showErrorMessage="1" xr:uid="{00000000-0002-0000-0200-0000D7040000}">
          <x14:formula1>
            <xm:f>PriceAreaConnection!A2:A1000</xm:f>
          </x14:formula1>
          <xm:sqref>D241</xm:sqref>
        </x14:dataValidation>
        <x14:dataValidation type="list" allowBlank="1" showInputMessage="1" showErrorMessage="1" xr:uid="{00000000-0002-0000-0200-0000D8040000}">
          <x14:formula1>
            <xm:f>PriceAreaConnection!A2:A1000</xm:f>
          </x14:formula1>
          <xm:sqref>D242</xm:sqref>
        </x14:dataValidation>
        <x14:dataValidation type="list" allowBlank="1" showInputMessage="1" showErrorMessage="1" xr:uid="{00000000-0002-0000-0200-0000D9040000}">
          <x14:formula1>
            <xm:f>PriceAreaConnection!A2:A1000</xm:f>
          </x14:formula1>
          <xm:sqref>D243</xm:sqref>
        </x14:dataValidation>
        <x14:dataValidation type="list" allowBlank="1" showInputMessage="1" showErrorMessage="1" xr:uid="{00000000-0002-0000-0200-0000DA040000}">
          <x14:formula1>
            <xm:f>PriceAreaConnection!A2:A1000</xm:f>
          </x14:formula1>
          <xm:sqref>D244</xm:sqref>
        </x14:dataValidation>
        <x14:dataValidation type="list" allowBlank="1" showInputMessage="1" showErrorMessage="1" xr:uid="{00000000-0002-0000-0200-0000DB040000}">
          <x14:formula1>
            <xm:f>PriceAreaConnection!A2:A1000</xm:f>
          </x14:formula1>
          <xm:sqref>D245</xm:sqref>
        </x14:dataValidation>
        <x14:dataValidation type="list" allowBlank="1" showInputMessage="1" showErrorMessage="1" xr:uid="{00000000-0002-0000-0200-0000DC040000}">
          <x14:formula1>
            <xm:f>PriceAreaConnection!A2:A1000</xm:f>
          </x14:formula1>
          <xm:sqref>D246</xm:sqref>
        </x14:dataValidation>
        <x14:dataValidation type="list" allowBlank="1" showInputMessage="1" showErrorMessage="1" xr:uid="{00000000-0002-0000-0200-0000DD040000}">
          <x14:formula1>
            <xm:f>PriceAreaConnection!A2:A1000</xm:f>
          </x14:formula1>
          <xm:sqref>D247</xm:sqref>
        </x14:dataValidation>
        <x14:dataValidation type="list" allowBlank="1" showInputMessage="1" showErrorMessage="1" xr:uid="{00000000-0002-0000-0200-0000DE040000}">
          <x14:formula1>
            <xm:f>PriceAreaConnection!A2:A1000</xm:f>
          </x14:formula1>
          <xm:sqref>D248</xm:sqref>
        </x14:dataValidation>
        <x14:dataValidation type="list" allowBlank="1" showInputMessage="1" showErrorMessage="1" xr:uid="{00000000-0002-0000-0200-0000DF040000}">
          <x14:formula1>
            <xm:f>PriceAreaConnection!A2:A1000</xm:f>
          </x14:formula1>
          <xm:sqref>D249</xm:sqref>
        </x14:dataValidation>
        <x14:dataValidation type="list" allowBlank="1" showInputMessage="1" showErrorMessage="1" xr:uid="{00000000-0002-0000-0200-0000E0040000}">
          <x14:formula1>
            <xm:f>PriceAreaConnection!A2:A1000</xm:f>
          </x14:formula1>
          <xm:sqref>D250</xm:sqref>
        </x14:dataValidation>
        <x14:dataValidation type="list" allowBlank="1" showInputMessage="1" showErrorMessage="1" xr:uid="{00000000-0002-0000-0200-0000E1040000}">
          <x14:formula1>
            <xm:f>PriceAreaConnection!A2:A1000</xm:f>
          </x14:formula1>
          <xm:sqref>D251</xm:sqref>
        </x14:dataValidation>
        <x14:dataValidation type="list" allowBlank="1" showInputMessage="1" showErrorMessage="1" xr:uid="{00000000-0002-0000-0200-0000E2040000}">
          <x14:formula1>
            <xm:f>PriceAreaConnection!A2:A1000</xm:f>
          </x14:formula1>
          <xm:sqref>D252</xm:sqref>
        </x14:dataValidation>
        <x14:dataValidation type="list" allowBlank="1" showInputMessage="1" showErrorMessage="1" xr:uid="{00000000-0002-0000-0200-0000E3040000}">
          <x14:formula1>
            <xm:f>PriceAreaConnection!A2:A1000</xm:f>
          </x14:formula1>
          <xm:sqref>D253</xm:sqref>
        </x14:dataValidation>
        <x14:dataValidation type="list" allowBlank="1" showInputMessage="1" showErrorMessage="1" xr:uid="{00000000-0002-0000-0200-0000E4040000}">
          <x14:formula1>
            <xm:f>PriceAreaConnection!A2:A1000</xm:f>
          </x14:formula1>
          <xm:sqref>D254</xm:sqref>
        </x14:dataValidation>
        <x14:dataValidation type="list" allowBlank="1" showInputMessage="1" showErrorMessage="1" xr:uid="{00000000-0002-0000-0200-0000E5040000}">
          <x14:formula1>
            <xm:f>PriceAreaConnection!A2:A1000</xm:f>
          </x14:formula1>
          <xm:sqref>D255</xm:sqref>
        </x14:dataValidation>
        <x14:dataValidation type="list" allowBlank="1" showInputMessage="1" showErrorMessage="1" xr:uid="{00000000-0002-0000-0200-0000E6040000}">
          <x14:formula1>
            <xm:f>PriceAreaConnection!A2:A1000</xm:f>
          </x14:formula1>
          <xm:sqref>D256</xm:sqref>
        </x14:dataValidation>
        <x14:dataValidation type="list" allowBlank="1" showInputMessage="1" showErrorMessage="1" xr:uid="{00000000-0002-0000-0200-0000E7040000}">
          <x14:formula1>
            <xm:f>PriceAreaConnection!A2:A1000</xm:f>
          </x14:formula1>
          <xm:sqref>D257</xm:sqref>
        </x14:dataValidation>
        <x14:dataValidation type="list" allowBlank="1" showInputMessage="1" showErrorMessage="1" xr:uid="{00000000-0002-0000-0200-0000E8040000}">
          <x14:formula1>
            <xm:f>PriceAreaConnection!A2:A1000</xm:f>
          </x14:formula1>
          <xm:sqref>D258</xm:sqref>
        </x14:dataValidation>
        <x14:dataValidation type="list" allowBlank="1" showInputMessage="1" showErrorMessage="1" xr:uid="{00000000-0002-0000-0200-0000E9040000}">
          <x14:formula1>
            <xm:f>PriceAreaConnection!A2:A1000</xm:f>
          </x14:formula1>
          <xm:sqref>D259</xm:sqref>
        </x14:dataValidation>
        <x14:dataValidation type="list" allowBlank="1" showInputMessage="1" showErrorMessage="1" xr:uid="{00000000-0002-0000-0200-0000EA040000}">
          <x14:formula1>
            <xm:f>PriceAreaConnection!A2:A1000</xm:f>
          </x14:formula1>
          <xm:sqref>D260</xm:sqref>
        </x14:dataValidation>
        <x14:dataValidation type="list" allowBlank="1" showInputMessage="1" showErrorMessage="1" xr:uid="{00000000-0002-0000-0200-0000EB040000}">
          <x14:formula1>
            <xm:f>PriceAreaConnection!A2:A1000</xm:f>
          </x14:formula1>
          <xm:sqref>D261</xm:sqref>
        </x14:dataValidation>
        <x14:dataValidation type="list" allowBlank="1" showInputMessage="1" showErrorMessage="1" xr:uid="{00000000-0002-0000-0200-0000EC040000}">
          <x14:formula1>
            <xm:f>PriceAreaConnection!A2:A1000</xm:f>
          </x14:formula1>
          <xm:sqref>D262</xm:sqref>
        </x14:dataValidation>
        <x14:dataValidation type="list" allowBlank="1" showInputMessage="1" showErrorMessage="1" xr:uid="{00000000-0002-0000-0200-0000ED040000}">
          <x14:formula1>
            <xm:f>PriceAreaConnection!A2:A1000</xm:f>
          </x14:formula1>
          <xm:sqref>D263</xm:sqref>
        </x14:dataValidation>
        <x14:dataValidation type="list" allowBlank="1" showInputMessage="1" showErrorMessage="1" xr:uid="{00000000-0002-0000-0200-0000EE040000}">
          <x14:formula1>
            <xm:f>PriceAreaConnection!A2:A1000</xm:f>
          </x14:formula1>
          <xm:sqref>D264</xm:sqref>
        </x14:dataValidation>
        <x14:dataValidation type="list" allowBlank="1" showInputMessage="1" showErrorMessage="1" xr:uid="{00000000-0002-0000-0200-0000EF040000}">
          <x14:formula1>
            <xm:f>PriceAreaConnection!A2:A1000</xm:f>
          </x14:formula1>
          <xm:sqref>D265</xm:sqref>
        </x14:dataValidation>
        <x14:dataValidation type="list" allowBlank="1" showInputMessage="1" showErrorMessage="1" xr:uid="{00000000-0002-0000-0200-0000F0040000}">
          <x14:formula1>
            <xm:f>PriceAreaConnection!A2:A1000</xm:f>
          </x14:formula1>
          <xm:sqref>D266</xm:sqref>
        </x14:dataValidation>
        <x14:dataValidation type="list" allowBlank="1" showInputMessage="1" showErrorMessage="1" xr:uid="{00000000-0002-0000-0200-0000F1040000}">
          <x14:formula1>
            <xm:f>PriceAreaConnection!A2:A1000</xm:f>
          </x14:formula1>
          <xm:sqref>D267</xm:sqref>
        </x14:dataValidation>
        <x14:dataValidation type="list" allowBlank="1" showInputMessage="1" showErrorMessage="1" xr:uid="{00000000-0002-0000-0200-0000F2040000}">
          <x14:formula1>
            <xm:f>PriceAreaConnection!A2:A1000</xm:f>
          </x14:formula1>
          <xm:sqref>D268</xm:sqref>
        </x14:dataValidation>
        <x14:dataValidation type="list" allowBlank="1" showInputMessage="1" showErrorMessage="1" xr:uid="{00000000-0002-0000-0200-0000F3040000}">
          <x14:formula1>
            <xm:f>PriceAreaConnection!A2:A1000</xm:f>
          </x14:formula1>
          <xm:sqref>D269</xm:sqref>
        </x14:dataValidation>
        <x14:dataValidation type="list" allowBlank="1" showInputMessage="1" showErrorMessage="1" xr:uid="{00000000-0002-0000-0200-0000F4040000}">
          <x14:formula1>
            <xm:f>PriceAreaConnection!A2:A1000</xm:f>
          </x14:formula1>
          <xm:sqref>D270</xm:sqref>
        </x14:dataValidation>
        <x14:dataValidation type="list" allowBlank="1" showInputMessage="1" showErrorMessage="1" xr:uid="{00000000-0002-0000-0200-0000F5040000}">
          <x14:formula1>
            <xm:f>PriceAreaConnection!A2:A1000</xm:f>
          </x14:formula1>
          <xm:sqref>D271</xm:sqref>
        </x14:dataValidation>
        <x14:dataValidation type="list" allowBlank="1" showInputMessage="1" showErrorMessage="1" xr:uid="{00000000-0002-0000-0200-0000F6040000}">
          <x14:formula1>
            <xm:f>PriceAreaConnection!A2:A1000</xm:f>
          </x14:formula1>
          <xm:sqref>D272</xm:sqref>
        </x14:dataValidation>
        <x14:dataValidation type="list" allowBlank="1" showInputMessage="1" showErrorMessage="1" xr:uid="{00000000-0002-0000-0200-0000F7040000}">
          <x14:formula1>
            <xm:f>PriceAreaConnection!A2:A1000</xm:f>
          </x14:formula1>
          <xm:sqref>D273</xm:sqref>
        </x14:dataValidation>
        <x14:dataValidation type="list" allowBlank="1" showInputMessage="1" showErrorMessage="1" xr:uid="{00000000-0002-0000-0200-0000F8040000}">
          <x14:formula1>
            <xm:f>PriceAreaConnection!A2:A1000</xm:f>
          </x14:formula1>
          <xm:sqref>D274</xm:sqref>
        </x14:dataValidation>
        <x14:dataValidation type="list" allowBlank="1" showInputMessage="1" showErrorMessage="1" xr:uid="{00000000-0002-0000-0200-0000F9040000}">
          <x14:formula1>
            <xm:f>PriceAreaConnection!A2:A1000</xm:f>
          </x14:formula1>
          <xm:sqref>D275</xm:sqref>
        </x14:dataValidation>
        <x14:dataValidation type="list" allowBlank="1" showInputMessage="1" showErrorMessage="1" xr:uid="{00000000-0002-0000-0200-0000FA040000}">
          <x14:formula1>
            <xm:f>PriceAreaConnection!A2:A1000</xm:f>
          </x14:formula1>
          <xm:sqref>D276</xm:sqref>
        </x14:dataValidation>
        <x14:dataValidation type="list" allowBlank="1" showInputMessage="1" showErrorMessage="1" xr:uid="{00000000-0002-0000-0200-0000FB040000}">
          <x14:formula1>
            <xm:f>PriceAreaConnection!A2:A1000</xm:f>
          </x14:formula1>
          <xm:sqref>D277</xm:sqref>
        </x14:dataValidation>
        <x14:dataValidation type="list" allowBlank="1" showInputMessage="1" showErrorMessage="1" xr:uid="{00000000-0002-0000-0200-0000FC040000}">
          <x14:formula1>
            <xm:f>PriceAreaConnection!A2:A1000</xm:f>
          </x14:formula1>
          <xm:sqref>D278</xm:sqref>
        </x14:dataValidation>
        <x14:dataValidation type="list" allowBlank="1" showInputMessage="1" showErrorMessage="1" xr:uid="{00000000-0002-0000-0200-0000FD040000}">
          <x14:formula1>
            <xm:f>PriceAreaConnection!A2:A1000</xm:f>
          </x14:formula1>
          <xm:sqref>D279</xm:sqref>
        </x14:dataValidation>
        <x14:dataValidation type="list" allowBlank="1" showInputMessage="1" showErrorMessage="1" xr:uid="{00000000-0002-0000-0200-0000FE040000}">
          <x14:formula1>
            <xm:f>PriceAreaConnection!A2:A1000</xm:f>
          </x14:formula1>
          <xm:sqref>D280</xm:sqref>
        </x14:dataValidation>
        <x14:dataValidation type="list" allowBlank="1" showInputMessage="1" showErrorMessage="1" xr:uid="{00000000-0002-0000-0200-0000FF040000}">
          <x14:formula1>
            <xm:f>PriceAreaConnection!A2:A1000</xm:f>
          </x14:formula1>
          <xm:sqref>D281</xm:sqref>
        </x14:dataValidation>
        <x14:dataValidation type="list" allowBlank="1" showInputMessage="1" showErrorMessage="1" xr:uid="{00000000-0002-0000-0200-000000050000}">
          <x14:formula1>
            <xm:f>PriceAreaConnection!A2:A1000</xm:f>
          </x14:formula1>
          <xm:sqref>D282</xm:sqref>
        </x14:dataValidation>
        <x14:dataValidation type="list" allowBlank="1" showInputMessage="1" showErrorMessage="1" xr:uid="{00000000-0002-0000-0200-000001050000}">
          <x14:formula1>
            <xm:f>PriceAreaConnection!A2:A1000</xm:f>
          </x14:formula1>
          <xm:sqref>D283</xm:sqref>
        </x14:dataValidation>
        <x14:dataValidation type="list" allowBlank="1" showInputMessage="1" showErrorMessage="1" xr:uid="{00000000-0002-0000-0200-000002050000}">
          <x14:formula1>
            <xm:f>PriceAreaConnection!A2:A1000</xm:f>
          </x14:formula1>
          <xm:sqref>D284</xm:sqref>
        </x14:dataValidation>
        <x14:dataValidation type="list" allowBlank="1" showInputMessage="1" showErrorMessage="1" xr:uid="{00000000-0002-0000-0200-000003050000}">
          <x14:formula1>
            <xm:f>PriceAreaConnection!A2:A1000</xm:f>
          </x14:formula1>
          <xm:sqref>D285</xm:sqref>
        </x14:dataValidation>
        <x14:dataValidation type="list" allowBlank="1" showInputMessage="1" showErrorMessage="1" xr:uid="{00000000-0002-0000-0200-000004050000}">
          <x14:formula1>
            <xm:f>PriceAreaConnection!A2:A1000</xm:f>
          </x14:formula1>
          <xm:sqref>D286</xm:sqref>
        </x14:dataValidation>
        <x14:dataValidation type="list" allowBlank="1" showInputMessage="1" showErrorMessage="1" xr:uid="{00000000-0002-0000-0200-000005050000}">
          <x14:formula1>
            <xm:f>PriceAreaConnection!A2:A1000</xm:f>
          </x14:formula1>
          <xm:sqref>D287</xm:sqref>
        </x14:dataValidation>
        <x14:dataValidation type="list" allowBlank="1" showInputMessage="1" showErrorMessage="1" xr:uid="{00000000-0002-0000-0200-000006050000}">
          <x14:formula1>
            <xm:f>PriceAreaConnection!A2:A1000</xm:f>
          </x14:formula1>
          <xm:sqref>D288</xm:sqref>
        </x14:dataValidation>
        <x14:dataValidation type="list" allowBlank="1" showInputMessage="1" showErrorMessage="1" xr:uid="{00000000-0002-0000-0200-000007050000}">
          <x14:formula1>
            <xm:f>PriceAreaConnection!A2:A1000</xm:f>
          </x14:formula1>
          <xm:sqref>D289</xm:sqref>
        </x14:dataValidation>
        <x14:dataValidation type="list" allowBlank="1" showInputMessage="1" showErrorMessage="1" xr:uid="{00000000-0002-0000-0200-000008050000}">
          <x14:formula1>
            <xm:f>PriceAreaConnection!A2:A1000</xm:f>
          </x14:formula1>
          <xm:sqref>D290</xm:sqref>
        </x14:dataValidation>
        <x14:dataValidation type="list" allowBlank="1" showInputMessage="1" showErrorMessage="1" xr:uid="{00000000-0002-0000-0200-000009050000}">
          <x14:formula1>
            <xm:f>PriceAreaConnection!A2:A1000</xm:f>
          </x14:formula1>
          <xm:sqref>D291</xm:sqref>
        </x14:dataValidation>
        <x14:dataValidation type="list" allowBlank="1" showInputMessage="1" showErrorMessage="1" xr:uid="{00000000-0002-0000-0200-00000A050000}">
          <x14:formula1>
            <xm:f>PriceAreaConnection!A2:A1000</xm:f>
          </x14:formula1>
          <xm:sqref>D292</xm:sqref>
        </x14:dataValidation>
        <x14:dataValidation type="list" allowBlank="1" showInputMessage="1" showErrorMessage="1" xr:uid="{00000000-0002-0000-0200-00000B050000}">
          <x14:formula1>
            <xm:f>PriceAreaConnection!A2:A1000</xm:f>
          </x14:formula1>
          <xm:sqref>D293</xm:sqref>
        </x14:dataValidation>
        <x14:dataValidation type="list" allowBlank="1" showInputMessage="1" showErrorMessage="1" xr:uid="{00000000-0002-0000-0200-00000C050000}">
          <x14:formula1>
            <xm:f>PriceAreaConnection!A2:A1000</xm:f>
          </x14:formula1>
          <xm:sqref>D294</xm:sqref>
        </x14:dataValidation>
        <x14:dataValidation type="list" allowBlank="1" showInputMessage="1" showErrorMessage="1" xr:uid="{00000000-0002-0000-0200-00000D050000}">
          <x14:formula1>
            <xm:f>PriceAreaConnection!A2:A1000</xm:f>
          </x14:formula1>
          <xm:sqref>D295</xm:sqref>
        </x14:dataValidation>
        <x14:dataValidation type="list" allowBlank="1" showInputMessage="1" showErrorMessage="1" xr:uid="{00000000-0002-0000-0200-00000E050000}">
          <x14:formula1>
            <xm:f>PriceAreaConnection!A2:A1000</xm:f>
          </x14:formula1>
          <xm:sqref>D296</xm:sqref>
        </x14:dataValidation>
        <x14:dataValidation type="list" allowBlank="1" showInputMessage="1" showErrorMessage="1" xr:uid="{00000000-0002-0000-0200-00000F050000}">
          <x14:formula1>
            <xm:f>PriceAreaConnection!A2:A1000</xm:f>
          </x14:formula1>
          <xm:sqref>D297</xm:sqref>
        </x14:dataValidation>
        <x14:dataValidation type="list" allowBlank="1" showInputMessage="1" showErrorMessage="1" xr:uid="{00000000-0002-0000-0200-000010050000}">
          <x14:formula1>
            <xm:f>PriceAreaConnection!A2:A1000</xm:f>
          </x14:formula1>
          <xm:sqref>D298</xm:sqref>
        </x14:dataValidation>
        <x14:dataValidation type="list" allowBlank="1" showInputMessage="1" showErrorMessage="1" xr:uid="{00000000-0002-0000-0200-000011050000}">
          <x14:formula1>
            <xm:f>PriceAreaConnection!A2:A1000</xm:f>
          </x14:formula1>
          <xm:sqref>D299</xm:sqref>
        </x14:dataValidation>
        <x14:dataValidation type="list" allowBlank="1" showInputMessage="1" showErrorMessage="1" xr:uid="{00000000-0002-0000-0200-000012050000}">
          <x14:formula1>
            <xm:f>PriceAreaConnection!A2:A1000</xm:f>
          </x14:formula1>
          <xm:sqref>D300</xm:sqref>
        </x14:dataValidation>
        <x14:dataValidation type="list" allowBlank="1" showInputMessage="1" showErrorMessage="1" xr:uid="{00000000-0002-0000-0200-000013050000}">
          <x14:formula1>
            <xm:f>PriceAreaConnection!A2:A1000</xm:f>
          </x14:formula1>
          <xm:sqref>D301</xm:sqref>
        </x14:dataValidation>
        <x14:dataValidation type="list" allowBlank="1" showInputMessage="1" showErrorMessage="1" xr:uid="{00000000-0002-0000-0200-000014050000}">
          <x14:formula1>
            <xm:f>PriceAreaConnection!A2:A1000</xm:f>
          </x14:formula1>
          <xm:sqref>D302</xm:sqref>
        </x14:dataValidation>
        <x14:dataValidation type="list" allowBlank="1" showInputMessage="1" showErrorMessage="1" xr:uid="{00000000-0002-0000-0200-000015050000}">
          <x14:formula1>
            <xm:f>PriceAreaConnection!A2:A1000</xm:f>
          </x14:formula1>
          <xm:sqref>D303</xm:sqref>
        </x14:dataValidation>
        <x14:dataValidation type="list" allowBlank="1" showInputMessage="1" showErrorMessage="1" xr:uid="{00000000-0002-0000-0200-000016050000}">
          <x14:formula1>
            <xm:f>PriceAreaConnection!A2:A1000</xm:f>
          </x14:formula1>
          <xm:sqref>D304</xm:sqref>
        </x14:dataValidation>
        <x14:dataValidation type="list" allowBlank="1" showInputMessage="1" showErrorMessage="1" xr:uid="{00000000-0002-0000-0200-000017050000}">
          <x14:formula1>
            <xm:f>PriceAreaConnection!A2:A1000</xm:f>
          </x14:formula1>
          <xm:sqref>D305</xm:sqref>
        </x14:dataValidation>
        <x14:dataValidation type="list" allowBlank="1" showInputMessage="1" showErrorMessage="1" xr:uid="{00000000-0002-0000-0200-000018050000}">
          <x14:formula1>
            <xm:f>PriceAreaConnection!A2:A1000</xm:f>
          </x14:formula1>
          <xm:sqref>D306</xm:sqref>
        </x14:dataValidation>
        <x14:dataValidation type="list" allowBlank="1" showInputMessage="1" showErrorMessage="1" xr:uid="{00000000-0002-0000-0200-000019050000}">
          <x14:formula1>
            <xm:f>PriceAreaConnection!A2:A1000</xm:f>
          </x14:formula1>
          <xm:sqref>D307</xm:sqref>
        </x14:dataValidation>
        <x14:dataValidation type="list" allowBlank="1" showInputMessage="1" showErrorMessage="1" xr:uid="{00000000-0002-0000-0200-00001A050000}">
          <x14:formula1>
            <xm:f>PriceAreaConnection!A2:A1000</xm:f>
          </x14:formula1>
          <xm:sqref>D308</xm:sqref>
        </x14:dataValidation>
        <x14:dataValidation type="list" allowBlank="1" showInputMessage="1" showErrorMessage="1" xr:uid="{00000000-0002-0000-0200-00001B050000}">
          <x14:formula1>
            <xm:f>PriceAreaConnection!A2:A1000</xm:f>
          </x14:formula1>
          <xm:sqref>D309</xm:sqref>
        </x14:dataValidation>
        <x14:dataValidation type="list" allowBlank="1" showInputMessage="1" showErrorMessage="1" xr:uid="{00000000-0002-0000-0200-00001C050000}">
          <x14:formula1>
            <xm:f>PriceAreaConnection!A2:A1000</xm:f>
          </x14:formula1>
          <xm:sqref>D310</xm:sqref>
        </x14:dataValidation>
        <x14:dataValidation type="list" allowBlank="1" showInputMessage="1" showErrorMessage="1" xr:uid="{00000000-0002-0000-0200-00001D050000}">
          <x14:formula1>
            <xm:f>PriceAreaConnection!A2:A1000</xm:f>
          </x14:formula1>
          <xm:sqref>D311</xm:sqref>
        </x14:dataValidation>
        <x14:dataValidation type="list" allowBlank="1" showInputMessage="1" showErrorMessage="1" xr:uid="{00000000-0002-0000-0200-00001E050000}">
          <x14:formula1>
            <xm:f>PriceAreaConnection!A2:A1000</xm:f>
          </x14:formula1>
          <xm:sqref>D312</xm:sqref>
        </x14:dataValidation>
        <x14:dataValidation type="list" allowBlank="1" showInputMessage="1" showErrorMessage="1" xr:uid="{00000000-0002-0000-0200-00001F050000}">
          <x14:formula1>
            <xm:f>PriceAreaConnection!A2:A1000</xm:f>
          </x14:formula1>
          <xm:sqref>D313</xm:sqref>
        </x14:dataValidation>
        <x14:dataValidation type="list" allowBlank="1" showInputMessage="1" showErrorMessage="1" xr:uid="{00000000-0002-0000-0200-000020050000}">
          <x14:formula1>
            <xm:f>PriceAreaConnection!A2:A1000</xm:f>
          </x14:formula1>
          <xm:sqref>D314</xm:sqref>
        </x14:dataValidation>
        <x14:dataValidation type="list" allowBlank="1" showInputMessage="1" showErrorMessage="1" xr:uid="{00000000-0002-0000-0200-000021050000}">
          <x14:formula1>
            <xm:f>PriceAreaConnection!A2:A1000</xm:f>
          </x14:formula1>
          <xm:sqref>D315</xm:sqref>
        </x14:dataValidation>
        <x14:dataValidation type="list" allowBlank="1" showInputMessage="1" showErrorMessage="1" xr:uid="{00000000-0002-0000-0200-000022050000}">
          <x14:formula1>
            <xm:f>PriceAreaConnection!A2:A1000</xm:f>
          </x14:formula1>
          <xm:sqref>D316</xm:sqref>
        </x14:dataValidation>
        <x14:dataValidation type="list" allowBlank="1" showInputMessage="1" showErrorMessage="1" xr:uid="{00000000-0002-0000-0200-000023050000}">
          <x14:formula1>
            <xm:f>PriceAreaConnection!A2:A1000</xm:f>
          </x14:formula1>
          <xm:sqref>D317</xm:sqref>
        </x14:dataValidation>
        <x14:dataValidation type="list" allowBlank="1" showInputMessage="1" showErrorMessage="1" xr:uid="{00000000-0002-0000-0200-000024050000}">
          <x14:formula1>
            <xm:f>PriceAreaConnection!A2:A1000</xm:f>
          </x14:formula1>
          <xm:sqref>D318</xm:sqref>
        </x14:dataValidation>
        <x14:dataValidation type="list" allowBlank="1" showInputMessage="1" showErrorMessage="1" xr:uid="{00000000-0002-0000-0200-000025050000}">
          <x14:formula1>
            <xm:f>PriceAreaConnection!A2:A1000</xm:f>
          </x14:formula1>
          <xm:sqref>D319</xm:sqref>
        </x14:dataValidation>
        <x14:dataValidation type="list" allowBlank="1" showInputMessage="1" showErrorMessage="1" xr:uid="{00000000-0002-0000-0200-000026050000}">
          <x14:formula1>
            <xm:f>PriceAreaConnection!A2:A1000</xm:f>
          </x14:formula1>
          <xm:sqref>D320</xm:sqref>
        </x14:dataValidation>
        <x14:dataValidation type="list" allowBlank="1" showInputMessage="1" showErrorMessage="1" xr:uid="{00000000-0002-0000-0200-000027050000}">
          <x14:formula1>
            <xm:f>PriceAreaConnection!A2:A1000</xm:f>
          </x14:formula1>
          <xm:sqref>D321</xm:sqref>
        </x14:dataValidation>
        <x14:dataValidation type="list" allowBlank="1" showInputMessage="1" showErrorMessage="1" xr:uid="{00000000-0002-0000-0200-000028050000}">
          <x14:formula1>
            <xm:f>PriceAreaConnection!A2:A1000</xm:f>
          </x14:formula1>
          <xm:sqref>D322</xm:sqref>
        </x14:dataValidation>
        <x14:dataValidation type="list" allowBlank="1" showInputMessage="1" showErrorMessage="1" xr:uid="{00000000-0002-0000-0200-000029050000}">
          <x14:formula1>
            <xm:f>PriceAreaConnection!A2:A1000</xm:f>
          </x14:formula1>
          <xm:sqref>D323</xm:sqref>
        </x14:dataValidation>
        <x14:dataValidation type="list" allowBlank="1" showInputMessage="1" showErrorMessage="1" xr:uid="{00000000-0002-0000-0200-00002A050000}">
          <x14:formula1>
            <xm:f>PriceAreaConnection!A2:A1000</xm:f>
          </x14:formula1>
          <xm:sqref>D324</xm:sqref>
        </x14:dataValidation>
        <x14:dataValidation type="list" allowBlank="1" showInputMessage="1" showErrorMessage="1" xr:uid="{00000000-0002-0000-0200-00002B050000}">
          <x14:formula1>
            <xm:f>PriceAreaConnection!A2:A1000</xm:f>
          </x14:formula1>
          <xm:sqref>D325</xm:sqref>
        </x14:dataValidation>
        <x14:dataValidation type="list" allowBlank="1" showInputMessage="1" showErrorMessage="1" xr:uid="{00000000-0002-0000-0200-00002C050000}">
          <x14:formula1>
            <xm:f>PriceAreaConnection!A2:A1000</xm:f>
          </x14:formula1>
          <xm:sqref>D326</xm:sqref>
        </x14:dataValidation>
        <x14:dataValidation type="list" allowBlank="1" showInputMessage="1" showErrorMessage="1" xr:uid="{00000000-0002-0000-0200-00002D050000}">
          <x14:formula1>
            <xm:f>PriceAreaConnection!A2:A1000</xm:f>
          </x14:formula1>
          <xm:sqref>D327</xm:sqref>
        </x14:dataValidation>
        <x14:dataValidation type="list" allowBlank="1" showInputMessage="1" showErrorMessage="1" xr:uid="{00000000-0002-0000-0200-00002E050000}">
          <x14:formula1>
            <xm:f>PriceAreaConnection!A2:A1000</xm:f>
          </x14:formula1>
          <xm:sqref>D328</xm:sqref>
        </x14:dataValidation>
        <x14:dataValidation type="list" allowBlank="1" showInputMessage="1" showErrorMessage="1" xr:uid="{00000000-0002-0000-0200-00002F050000}">
          <x14:formula1>
            <xm:f>PriceAreaConnection!A2:A1000</xm:f>
          </x14:formula1>
          <xm:sqref>D329</xm:sqref>
        </x14:dataValidation>
        <x14:dataValidation type="list" allowBlank="1" showInputMessage="1" showErrorMessage="1" xr:uid="{00000000-0002-0000-0200-000030050000}">
          <x14:formula1>
            <xm:f>PriceAreaConnection!A2:A1000</xm:f>
          </x14:formula1>
          <xm:sqref>D330</xm:sqref>
        </x14:dataValidation>
        <x14:dataValidation type="list" allowBlank="1" showInputMessage="1" showErrorMessage="1" xr:uid="{00000000-0002-0000-0200-000031050000}">
          <x14:formula1>
            <xm:f>PriceAreaConnection!A2:A1000</xm:f>
          </x14:formula1>
          <xm:sqref>D331</xm:sqref>
        </x14:dataValidation>
        <x14:dataValidation type="list" allowBlank="1" showInputMessage="1" showErrorMessage="1" xr:uid="{00000000-0002-0000-0200-000032050000}">
          <x14:formula1>
            <xm:f>PriceAreaConnection!A2:A1000</xm:f>
          </x14:formula1>
          <xm:sqref>D332</xm:sqref>
        </x14:dataValidation>
        <x14:dataValidation type="list" allowBlank="1" showInputMessage="1" showErrorMessage="1" xr:uid="{00000000-0002-0000-0200-000033050000}">
          <x14:formula1>
            <xm:f>PriceAreaConnection!A2:A1000</xm:f>
          </x14:formula1>
          <xm:sqref>D333</xm:sqref>
        </x14:dataValidation>
        <x14:dataValidation type="list" allowBlank="1" showInputMessage="1" showErrorMessage="1" xr:uid="{00000000-0002-0000-0200-000034050000}">
          <x14:formula1>
            <xm:f>PriceAreaConnection!A2:A1000</xm:f>
          </x14:formula1>
          <xm:sqref>D334</xm:sqref>
        </x14:dataValidation>
        <x14:dataValidation type="list" allowBlank="1" showInputMessage="1" showErrorMessage="1" xr:uid="{00000000-0002-0000-0200-000035050000}">
          <x14:formula1>
            <xm:f>PriceAreaConnection!A2:A1000</xm:f>
          </x14:formula1>
          <xm:sqref>D335</xm:sqref>
        </x14:dataValidation>
        <x14:dataValidation type="list" allowBlank="1" showInputMessage="1" showErrorMessage="1" xr:uid="{00000000-0002-0000-0200-000036050000}">
          <x14:formula1>
            <xm:f>PriceAreaConnection!A2:A1000</xm:f>
          </x14:formula1>
          <xm:sqref>D336</xm:sqref>
        </x14:dataValidation>
        <x14:dataValidation type="list" allowBlank="1" showInputMessage="1" showErrorMessage="1" xr:uid="{00000000-0002-0000-0200-000037050000}">
          <x14:formula1>
            <xm:f>PriceAreaConnection!A2:A1000</xm:f>
          </x14:formula1>
          <xm:sqref>D337</xm:sqref>
        </x14:dataValidation>
        <x14:dataValidation type="list" allowBlank="1" showInputMessage="1" showErrorMessage="1" xr:uid="{00000000-0002-0000-0200-000038050000}">
          <x14:formula1>
            <xm:f>PriceAreaConnection!A2:A1000</xm:f>
          </x14:formula1>
          <xm:sqref>D338</xm:sqref>
        </x14:dataValidation>
        <x14:dataValidation type="list" allowBlank="1" showInputMessage="1" showErrorMessage="1" xr:uid="{00000000-0002-0000-0200-000039050000}">
          <x14:formula1>
            <xm:f>PriceAreaConnection!A2:A1000</xm:f>
          </x14:formula1>
          <xm:sqref>D339</xm:sqref>
        </x14:dataValidation>
        <x14:dataValidation type="list" allowBlank="1" showInputMessage="1" showErrorMessage="1" xr:uid="{00000000-0002-0000-0200-00003A050000}">
          <x14:formula1>
            <xm:f>PriceAreaConnection!A2:A1000</xm:f>
          </x14:formula1>
          <xm:sqref>D340</xm:sqref>
        </x14:dataValidation>
        <x14:dataValidation type="list" allowBlank="1" showInputMessage="1" showErrorMessage="1" xr:uid="{00000000-0002-0000-0200-00003B050000}">
          <x14:formula1>
            <xm:f>PriceAreaConnection!A2:A1000</xm:f>
          </x14:formula1>
          <xm:sqref>D341</xm:sqref>
        </x14:dataValidation>
        <x14:dataValidation type="list" allowBlank="1" showInputMessage="1" showErrorMessage="1" xr:uid="{00000000-0002-0000-0200-00003C050000}">
          <x14:formula1>
            <xm:f>PriceAreaConnection!A2:A1000</xm:f>
          </x14:formula1>
          <xm:sqref>D342</xm:sqref>
        </x14:dataValidation>
        <x14:dataValidation type="list" allowBlank="1" showInputMessage="1" showErrorMessage="1" xr:uid="{00000000-0002-0000-0200-00003D050000}">
          <x14:formula1>
            <xm:f>PriceAreaConnection!A2:A1000</xm:f>
          </x14:formula1>
          <xm:sqref>D343</xm:sqref>
        </x14:dataValidation>
        <x14:dataValidation type="list" allowBlank="1" showInputMessage="1" showErrorMessage="1" xr:uid="{00000000-0002-0000-0200-00003E050000}">
          <x14:formula1>
            <xm:f>PriceAreaConnection!A2:A1000</xm:f>
          </x14:formula1>
          <xm:sqref>D344</xm:sqref>
        </x14:dataValidation>
        <x14:dataValidation type="list" allowBlank="1" showInputMessage="1" showErrorMessage="1" xr:uid="{00000000-0002-0000-0200-00003F050000}">
          <x14:formula1>
            <xm:f>PriceAreaConnection!A2:A1000</xm:f>
          </x14:formula1>
          <xm:sqref>D345</xm:sqref>
        </x14:dataValidation>
        <x14:dataValidation type="list" allowBlank="1" showInputMessage="1" showErrorMessage="1" xr:uid="{00000000-0002-0000-0200-000040050000}">
          <x14:formula1>
            <xm:f>PriceAreaConnection!A2:A1000</xm:f>
          </x14:formula1>
          <xm:sqref>D346</xm:sqref>
        </x14:dataValidation>
        <x14:dataValidation type="list" allowBlank="1" showInputMessage="1" showErrorMessage="1" xr:uid="{00000000-0002-0000-0200-000041050000}">
          <x14:formula1>
            <xm:f>PriceAreaConnection!A2:A1000</xm:f>
          </x14:formula1>
          <xm:sqref>D347</xm:sqref>
        </x14:dataValidation>
        <x14:dataValidation type="list" allowBlank="1" showInputMessage="1" showErrorMessage="1" xr:uid="{00000000-0002-0000-0200-000042050000}">
          <x14:formula1>
            <xm:f>PriceAreaConnection!A2:A1000</xm:f>
          </x14:formula1>
          <xm:sqref>D348</xm:sqref>
        </x14:dataValidation>
        <x14:dataValidation type="list" allowBlank="1" showInputMessage="1" showErrorMessage="1" xr:uid="{00000000-0002-0000-0200-000043050000}">
          <x14:formula1>
            <xm:f>PriceAreaConnection!A2:A1000</xm:f>
          </x14:formula1>
          <xm:sqref>D349</xm:sqref>
        </x14:dataValidation>
        <x14:dataValidation type="list" allowBlank="1" showInputMessage="1" showErrorMessage="1" xr:uid="{00000000-0002-0000-0200-000044050000}">
          <x14:formula1>
            <xm:f>PriceAreaConnection!A2:A1000</xm:f>
          </x14:formula1>
          <xm:sqref>D350</xm:sqref>
        </x14:dataValidation>
        <x14:dataValidation type="list" allowBlank="1" showInputMessage="1" showErrorMessage="1" xr:uid="{00000000-0002-0000-0200-000045050000}">
          <x14:formula1>
            <xm:f>PriceAreaConnection!A2:A1000</xm:f>
          </x14:formula1>
          <xm:sqref>D351</xm:sqref>
        </x14:dataValidation>
        <x14:dataValidation type="list" allowBlank="1" showInputMessage="1" showErrorMessage="1" xr:uid="{00000000-0002-0000-0200-000046050000}">
          <x14:formula1>
            <xm:f>PriceAreaConnection!A2:A1000</xm:f>
          </x14:formula1>
          <xm:sqref>D352</xm:sqref>
        </x14:dataValidation>
        <x14:dataValidation type="list" allowBlank="1" showInputMessage="1" showErrorMessage="1" xr:uid="{00000000-0002-0000-0200-000047050000}">
          <x14:formula1>
            <xm:f>PriceAreaConnection!A2:A1000</xm:f>
          </x14:formula1>
          <xm:sqref>D353</xm:sqref>
        </x14:dataValidation>
        <x14:dataValidation type="list" allowBlank="1" showInputMessage="1" showErrorMessage="1" xr:uid="{00000000-0002-0000-0200-000048050000}">
          <x14:formula1>
            <xm:f>PriceAreaConnection!A2:A1000</xm:f>
          </x14:formula1>
          <xm:sqref>D354</xm:sqref>
        </x14:dataValidation>
        <x14:dataValidation type="list" allowBlank="1" showInputMessage="1" showErrorMessage="1" xr:uid="{00000000-0002-0000-0200-000049050000}">
          <x14:formula1>
            <xm:f>PriceAreaConnection!A2:A1000</xm:f>
          </x14:formula1>
          <xm:sqref>D355</xm:sqref>
        </x14:dataValidation>
        <x14:dataValidation type="list" allowBlank="1" showInputMessage="1" showErrorMessage="1" xr:uid="{00000000-0002-0000-0200-00004A050000}">
          <x14:formula1>
            <xm:f>PriceAreaConnection!A2:A1000</xm:f>
          </x14:formula1>
          <xm:sqref>D356</xm:sqref>
        </x14:dataValidation>
        <x14:dataValidation type="list" allowBlank="1" showInputMessage="1" showErrorMessage="1" xr:uid="{00000000-0002-0000-0200-00004B050000}">
          <x14:formula1>
            <xm:f>PriceAreaConnection!A2:A1000</xm:f>
          </x14:formula1>
          <xm:sqref>D357</xm:sqref>
        </x14:dataValidation>
        <x14:dataValidation type="list" allowBlank="1" showInputMessage="1" showErrorMessage="1" xr:uid="{00000000-0002-0000-0200-00004C050000}">
          <x14:formula1>
            <xm:f>PriceAreaConnection!A2:A1000</xm:f>
          </x14:formula1>
          <xm:sqref>D358</xm:sqref>
        </x14:dataValidation>
        <x14:dataValidation type="list" allowBlank="1" showInputMessage="1" showErrorMessage="1" xr:uid="{00000000-0002-0000-0200-00004D050000}">
          <x14:formula1>
            <xm:f>PriceAreaConnection!A2:A1000</xm:f>
          </x14:formula1>
          <xm:sqref>D359</xm:sqref>
        </x14:dataValidation>
        <x14:dataValidation type="list" allowBlank="1" showInputMessage="1" showErrorMessage="1" xr:uid="{00000000-0002-0000-0200-00004E050000}">
          <x14:formula1>
            <xm:f>PriceAreaConnection!A2:A1000</xm:f>
          </x14:formula1>
          <xm:sqref>D360</xm:sqref>
        </x14:dataValidation>
        <x14:dataValidation type="list" allowBlank="1" showInputMessage="1" showErrorMessage="1" xr:uid="{00000000-0002-0000-0200-00004F050000}">
          <x14:formula1>
            <xm:f>PriceAreaConnection!A2:A1000</xm:f>
          </x14:formula1>
          <xm:sqref>D361</xm:sqref>
        </x14:dataValidation>
        <x14:dataValidation type="list" allowBlank="1" showInputMessage="1" showErrorMessage="1" xr:uid="{00000000-0002-0000-0200-000050050000}">
          <x14:formula1>
            <xm:f>PriceAreaConnection!A2:A1000</xm:f>
          </x14:formula1>
          <xm:sqref>D362</xm:sqref>
        </x14:dataValidation>
        <x14:dataValidation type="list" allowBlank="1" showInputMessage="1" showErrorMessage="1" xr:uid="{00000000-0002-0000-0200-000051050000}">
          <x14:formula1>
            <xm:f>PriceAreaConnection!A2:A1000</xm:f>
          </x14:formula1>
          <xm:sqref>D363</xm:sqref>
        </x14:dataValidation>
        <x14:dataValidation type="list" allowBlank="1" showInputMessage="1" showErrorMessage="1" xr:uid="{00000000-0002-0000-0200-000052050000}">
          <x14:formula1>
            <xm:f>PriceAreaConnection!A2:A1000</xm:f>
          </x14:formula1>
          <xm:sqref>D364</xm:sqref>
        </x14:dataValidation>
        <x14:dataValidation type="list" allowBlank="1" showInputMessage="1" showErrorMessage="1" xr:uid="{00000000-0002-0000-0200-000053050000}">
          <x14:formula1>
            <xm:f>PriceAreaConnection!A2:A1000</xm:f>
          </x14:formula1>
          <xm:sqref>D365</xm:sqref>
        </x14:dataValidation>
        <x14:dataValidation type="list" allowBlank="1" showInputMessage="1" showErrorMessage="1" xr:uid="{00000000-0002-0000-0200-000054050000}">
          <x14:formula1>
            <xm:f>PriceAreaConnection!A2:A1000</xm:f>
          </x14:formula1>
          <xm:sqref>D366</xm:sqref>
        </x14:dataValidation>
        <x14:dataValidation type="list" allowBlank="1" showInputMessage="1" showErrorMessage="1" xr:uid="{00000000-0002-0000-0200-000055050000}">
          <x14:formula1>
            <xm:f>PriceAreaConnection!A2:A1000</xm:f>
          </x14:formula1>
          <xm:sqref>D367</xm:sqref>
        </x14:dataValidation>
        <x14:dataValidation type="list" allowBlank="1" showInputMessage="1" showErrorMessage="1" xr:uid="{00000000-0002-0000-0200-000056050000}">
          <x14:formula1>
            <xm:f>PriceAreaConnection!A2:A1000</xm:f>
          </x14:formula1>
          <xm:sqref>D368</xm:sqref>
        </x14:dataValidation>
        <x14:dataValidation type="list" allowBlank="1" showInputMessage="1" showErrorMessage="1" xr:uid="{00000000-0002-0000-0200-000057050000}">
          <x14:formula1>
            <xm:f>PriceAreaConnection!A2:A1000</xm:f>
          </x14:formula1>
          <xm:sqref>D369</xm:sqref>
        </x14:dataValidation>
        <x14:dataValidation type="list" allowBlank="1" showInputMessage="1" showErrorMessage="1" xr:uid="{00000000-0002-0000-0200-000058050000}">
          <x14:formula1>
            <xm:f>PriceAreaConnection!A2:A1000</xm:f>
          </x14:formula1>
          <xm:sqref>D370</xm:sqref>
        </x14:dataValidation>
        <x14:dataValidation type="list" allowBlank="1" showInputMessage="1" showErrorMessage="1" xr:uid="{00000000-0002-0000-0200-000059050000}">
          <x14:formula1>
            <xm:f>PriceAreaConnection!A2:A1000</xm:f>
          </x14:formula1>
          <xm:sqref>D371</xm:sqref>
        </x14:dataValidation>
        <x14:dataValidation type="list" allowBlank="1" showInputMessage="1" showErrorMessage="1" xr:uid="{00000000-0002-0000-0200-00005A050000}">
          <x14:formula1>
            <xm:f>PriceAreaConnection!A2:A1000</xm:f>
          </x14:formula1>
          <xm:sqref>D372</xm:sqref>
        </x14:dataValidation>
        <x14:dataValidation type="list" allowBlank="1" showInputMessage="1" showErrorMessage="1" xr:uid="{00000000-0002-0000-0200-00005B050000}">
          <x14:formula1>
            <xm:f>PriceAreaConnection!A2:A1000</xm:f>
          </x14:formula1>
          <xm:sqref>D373</xm:sqref>
        </x14:dataValidation>
        <x14:dataValidation type="list" allowBlank="1" showInputMessage="1" showErrorMessage="1" xr:uid="{00000000-0002-0000-0200-00005C050000}">
          <x14:formula1>
            <xm:f>PriceAreaConnection!A2:A1000</xm:f>
          </x14:formula1>
          <xm:sqref>D374</xm:sqref>
        </x14:dataValidation>
        <x14:dataValidation type="list" allowBlank="1" showInputMessage="1" showErrorMessage="1" xr:uid="{00000000-0002-0000-0200-00005D050000}">
          <x14:formula1>
            <xm:f>PriceAreaConnection!A2:A1000</xm:f>
          </x14:formula1>
          <xm:sqref>D375</xm:sqref>
        </x14:dataValidation>
        <x14:dataValidation type="list" allowBlank="1" showInputMessage="1" showErrorMessage="1" xr:uid="{00000000-0002-0000-0200-00005E050000}">
          <x14:formula1>
            <xm:f>PriceAreaConnection!A2:A1000</xm:f>
          </x14:formula1>
          <xm:sqref>D376</xm:sqref>
        </x14:dataValidation>
        <x14:dataValidation type="list" allowBlank="1" showInputMessage="1" showErrorMessage="1" xr:uid="{00000000-0002-0000-0200-00005F050000}">
          <x14:formula1>
            <xm:f>PriceAreaConnection!A2:A1000</xm:f>
          </x14:formula1>
          <xm:sqref>D377</xm:sqref>
        </x14:dataValidation>
        <x14:dataValidation type="list" allowBlank="1" showInputMessage="1" showErrorMessage="1" xr:uid="{00000000-0002-0000-0200-000060050000}">
          <x14:formula1>
            <xm:f>PriceAreaConnection!A2:A1000</xm:f>
          </x14:formula1>
          <xm:sqref>D378</xm:sqref>
        </x14:dataValidation>
        <x14:dataValidation type="list" allowBlank="1" showInputMessage="1" showErrorMessage="1" xr:uid="{00000000-0002-0000-0200-000061050000}">
          <x14:formula1>
            <xm:f>PriceAreaConnection!A2:A1000</xm:f>
          </x14:formula1>
          <xm:sqref>D379</xm:sqref>
        </x14:dataValidation>
        <x14:dataValidation type="list" allowBlank="1" showInputMessage="1" showErrorMessage="1" xr:uid="{00000000-0002-0000-0200-000062050000}">
          <x14:formula1>
            <xm:f>PriceAreaConnection!A2:A1000</xm:f>
          </x14:formula1>
          <xm:sqref>D380</xm:sqref>
        </x14:dataValidation>
        <x14:dataValidation type="list" allowBlank="1" showInputMessage="1" showErrorMessage="1" xr:uid="{00000000-0002-0000-0200-000063050000}">
          <x14:formula1>
            <xm:f>PriceAreaConnection!A2:A1000</xm:f>
          </x14:formula1>
          <xm:sqref>D381</xm:sqref>
        </x14:dataValidation>
        <x14:dataValidation type="list" allowBlank="1" showInputMessage="1" showErrorMessage="1" xr:uid="{00000000-0002-0000-0200-000064050000}">
          <x14:formula1>
            <xm:f>PriceAreaConnection!A2:A1000</xm:f>
          </x14:formula1>
          <xm:sqref>D382</xm:sqref>
        </x14:dataValidation>
        <x14:dataValidation type="list" allowBlank="1" showInputMessage="1" showErrorMessage="1" xr:uid="{00000000-0002-0000-0200-000065050000}">
          <x14:formula1>
            <xm:f>PriceAreaConnection!A2:A1000</xm:f>
          </x14:formula1>
          <xm:sqref>D383</xm:sqref>
        </x14:dataValidation>
        <x14:dataValidation type="list" allowBlank="1" showInputMessage="1" showErrorMessage="1" xr:uid="{00000000-0002-0000-0200-000066050000}">
          <x14:formula1>
            <xm:f>PriceAreaConnection!A2:A1000</xm:f>
          </x14:formula1>
          <xm:sqref>D384</xm:sqref>
        </x14:dataValidation>
        <x14:dataValidation type="list" allowBlank="1" showInputMessage="1" showErrorMessage="1" xr:uid="{00000000-0002-0000-0200-000067050000}">
          <x14:formula1>
            <xm:f>PriceAreaConnection!A2:A1000</xm:f>
          </x14:formula1>
          <xm:sqref>D385</xm:sqref>
        </x14:dataValidation>
        <x14:dataValidation type="list" allowBlank="1" showInputMessage="1" showErrorMessage="1" xr:uid="{00000000-0002-0000-0200-000068050000}">
          <x14:formula1>
            <xm:f>PriceAreaConnection!A2:A1000</xm:f>
          </x14:formula1>
          <xm:sqref>D386</xm:sqref>
        </x14:dataValidation>
        <x14:dataValidation type="list" allowBlank="1" showInputMessage="1" showErrorMessage="1" xr:uid="{00000000-0002-0000-0200-000069050000}">
          <x14:formula1>
            <xm:f>PriceAreaConnection!A2:A1000</xm:f>
          </x14:formula1>
          <xm:sqref>D387</xm:sqref>
        </x14:dataValidation>
        <x14:dataValidation type="list" allowBlank="1" showInputMessage="1" showErrorMessage="1" xr:uid="{00000000-0002-0000-0200-00006A050000}">
          <x14:formula1>
            <xm:f>PriceAreaConnection!A2:A1000</xm:f>
          </x14:formula1>
          <xm:sqref>D388</xm:sqref>
        </x14:dataValidation>
        <x14:dataValidation type="list" allowBlank="1" showInputMessage="1" showErrorMessage="1" xr:uid="{00000000-0002-0000-0200-00006B050000}">
          <x14:formula1>
            <xm:f>PriceAreaConnection!A2:A1000</xm:f>
          </x14:formula1>
          <xm:sqref>D389</xm:sqref>
        </x14:dataValidation>
        <x14:dataValidation type="list" allowBlank="1" showInputMessage="1" showErrorMessage="1" xr:uid="{00000000-0002-0000-0200-00006C050000}">
          <x14:formula1>
            <xm:f>PriceAreaConnection!A2:A1000</xm:f>
          </x14:formula1>
          <xm:sqref>D390</xm:sqref>
        </x14:dataValidation>
        <x14:dataValidation type="list" allowBlank="1" showInputMessage="1" showErrorMessage="1" xr:uid="{00000000-0002-0000-0200-00006D050000}">
          <x14:formula1>
            <xm:f>PriceAreaConnection!A2:A1000</xm:f>
          </x14:formula1>
          <xm:sqref>D391</xm:sqref>
        </x14:dataValidation>
        <x14:dataValidation type="list" allowBlank="1" showInputMessage="1" showErrorMessage="1" xr:uid="{00000000-0002-0000-0200-00006E050000}">
          <x14:formula1>
            <xm:f>PriceAreaConnection!A2:A1000</xm:f>
          </x14:formula1>
          <xm:sqref>D392</xm:sqref>
        </x14:dataValidation>
        <x14:dataValidation type="list" allowBlank="1" showInputMessage="1" showErrorMessage="1" xr:uid="{00000000-0002-0000-0200-00006F050000}">
          <x14:formula1>
            <xm:f>PriceAreaConnection!A2:A1000</xm:f>
          </x14:formula1>
          <xm:sqref>D393</xm:sqref>
        </x14:dataValidation>
        <x14:dataValidation type="list" allowBlank="1" showInputMessage="1" showErrorMessage="1" xr:uid="{00000000-0002-0000-0200-000070050000}">
          <x14:formula1>
            <xm:f>PriceAreaConnection!A2:A1000</xm:f>
          </x14:formula1>
          <xm:sqref>D394</xm:sqref>
        </x14:dataValidation>
        <x14:dataValidation type="list" allowBlank="1" showInputMessage="1" showErrorMessage="1" xr:uid="{00000000-0002-0000-0200-000071050000}">
          <x14:formula1>
            <xm:f>PriceAreaConnection!A2:A1000</xm:f>
          </x14:formula1>
          <xm:sqref>D395</xm:sqref>
        </x14:dataValidation>
        <x14:dataValidation type="list" allowBlank="1" showInputMessage="1" showErrorMessage="1" xr:uid="{00000000-0002-0000-0200-000072050000}">
          <x14:formula1>
            <xm:f>PriceAreaConnection!A2:A1000</xm:f>
          </x14:formula1>
          <xm:sqref>D396</xm:sqref>
        </x14:dataValidation>
        <x14:dataValidation type="list" allowBlank="1" showInputMessage="1" showErrorMessage="1" xr:uid="{00000000-0002-0000-0200-000073050000}">
          <x14:formula1>
            <xm:f>PriceAreaConnection!A2:A1000</xm:f>
          </x14:formula1>
          <xm:sqref>D397</xm:sqref>
        </x14:dataValidation>
        <x14:dataValidation type="list" allowBlank="1" showInputMessage="1" showErrorMessage="1" xr:uid="{00000000-0002-0000-0200-000074050000}">
          <x14:formula1>
            <xm:f>PriceAreaConnection!A2:A1000</xm:f>
          </x14:formula1>
          <xm:sqref>D398</xm:sqref>
        </x14:dataValidation>
        <x14:dataValidation type="list" allowBlank="1" showInputMessage="1" showErrorMessage="1" xr:uid="{00000000-0002-0000-0200-000075050000}">
          <x14:formula1>
            <xm:f>PriceAreaConnection!A2:A1000</xm:f>
          </x14:formula1>
          <xm:sqref>D399</xm:sqref>
        </x14:dataValidation>
        <x14:dataValidation type="list" allowBlank="1" showInputMessage="1" showErrorMessage="1" xr:uid="{00000000-0002-0000-0200-000076050000}">
          <x14:formula1>
            <xm:f>PriceAreaConnection!A2:A1000</xm:f>
          </x14:formula1>
          <xm:sqref>D400</xm:sqref>
        </x14:dataValidation>
        <x14:dataValidation type="list" allowBlank="1" showInputMessage="1" showErrorMessage="1" xr:uid="{00000000-0002-0000-0200-000077050000}">
          <x14:formula1>
            <xm:f>PriceAreaConnection!A2:A1000</xm:f>
          </x14:formula1>
          <xm:sqref>D401</xm:sqref>
        </x14:dataValidation>
        <x14:dataValidation type="list" allowBlank="1" showInputMessage="1" showErrorMessage="1" xr:uid="{00000000-0002-0000-0200-000078050000}">
          <x14:formula1>
            <xm:f>PriceAreaConnection!A2:A1000</xm:f>
          </x14:formula1>
          <xm:sqref>D402</xm:sqref>
        </x14:dataValidation>
        <x14:dataValidation type="list" allowBlank="1" showInputMessage="1" showErrorMessage="1" xr:uid="{00000000-0002-0000-0200-000079050000}">
          <x14:formula1>
            <xm:f>PriceAreaConnection!A2:A1000</xm:f>
          </x14:formula1>
          <xm:sqref>D403</xm:sqref>
        </x14:dataValidation>
        <x14:dataValidation type="list" allowBlank="1" showInputMessage="1" showErrorMessage="1" xr:uid="{00000000-0002-0000-0200-00007A050000}">
          <x14:formula1>
            <xm:f>PriceAreaConnection!A2:A1000</xm:f>
          </x14:formula1>
          <xm:sqref>D404</xm:sqref>
        </x14:dataValidation>
        <x14:dataValidation type="list" allowBlank="1" showInputMessage="1" showErrorMessage="1" xr:uid="{00000000-0002-0000-0200-00007B050000}">
          <x14:formula1>
            <xm:f>PriceAreaConnection!A2:A1000</xm:f>
          </x14:formula1>
          <xm:sqref>D405</xm:sqref>
        </x14:dataValidation>
        <x14:dataValidation type="list" allowBlank="1" showInputMessage="1" showErrorMessage="1" xr:uid="{00000000-0002-0000-0200-00007C050000}">
          <x14:formula1>
            <xm:f>PriceAreaConnection!A2:A1000</xm:f>
          </x14:formula1>
          <xm:sqref>D406</xm:sqref>
        </x14:dataValidation>
        <x14:dataValidation type="list" allowBlank="1" showInputMessage="1" showErrorMessage="1" xr:uid="{00000000-0002-0000-0200-00007D050000}">
          <x14:formula1>
            <xm:f>PriceAreaConnection!A2:A1000</xm:f>
          </x14:formula1>
          <xm:sqref>D407</xm:sqref>
        </x14:dataValidation>
        <x14:dataValidation type="list" allowBlank="1" showInputMessage="1" showErrorMessage="1" xr:uid="{00000000-0002-0000-0200-00007E050000}">
          <x14:formula1>
            <xm:f>PriceAreaConnection!A2:A1000</xm:f>
          </x14:formula1>
          <xm:sqref>D408</xm:sqref>
        </x14:dataValidation>
        <x14:dataValidation type="list" allowBlank="1" showInputMessage="1" showErrorMessage="1" xr:uid="{00000000-0002-0000-0200-00007F050000}">
          <x14:formula1>
            <xm:f>PriceAreaConnection!A2:A1000</xm:f>
          </x14:formula1>
          <xm:sqref>D409</xm:sqref>
        </x14:dataValidation>
        <x14:dataValidation type="list" allowBlank="1" showInputMessage="1" showErrorMessage="1" xr:uid="{00000000-0002-0000-0200-000080050000}">
          <x14:formula1>
            <xm:f>PriceAreaConnection!A2:A1000</xm:f>
          </x14:formula1>
          <xm:sqref>D410</xm:sqref>
        </x14:dataValidation>
        <x14:dataValidation type="list" allowBlank="1" showInputMessage="1" showErrorMessage="1" xr:uid="{00000000-0002-0000-0200-000081050000}">
          <x14:formula1>
            <xm:f>PriceAreaConnection!A2:A1000</xm:f>
          </x14:formula1>
          <xm:sqref>D411</xm:sqref>
        </x14:dataValidation>
        <x14:dataValidation type="list" allowBlank="1" showInputMessage="1" showErrorMessage="1" xr:uid="{00000000-0002-0000-0200-000082050000}">
          <x14:formula1>
            <xm:f>PriceAreaConnection!A2:A1000</xm:f>
          </x14:formula1>
          <xm:sqref>D412</xm:sqref>
        </x14:dataValidation>
        <x14:dataValidation type="list" allowBlank="1" showInputMessage="1" showErrorMessage="1" xr:uid="{00000000-0002-0000-0200-000083050000}">
          <x14:formula1>
            <xm:f>PriceAreaConnection!A2:A1000</xm:f>
          </x14:formula1>
          <xm:sqref>D413</xm:sqref>
        </x14:dataValidation>
        <x14:dataValidation type="list" allowBlank="1" showInputMessage="1" showErrorMessage="1" xr:uid="{00000000-0002-0000-0200-000084050000}">
          <x14:formula1>
            <xm:f>PriceAreaConnection!A2:A1000</xm:f>
          </x14:formula1>
          <xm:sqref>D414</xm:sqref>
        </x14:dataValidation>
        <x14:dataValidation type="list" allowBlank="1" showInputMessage="1" showErrorMessage="1" xr:uid="{00000000-0002-0000-0200-000085050000}">
          <x14:formula1>
            <xm:f>PriceAreaConnection!A2:A1000</xm:f>
          </x14:formula1>
          <xm:sqref>D415</xm:sqref>
        </x14:dataValidation>
        <x14:dataValidation type="list" allowBlank="1" showInputMessage="1" showErrorMessage="1" xr:uid="{00000000-0002-0000-0200-000086050000}">
          <x14:formula1>
            <xm:f>PriceAreaConnection!A2:A1000</xm:f>
          </x14:formula1>
          <xm:sqref>D416</xm:sqref>
        </x14:dataValidation>
        <x14:dataValidation type="list" allowBlank="1" showInputMessage="1" showErrorMessage="1" xr:uid="{00000000-0002-0000-0200-000087050000}">
          <x14:formula1>
            <xm:f>PriceAreaConnection!A2:A1000</xm:f>
          </x14:formula1>
          <xm:sqref>D417</xm:sqref>
        </x14:dataValidation>
        <x14:dataValidation type="list" allowBlank="1" showInputMessage="1" showErrorMessage="1" xr:uid="{00000000-0002-0000-0200-000088050000}">
          <x14:formula1>
            <xm:f>PriceAreaConnection!A2:A1000</xm:f>
          </x14:formula1>
          <xm:sqref>D418</xm:sqref>
        </x14:dataValidation>
        <x14:dataValidation type="list" allowBlank="1" showInputMessage="1" showErrorMessage="1" xr:uid="{00000000-0002-0000-0200-000089050000}">
          <x14:formula1>
            <xm:f>PriceAreaConnection!A2:A1000</xm:f>
          </x14:formula1>
          <xm:sqref>D419</xm:sqref>
        </x14:dataValidation>
        <x14:dataValidation type="list" allowBlank="1" showInputMessage="1" showErrorMessage="1" xr:uid="{00000000-0002-0000-0200-00008A050000}">
          <x14:formula1>
            <xm:f>PriceAreaConnection!A2:A1000</xm:f>
          </x14:formula1>
          <xm:sqref>D420</xm:sqref>
        </x14:dataValidation>
        <x14:dataValidation type="list" allowBlank="1" showInputMessage="1" showErrorMessage="1" xr:uid="{00000000-0002-0000-0200-00008B050000}">
          <x14:formula1>
            <xm:f>PriceAreaConnection!A2:A1000</xm:f>
          </x14:formula1>
          <xm:sqref>D421</xm:sqref>
        </x14:dataValidation>
        <x14:dataValidation type="list" allowBlank="1" showInputMessage="1" showErrorMessage="1" xr:uid="{00000000-0002-0000-0200-00008C050000}">
          <x14:formula1>
            <xm:f>PriceAreaConnection!A2:A1000</xm:f>
          </x14:formula1>
          <xm:sqref>D422</xm:sqref>
        </x14:dataValidation>
        <x14:dataValidation type="list" allowBlank="1" showInputMessage="1" showErrorMessage="1" xr:uid="{00000000-0002-0000-0200-00008D050000}">
          <x14:formula1>
            <xm:f>PriceAreaConnection!A2:A1000</xm:f>
          </x14:formula1>
          <xm:sqref>D423</xm:sqref>
        </x14:dataValidation>
        <x14:dataValidation type="list" allowBlank="1" showInputMessage="1" showErrorMessage="1" xr:uid="{00000000-0002-0000-0200-00008E050000}">
          <x14:formula1>
            <xm:f>PriceAreaConnection!A2:A1000</xm:f>
          </x14:formula1>
          <xm:sqref>D424</xm:sqref>
        </x14:dataValidation>
        <x14:dataValidation type="list" allowBlank="1" showInputMessage="1" showErrorMessage="1" xr:uid="{00000000-0002-0000-0200-00008F050000}">
          <x14:formula1>
            <xm:f>PriceAreaConnection!A2:A1000</xm:f>
          </x14:formula1>
          <xm:sqref>D425</xm:sqref>
        </x14:dataValidation>
        <x14:dataValidation type="list" allowBlank="1" showInputMessage="1" showErrorMessage="1" xr:uid="{00000000-0002-0000-0200-000090050000}">
          <x14:formula1>
            <xm:f>PriceAreaConnection!A2:A1000</xm:f>
          </x14:formula1>
          <xm:sqref>D426</xm:sqref>
        </x14:dataValidation>
        <x14:dataValidation type="list" allowBlank="1" showInputMessage="1" showErrorMessage="1" xr:uid="{00000000-0002-0000-0200-000091050000}">
          <x14:formula1>
            <xm:f>PriceAreaConnection!A2:A1000</xm:f>
          </x14:formula1>
          <xm:sqref>D427</xm:sqref>
        </x14:dataValidation>
        <x14:dataValidation type="list" allowBlank="1" showInputMessage="1" showErrorMessage="1" xr:uid="{00000000-0002-0000-0200-000092050000}">
          <x14:formula1>
            <xm:f>PriceAreaConnection!A2:A1000</xm:f>
          </x14:formula1>
          <xm:sqref>D428</xm:sqref>
        </x14:dataValidation>
        <x14:dataValidation type="list" allowBlank="1" showInputMessage="1" showErrorMessage="1" xr:uid="{00000000-0002-0000-0200-000093050000}">
          <x14:formula1>
            <xm:f>PriceAreaConnection!A2:A1000</xm:f>
          </x14:formula1>
          <xm:sqref>D429</xm:sqref>
        </x14:dataValidation>
        <x14:dataValidation type="list" allowBlank="1" showInputMessage="1" showErrorMessage="1" xr:uid="{00000000-0002-0000-0200-000094050000}">
          <x14:formula1>
            <xm:f>PriceAreaConnection!A2:A1000</xm:f>
          </x14:formula1>
          <xm:sqref>D430</xm:sqref>
        </x14:dataValidation>
        <x14:dataValidation type="list" allowBlank="1" showInputMessage="1" showErrorMessage="1" xr:uid="{00000000-0002-0000-0200-000095050000}">
          <x14:formula1>
            <xm:f>PriceAreaConnection!A2:A1000</xm:f>
          </x14:formula1>
          <xm:sqref>D431</xm:sqref>
        </x14:dataValidation>
        <x14:dataValidation type="list" allowBlank="1" showInputMessage="1" showErrorMessage="1" xr:uid="{00000000-0002-0000-0200-000096050000}">
          <x14:formula1>
            <xm:f>PriceAreaConnection!A2:A1000</xm:f>
          </x14:formula1>
          <xm:sqref>D432</xm:sqref>
        </x14:dataValidation>
        <x14:dataValidation type="list" allowBlank="1" showInputMessage="1" showErrorMessage="1" xr:uid="{00000000-0002-0000-0200-000097050000}">
          <x14:formula1>
            <xm:f>PriceAreaConnection!A2:A1000</xm:f>
          </x14:formula1>
          <xm:sqref>D433</xm:sqref>
        </x14:dataValidation>
        <x14:dataValidation type="list" allowBlank="1" showInputMessage="1" showErrorMessage="1" xr:uid="{00000000-0002-0000-0200-000098050000}">
          <x14:formula1>
            <xm:f>PriceAreaConnection!A2:A1000</xm:f>
          </x14:formula1>
          <xm:sqref>D434</xm:sqref>
        </x14:dataValidation>
        <x14:dataValidation type="list" allowBlank="1" showInputMessage="1" showErrorMessage="1" xr:uid="{00000000-0002-0000-0200-000099050000}">
          <x14:formula1>
            <xm:f>PriceAreaConnection!A2:A1000</xm:f>
          </x14:formula1>
          <xm:sqref>D435</xm:sqref>
        </x14:dataValidation>
        <x14:dataValidation type="list" allowBlank="1" showInputMessage="1" showErrorMessage="1" xr:uid="{00000000-0002-0000-0200-00009A050000}">
          <x14:formula1>
            <xm:f>PriceAreaConnection!A2:A1000</xm:f>
          </x14:formula1>
          <xm:sqref>D436</xm:sqref>
        </x14:dataValidation>
        <x14:dataValidation type="list" allowBlank="1" showInputMessage="1" showErrorMessage="1" xr:uid="{00000000-0002-0000-0200-00009B050000}">
          <x14:formula1>
            <xm:f>PriceAreaConnection!A2:A1000</xm:f>
          </x14:formula1>
          <xm:sqref>D437</xm:sqref>
        </x14:dataValidation>
        <x14:dataValidation type="list" allowBlank="1" showInputMessage="1" showErrorMessage="1" xr:uid="{00000000-0002-0000-0200-00009C050000}">
          <x14:formula1>
            <xm:f>PriceAreaConnection!A2:A1000</xm:f>
          </x14:formula1>
          <xm:sqref>D438</xm:sqref>
        </x14:dataValidation>
        <x14:dataValidation type="list" allowBlank="1" showInputMessage="1" showErrorMessage="1" xr:uid="{00000000-0002-0000-0200-00009D050000}">
          <x14:formula1>
            <xm:f>PriceAreaConnection!A2:A1000</xm:f>
          </x14:formula1>
          <xm:sqref>D439</xm:sqref>
        </x14:dataValidation>
        <x14:dataValidation type="list" allowBlank="1" showInputMessage="1" showErrorMessage="1" xr:uid="{00000000-0002-0000-0200-00009E050000}">
          <x14:formula1>
            <xm:f>PriceAreaConnection!A2:A1000</xm:f>
          </x14:formula1>
          <xm:sqref>D440</xm:sqref>
        </x14:dataValidation>
        <x14:dataValidation type="list" allowBlank="1" showInputMessage="1" showErrorMessage="1" xr:uid="{00000000-0002-0000-0200-00009F050000}">
          <x14:formula1>
            <xm:f>PriceAreaConnection!A2:A1000</xm:f>
          </x14:formula1>
          <xm:sqref>D441</xm:sqref>
        </x14:dataValidation>
        <x14:dataValidation type="list" allowBlank="1" showInputMessage="1" showErrorMessage="1" xr:uid="{00000000-0002-0000-0200-0000A0050000}">
          <x14:formula1>
            <xm:f>PriceAreaConnection!A2:A1000</xm:f>
          </x14:formula1>
          <xm:sqref>D442</xm:sqref>
        </x14:dataValidation>
        <x14:dataValidation type="list" allowBlank="1" showInputMessage="1" showErrorMessage="1" xr:uid="{00000000-0002-0000-0200-0000A1050000}">
          <x14:formula1>
            <xm:f>PriceAreaConnection!A2:A1000</xm:f>
          </x14:formula1>
          <xm:sqref>D443</xm:sqref>
        </x14:dataValidation>
        <x14:dataValidation type="list" allowBlank="1" showInputMessage="1" showErrorMessage="1" xr:uid="{00000000-0002-0000-0200-0000A2050000}">
          <x14:formula1>
            <xm:f>PriceAreaConnection!A2:A1000</xm:f>
          </x14:formula1>
          <xm:sqref>D444</xm:sqref>
        </x14:dataValidation>
        <x14:dataValidation type="list" allowBlank="1" showInputMessage="1" showErrorMessage="1" xr:uid="{00000000-0002-0000-0200-0000A3050000}">
          <x14:formula1>
            <xm:f>PriceAreaConnection!A2:A1000</xm:f>
          </x14:formula1>
          <xm:sqref>D445</xm:sqref>
        </x14:dataValidation>
        <x14:dataValidation type="list" allowBlank="1" showInputMessage="1" showErrorMessage="1" xr:uid="{00000000-0002-0000-0200-0000A4050000}">
          <x14:formula1>
            <xm:f>PriceAreaConnection!A2:A1000</xm:f>
          </x14:formula1>
          <xm:sqref>D446</xm:sqref>
        </x14:dataValidation>
        <x14:dataValidation type="list" allowBlank="1" showInputMessage="1" showErrorMessage="1" xr:uid="{00000000-0002-0000-0200-0000A5050000}">
          <x14:formula1>
            <xm:f>PriceAreaConnection!A2:A1000</xm:f>
          </x14:formula1>
          <xm:sqref>D447</xm:sqref>
        </x14:dataValidation>
        <x14:dataValidation type="list" allowBlank="1" showInputMessage="1" showErrorMessage="1" xr:uid="{00000000-0002-0000-0200-0000A6050000}">
          <x14:formula1>
            <xm:f>PriceAreaConnection!A2:A1000</xm:f>
          </x14:formula1>
          <xm:sqref>D448</xm:sqref>
        </x14:dataValidation>
        <x14:dataValidation type="list" allowBlank="1" showInputMessage="1" showErrorMessage="1" xr:uid="{00000000-0002-0000-0200-0000A7050000}">
          <x14:formula1>
            <xm:f>PriceAreaConnection!A2:A1000</xm:f>
          </x14:formula1>
          <xm:sqref>D449</xm:sqref>
        </x14:dataValidation>
        <x14:dataValidation type="list" allowBlank="1" showInputMessage="1" showErrorMessage="1" xr:uid="{00000000-0002-0000-0200-0000A8050000}">
          <x14:formula1>
            <xm:f>PriceAreaConnection!A2:A1000</xm:f>
          </x14:formula1>
          <xm:sqref>D450</xm:sqref>
        </x14:dataValidation>
        <x14:dataValidation type="list" allowBlank="1" showInputMessage="1" showErrorMessage="1" xr:uid="{00000000-0002-0000-0200-0000A9050000}">
          <x14:formula1>
            <xm:f>PriceAreaConnection!A2:A1000</xm:f>
          </x14:formula1>
          <xm:sqref>D451</xm:sqref>
        </x14:dataValidation>
        <x14:dataValidation type="list" allowBlank="1" showInputMessage="1" showErrorMessage="1" xr:uid="{00000000-0002-0000-0200-0000AA050000}">
          <x14:formula1>
            <xm:f>PriceAreaConnection!A2:A1000</xm:f>
          </x14:formula1>
          <xm:sqref>D452</xm:sqref>
        </x14:dataValidation>
        <x14:dataValidation type="list" allowBlank="1" showInputMessage="1" showErrorMessage="1" xr:uid="{00000000-0002-0000-0200-0000AB050000}">
          <x14:formula1>
            <xm:f>PriceAreaConnection!A2:A1000</xm:f>
          </x14:formula1>
          <xm:sqref>D453</xm:sqref>
        </x14:dataValidation>
        <x14:dataValidation type="list" allowBlank="1" showInputMessage="1" showErrorMessage="1" xr:uid="{00000000-0002-0000-0200-0000AC050000}">
          <x14:formula1>
            <xm:f>PriceAreaConnection!A2:A1000</xm:f>
          </x14:formula1>
          <xm:sqref>D454</xm:sqref>
        </x14:dataValidation>
        <x14:dataValidation type="list" allowBlank="1" showInputMessage="1" showErrorMessage="1" xr:uid="{00000000-0002-0000-0200-0000AD050000}">
          <x14:formula1>
            <xm:f>PriceAreaConnection!A2:A1000</xm:f>
          </x14:formula1>
          <xm:sqref>D455</xm:sqref>
        </x14:dataValidation>
        <x14:dataValidation type="list" allowBlank="1" showInputMessage="1" showErrorMessage="1" xr:uid="{00000000-0002-0000-0200-0000AE050000}">
          <x14:formula1>
            <xm:f>PriceAreaConnection!A2:A1000</xm:f>
          </x14:formula1>
          <xm:sqref>D456</xm:sqref>
        </x14:dataValidation>
        <x14:dataValidation type="list" allowBlank="1" showInputMessage="1" showErrorMessage="1" xr:uid="{00000000-0002-0000-0200-0000AF050000}">
          <x14:formula1>
            <xm:f>PriceAreaConnection!A2:A1000</xm:f>
          </x14:formula1>
          <xm:sqref>D457</xm:sqref>
        </x14:dataValidation>
        <x14:dataValidation type="list" allowBlank="1" showInputMessage="1" showErrorMessage="1" xr:uid="{00000000-0002-0000-0200-0000B0050000}">
          <x14:formula1>
            <xm:f>PriceAreaConnection!A2:A1000</xm:f>
          </x14:formula1>
          <xm:sqref>D458</xm:sqref>
        </x14:dataValidation>
        <x14:dataValidation type="list" allowBlank="1" showInputMessage="1" showErrorMessage="1" xr:uid="{00000000-0002-0000-0200-0000B1050000}">
          <x14:formula1>
            <xm:f>PriceAreaConnection!A2:A1000</xm:f>
          </x14:formula1>
          <xm:sqref>D459</xm:sqref>
        </x14:dataValidation>
        <x14:dataValidation type="list" allowBlank="1" showInputMessage="1" showErrorMessage="1" xr:uid="{00000000-0002-0000-0200-0000B2050000}">
          <x14:formula1>
            <xm:f>PriceAreaConnection!A2:A1000</xm:f>
          </x14:formula1>
          <xm:sqref>D460</xm:sqref>
        </x14:dataValidation>
        <x14:dataValidation type="list" allowBlank="1" showInputMessage="1" showErrorMessage="1" xr:uid="{00000000-0002-0000-0200-0000B3050000}">
          <x14:formula1>
            <xm:f>PriceAreaConnection!A2:A1000</xm:f>
          </x14:formula1>
          <xm:sqref>D461</xm:sqref>
        </x14:dataValidation>
        <x14:dataValidation type="list" allowBlank="1" showInputMessage="1" showErrorMessage="1" xr:uid="{00000000-0002-0000-0200-0000B4050000}">
          <x14:formula1>
            <xm:f>PriceAreaConnection!A2:A1000</xm:f>
          </x14:formula1>
          <xm:sqref>D462</xm:sqref>
        </x14:dataValidation>
        <x14:dataValidation type="list" allowBlank="1" showInputMessage="1" showErrorMessage="1" xr:uid="{00000000-0002-0000-0200-0000B5050000}">
          <x14:formula1>
            <xm:f>PriceAreaConnection!A2:A1000</xm:f>
          </x14:formula1>
          <xm:sqref>D463</xm:sqref>
        </x14:dataValidation>
        <x14:dataValidation type="list" allowBlank="1" showInputMessage="1" showErrorMessage="1" xr:uid="{00000000-0002-0000-0200-0000B6050000}">
          <x14:formula1>
            <xm:f>PriceAreaConnection!A2:A1000</xm:f>
          </x14:formula1>
          <xm:sqref>D464</xm:sqref>
        </x14:dataValidation>
        <x14:dataValidation type="list" allowBlank="1" showInputMessage="1" showErrorMessage="1" xr:uid="{00000000-0002-0000-0200-0000B7050000}">
          <x14:formula1>
            <xm:f>PriceAreaConnection!A2:A1000</xm:f>
          </x14:formula1>
          <xm:sqref>D465</xm:sqref>
        </x14:dataValidation>
        <x14:dataValidation type="list" allowBlank="1" showInputMessage="1" showErrorMessage="1" xr:uid="{00000000-0002-0000-0200-0000B8050000}">
          <x14:formula1>
            <xm:f>PriceAreaConnection!A2:A1000</xm:f>
          </x14:formula1>
          <xm:sqref>D466</xm:sqref>
        </x14:dataValidation>
        <x14:dataValidation type="list" allowBlank="1" showInputMessage="1" showErrorMessage="1" xr:uid="{00000000-0002-0000-0200-0000B9050000}">
          <x14:formula1>
            <xm:f>PriceAreaConnection!A2:A1000</xm:f>
          </x14:formula1>
          <xm:sqref>D467</xm:sqref>
        </x14:dataValidation>
        <x14:dataValidation type="list" allowBlank="1" showInputMessage="1" showErrorMessage="1" xr:uid="{00000000-0002-0000-0200-0000BA050000}">
          <x14:formula1>
            <xm:f>PriceAreaConnection!A2:A1000</xm:f>
          </x14:formula1>
          <xm:sqref>D468</xm:sqref>
        </x14:dataValidation>
        <x14:dataValidation type="list" allowBlank="1" showInputMessage="1" showErrorMessage="1" xr:uid="{00000000-0002-0000-0200-0000BB050000}">
          <x14:formula1>
            <xm:f>PriceAreaConnection!A2:A1000</xm:f>
          </x14:formula1>
          <xm:sqref>D469</xm:sqref>
        </x14:dataValidation>
        <x14:dataValidation type="list" allowBlank="1" showInputMessage="1" showErrorMessage="1" xr:uid="{00000000-0002-0000-0200-0000BC050000}">
          <x14:formula1>
            <xm:f>PriceAreaConnection!A2:A1000</xm:f>
          </x14:formula1>
          <xm:sqref>D470</xm:sqref>
        </x14:dataValidation>
        <x14:dataValidation type="list" allowBlank="1" showInputMessage="1" showErrorMessage="1" xr:uid="{00000000-0002-0000-0200-0000BD050000}">
          <x14:formula1>
            <xm:f>PriceAreaConnection!A2:A1000</xm:f>
          </x14:formula1>
          <xm:sqref>D471</xm:sqref>
        </x14:dataValidation>
        <x14:dataValidation type="list" allowBlank="1" showInputMessage="1" showErrorMessage="1" xr:uid="{00000000-0002-0000-0200-0000BE050000}">
          <x14:formula1>
            <xm:f>PriceAreaConnection!A2:A1000</xm:f>
          </x14:formula1>
          <xm:sqref>D472</xm:sqref>
        </x14:dataValidation>
        <x14:dataValidation type="list" allowBlank="1" showInputMessage="1" showErrorMessage="1" xr:uid="{00000000-0002-0000-0200-0000BF050000}">
          <x14:formula1>
            <xm:f>PriceAreaConnection!A2:A1000</xm:f>
          </x14:formula1>
          <xm:sqref>D473</xm:sqref>
        </x14:dataValidation>
        <x14:dataValidation type="list" allowBlank="1" showInputMessage="1" showErrorMessage="1" xr:uid="{00000000-0002-0000-0200-0000C0050000}">
          <x14:formula1>
            <xm:f>PriceAreaConnection!A2:A1000</xm:f>
          </x14:formula1>
          <xm:sqref>D474</xm:sqref>
        </x14:dataValidation>
        <x14:dataValidation type="list" allowBlank="1" showInputMessage="1" showErrorMessage="1" xr:uid="{00000000-0002-0000-0200-0000C1050000}">
          <x14:formula1>
            <xm:f>PriceAreaConnection!A2:A1000</xm:f>
          </x14:formula1>
          <xm:sqref>D475</xm:sqref>
        </x14:dataValidation>
        <x14:dataValidation type="list" allowBlank="1" showInputMessage="1" showErrorMessage="1" xr:uid="{00000000-0002-0000-0200-0000C2050000}">
          <x14:formula1>
            <xm:f>PriceAreaConnection!A2:A1000</xm:f>
          </x14:formula1>
          <xm:sqref>D476</xm:sqref>
        </x14:dataValidation>
        <x14:dataValidation type="list" allowBlank="1" showInputMessage="1" showErrorMessage="1" xr:uid="{00000000-0002-0000-0200-0000C3050000}">
          <x14:formula1>
            <xm:f>PriceAreaConnection!A2:A1000</xm:f>
          </x14:formula1>
          <xm:sqref>D477</xm:sqref>
        </x14:dataValidation>
        <x14:dataValidation type="list" allowBlank="1" showInputMessage="1" showErrorMessage="1" xr:uid="{00000000-0002-0000-0200-0000C4050000}">
          <x14:formula1>
            <xm:f>PriceAreaConnection!A2:A1000</xm:f>
          </x14:formula1>
          <xm:sqref>D478</xm:sqref>
        </x14:dataValidation>
        <x14:dataValidation type="list" allowBlank="1" showInputMessage="1" showErrorMessage="1" xr:uid="{00000000-0002-0000-0200-0000C5050000}">
          <x14:formula1>
            <xm:f>PriceAreaConnection!A2:A1000</xm:f>
          </x14:formula1>
          <xm:sqref>D479</xm:sqref>
        </x14:dataValidation>
        <x14:dataValidation type="list" allowBlank="1" showInputMessage="1" showErrorMessage="1" xr:uid="{00000000-0002-0000-0200-0000C6050000}">
          <x14:formula1>
            <xm:f>PriceAreaConnection!A2:A1000</xm:f>
          </x14:formula1>
          <xm:sqref>D480</xm:sqref>
        </x14:dataValidation>
        <x14:dataValidation type="list" allowBlank="1" showInputMessage="1" showErrorMessage="1" xr:uid="{00000000-0002-0000-0200-0000C7050000}">
          <x14:formula1>
            <xm:f>PriceAreaConnection!A2:A1000</xm:f>
          </x14:formula1>
          <xm:sqref>D481</xm:sqref>
        </x14:dataValidation>
        <x14:dataValidation type="list" allowBlank="1" showInputMessage="1" showErrorMessage="1" xr:uid="{00000000-0002-0000-0200-0000C8050000}">
          <x14:formula1>
            <xm:f>PriceAreaConnection!A2:A1000</xm:f>
          </x14:formula1>
          <xm:sqref>D482</xm:sqref>
        </x14:dataValidation>
        <x14:dataValidation type="list" allowBlank="1" showInputMessage="1" showErrorMessage="1" xr:uid="{00000000-0002-0000-0200-0000C9050000}">
          <x14:formula1>
            <xm:f>PriceAreaConnection!A2:A1000</xm:f>
          </x14:formula1>
          <xm:sqref>D483</xm:sqref>
        </x14:dataValidation>
        <x14:dataValidation type="list" allowBlank="1" showInputMessage="1" showErrorMessage="1" xr:uid="{00000000-0002-0000-0200-0000CA050000}">
          <x14:formula1>
            <xm:f>PriceAreaConnection!A2:A1000</xm:f>
          </x14:formula1>
          <xm:sqref>D484</xm:sqref>
        </x14:dataValidation>
        <x14:dataValidation type="list" allowBlank="1" showInputMessage="1" showErrorMessage="1" xr:uid="{00000000-0002-0000-0200-0000CB050000}">
          <x14:formula1>
            <xm:f>PriceAreaConnection!A2:A1000</xm:f>
          </x14:formula1>
          <xm:sqref>D485</xm:sqref>
        </x14:dataValidation>
        <x14:dataValidation type="list" allowBlank="1" showInputMessage="1" showErrorMessage="1" xr:uid="{00000000-0002-0000-0200-0000CC050000}">
          <x14:formula1>
            <xm:f>PriceAreaConnection!A2:A1000</xm:f>
          </x14:formula1>
          <xm:sqref>D486</xm:sqref>
        </x14:dataValidation>
        <x14:dataValidation type="list" allowBlank="1" showInputMessage="1" showErrorMessage="1" xr:uid="{00000000-0002-0000-0200-0000CD050000}">
          <x14:formula1>
            <xm:f>PriceAreaConnection!A2:A1000</xm:f>
          </x14:formula1>
          <xm:sqref>D487</xm:sqref>
        </x14:dataValidation>
        <x14:dataValidation type="list" allowBlank="1" showInputMessage="1" showErrorMessage="1" xr:uid="{00000000-0002-0000-0200-0000CE050000}">
          <x14:formula1>
            <xm:f>PriceAreaConnection!A2:A1000</xm:f>
          </x14:formula1>
          <xm:sqref>D488</xm:sqref>
        </x14:dataValidation>
        <x14:dataValidation type="list" allowBlank="1" showInputMessage="1" showErrorMessage="1" xr:uid="{00000000-0002-0000-0200-0000CF050000}">
          <x14:formula1>
            <xm:f>PriceAreaConnection!A2:A1000</xm:f>
          </x14:formula1>
          <xm:sqref>D489</xm:sqref>
        </x14:dataValidation>
        <x14:dataValidation type="list" allowBlank="1" showInputMessage="1" showErrorMessage="1" xr:uid="{00000000-0002-0000-0200-0000D0050000}">
          <x14:formula1>
            <xm:f>PriceAreaConnection!A2:A1000</xm:f>
          </x14:formula1>
          <xm:sqref>D490</xm:sqref>
        </x14:dataValidation>
        <x14:dataValidation type="list" allowBlank="1" showInputMessage="1" showErrorMessage="1" xr:uid="{00000000-0002-0000-0200-0000D1050000}">
          <x14:formula1>
            <xm:f>PriceAreaConnection!A2:A1000</xm:f>
          </x14:formula1>
          <xm:sqref>D491</xm:sqref>
        </x14:dataValidation>
        <x14:dataValidation type="list" allowBlank="1" showInputMessage="1" showErrorMessage="1" xr:uid="{00000000-0002-0000-0200-0000D2050000}">
          <x14:formula1>
            <xm:f>PriceAreaConnection!A2:A1000</xm:f>
          </x14:formula1>
          <xm:sqref>D492</xm:sqref>
        </x14:dataValidation>
        <x14:dataValidation type="list" allowBlank="1" showInputMessage="1" showErrorMessage="1" xr:uid="{00000000-0002-0000-0200-0000D3050000}">
          <x14:formula1>
            <xm:f>PriceAreaConnection!A2:A1000</xm:f>
          </x14:formula1>
          <xm:sqref>D493</xm:sqref>
        </x14:dataValidation>
        <x14:dataValidation type="list" allowBlank="1" showInputMessage="1" showErrorMessage="1" xr:uid="{00000000-0002-0000-0200-0000D4050000}">
          <x14:formula1>
            <xm:f>PriceAreaConnection!A2:A1000</xm:f>
          </x14:formula1>
          <xm:sqref>D494</xm:sqref>
        </x14:dataValidation>
        <x14:dataValidation type="list" allowBlank="1" showInputMessage="1" showErrorMessage="1" xr:uid="{00000000-0002-0000-0200-0000D5050000}">
          <x14:formula1>
            <xm:f>PriceAreaConnection!A2:A1000</xm:f>
          </x14:formula1>
          <xm:sqref>D495</xm:sqref>
        </x14:dataValidation>
        <x14:dataValidation type="list" allowBlank="1" showInputMessage="1" showErrorMessage="1" xr:uid="{00000000-0002-0000-0200-0000D6050000}">
          <x14:formula1>
            <xm:f>PriceAreaConnection!A2:A1000</xm:f>
          </x14:formula1>
          <xm:sqref>D496</xm:sqref>
        </x14:dataValidation>
        <x14:dataValidation type="list" allowBlank="1" showInputMessage="1" showErrorMessage="1" xr:uid="{00000000-0002-0000-0200-0000D7050000}">
          <x14:formula1>
            <xm:f>PriceAreaConnection!A2:A1000</xm:f>
          </x14:formula1>
          <xm:sqref>D497</xm:sqref>
        </x14:dataValidation>
        <x14:dataValidation type="list" allowBlank="1" showInputMessage="1" showErrorMessage="1" xr:uid="{00000000-0002-0000-0200-0000D8050000}">
          <x14:formula1>
            <xm:f>PriceAreaConnection!A2:A1000</xm:f>
          </x14:formula1>
          <xm:sqref>D498</xm:sqref>
        </x14:dataValidation>
        <x14:dataValidation type="list" allowBlank="1" showInputMessage="1" showErrorMessage="1" xr:uid="{00000000-0002-0000-0200-0000D9050000}">
          <x14:formula1>
            <xm:f>PriceAreaConnection!A2:A1000</xm:f>
          </x14:formula1>
          <xm:sqref>D499</xm:sqref>
        </x14:dataValidation>
        <x14:dataValidation type="list" allowBlank="1" showInputMessage="1" showErrorMessage="1" xr:uid="{00000000-0002-0000-0200-0000DA050000}">
          <x14:formula1>
            <xm:f>PriceAreaConnection!A2:A1000</xm:f>
          </x14:formula1>
          <xm:sqref>D500</xm:sqref>
        </x14:dataValidation>
        <x14:dataValidation type="list" allowBlank="1" showInputMessage="1" showErrorMessage="1" xr:uid="{00000000-0002-0000-0200-0000DB050000}">
          <x14:formula1>
            <xm:f>PriceAreaConnection!A2:A1000</xm:f>
          </x14:formula1>
          <xm:sqref>D501</xm:sqref>
        </x14:dataValidation>
        <x14:dataValidation type="list" allowBlank="1" showInputMessage="1" showErrorMessage="1" xr:uid="{00000000-0002-0000-0200-0000DC050000}">
          <x14:formula1>
            <xm:f>PriceAreaConnection!A2:A1000</xm:f>
          </x14:formula1>
          <xm:sqref>D502</xm:sqref>
        </x14:dataValidation>
        <x14:dataValidation type="list" allowBlank="1" showInputMessage="1" showErrorMessage="1" xr:uid="{00000000-0002-0000-0200-0000DD050000}">
          <x14:formula1>
            <xm:f>PriceAreaConnection!A2:A1000</xm:f>
          </x14:formula1>
          <xm:sqref>D503</xm:sqref>
        </x14:dataValidation>
        <x14:dataValidation type="list" allowBlank="1" showInputMessage="1" showErrorMessage="1" xr:uid="{00000000-0002-0000-0200-0000DE050000}">
          <x14:formula1>
            <xm:f>PriceAreaConnection!A2:A1000</xm:f>
          </x14:formula1>
          <xm:sqref>D504</xm:sqref>
        </x14:dataValidation>
        <x14:dataValidation type="list" allowBlank="1" showInputMessage="1" showErrorMessage="1" xr:uid="{00000000-0002-0000-0200-0000DF050000}">
          <x14:formula1>
            <xm:f>PriceAreaConnection!A2:A1000</xm:f>
          </x14:formula1>
          <xm:sqref>D505</xm:sqref>
        </x14:dataValidation>
        <x14:dataValidation type="list" allowBlank="1" showInputMessage="1" showErrorMessage="1" xr:uid="{00000000-0002-0000-0200-0000E0050000}">
          <x14:formula1>
            <xm:f>PriceAreaConnection!A2:A1000</xm:f>
          </x14:formula1>
          <xm:sqref>D506</xm:sqref>
        </x14:dataValidation>
        <x14:dataValidation type="list" allowBlank="1" showInputMessage="1" showErrorMessage="1" xr:uid="{00000000-0002-0000-0200-0000E1050000}">
          <x14:formula1>
            <xm:f>PriceAreaConnection!A2:A1000</xm:f>
          </x14:formula1>
          <xm:sqref>D507</xm:sqref>
        </x14:dataValidation>
        <x14:dataValidation type="list" allowBlank="1" showInputMessage="1" showErrorMessage="1" xr:uid="{00000000-0002-0000-0200-0000E2050000}">
          <x14:formula1>
            <xm:f>PriceAreaConnection!A2:A1000</xm:f>
          </x14:formula1>
          <xm:sqref>D508</xm:sqref>
        </x14:dataValidation>
        <x14:dataValidation type="list" allowBlank="1" showInputMessage="1" showErrorMessage="1" xr:uid="{00000000-0002-0000-0200-0000E3050000}">
          <x14:formula1>
            <xm:f>PriceAreaConnection!A2:A1000</xm:f>
          </x14:formula1>
          <xm:sqref>D509</xm:sqref>
        </x14:dataValidation>
        <x14:dataValidation type="list" allowBlank="1" showInputMessage="1" showErrorMessage="1" xr:uid="{00000000-0002-0000-0200-0000E4050000}">
          <x14:formula1>
            <xm:f>PriceAreaConnection!A2:A1000</xm:f>
          </x14:formula1>
          <xm:sqref>D510</xm:sqref>
        </x14:dataValidation>
        <x14:dataValidation type="list" allowBlank="1" showInputMessage="1" showErrorMessage="1" xr:uid="{00000000-0002-0000-0200-0000E5050000}">
          <x14:formula1>
            <xm:f>PriceAreaConnection!A2:A1000</xm:f>
          </x14:formula1>
          <xm:sqref>D511</xm:sqref>
        </x14:dataValidation>
        <x14:dataValidation type="list" allowBlank="1" showInputMessage="1" showErrorMessage="1" xr:uid="{00000000-0002-0000-0200-0000E6050000}">
          <x14:formula1>
            <xm:f>PriceAreaConnection!A2:A1000</xm:f>
          </x14:formula1>
          <xm:sqref>D512</xm:sqref>
        </x14:dataValidation>
        <x14:dataValidation type="list" allowBlank="1" showInputMessage="1" showErrorMessage="1" xr:uid="{00000000-0002-0000-0200-0000E7050000}">
          <x14:formula1>
            <xm:f>PriceAreaConnection!A2:A1000</xm:f>
          </x14:formula1>
          <xm:sqref>D513</xm:sqref>
        </x14:dataValidation>
        <x14:dataValidation type="list" allowBlank="1" showInputMessage="1" showErrorMessage="1" xr:uid="{00000000-0002-0000-0200-0000E8050000}">
          <x14:formula1>
            <xm:f>PriceAreaConnection!A2:A1000</xm:f>
          </x14:formula1>
          <xm:sqref>D514</xm:sqref>
        </x14:dataValidation>
        <x14:dataValidation type="list" allowBlank="1" showInputMessage="1" showErrorMessage="1" xr:uid="{00000000-0002-0000-0200-0000E9050000}">
          <x14:formula1>
            <xm:f>PriceAreaConnection!A2:A1000</xm:f>
          </x14:formula1>
          <xm:sqref>D515</xm:sqref>
        </x14:dataValidation>
        <x14:dataValidation type="list" allowBlank="1" showInputMessage="1" showErrorMessage="1" xr:uid="{00000000-0002-0000-0200-0000EA050000}">
          <x14:formula1>
            <xm:f>PriceAreaConnection!A2:A1000</xm:f>
          </x14:formula1>
          <xm:sqref>D516</xm:sqref>
        </x14:dataValidation>
        <x14:dataValidation type="list" allowBlank="1" showInputMessage="1" showErrorMessage="1" xr:uid="{00000000-0002-0000-0200-0000EB050000}">
          <x14:formula1>
            <xm:f>PriceAreaConnection!A2:A1000</xm:f>
          </x14:formula1>
          <xm:sqref>D517</xm:sqref>
        </x14:dataValidation>
        <x14:dataValidation type="list" allowBlank="1" showInputMessage="1" showErrorMessage="1" xr:uid="{00000000-0002-0000-0200-0000EC050000}">
          <x14:formula1>
            <xm:f>PriceAreaConnection!A2:A1000</xm:f>
          </x14:formula1>
          <xm:sqref>D518</xm:sqref>
        </x14:dataValidation>
        <x14:dataValidation type="list" allowBlank="1" showInputMessage="1" showErrorMessage="1" xr:uid="{00000000-0002-0000-0200-0000ED050000}">
          <x14:formula1>
            <xm:f>PriceAreaConnection!A2:A1000</xm:f>
          </x14:formula1>
          <xm:sqref>D519</xm:sqref>
        </x14:dataValidation>
        <x14:dataValidation type="list" allowBlank="1" showInputMessage="1" showErrorMessage="1" xr:uid="{00000000-0002-0000-0200-0000EE050000}">
          <x14:formula1>
            <xm:f>PriceAreaConnection!A2:A1000</xm:f>
          </x14:formula1>
          <xm:sqref>D520</xm:sqref>
        </x14:dataValidation>
        <x14:dataValidation type="list" allowBlank="1" showInputMessage="1" showErrorMessage="1" xr:uid="{00000000-0002-0000-0200-0000EF050000}">
          <x14:formula1>
            <xm:f>PriceAreaConnection!A2:A1000</xm:f>
          </x14:formula1>
          <xm:sqref>D521</xm:sqref>
        </x14:dataValidation>
        <x14:dataValidation type="list" allowBlank="1" showInputMessage="1" showErrorMessage="1" xr:uid="{00000000-0002-0000-0200-0000F0050000}">
          <x14:formula1>
            <xm:f>PriceAreaConnection!A2:A1000</xm:f>
          </x14:formula1>
          <xm:sqref>D522</xm:sqref>
        </x14:dataValidation>
        <x14:dataValidation type="list" allowBlank="1" showInputMessage="1" showErrorMessage="1" xr:uid="{00000000-0002-0000-0200-0000F1050000}">
          <x14:formula1>
            <xm:f>PriceAreaConnection!A2:A1000</xm:f>
          </x14:formula1>
          <xm:sqref>D523</xm:sqref>
        </x14:dataValidation>
        <x14:dataValidation type="list" allowBlank="1" showInputMessage="1" showErrorMessage="1" xr:uid="{00000000-0002-0000-0200-0000F2050000}">
          <x14:formula1>
            <xm:f>PriceAreaConnection!A2:A1000</xm:f>
          </x14:formula1>
          <xm:sqref>D524</xm:sqref>
        </x14:dataValidation>
        <x14:dataValidation type="list" allowBlank="1" showInputMessage="1" showErrorMessage="1" xr:uid="{00000000-0002-0000-0200-0000F3050000}">
          <x14:formula1>
            <xm:f>PriceAreaConnection!A2:A1000</xm:f>
          </x14:formula1>
          <xm:sqref>D525</xm:sqref>
        </x14:dataValidation>
        <x14:dataValidation type="list" allowBlank="1" showInputMessage="1" showErrorMessage="1" xr:uid="{00000000-0002-0000-0200-0000F4050000}">
          <x14:formula1>
            <xm:f>PriceAreaConnection!A2:A1000</xm:f>
          </x14:formula1>
          <xm:sqref>D526</xm:sqref>
        </x14:dataValidation>
        <x14:dataValidation type="list" allowBlank="1" showInputMessage="1" showErrorMessage="1" xr:uid="{00000000-0002-0000-0200-0000F5050000}">
          <x14:formula1>
            <xm:f>PriceAreaConnection!A2:A1000</xm:f>
          </x14:formula1>
          <xm:sqref>D527</xm:sqref>
        </x14:dataValidation>
        <x14:dataValidation type="list" allowBlank="1" showInputMessage="1" showErrorMessage="1" xr:uid="{00000000-0002-0000-0200-0000F6050000}">
          <x14:formula1>
            <xm:f>PriceAreaConnection!A2:A1000</xm:f>
          </x14:formula1>
          <xm:sqref>D528</xm:sqref>
        </x14:dataValidation>
        <x14:dataValidation type="list" allowBlank="1" showInputMessage="1" showErrorMessage="1" xr:uid="{00000000-0002-0000-0200-0000F7050000}">
          <x14:formula1>
            <xm:f>PriceAreaConnection!A2:A1000</xm:f>
          </x14:formula1>
          <xm:sqref>D529</xm:sqref>
        </x14:dataValidation>
        <x14:dataValidation type="list" allowBlank="1" showInputMessage="1" showErrorMessage="1" xr:uid="{00000000-0002-0000-0200-0000F8050000}">
          <x14:formula1>
            <xm:f>PriceAreaConnection!A2:A1000</xm:f>
          </x14:formula1>
          <xm:sqref>D530</xm:sqref>
        </x14:dataValidation>
        <x14:dataValidation type="list" allowBlank="1" showInputMessage="1" showErrorMessage="1" xr:uid="{00000000-0002-0000-0200-0000F9050000}">
          <x14:formula1>
            <xm:f>PriceAreaConnection!A2:A1000</xm:f>
          </x14:formula1>
          <xm:sqref>D531</xm:sqref>
        </x14:dataValidation>
        <x14:dataValidation type="list" allowBlank="1" showInputMessage="1" showErrorMessage="1" xr:uid="{00000000-0002-0000-0200-0000FA050000}">
          <x14:formula1>
            <xm:f>PriceAreaConnection!A2:A1000</xm:f>
          </x14:formula1>
          <xm:sqref>D532</xm:sqref>
        </x14:dataValidation>
        <x14:dataValidation type="list" allowBlank="1" showInputMessage="1" showErrorMessage="1" xr:uid="{00000000-0002-0000-0200-0000FB050000}">
          <x14:formula1>
            <xm:f>PriceAreaConnection!A2:A1000</xm:f>
          </x14:formula1>
          <xm:sqref>D533</xm:sqref>
        </x14:dataValidation>
        <x14:dataValidation type="list" allowBlank="1" showInputMessage="1" showErrorMessage="1" xr:uid="{00000000-0002-0000-0200-0000FC050000}">
          <x14:formula1>
            <xm:f>PriceAreaConnection!A2:A1000</xm:f>
          </x14:formula1>
          <xm:sqref>D534</xm:sqref>
        </x14:dataValidation>
        <x14:dataValidation type="list" allowBlank="1" showInputMessage="1" showErrorMessage="1" xr:uid="{00000000-0002-0000-0200-0000FD050000}">
          <x14:formula1>
            <xm:f>PriceAreaConnection!A2:A1000</xm:f>
          </x14:formula1>
          <xm:sqref>D535</xm:sqref>
        </x14:dataValidation>
        <x14:dataValidation type="list" allowBlank="1" showInputMessage="1" showErrorMessage="1" xr:uid="{00000000-0002-0000-0200-0000FE050000}">
          <x14:formula1>
            <xm:f>PriceAreaConnection!A2:A1000</xm:f>
          </x14:formula1>
          <xm:sqref>D536</xm:sqref>
        </x14:dataValidation>
        <x14:dataValidation type="list" allowBlank="1" showInputMessage="1" showErrorMessage="1" xr:uid="{00000000-0002-0000-0200-0000FF050000}">
          <x14:formula1>
            <xm:f>PriceAreaConnection!A2:A1000</xm:f>
          </x14:formula1>
          <xm:sqref>D537</xm:sqref>
        </x14:dataValidation>
        <x14:dataValidation type="list" allowBlank="1" showInputMessage="1" showErrorMessage="1" xr:uid="{00000000-0002-0000-0200-000000060000}">
          <x14:formula1>
            <xm:f>PriceAreaConnection!A2:A1000</xm:f>
          </x14:formula1>
          <xm:sqref>D538</xm:sqref>
        </x14:dataValidation>
        <x14:dataValidation type="list" allowBlank="1" showInputMessage="1" showErrorMessage="1" xr:uid="{00000000-0002-0000-0200-000001060000}">
          <x14:formula1>
            <xm:f>PriceAreaConnection!A2:A1000</xm:f>
          </x14:formula1>
          <xm:sqref>D539</xm:sqref>
        </x14:dataValidation>
        <x14:dataValidation type="list" allowBlank="1" showInputMessage="1" showErrorMessage="1" xr:uid="{00000000-0002-0000-0200-000002060000}">
          <x14:formula1>
            <xm:f>PriceAreaConnection!A2:A1000</xm:f>
          </x14:formula1>
          <xm:sqref>D540</xm:sqref>
        </x14:dataValidation>
        <x14:dataValidation type="list" allowBlank="1" showInputMessage="1" showErrorMessage="1" xr:uid="{00000000-0002-0000-0200-000003060000}">
          <x14:formula1>
            <xm:f>PriceAreaConnection!A2:A1000</xm:f>
          </x14:formula1>
          <xm:sqref>D541</xm:sqref>
        </x14:dataValidation>
        <x14:dataValidation type="list" allowBlank="1" showInputMessage="1" showErrorMessage="1" xr:uid="{00000000-0002-0000-0200-000004060000}">
          <x14:formula1>
            <xm:f>PriceAreaConnection!A2:A1000</xm:f>
          </x14:formula1>
          <xm:sqref>D542</xm:sqref>
        </x14:dataValidation>
        <x14:dataValidation type="list" allowBlank="1" showInputMessage="1" showErrorMessage="1" xr:uid="{00000000-0002-0000-0200-000005060000}">
          <x14:formula1>
            <xm:f>PriceAreaConnection!A2:A1000</xm:f>
          </x14:formula1>
          <xm:sqref>D543</xm:sqref>
        </x14:dataValidation>
        <x14:dataValidation type="list" allowBlank="1" showInputMessage="1" showErrorMessage="1" xr:uid="{00000000-0002-0000-0200-000006060000}">
          <x14:formula1>
            <xm:f>PriceAreaConnection!A2:A1000</xm:f>
          </x14:formula1>
          <xm:sqref>D544</xm:sqref>
        </x14:dataValidation>
        <x14:dataValidation type="list" allowBlank="1" showInputMessage="1" showErrorMessage="1" xr:uid="{00000000-0002-0000-0200-000007060000}">
          <x14:formula1>
            <xm:f>PriceAreaConnection!A2:A1000</xm:f>
          </x14:formula1>
          <xm:sqref>D545</xm:sqref>
        </x14:dataValidation>
        <x14:dataValidation type="list" allowBlank="1" showInputMessage="1" showErrorMessage="1" xr:uid="{00000000-0002-0000-0200-000008060000}">
          <x14:formula1>
            <xm:f>PriceAreaConnection!A2:A1000</xm:f>
          </x14:formula1>
          <xm:sqref>D546</xm:sqref>
        </x14:dataValidation>
        <x14:dataValidation type="list" allowBlank="1" showInputMessage="1" showErrorMessage="1" xr:uid="{00000000-0002-0000-0200-000009060000}">
          <x14:formula1>
            <xm:f>PriceAreaConnection!A2:A1000</xm:f>
          </x14:formula1>
          <xm:sqref>D547</xm:sqref>
        </x14:dataValidation>
        <x14:dataValidation type="list" allowBlank="1" showInputMessage="1" showErrorMessage="1" xr:uid="{00000000-0002-0000-0200-00000A060000}">
          <x14:formula1>
            <xm:f>PriceAreaConnection!A2:A1000</xm:f>
          </x14:formula1>
          <xm:sqref>D548</xm:sqref>
        </x14:dataValidation>
        <x14:dataValidation type="list" allowBlank="1" showInputMessage="1" showErrorMessage="1" xr:uid="{00000000-0002-0000-0200-00000B060000}">
          <x14:formula1>
            <xm:f>PriceAreaConnection!A2:A1000</xm:f>
          </x14:formula1>
          <xm:sqref>D549</xm:sqref>
        </x14:dataValidation>
        <x14:dataValidation type="list" allowBlank="1" showInputMessage="1" showErrorMessage="1" xr:uid="{00000000-0002-0000-0200-00000C060000}">
          <x14:formula1>
            <xm:f>PriceAreaConnection!A2:A1000</xm:f>
          </x14:formula1>
          <xm:sqref>D550</xm:sqref>
        </x14:dataValidation>
        <x14:dataValidation type="list" allowBlank="1" showInputMessage="1" showErrorMessage="1" xr:uid="{00000000-0002-0000-0200-00000D060000}">
          <x14:formula1>
            <xm:f>PriceAreaConnection!A2:A1000</xm:f>
          </x14:formula1>
          <xm:sqref>D551</xm:sqref>
        </x14:dataValidation>
        <x14:dataValidation type="list" allowBlank="1" showInputMessage="1" showErrorMessage="1" xr:uid="{00000000-0002-0000-0200-00000E060000}">
          <x14:formula1>
            <xm:f>PriceAreaConnection!A2:A1000</xm:f>
          </x14:formula1>
          <xm:sqref>D552</xm:sqref>
        </x14:dataValidation>
        <x14:dataValidation type="list" allowBlank="1" showInputMessage="1" showErrorMessage="1" xr:uid="{00000000-0002-0000-0200-00000F060000}">
          <x14:formula1>
            <xm:f>PriceAreaConnection!A2:A1000</xm:f>
          </x14:formula1>
          <xm:sqref>D553</xm:sqref>
        </x14:dataValidation>
        <x14:dataValidation type="list" allowBlank="1" showInputMessage="1" showErrorMessage="1" xr:uid="{00000000-0002-0000-0200-000010060000}">
          <x14:formula1>
            <xm:f>PriceAreaConnection!A2:A1000</xm:f>
          </x14:formula1>
          <xm:sqref>D554</xm:sqref>
        </x14:dataValidation>
        <x14:dataValidation type="list" allowBlank="1" showInputMessage="1" showErrorMessage="1" xr:uid="{00000000-0002-0000-0200-000011060000}">
          <x14:formula1>
            <xm:f>PriceAreaConnection!A2:A1000</xm:f>
          </x14:formula1>
          <xm:sqref>D555</xm:sqref>
        </x14:dataValidation>
        <x14:dataValidation type="list" allowBlank="1" showInputMessage="1" showErrorMessage="1" xr:uid="{00000000-0002-0000-0200-000012060000}">
          <x14:formula1>
            <xm:f>PriceAreaConnection!A2:A1000</xm:f>
          </x14:formula1>
          <xm:sqref>D556</xm:sqref>
        </x14:dataValidation>
        <x14:dataValidation type="list" allowBlank="1" showInputMessage="1" showErrorMessage="1" xr:uid="{00000000-0002-0000-0200-000013060000}">
          <x14:formula1>
            <xm:f>PriceAreaConnection!A2:A1000</xm:f>
          </x14:formula1>
          <xm:sqref>D557</xm:sqref>
        </x14:dataValidation>
        <x14:dataValidation type="list" allowBlank="1" showInputMessage="1" showErrorMessage="1" xr:uid="{00000000-0002-0000-0200-000014060000}">
          <x14:formula1>
            <xm:f>PriceAreaConnection!A2:A1000</xm:f>
          </x14:formula1>
          <xm:sqref>D558</xm:sqref>
        </x14:dataValidation>
        <x14:dataValidation type="list" allowBlank="1" showInputMessage="1" showErrorMessage="1" xr:uid="{00000000-0002-0000-0200-000015060000}">
          <x14:formula1>
            <xm:f>PriceAreaConnection!A2:A1000</xm:f>
          </x14:formula1>
          <xm:sqref>D559</xm:sqref>
        </x14:dataValidation>
        <x14:dataValidation type="list" allowBlank="1" showInputMessage="1" showErrorMessage="1" xr:uid="{00000000-0002-0000-0200-000016060000}">
          <x14:formula1>
            <xm:f>PriceAreaConnection!A2:A1000</xm:f>
          </x14:formula1>
          <xm:sqref>D560</xm:sqref>
        </x14:dataValidation>
        <x14:dataValidation type="list" allowBlank="1" showInputMessage="1" showErrorMessage="1" xr:uid="{00000000-0002-0000-0200-000017060000}">
          <x14:formula1>
            <xm:f>PriceAreaConnection!A2:A1000</xm:f>
          </x14:formula1>
          <xm:sqref>D561</xm:sqref>
        </x14:dataValidation>
        <x14:dataValidation type="list" allowBlank="1" showInputMessage="1" showErrorMessage="1" xr:uid="{00000000-0002-0000-0200-000018060000}">
          <x14:formula1>
            <xm:f>PriceAreaConnection!A2:A1000</xm:f>
          </x14:formula1>
          <xm:sqref>D562</xm:sqref>
        </x14:dataValidation>
        <x14:dataValidation type="list" allowBlank="1" showInputMessage="1" showErrorMessage="1" xr:uid="{00000000-0002-0000-0200-000019060000}">
          <x14:formula1>
            <xm:f>PriceAreaConnection!A2:A1000</xm:f>
          </x14:formula1>
          <xm:sqref>D563</xm:sqref>
        </x14:dataValidation>
        <x14:dataValidation type="list" allowBlank="1" showInputMessage="1" showErrorMessage="1" xr:uid="{00000000-0002-0000-0200-00001A060000}">
          <x14:formula1>
            <xm:f>PriceAreaConnection!A2:A1000</xm:f>
          </x14:formula1>
          <xm:sqref>D564</xm:sqref>
        </x14:dataValidation>
        <x14:dataValidation type="list" allowBlank="1" showInputMessage="1" showErrorMessage="1" xr:uid="{00000000-0002-0000-0200-00001B060000}">
          <x14:formula1>
            <xm:f>PriceAreaConnection!A2:A1000</xm:f>
          </x14:formula1>
          <xm:sqref>D565</xm:sqref>
        </x14:dataValidation>
        <x14:dataValidation type="list" allowBlank="1" showInputMessage="1" showErrorMessage="1" xr:uid="{00000000-0002-0000-0200-00001C060000}">
          <x14:formula1>
            <xm:f>PriceAreaConnection!A2:A1000</xm:f>
          </x14:formula1>
          <xm:sqref>D566</xm:sqref>
        </x14:dataValidation>
        <x14:dataValidation type="list" allowBlank="1" showInputMessage="1" showErrorMessage="1" xr:uid="{00000000-0002-0000-0200-00001D060000}">
          <x14:formula1>
            <xm:f>PriceAreaConnection!A2:A1000</xm:f>
          </x14:formula1>
          <xm:sqref>D567</xm:sqref>
        </x14:dataValidation>
        <x14:dataValidation type="list" allowBlank="1" showInputMessage="1" showErrorMessage="1" xr:uid="{00000000-0002-0000-0200-00001E060000}">
          <x14:formula1>
            <xm:f>PriceAreaConnection!A2:A1000</xm:f>
          </x14:formula1>
          <xm:sqref>D568</xm:sqref>
        </x14:dataValidation>
        <x14:dataValidation type="list" allowBlank="1" showInputMessage="1" showErrorMessage="1" xr:uid="{00000000-0002-0000-0200-00001F060000}">
          <x14:formula1>
            <xm:f>PriceAreaConnection!A2:A1000</xm:f>
          </x14:formula1>
          <xm:sqref>D569</xm:sqref>
        </x14:dataValidation>
        <x14:dataValidation type="list" allowBlank="1" showInputMessage="1" showErrorMessage="1" xr:uid="{00000000-0002-0000-0200-000020060000}">
          <x14:formula1>
            <xm:f>PriceAreaConnection!A2:A1000</xm:f>
          </x14:formula1>
          <xm:sqref>D570</xm:sqref>
        </x14:dataValidation>
        <x14:dataValidation type="list" allowBlank="1" showInputMessage="1" showErrorMessage="1" xr:uid="{00000000-0002-0000-0200-000021060000}">
          <x14:formula1>
            <xm:f>PriceAreaConnection!A2:A1000</xm:f>
          </x14:formula1>
          <xm:sqref>D571</xm:sqref>
        </x14:dataValidation>
        <x14:dataValidation type="list" allowBlank="1" showInputMessage="1" showErrorMessage="1" xr:uid="{00000000-0002-0000-0200-000022060000}">
          <x14:formula1>
            <xm:f>PriceAreaConnection!A2:A1000</xm:f>
          </x14:formula1>
          <xm:sqref>D572</xm:sqref>
        </x14:dataValidation>
        <x14:dataValidation type="list" allowBlank="1" showInputMessage="1" showErrorMessage="1" xr:uid="{00000000-0002-0000-0200-000023060000}">
          <x14:formula1>
            <xm:f>PriceAreaConnection!A2:A1000</xm:f>
          </x14:formula1>
          <xm:sqref>D573</xm:sqref>
        </x14:dataValidation>
        <x14:dataValidation type="list" allowBlank="1" showInputMessage="1" showErrorMessage="1" xr:uid="{00000000-0002-0000-0200-000024060000}">
          <x14:formula1>
            <xm:f>PriceAreaConnection!A2:A1000</xm:f>
          </x14:formula1>
          <xm:sqref>D574</xm:sqref>
        </x14:dataValidation>
        <x14:dataValidation type="list" allowBlank="1" showInputMessage="1" showErrorMessage="1" xr:uid="{00000000-0002-0000-0200-000025060000}">
          <x14:formula1>
            <xm:f>PriceAreaConnection!A2:A1000</xm:f>
          </x14:formula1>
          <xm:sqref>D575</xm:sqref>
        </x14:dataValidation>
        <x14:dataValidation type="list" allowBlank="1" showInputMessage="1" showErrorMessage="1" xr:uid="{00000000-0002-0000-0200-000026060000}">
          <x14:formula1>
            <xm:f>PriceAreaConnection!A2:A1000</xm:f>
          </x14:formula1>
          <xm:sqref>D576</xm:sqref>
        </x14:dataValidation>
        <x14:dataValidation type="list" allowBlank="1" showInputMessage="1" showErrorMessage="1" xr:uid="{00000000-0002-0000-0200-000027060000}">
          <x14:formula1>
            <xm:f>PriceAreaConnection!A2:A1000</xm:f>
          </x14:formula1>
          <xm:sqref>D577</xm:sqref>
        </x14:dataValidation>
        <x14:dataValidation type="list" allowBlank="1" showInputMessage="1" showErrorMessage="1" xr:uid="{00000000-0002-0000-0200-000028060000}">
          <x14:formula1>
            <xm:f>PriceAreaConnection!A2:A1000</xm:f>
          </x14:formula1>
          <xm:sqref>D578</xm:sqref>
        </x14:dataValidation>
        <x14:dataValidation type="list" allowBlank="1" showInputMessage="1" showErrorMessage="1" xr:uid="{00000000-0002-0000-0200-000029060000}">
          <x14:formula1>
            <xm:f>PriceAreaConnection!A2:A1000</xm:f>
          </x14:formula1>
          <xm:sqref>D579</xm:sqref>
        </x14:dataValidation>
        <x14:dataValidation type="list" allowBlank="1" showInputMessage="1" showErrorMessage="1" xr:uid="{00000000-0002-0000-0200-00002A060000}">
          <x14:formula1>
            <xm:f>PriceAreaConnection!A2:A1000</xm:f>
          </x14:formula1>
          <xm:sqref>D580</xm:sqref>
        </x14:dataValidation>
        <x14:dataValidation type="list" allowBlank="1" showInputMessage="1" showErrorMessage="1" xr:uid="{00000000-0002-0000-0200-00002B060000}">
          <x14:formula1>
            <xm:f>PriceAreaConnection!A2:A1000</xm:f>
          </x14:formula1>
          <xm:sqref>D581</xm:sqref>
        </x14:dataValidation>
        <x14:dataValidation type="list" allowBlank="1" showInputMessage="1" showErrorMessage="1" xr:uid="{00000000-0002-0000-0200-00002C060000}">
          <x14:formula1>
            <xm:f>PriceAreaConnection!A2:A1000</xm:f>
          </x14:formula1>
          <xm:sqref>D582</xm:sqref>
        </x14:dataValidation>
        <x14:dataValidation type="list" allowBlank="1" showInputMessage="1" showErrorMessage="1" xr:uid="{00000000-0002-0000-0200-00002D060000}">
          <x14:formula1>
            <xm:f>PriceAreaConnection!A2:A1000</xm:f>
          </x14:formula1>
          <xm:sqref>D583</xm:sqref>
        </x14:dataValidation>
        <x14:dataValidation type="list" allowBlank="1" showInputMessage="1" showErrorMessage="1" xr:uid="{00000000-0002-0000-0200-00002E060000}">
          <x14:formula1>
            <xm:f>PriceAreaConnection!A2:A1000</xm:f>
          </x14:formula1>
          <xm:sqref>D584</xm:sqref>
        </x14:dataValidation>
        <x14:dataValidation type="list" allowBlank="1" showInputMessage="1" showErrorMessage="1" xr:uid="{00000000-0002-0000-0200-00002F060000}">
          <x14:formula1>
            <xm:f>PriceAreaConnection!A2:A1000</xm:f>
          </x14:formula1>
          <xm:sqref>D585</xm:sqref>
        </x14:dataValidation>
        <x14:dataValidation type="list" allowBlank="1" showInputMessage="1" showErrorMessage="1" xr:uid="{00000000-0002-0000-0200-000030060000}">
          <x14:formula1>
            <xm:f>PriceAreaConnection!A2:A1000</xm:f>
          </x14:formula1>
          <xm:sqref>D586</xm:sqref>
        </x14:dataValidation>
        <x14:dataValidation type="list" allowBlank="1" showInputMessage="1" showErrorMessage="1" xr:uid="{00000000-0002-0000-0200-000031060000}">
          <x14:formula1>
            <xm:f>PriceAreaConnection!A2:A1000</xm:f>
          </x14:formula1>
          <xm:sqref>D587</xm:sqref>
        </x14:dataValidation>
        <x14:dataValidation type="list" allowBlank="1" showInputMessage="1" showErrorMessage="1" xr:uid="{00000000-0002-0000-0200-000032060000}">
          <x14:formula1>
            <xm:f>PriceAreaConnection!A2:A1000</xm:f>
          </x14:formula1>
          <xm:sqref>D588</xm:sqref>
        </x14:dataValidation>
        <x14:dataValidation type="list" allowBlank="1" showInputMessage="1" showErrorMessage="1" xr:uid="{00000000-0002-0000-0200-000033060000}">
          <x14:formula1>
            <xm:f>PriceAreaConnection!A2:A1000</xm:f>
          </x14:formula1>
          <xm:sqref>D589</xm:sqref>
        </x14:dataValidation>
        <x14:dataValidation type="list" allowBlank="1" showInputMessage="1" showErrorMessage="1" xr:uid="{00000000-0002-0000-0200-000034060000}">
          <x14:formula1>
            <xm:f>PriceAreaConnection!A2:A1000</xm:f>
          </x14:formula1>
          <xm:sqref>D590</xm:sqref>
        </x14:dataValidation>
        <x14:dataValidation type="list" allowBlank="1" showInputMessage="1" showErrorMessage="1" xr:uid="{00000000-0002-0000-0200-000035060000}">
          <x14:formula1>
            <xm:f>PriceAreaConnection!A2:A1000</xm:f>
          </x14:formula1>
          <xm:sqref>D591</xm:sqref>
        </x14:dataValidation>
        <x14:dataValidation type="list" allowBlank="1" showInputMessage="1" showErrorMessage="1" xr:uid="{00000000-0002-0000-0200-000036060000}">
          <x14:formula1>
            <xm:f>PriceAreaConnection!A2:A1000</xm:f>
          </x14:formula1>
          <xm:sqref>D592</xm:sqref>
        </x14:dataValidation>
        <x14:dataValidation type="list" allowBlank="1" showInputMessage="1" showErrorMessage="1" xr:uid="{00000000-0002-0000-0200-000037060000}">
          <x14:formula1>
            <xm:f>PriceAreaConnection!A2:A1000</xm:f>
          </x14:formula1>
          <xm:sqref>D593</xm:sqref>
        </x14:dataValidation>
        <x14:dataValidation type="list" allowBlank="1" showInputMessage="1" showErrorMessage="1" xr:uid="{00000000-0002-0000-0200-000038060000}">
          <x14:formula1>
            <xm:f>PriceAreaConnection!A2:A1000</xm:f>
          </x14:formula1>
          <xm:sqref>D594</xm:sqref>
        </x14:dataValidation>
        <x14:dataValidation type="list" allowBlank="1" showInputMessage="1" showErrorMessage="1" xr:uid="{00000000-0002-0000-0200-000039060000}">
          <x14:formula1>
            <xm:f>PriceAreaConnection!A2:A1000</xm:f>
          </x14:formula1>
          <xm:sqref>D595</xm:sqref>
        </x14:dataValidation>
        <x14:dataValidation type="list" allowBlank="1" showInputMessage="1" showErrorMessage="1" xr:uid="{00000000-0002-0000-0200-00003A060000}">
          <x14:formula1>
            <xm:f>PriceAreaConnection!A2:A1000</xm:f>
          </x14:formula1>
          <xm:sqref>D596</xm:sqref>
        </x14:dataValidation>
        <x14:dataValidation type="list" allowBlank="1" showInputMessage="1" showErrorMessage="1" xr:uid="{00000000-0002-0000-0200-00003B060000}">
          <x14:formula1>
            <xm:f>PriceAreaConnection!A2:A1000</xm:f>
          </x14:formula1>
          <xm:sqref>D597</xm:sqref>
        </x14:dataValidation>
        <x14:dataValidation type="list" allowBlank="1" showInputMessage="1" showErrorMessage="1" xr:uid="{00000000-0002-0000-0200-00003C060000}">
          <x14:formula1>
            <xm:f>PriceAreaConnection!A2:A1000</xm:f>
          </x14:formula1>
          <xm:sqref>D598</xm:sqref>
        </x14:dataValidation>
        <x14:dataValidation type="list" allowBlank="1" showInputMessage="1" showErrorMessage="1" xr:uid="{00000000-0002-0000-0200-00003D060000}">
          <x14:formula1>
            <xm:f>PriceAreaConnection!A2:A1000</xm:f>
          </x14:formula1>
          <xm:sqref>D599</xm:sqref>
        </x14:dataValidation>
        <x14:dataValidation type="list" allowBlank="1" showInputMessage="1" showErrorMessage="1" xr:uid="{00000000-0002-0000-0200-00003E060000}">
          <x14:formula1>
            <xm:f>PriceAreaConnection!A2:A1000</xm:f>
          </x14:formula1>
          <xm:sqref>D600</xm:sqref>
        </x14:dataValidation>
        <x14:dataValidation type="list" allowBlank="1" showInputMessage="1" showErrorMessage="1" xr:uid="{00000000-0002-0000-0200-00003F060000}">
          <x14:formula1>
            <xm:f>PriceAreaConnection!A2:A1000</xm:f>
          </x14:formula1>
          <xm:sqref>D601</xm:sqref>
        </x14:dataValidation>
        <x14:dataValidation type="list" allowBlank="1" showInputMessage="1" showErrorMessage="1" xr:uid="{00000000-0002-0000-0200-000040060000}">
          <x14:formula1>
            <xm:f>PriceAreaConnection!A2:A1000</xm:f>
          </x14:formula1>
          <xm:sqref>D602</xm:sqref>
        </x14:dataValidation>
        <x14:dataValidation type="list" allowBlank="1" showInputMessage="1" showErrorMessage="1" xr:uid="{00000000-0002-0000-0200-000041060000}">
          <x14:formula1>
            <xm:f>PriceAreaConnection!A2:A1000</xm:f>
          </x14:formula1>
          <xm:sqref>D603</xm:sqref>
        </x14:dataValidation>
        <x14:dataValidation type="list" allowBlank="1" showInputMessage="1" showErrorMessage="1" xr:uid="{00000000-0002-0000-0200-000042060000}">
          <x14:formula1>
            <xm:f>PriceAreaConnection!A2:A1000</xm:f>
          </x14:formula1>
          <xm:sqref>D604</xm:sqref>
        </x14:dataValidation>
        <x14:dataValidation type="list" allowBlank="1" showInputMessage="1" showErrorMessage="1" xr:uid="{00000000-0002-0000-0200-000043060000}">
          <x14:formula1>
            <xm:f>PriceAreaConnection!A2:A1000</xm:f>
          </x14:formula1>
          <xm:sqref>D605</xm:sqref>
        </x14:dataValidation>
        <x14:dataValidation type="list" allowBlank="1" showInputMessage="1" showErrorMessage="1" xr:uid="{00000000-0002-0000-0200-000044060000}">
          <x14:formula1>
            <xm:f>PriceAreaConnection!A2:A1000</xm:f>
          </x14:formula1>
          <xm:sqref>D606</xm:sqref>
        </x14:dataValidation>
        <x14:dataValidation type="list" allowBlank="1" showInputMessage="1" showErrorMessage="1" xr:uid="{00000000-0002-0000-0200-000045060000}">
          <x14:formula1>
            <xm:f>PriceAreaConnection!A2:A1000</xm:f>
          </x14:formula1>
          <xm:sqref>D607</xm:sqref>
        </x14:dataValidation>
        <x14:dataValidation type="list" allowBlank="1" showInputMessage="1" showErrorMessage="1" xr:uid="{00000000-0002-0000-0200-000046060000}">
          <x14:formula1>
            <xm:f>PriceAreaConnection!A2:A1000</xm:f>
          </x14:formula1>
          <xm:sqref>D608</xm:sqref>
        </x14:dataValidation>
        <x14:dataValidation type="list" allowBlank="1" showInputMessage="1" showErrorMessage="1" xr:uid="{00000000-0002-0000-0200-000047060000}">
          <x14:formula1>
            <xm:f>PriceAreaConnection!A2:A1000</xm:f>
          </x14:formula1>
          <xm:sqref>D609</xm:sqref>
        </x14:dataValidation>
        <x14:dataValidation type="list" allowBlank="1" showInputMessage="1" showErrorMessage="1" xr:uid="{00000000-0002-0000-0200-000048060000}">
          <x14:formula1>
            <xm:f>PriceAreaConnection!A2:A1000</xm:f>
          </x14:formula1>
          <xm:sqref>D610</xm:sqref>
        </x14:dataValidation>
        <x14:dataValidation type="list" allowBlank="1" showInputMessage="1" showErrorMessage="1" xr:uid="{00000000-0002-0000-0200-000049060000}">
          <x14:formula1>
            <xm:f>PriceAreaConnection!A2:A1000</xm:f>
          </x14:formula1>
          <xm:sqref>D611</xm:sqref>
        </x14:dataValidation>
        <x14:dataValidation type="list" allowBlank="1" showInputMessage="1" showErrorMessage="1" xr:uid="{00000000-0002-0000-0200-00004A060000}">
          <x14:formula1>
            <xm:f>PriceAreaConnection!A2:A1000</xm:f>
          </x14:formula1>
          <xm:sqref>D612</xm:sqref>
        </x14:dataValidation>
        <x14:dataValidation type="list" allowBlank="1" showInputMessage="1" showErrorMessage="1" xr:uid="{00000000-0002-0000-0200-00004B060000}">
          <x14:formula1>
            <xm:f>PriceAreaConnection!A2:A1000</xm:f>
          </x14:formula1>
          <xm:sqref>D613</xm:sqref>
        </x14:dataValidation>
        <x14:dataValidation type="list" allowBlank="1" showInputMessage="1" showErrorMessage="1" xr:uid="{00000000-0002-0000-0200-00004C060000}">
          <x14:formula1>
            <xm:f>PriceAreaConnection!A2:A1000</xm:f>
          </x14:formula1>
          <xm:sqref>D614</xm:sqref>
        </x14:dataValidation>
        <x14:dataValidation type="list" allowBlank="1" showInputMessage="1" showErrorMessage="1" xr:uid="{00000000-0002-0000-0200-00004D060000}">
          <x14:formula1>
            <xm:f>PriceAreaConnection!A2:A1000</xm:f>
          </x14:formula1>
          <xm:sqref>D615</xm:sqref>
        </x14:dataValidation>
        <x14:dataValidation type="list" allowBlank="1" showInputMessage="1" showErrorMessage="1" xr:uid="{00000000-0002-0000-0200-00004E060000}">
          <x14:formula1>
            <xm:f>PriceAreaConnection!A2:A1000</xm:f>
          </x14:formula1>
          <xm:sqref>D616</xm:sqref>
        </x14:dataValidation>
        <x14:dataValidation type="list" allowBlank="1" showInputMessage="1" showErrorMessage="1" xr:uid="{00000000-0002-0000-0200-00004F060000}">
          <x14:formula1>
            <xm:f>PriceAreaConnection!A2:A1000</xm:f>
          </x14:formula1>
          <xm:sqref>D617</xm:sqref>
        </x14:dataValidation>
        <x14:dataValidation type="list" allowBlank="1" showInputMessage="1" showErrorMessage="1" xr:uid="{00000000-0002-0000-0200-000050060000}">
          <x14:formula1>
            <xm:f>PriceAreaConnection!A2:A1000</xm:f>
          </x14:formula1>
          <xm:sqref>D618</xm:sqref>
        </x14:dataValidation>
        <x14:dataValidation type="list" allowBlank="1" showInputMessage="1" showErrorMessage="1" xr:uid="{00000000-0002-0000-0200-000051060000}">
          <x14:formula1>
            <xm:f>PriceAreaConnection!A2:A1000</xm:f>
          </x14:formula1>
          <xm:sqref>D619</xm:sqref>
        </x14:dataValidation>
        <x14:dataValidation type="list" allowBlank="1" showInputMessage="1" showErrorMessage="1" xr:uid="{00000000-0002-0000-0200-000052060000}">
          <x14:formula1>
            <xm:f>PriceAreaConnection!A2:A1000</xm:f>
          </x14:formula1>
          <xm:sqref>D620</xm:sqref>
        </x14:dataValidation>
        <x14:dataValidation type="list" allowBlank="1" showInputMessage="1" showErrorMessage="1" xr:uid="{00000000-0002-0000-0200-000053060000}">
          <x14:formula1>
            <xm:f>PriceAreaConnection!A2:A1000</xm:f>
          </x14:formula1>
          <xm:sqref>D621</xm:sqref>
        </x14:dataValidation>
        <x14:dataValidation type="list" allowBlank="1" showInputMessage="1" showErrorMessage="1" xr:uid="{00000000-0002-0000-0200-000054060000}">
          <x14:formula1>
            <xm:f>PriceAreaConnection!A2:A1000</xm:f>
          </x14:formula1>
          <xm:sqref>D622</xm:sqref>
        </x14:dataValidation>
        <x14:dataValidation type="list" allowBlank="1" showInputMessage="1" showErrorMessage="1" xr:uid="{00000000-0002-0000-0200-000055060000}">
          <x14:formula1>
            <xm:f>PriceAreaConnection!A2:A1000</xm:f>
          </x14:formula1>
          <xm:sqref>D623</xm:sqref>
        </x14:dataValidation>
        <x14:dataValidation type="list" allowBlank="1" showInputMessage="1" showErrorMessage="1" xr:uid="{00000000-0002-0000-0200-000056060000}">
          <x14:formula1>
            <xm:f>PriceAreaConnection!A2:A1000</xm:f>
          </x14:formula1>
          <xm:sqref>D624</xm:sqref>
        </x14:dataValidation>
        <x14:dataValidation type="list" allowBlank="1" showInputMessage="1" showErrorMessage="1" xr:uid="{00000000-0002-0000-0200-000057060000}">
          <x14:formula1>
            <xm:f>PriceAreaConnection!A2:A1000</xm:f>
          </x14:formula1>
          <xm:sqref>D625</xm:sqref>
        </x14:dataValidation>
        <x14:dataValidation type="list" allowBlank="1" showInputMessage="1" showErrorMessage="1" xr:uid="{00000000-0002-0000-0200-000058060000}">
          <x14:formula1>
            <xm:f>PriceAreaConnection!A2:A1000</xm:f>
          </x14:formula1>
          <xm:sqref>D626</xm:sqref>
        </x14:dataValidation>
        <x14:dataValidation type="list" allowBlank="1" showInputMessage="1" showErrorMessage="1" xr:uid="{00000000-0002-0000-0200-000059060000}">
          <x14:formula1>
            <xm:f>PriceAreaConnection!A2:A1000</xm:f>
          </x14:formula1>
          <xm:sqref>D627</xm:sqref>
        </x14:dataValidation>
        <x14:dataValidation type="list" allowBlank="1" showInputMessage="1" showErrorMessage="1" xr:uid="{00000000-0002-0000-0200-00005A060000}">
          <x14:formula1>
            <xm:f>PriceAreaConnection!A2:A1000</xm:f>
          </x14:formula1>
          <xm:sqref>D628</xm:sqref>
        </x14:dataValidation>
        <x14:dataValidation type="list" allowBlank="1" showInputMessage="1" showErrorMessage="1" xr:uid="{00000000-0002-0000-0200-00005B060000}">
          <x14:formula1>
            <xm:f>PriceAreaConnection!A2:A1000</xm:f>
          </x14:formula1>
          <xm:sqref>D629</xm:sqref>
        </x14:dataValidation>
        <x14:dataValidation type="list" allowBlank="1" showInputMessage="1" showErrorMessage="1" xr:uid="{00000000-0002-0000-0200-00005C060000}">
          <x14:formula1>
            <xm:f>PriceAreaConnection!A2:A1000</xm:f>
          </x14:formula1>
          <xm:sqref>D630</xm:sqref>
        </x14:dataValidation>
        <x14:dataValidation type="list" allowBlank="1" showInputMessage="1" showErrorMessage="1" xr:uid="{00000000-0002-0000-0200-00005D060000}">
          <x14:formula1>
            <xm:f>PriceAreaConnection!A2:A1000</xm:f>
          </x14:formula1>
          <xm:sqref>D631</xm:sqref>
        </x14:dataValidation>
        <x14:dataValidation type="list" allowBlank="1" showInputMessage="1" showErrorMessage="1" xr:uid="{00000000-0002-0000-0200-00005E060000}">
          <x14:formula1>
            <xm:f>PriceAreaConnection!A2:A1000</xm:f>
          </x14:formula1>
          <xm:sqref>D632</xm:sqref>
        </x14:dataValidation>
        <x14:dataValidation type="list" allowBlank="1" showInputMessage="1" showErrorMessage="1" xr:uid="{00000000-0002-0000-0200-00005F060000}">
          <x14:formula1>
            <xm:f>PriceAreaConnection!A2:A1000</xm:f>
          </x14:formula1>
          <xm:sqref>D633</xm:sqref>
        </x14:dataValidation>
        <x14:dataValidation type="list" allowBlank="1" showInputMessage="1" showErrorMessage="1" xr:uid="{00000000-0002-0000-0200-000060060000}">
          <x14:formula1>
            <xm:f>PriceAreaConnection!A2:A1000</xm:f>
          </x14:formula1>
          <xm:sqref>D634</xm:sqref>
        </x14:dataValidation>
        <x14:dataValidation type="list" allowBlank="1" showInputMessage="1" showErrorMessage="1" xr:uid="{00000000-0002-0000-0200-000061060000}">
          <x14:formula1>
            <xm:f>PriceAreaConnection!A2:A1000</xm:f>
          </x14:formula1>
          <xm:sqref>D635</xm:sqref>
        </x14:dataValidation>
        <x14:dataValidation type="list" allowBlank="1" showInputMessage="1" showErrorMessage="1" xr:uid="{00000000-0002-0000-0200-000062060000}">
          <x14:formula1>
            <xm:f>PriceAreaConnection!A2:A1000</xm:f>
          </x14:formula1>
          <xm:sqref>D636</xm:sqref>
        </x14:dataValidation>
        <x14:dataValidation type="list" allowBlank="1" showInputMessage="1" showErrorMessage="1" xr:uid="{00000000-0002-0000-0200-000063060000}">
          <x14:formula1>
            <xm:f>PriceAreaConnection!A2:A1000</xm:f>
          </x14:formula1>
          <xm:sqref>D637</xm:sqref>
        </x14:dataValidation>
        <x14:dataValidation type="list" allowBlank="1" showInputMessage="1" showErrorMessage="1" xr:uid="{00000000-0002-0000-0200-000064060000}">
          <x14:formula1>
            <xm:f>PriceAreaConnection!A2:A1000</xm:f>
          </x14:formula1>
          <xm:sqref>D638</xm:sqref>
        </x14:dataValidation>
        <x14:dataValidation type="list" allowBlank="1" showInputMessage="1" showErrorMessage="1" xr:uid="{00000000-0002-0000-0200-000065060000}">
          <x14:formula1>
            <xm:f>PriceAreaConnection!A2:A1000</xm:f>
          </x14:formula1>
          <xm:sqref>D639</xm:sqref>
        </x14:dataValidation>
        <x14:dataValidation type="list" allowBlank="1" showInputMessage="1" showErrorMessage="1" xr:uid="{00000000-0002-0000-0200-000066060000}">
          <x14:formula1>
            <xm:f>PriceAreaConnection!A2:A1000</xm:f>
          </x14:formula1>
          <xm:sqref>D640</xm:sqref>
        </x14:dataValidation>
        <x14:dataValidation type="list" allowBlank="1" showInputMessage="1" showErrorMessage="1" xr:uid="{00000000-0002-0000-0200-000067060000}">
          <x14:formula1>
            <xm:f>PriceAreaConnection!A2:A1000</xm:f>
          </x14:formula1>
          <xm:sqref>D641</xm:sqref>
        </x14:dataValidation>
        <x14:dataValidation type="list" allowBlank="1" showInputMessage="1" showErrorMessage="1" xr:uid="{00000000-0002-0000-0200-000068060000}">
          <x14:formula1>
            <xm:f>PriceAreaConnection!A2:A1000</xm:f>
          </x14:formula1>
          <xm:sqref>D642</xm:sqref>
        </x14:dataValidation>
        <x14:dataValidation type="list" allowBlank="1" showInputMessage="1" showErrorMessage="1" xr:uid="{00000000-0002-0000-0200-000069060000}">
          <x14:formula1>
            <xm:f>PriceAreaConnection!A2:A1000</xm:f>
          </x14:formula1>
          <xm:sqref>D643</xm:sqref>
        </x14:dataValidation>
        <x14:dataValidation type="list" allowBlank="1" showInputMessage="1" showErrorMessage="1" xr:uid="{00000000-0002-0000-0200-00006A060000}">
          <x14:formula1>
            <xm:f>PriceAreaConnection!A2:A1000</xm:f>
          </x14:formula1>
          <xm:sqref>D644</xm:sqref>
        </x14:dataValidation>
        <x14:dataValidation type="list" allowBlank="1" showInputMessage="1" showErrorMessage="1" xr:uid="{00000000-0002-0000-0200-00006B060000}">
          <x14:formula1>
            <xm:f>PriceAreaConnection!A2:A1000</xm:f>
          </x14:formula1>
          <xm:sqref>D645</xm:sqref>
        </x14:dataValidation>
        <x14:dataValidation type="list" allowBlank="1" showInputMessage="1" showErrorMessage="1" xr:uid="{00000000-0002-0000-0200-00006C060000}">
          <x14:formula1>
            <xm:f>PriceAreaConnection!A2:A1000</xm:f>
          </x14:formula1>
          <xm:sqref>D646</xm:sqref>
        </x14:dataValidation>
        <x14:dataValidation type="list" allowBlank="1" showInputMessage="1" showErrorMessage="1" xr:uid="{00000000-0002-0000-0200-00006D060000}">
          <x14:formula1>
            <xm:f>PriceAreaConnection!A2:A1000</xm:f>
          </x14:formula1>
          <xm:sqref>D647</xm:sqref>
        </x14:dataValidation>
        <x14:dataValidation type="list" allowBlank="1" showInputMessage="1" showErrorMessage="1" xr:uid="{00000000-0002-0000-0200-00006E060000}">
          <x14:formula1>
            <xm:f>PriceAreaConnection!A2:A1000</xm:f>
          </x14:formula1>
          <xm:sqref>D648</xm:sqref>
        </x14:dataValidation>
        <x14:dataValidation type="list" allowBlank="1" showInputMessage="1" showErrorMessage="1" xr:uid="{00000000-0002-0000-0200-00006F060000}">
          <x14:formula1>
            <xm:f>PriceAreaConnection!A2:A1000</xm:f>
          </x14:formula1>
          <xm:sqref>D649</xm:sqref>
        </x14:dataValidation>
        <x14:dataValidation type="list" allowBlank="1" showInputMessage="1" showErrorMessage="1" xr:uid="{00000000-0002-0000-0200-000070060000}">
          <x14:formula1>
            <xm:f>PriceAreaConnection!A2:A1000</xm:f>
          </x14:formula1>
          <xm:sqref>D650</xm:sqref>
        </x14:dataValidation>
        <x14:dataValidation type="list" allowBlank="1" showInputMessage="1" showErrorMessage="1" xr:uid="{00000000-0002-0000-0200-000071060000}">
          <x14:formula1>
            <xm:f>PriceAreaConnection!A2:A1000</xm:f>
          </x14:formula1>
          <xm:sqref>D651</xm:sqref>
        </x14:dataValidation>
        <x14:dataValidation type="list" allowBlank="1" showInputMessage="1" showErrorMessage="1" xr:uid="{00000000-0002-0000-0200-000072060000}">
          <x14:formula1>
            <xm:f>PriceAreaConnection!A2:A1000</xm:f>
          </x14:formula1>
          <xm:sqref>D652</xm:sqref>
        </x14:dataValidation>
        <x14:dataValidation type="list" allowBlank="1" showInputMessage="1" showErrorMessage="1" xr:uid="{00000000-0002-0000-0200-000073060000}">
          <x14:formula1>
            <xm:f>PriceAreaConnection!A2:A1000</xm:f>
          </x14:formula1>
          <xm:sqref>D653</xm:sqref>
        </x14:dataValidation>
        <x14:dataValidation type="list" allowBlank="1" showInputMessage="1" showErrorMessage="1" xr:uid="{00000000-0002-0000-0200-000074060000}">
          <x14:formula1>
            <xm:f>PriceAreaConnection!A2:A1000</xm:f>
          </x14:formula1>
          <xm:sqref>D654</xm:sqref>
        </x14:dataValidation>
        <x14:dataValidation type="list" allowBlank="1" showInputMessage="1" showErrorMessage="1" xr:uid="{00000000-0002-0000-0200-000075060000}">
          <x14:formula1>
            <xm:f>PriceAreaConnection!A2:A1000</xm:f>
          </x14:formula1>
          <xm:sqref>D655</xm:sqref>
        </x14:dataValidation>
        <x14:dataValidation type="list" allowBlank="1" showInputMessage="1" showErrorMessage="1" xr:uid="{00000000-0002-0000-0200-000076060000}">
          <x14:formula1>
            <xm:f>PriceAreaConnection!A2:A1000</xm:f>
          </x14:formula1>
          <xm:sqref>D656</xm:sqref>
        </x14:dataValidation>
        <x14:dataValidation type="list" allowBlank="1" showInputMessage="1" showErrorMessage="1" xr:uid="{00000000-0002-0000-0200-000077060000}">
          <x14:formula1>
            <xm:f>PriceAreaConnection!A2:A1000</xm:f>
          </x14:formula1>
          <xm:sqref>D657</xm:sqref>
        </x14:dataValidation>
        <x14:dataValidation type="list" allowBlank="1" showInputMessage="1" showErrorMessage="1" xr:uid="{00000000-0002-0000-0200-000078060000}">
          <x14:formula1>
            <xm:f>PriceAreaConnection!A2:A1000</xm:f>
          </x14:formula1>
          <xm:sqref>D658</xm:sqref>
        </x14:dataValidation>
        <x14:dataValidation type="list" allowBlank="1" showInputMessage="1" showErrorMessage="1" xr:uid="{00000000-0002-0000-0200-000079060000}">
          <x14:formula1>
            <xm:f>PriceAreaConnection!A2:A1000</xm:f>
          </x14:formula1>
          <xm:sqref>D659</xm:sqref>
        </x14:dataValidation>
        <x14:dataValidation type="list" allowBlank="1" showInputMessage="1" showErrorMessage="1" xr:uid="{00000000-0002-0000-0200-00007A060000}">
          <x14:formula1>
            <xm:f>PriceAreaConnection!A2:A1000</xm:f>
          </x14:formula1>
          <xm:sqref>D660</xm:sqref>
        </x14:dataValidation>
        <x14:dataValidation type="list" allowBlank="1" showInputMessage="1" showErrorMessage="1" xr:uid="{00000000-0002-0000-0200-00007B060000}">
          <x14:formula1>
            <xm:f>PriceAreaConnection!A2:A1000</xm:f>
          </x14:formula1>
          <xm:sqref>D661</xm:sqref>
        </x14:dataValidation>
        <x14:dataValidation type="list" allowBlank="1" showInputMessage="1" showErrorMessage="1" xr:uid="{00000000-0002-0000-0200-00007C060000}">
          <x14:formula1>
            <xm:f>PriceAreaConnection!A2:A1000</xm:f>
          </x14:formula1>
          <xm:sqref>D662</xm:sqref>
        </x14:dataValidation>
        <x14:dataValidation type="list" allowBlank="1" showInputMessage="1" showErrorMessage="1" xr:uid="{00000000-0002-0000-0200-00007D060000}">
          <x14:formula1>
            <xm:f>PriceAreaConnection!A2:A1000</xm:f>
          </x14:formula1>
          <xm:sqref>D663</xm:sqref>
        </x14:dataValidation>
        <x14:dataValidation type="list" allowBlank="1" showInputMessage="1" showErrorMessage="1" xr:uid="{00000000-0002-0000-0200-00007E060000}">
          <x14:formula1>
            <xm:f>PriceAreaConnection!A2:A1000</xm:f>
          </x14:formula1>
          <xm:sqref>D664</xm:sqref>
        </x14:dataValidation>
        <x14:dataValidation type="list" allowBlank="1" showInputMessage="1" showErrorMessage="1" xr:uid="{00000000-0002-0000-0200-00007F060000}">
          <x14:formula1>
            <xm:f>PriceAreaConnection!A2:A1000</xm:f>
          </x14:formula1>
          <xm:sqref>D665</xm:sqref>
        </x14:dataValidation>
        <x14:dataValidation type="list" allowBlank="1" showInputMessage="1" showErrorMessage="1" xr:uid="{00000000-0002-0000-0200-000080060000}">
          <x14:formula1>
            <xm:f>PriceAreaConnection!A2:A1000</xm:f>
          </x14:formula1>
          <xm:sqref>D666</xm:sqref>
        </x14:dataValidation>
        <x14:dataValidation type="list" allowBlank="1" showInputMessage="1" showErrorMessage="1" xr:uid="{00000000-0002-0000-0200-000081060000}">
          <x14:formula1>
            <xm:f>PriceAreaConnection!A2:A1000</xm:f>
          </x14:formula1>
          <xm:sqref>D667</xm:sqref>
        </x14:dataValidation>
        <x14:dataValidation type="list" allowBlank="1" showInputMessage="1" showErrorMessage="1" xr:uid="{00000000-0002-0000-0200-000082060000}">
          <x14:formula1>
            <xm:f>PriceAreaConnection!A2:A1000</xm:f>
          </x14:formula1>
          <xm:sqref>D668</xm:sqref>
        </x14:dataValidation>
        <x14:dataValidation type="list" allowBlank="1" showInputMessage="1" showErrorMessage="1" xr:uid="{00000000-0002-0000-0200-000083060000}">
          <x14:formula1>
            <xm:f>PriceAreaConnection!A2:A1000</xm:f>
          </x14:formula1>
          <xm:sqref>D669</xm:sqref>
        </x14:dataValidation>
        <x14:dataValidation type="list" allowBlank="1" showInputMessage="1" showErrorMessage="1" xr:uid="{00000000-0002-0000-0200-000084060000}">
          <x14:formula1>
            <xm:f>PriceAreaConnection!A2:A1000</xm:f>
          </x14:formula1>
          <xm:sqref>D670</xm:sqref>
        </x14:dataValidation>
        <x14:dataValidation type="list" allowBlank="1" showInputMessage="1" showErrorMessage="1" xr:uid="{00000000-0002-0000-0200-000085060000}">
          <x14:formula1>
            <xm:f>PriceAreaConnection!A2:A1000</xm:f>
          </x14:formula1>
          <xm:sqref>D671</xm:sqref>
        </x14:dataValidation>
        <x14:dataValidation type="list" allowBlank="1" showInputMessage="1" showErrorMessage="1" xr:uid="{00000000-0002-0000-0200-000086060000}">
          <x14:formula1>
            <xm:f>PriceAreaConnection!A2:A1000</xm:f>
          </x14:formula1>
          <xm:sqref>D672</xm:sqref>
        </x14:dataValidation>
        <x14:dataValidation type="list" allowBlank="1" showInputMessage="1" showErrorMessage="1" xr:uid="{00000000-0002-0000-0200-000087060000}">
          <x14:formula1>
            <xm:f>PriceAreaConnection!A2:A1000</xm:f>
          </x14:formula1>
          <xm:sqref>D673</xm:sqref>
        </x14:dataValidation>
        <x14:dataValidation type="list" allowBlank="1" showInputMessage="1" showErrorMessage="1" xr:uid="{00000000-0002-0000-0200-000088060000}">
          <x14:formula1>
            <xm:f>PriceAreaConnection!A2:A1000</xm:f>
          </x14:formula1>
          <xm:sqref>D674</xm:sqref>
        </x14:dataValidation>
        <x14:dataValidation type="list" allowBlank="1" showInputMessage="1" showErrorMessage="1" xr:uid="{00000000-0002-0000-0200-000089060000}">
          <x14:formula1>
            <xm:f>PriceAreaConnection!A2:A1000</xm:f>
          </x14:formula1>
          <xm:sqref>D675</xm:sqref>
        </x14:dataValidation>
        <x14:dataValidation type="list" allowBlank="1" showInputMessage="1" showErrorMessage="1" xr:uid="{00000000-0002-0000-0200-00008A060000}">
          <x14:formula1>
            <xm:f>PriceAreaConnection!A2:A1000</xm:f>
          </x14:formula1>
          <xm:sqref>D676</xm:sqref>
        </x14:dataValidation>
        <x14:dataValidation type="list" allowBlank="1" showInputMessage="1" showErrorMessage="1" xr:uid="{00000000-0002-0000-0200-00008B060000}">
          <x14:formula1>
            <xm:f>PriceAreaConnection!A2:A1000</xm:f>
          </x14:formula1>
          <xm:sqref>D677</xm:sqref>
        </x14:dataValidation>
        <x14:dataValidation type="list" allowBlank="1" showInputMessage="1" showErrorMessage="1" xr:uid="{00000000-0002-0000-0200-00008C060000}">
          <x14:formula1>
            <xm:f>PriceAreaConnection!A2:A1000</xm:f>
          </x14:formula1>
          <xm:sqref>D678</xm:sqref>
        </x14:dataValidation>
        <x14:dataValidation type="list" allowBlank="1" showInputMessage="1" showErrorMessage="1" xr:uid="{00000000-0002-0000-0200-00008D060000}">
          <x14:formula1>
            <xm:f>PriceAreaConnection!A2:A1000</xm:f>
          </x14:formula1>
          <xm:sqref>D679</xm:sqref>
        </x14:dataValidation>
        <x14:dataValidation type="list" allowBlank="1" showInputMessage="1" showErrorMessage="1" xr:uid="{00000000-0002-0000-0200-00008E060000}">
          <x14:formula1>
            <xm:f>PriceAreaConnection!A2:A1000</xm:f>
          </x14:formula1>
          <xm:sqref>D680</xm:sqref>
        </x14:dataValidation>
        <x14:dataValidation type="list" allowBlank="1" showInputMessage="1" showErrorMessage="1" xr:uid="{00000000-0002-0000-0200-00008F060000}">
          <x14:formula1>
            <xm:f>PriceAreaConnection!A2:A1000</xm:f>
          </x14:formula1>
          <xm:sqref>D681</xm:sqref>
        </x14:dataValidation>
        <x14:dataValidation type="list" allowBlank="1" showInputMessage="1" showErrorMessage="1" xr:uid="{00000000-0002-0000-0200-000090060000}">
          <x14:formula1>
            <xm:f>PriceAreaConnection!A2:A1000</xm:f>
          </x14:formula1>
          <xm:sqref>D682</xm:sqref>
        </x14:dataValidation>
        <x14:dataValidation type="list" allowBlank="1" showInputMessage="1" showErrorMessage="1" xr:uid="{00000000-0002-0000-0200-000091060000}">
          <x14:formula1>
            <xm:f>PriceAreaConnection!A2:A1000</xm:f>
          </x14:formula1>
          <xm:sqref>D683</xm:sqref>
        </x14:dataValidation>
        <x14:dataValidation type="list" allowBlank="1" showInputMessage="1" showErrorMessage="1" xr:uid="{00000000-0002-0000-0200-000092060000}">
          <x14:formula1>
            <xm:f>PriceAreaConnection!A2:A1000</xm:f>
          </x14:formula1>
          <xm:sqref>D684</xm:sqref>
        </x14:dataValidation>
        <x14:dataValidation type="list" allowBlank="1" showInputMessage="1" showErrorMessage="1" xr:uid="{00000000-0002-0000-0200-000093060000}">
          <x14:formula1>
            <xm:f>PriceAreaConnection!A2:A1000</xm:f>
          </x14:formula1>
          <xm:sqref>D685</xm:sqref>
        </x14:dataValidation>
        <x14:dataValidation type="list" allowBlank="1" showInputMessage="1" showErrorMessage="1" xr:uid="{00000000-0002-0000-0200-000094060000}">
          <x14:formula1>
            <xm:f>PriceAreaConnection!A2:A1000</xm:f>
          </x14:formula1>
          <xm:sqref>D686</xm:sqref>
        </x14:dataValidation>
        <x14:dataValidation type="list" allowBlank="1" showInputMessage="1" showErrorMessage="1" xr:uid="{00000000-0002-0000-0200-000095060000}">
          <x14:formula1>
            <xm:f>PriceAreaConnection!A2:A1000</xm:f>
          </x14:formula1>
          <xm:sqref>D687</xm:sqref>
        </x14:dataValidation>
        <x14:dataValidation type="list" allowBlank="1" showInputMessage="1" showErrorMessage="1" xr:uid="{00000000-0002-0000-0200-000096060000}">
          <x14:formula1>
            <xm:f>PriceAreaConnection!A2:A1000</xm:f>
          </x14:formula1>
          <xm:sqref>D688</xm:sqref>
        </x14:dataValidation>
        <x14:dataValidation type="list" allowBlank="1" showInputMessage="1" showErrorMessage="1" xr:uid="{00000000-0002-0000-0200-000097060000}">
          <x14:formula1>
            <xm:f>PriceAreaConnection!A2:A1000</xm:f>
          </x14:formula1>
          <xm:sqref>D689</xm:sqref>
        </x14:dataValidation>
        <x14:dataValidation type="list" allowBlank="1" showInputMessage="1" showErrorMessage="1" xr:uid="{00000000-0002-0000-0200-000098060000}">
          <x14:formula1>
            <xm:f>PriceAreaConnection!A2:A1000</xm:f>
          </x14:formula1>
          <xm:sqref>D690</xm:sqref>
        </x14:dataValidation>
        <x14:dataValidation type="list" allowBlank="1" showInputMessage="1" showErrorMessage="1" xr:uid="{00000000-0002-0000-0200-000099060000}">
          <x14:formula1>
            <xm:f>PriceAreaConnection!A2:A1000</xm:f>
          </x14:formula1>
          <xm:sqref>D691</xm:sqref>
        </x14:dataValidation>
        <x14:dataValidation type="list" allowBlank="1" showInputMessage="1" showErrorMessage="1" xr:uid="{00000000-0002-0000-0200-00009A060000}">
          <x14:formula1>
            <xm:f>PriceAreaConnection!A2:A1000</xm:f>
          </x14:formula1>
          <xm:sqref>D692</xm:sqref>
        </x14:dataValidation>
        <x14:dataValidation type="list" allowBlank="1" showInputMessage="1" showErrorMessage="1" xr:uid="{00000000-0002-0000-0200-00009B060000}">
          <x14:formula1>
            <xm:f>PriceAreaConnection!A2:A1000</xm:f>
          </x14:formula1>
          <xm:sqref>D693</xm:sqref>
        </x14:dataValidation>
        <x14:dataValidation type="list" allowBlank="1" showInputMessage="1" showErrorMessage="1" xr:uid="{00000000-0002-0000-0200-00009C060000}">
          <x14:formula1>
            <xm:f>PriceAreaConnection!A2:A1000</xm:f>
          </x14:formula1>
          <xm:sqref>D694</xm:sqref>
        </x14:dataValidation>
        <x14:dataValidation type="list" allowBlank="1" showInputMessage="1" showErrorMessage="1" xr:uid="{00000000-0002-0000-0200-00009D060000}">
          <x14:formula1>
            <xm:f>PriceAreaConnection!A2:A1000</xm:f>
          </x14:formula1>
          <xm:sqref>D695</xm:sqref>
        </x14:dataValidation>
        <x14:dataValidation type="list" allowBlank="1" showInputMessage="1" showErrorMessage="1" xr:uid="{00000000-0002-0000-0200-00009E060000}">
          <x14:formula1>
            <xm:f>PriceAreaConnection!A2:A1000</xm:f>
          </x14:formula1>
          <xm:sqref>D696</xm:sqref>
        </x14:dataValidation>
        <x14:dataValidation type="list" allowBlank="1" showInputMessage="1" showErrorMessage="1" xr:uid="{00000000-0002-0000-0200-00009F060000}">
          <x14:formula1>
            <xm:f>PriceAreaConnection!A2:A1000</xm:f>
          </x14:formula1>
          <xm:sqref>D697</xm:sqref>
        </x14:dataValidation>
        <x14:dataValidation type="list" allowBlank="1" showInputMessage="1" showErrorMessage="1" xr:uid="{00000000-0002-0000-0200-0000A0060000}">
          <x14:formula1>
            <xm:f>PriceAreaConnection!A2:A1000</xm:f>
          </x14:formula1>
          <xm:sqref>D698</xm:sqref>
        </x14:dataValidation>
        <x14:dataValidation type="list" allowBlank="1" showInputMessage="1" showErrorMessage="1" xr:uid="{00000000-0002-0000-0200-0000A1060000}">
          <x14:formula1>
            <xm:f>PriceAreaConnection!A2:A1000</xm:f>
          </x14:formula1>
          <xm:sqref>D699</xm:sqref>
        </x14:dataValidation>
        <x14:dataValidation type="list" allowBlank="1" showInputMessage="1" showErrorMessage="1" xr:uid="{00000000-0002-0000-0200-0000A2060000}">
          <x14:formula1>
            <xm:f>PriceAreaConnection!A2:A1000</xm:f>
          </x14:formula1>
          <xm:sqref>D700</xm:sqref>
        </x14:dataValidation>
        <x14:dataValidation type="list" allowBlank="1" showInputMessage="1" showErrorMessage="1" xr:uid="{00000000-0002-0000-0200-0000A3060000}">
          <x14:formula1>
            <xm:f>PriceAreaConnection!A2:A1000</xm:f>
          </x14:formula1>
          <xm:sqref>D701</xm:sqref>
        </x14:dataValidation>
        <x14:dataValidation type="list" allowBlank="1" showInputMessage="1" showErrorMessage="1" xr:uid="{00000000-0002-0000-0200-0000A4060000}">
          <x14:formula1>
            <xm:f>PriceAreaConnection!A2:A1000</xm:f>
          </x14:formula1>
          <xm:sqref>D702</xm:sqref>
        </x14:dataValidation>
        <x14:dataValidation type="list" allowBlank="1" showInputMessage="1" showErrorMessage="1" xr:uid="{00000000-0002-0000-0200-0000A5060000}">
          <x14:formula1>
            <xm:f>PriceAreaConnection!A2:A1000</xm:f>
          </x14:formula1>
          <xm:sqref>D703</xm:sqref>
        </x14:dataValidation>
        <x14:dataValidation type="list" allowBlank="1" showInputMessage="1" showErrorMessage="1" xr:uid="{00000000-0002-0000-0200-0000A6060000}">
          <x14:formula1>
            <xm:f>PriceAreaConnection!A2:A1000</xm:f>
          </x14:formula1>
          <xm:sqref>D704</xm:sqref>
        </x14:dataValidation>
        <x14:dataValidation type="list" allowBlank="1" showInputMessage="1" showErrorMessage="1" xr:uid="{00000000-0002-0000-0200-0000A7060000}">
          <x14:formula1>
            <xm:f>PriceAreaConnection!A2:A1000</xm:f>
          </x14:formula1>
          <xm:sqref>D705</xm:sqref>
        </x14:dataValidation>
        <x14:dataValidation type="list" allowBlank="1" showInputMessage="1" showErrorMessage="1" xr:uid="{00000000-0002-0000-0200-0000A8060000}">
          <x14:formula1>
            <xm:f>PriceAreaConnection!A2:A1000</xm:f>
          </x14:formula1>
          <xm:sqref>D706</xm:sqref>
        </x14:dataValidation>
        <x14:dataValidation type="list" allowBlank="1" showInputMessage="1" showErrorMessage="1" xr:uid="{00000000-0002-0000-0200-0000A9060000}">
          <x14:formula1>
            <xm:f>PriceAreaConnection!A2:A1000</xm:f>
          </x14:formula1>
          <xm:sqref>D707</xm:sqref>
        </x14:dataValidation>
        <x14:dataValidation type="list" allowBlank="1" showInputMessage="1" showErrorMessage="1" xr:uid="{00000000-0002-0000-0200-0000AA060000}">
          <x14:formula1>
            <xm:f>PriceAreaConnection!A2:A1000</xm:f>
          </x14:formula1>
          <xm:sqref>D708</xm:sqref>
        </x14:dataValidation>
        <x14:dataValidation type="list" allowBlank="1" showInputMessage="1" showErrorMessage="1" xr:uid="{00000000-0002-0000-0200-0000AB060000}">
          <x14:formula1>
            <xm:f>PriceAreaConnection!A2:A1000</xm:f>
          </x14:formula1>
          <xm:sqref>D709</xm:sqref>
        </x14:dataValidation>
        <x14:dataValidation type="list" allowBlank="1" showInputMessage="1" showErrorMessage="1" xr:uid="{00000000-0002-0000-0200-0000AC060000}">
          <x14:formula1>
            <xm:f>PriceAreaConnection!A2:A1000</xm:f>
          </x14:formula1>
          <xm:sqref>D710</xm:sqref>
        </x14:dataValidation>
        <x14:dataValidation type="list" allowBlank="1" showInputMessage="1" showErrorMessage="1" xr:uid="{00000000-0002-0000-0200-0000AD060000}">
          <x14:formula1>
            <xm:f>PriceAreaConnection!A2:A1000</xm:f>
          </x14:formula1>
          <xm:sqref>D711</xm:sqref>
        </x14:dataValidation>
        <x14:dataValidation type="list" allowBlank="1" showInputMessage="1" showErrorMessage="1" xr:uid="{00000000-0002-0000-0200-0000AE060000}">
          <x14:formula1>
            <xm:f>PriceAreaConnection!A2:A1000</xm:f>
          </x14:formula1>
          <xm:sqref>D712</xm:sqref>
        </x14:dataValidation>
        <x14:dataValidation type="list" allowBlank="1" showInputMessage="1" showErrorMessage="1" xr:uid="{00000000-0002-0000-0200-0000AF060000}">
          <x14:formula1>
            <xm:f>PriceAreaConnection!A2:A1000</xm:f>
          </x14:formula1>
          <xm:sqref>D713</xm:sqref>
        </x14:dataValidation>
        <x14:dataValidation type="list" allowBlank="1" showInputMessage="1" showErrorMessage="1" xr:uid="{00000000-0002-0000-0200-0000B0060000}">
          <x14:formula1>
            <xm:f>PriceAreaConnection!A2:A1000</xm:f>
          </x14:formula1>
          <xm:sqref>D714</xm:sqref>
        </x14:dataValidation>
        <x14:dataValidation type="list" allowBlank="1" showInputMessage="1" showErrorMessage="1" xr:uid="{00000000-0002-0000-0200-0000B1060000}">
          <x14:formula1>
            <xm:f>PriceAreaConnection!A2:A1000</xm:f>
          </x14:formula1>
          <xm:sqref>D715</xm:sqref>
        </x14:dataValidation>
        <x14:dataValidation type="list" allowBlank="1" showInputMessage="1" showErrorMessage="1" xr:uid="{00000000-0002-0000-0200-0000B2060000}">
          <x14:formula1>
            <xm:f>PriceAreaConnection!A2:A1000</xm:f>
          </x14:formula1>
          <xm:sqref>D716</xm:sqref>
        </x14:dataValidation>
        <x14:dataValidation type="list" allowBlank="1" showInputMessage="1" showErrorMessage="1" xr:uid="{00000000-0002-0000-0200-0000B3060000}">
          <x14:formula1>
            <xm:f>PriceAreaConnection!A2:A1000</xm:f>
          </x14:formula1>
          <xm:sqref>D717</xm:sqref>
        </x14:dataValidation>
        <x14:dataValidation type="list" allowBlank="1" showInputMessage="1" showErrorMessage="1" xr:uid="{00000000-0002-0000-0200-0000B4060000}">
          <x14:formula1>
            <xm:f>PriceAreaConnection!A2:A1000</xm:f>
          </x14:formula1>
          <xm:sqref>D718</xm:sqref>
        </x14:dataValidation>
        <x14:dataValidation type="list" allowBlank="1" showInputMessage="1" showErrorMessage="1" xr:uid="{00000000-0002-0000-0200-0000B5060000}">
          <x14:formula1>
            <xm:f>PriceAreaConnection!A2:A1000</xm:f>
          </x14:formula1>
          <xm:sqref>D719</xm:sqref>
        </x14:dataValidation>
        <x14:dataValidation type="list" allowBlank="1" showInputMessage="1" showErrorMessage="1" xr:uid="{00000000-0002-0000-0200-0000B6060000}">
          <x14:formula1>
            <xm:f>PriceAreaConnection!A2:A1000</xm:f>
          </x14:formula1>
          <xm:sqref>D720</xm:sqref>
        </x14:dataValidation>
        <x14:dataValidation type="list" allowBlank="1" showInputMessage="1" showErrorMessage="1" xr:uid="{00000000-0002-0000-0200-0000B7060000}">
          <x14:formula1>
            <xm:f>PriceAreaConnection!A2:A1000</xm:f>
          </x14:formula1>
          <xm:sqref>D721</xm:sqref>
        </x14:dataValidation>
        <x14:dataValidation type="list" allowBlank="1" showInputMessage="1" showErrorMessage="1" xr:uid="{00000000-0002-0000-0200-0000B8060000}">
          <x14:formula1>
            <xm:f>PriceAreaConnection!A2:A1000</xm:f>
          </x14:formula1>
          <xm:sqref>D722</xm:sqref>
        </x14:dataValidation>
        <x14:dataValidation type="list" allowBlank="1" showInputMessage="1" showErrorMessage="1" xr:uid="{00000000-0002-0000-0200-0000B9060000}">
          <x14:formula1>
            <xm:f>PriceAreaConnection!A2:A1000</xm:f>
          </x14:formula1>
          <xm:sqref>D723</xm:sqref>
        </x14:dataValidation>
        <x14:dataValidation type="list" allowBlank="1" showInputMessage="1" showErrorMessage="1" xr:uid="{00000000-0002-0000-0200-0000BA060000}">
          <x14:formula1>
            <xm:f>PriceAreaConnection!A2:A1000</xm:f>
          </x14:formula1>
          <xm:sqref>D724</xm:sqref>
        </x14:dataValidation>
        <x14:dataValidation type="list" allowBlank="1" showInputMessage="1" showErrorMessage="1" xr:uid="{00000000-0002-0000-0200-0000BB060000}">
          <x14:formula1>
            <xm:f>PriceAreaConnection!A2:A1000</xm:f>
          </x14:formula1>
          <xm:sqref>D725</xm:sqref>
        </x14:dataValidation>
        <x14:dataValidation type="list" allowBlank="1" showInputMessage="1" showErrorMessage="1" xr:uid="{00000000-0002-0000-0200-0000BC060000}">
          <x14:formula1>
            <xm:f>PriceAreaConnection!A2:A1000</xm:f>
          </x14:formula1>
          <xm:sqref>D726</xm:sqref>
        </x14:dataValidation>
        <x14:dataValidation type="list" allowBlank="1" showInputMessage="1" showErrorMessage="1" xr:uid="{00000000-0002-0000-0200-0000BD060000}">
          <x14:formula1>
            <xm:f>PriceAreaConnection!A2:A1000</xm:f>
          </x14:formula1>
          <xm:sqref>D727</xm:sqref>
        </x14:dataValidation>
        <x14:dataValidation type="list" allowBlank="1" showInputMessage="1" showErrorMessage="1" xr:uid="{00000000-0002-0000-0200-0000BE060000}">
          <x14:formula1>
            <xm:f>PriceAreaConnection!A2:A1000</xm:f>
          </x14:formula1>
          <xm:sqref>D728</xm:sqref>
        </x14:dataValidation>
        <x14:dataValidation type="list" allowBlank="1" showInputMessage="1" showErrorMessage="1" xr:uid="{00000000-0002-0000-0200-0000BF060000}">
          <x14:formula1>
            <xm:f>PriceAreaConnection!A2:A1000</xm:f>
          </x14:formula1>
          <xm:sqref>D729</xm:sqref>
        </x14:dataValidation>
        <x14:dataValidation type="list" allowBlank="1" showInputMessage="1" showErrorMessage="1" xr:uid="{00000000-0002-0000-0200-0000C0060000}">
          <x14:formula1>
            <xm:f>PriceAreaConnection!A2:A1000</xm:f>
          </x14:formula1>
          <xm:sqref>D730</xm:sqref>
        </x14:dataValidation>
        <x14:dataValidation type="list" allowBlank="1" showInputMessage="1" showErrorMessage="1" xr:uid="{00000000-0002-0000-0200-0000C1060000}">
          <x14:formula1>
            <xm:f>PriceAreaConnection!A2:A1000</xm:f>
          </x14:formula1>
          <xm:sqref>D731</xm:sqref>
        </x14:dataValidation>
        <x14:dataValidation type="list" allowBlank="1" showInputMessage="1" showErrorMessage="1" xr:uid="{00000000-0002-0000-0200-0000C2060000}">
          <x14:formula1>
            <xm:f>PriceAreaConnection!A2:A1000</xm:f>
          </x14:formula1>
          <xm:sqref>D732</xm:sqref>
        </x14:dataValidation>
        <x14:dataValidation type="list" allowBlank="1" showInputMessage="1" showErrorMessage="1" xr:uid="{00000000-0002-0000-0200-0000C3060000}">
          <x14:formula1>
            <xm:f>PriceAreaConnection!A2:A1000</xm:f>
          </x14:formula1>
          <xm:sqref>D733</xm:sqref>
        </x14:dataValidation>
        <x14:dataValidation type="list" allowBlank="1" showInputMessage="1" showErrorMessage="1" xr:uid="{00000000-0002-0000-0200-0000C4060000}">
          <x14:formula1>
            <xm:f>PriceAreaConnection!A2:A1000</xm:f>
          </x14:formula1>
          <xm:sqref>D734</xm:sqref>
        </x14:dataValidation>
        <x14:dataValidation type="list" allowBlank="1" showInputMessage="1" showErrorMessage="1" xr:uid="{00000000-0002-0000-0200-0000C5060000}">
          <x14:formula1>
            <xm:f>PriceAreaConnection!A2:A1000</xm:f>
          </x14:formula1>
          <xm:sqref>D735</xm:sqref>
        </x14:dataValidation>
        <x14:dataValidation type="list" allowBlank="1" showInputMessage="1" showErrorMessage="1" xr:uid="{00000000-0002-0000-0200-0000C6060000}">
          <x14:formula1>
            <xm:f>PriceAreaConnection!A2:A1000</xm:f>
          </x14:formula1>
          <xm:sqref>D736</xm:sqref>
        </x14:dataValidation>
        <x14:dataValidation type="list" allowBlank="1" showInputMessage="1" showErrorMessage="1" xr:uid="{00000000-0002-0000-0200-0000C7060000}">
          <x14:formula1>
            <xm:f>PriceAreaConnection!A2:A1000</xm:f>
          </x14:formula1>
          <xm:sqref>D737</xm:sqref>
        </x14:dataValidation>
        <x14:dataValidation type="list" allowBlank="1" showInputMessage="1" showErrorMessage="1" xr:uid="{00000000-0002-0000-0200-0000C8060000}">
          <x14:formula1>
            <xm:f>PriceAreaConnection!A2:A1000</xm:f>
          </x14:formula1>
          <xm:sqref>D738</xm:sqref>
        </x14:dataValidation>
        <x14:dataValidation type="list" allowBlank="1" showInputMessage="1" showErrorMessage="1" xr:uid="{00000000-0002-0000-0200-0000C9060000}">
          <x14:formula1>
            <xm:f>PriceAreaConnection!A2:A1000</xm:f>
          </x14:formula1>
          <xm:sqref>D739</xm:sqref>
        </x14:dataValidation>
        <x14:dataValidation type="list" allowBlank="1" showInputMessage="1" showErrorMessage="1" xr:uid="{00000000-0002-0000-0200-0000CA060000}">
          <x14:formula1>
            <xm:f>PriceAreaConnection!A2:A1000</xm:f>
          </x14:formula1>
          <xm:sqref>D740</xm:sqref>
        </x14:dataValidation>
        <x14:dataValidation type="list" allowBlank="1" showInputMessage="1" showErrorMessage="1" xr:uid="{00000000-0002-0000-0200-0000CB060000}">
          <x14:formula1>
            <xm:f>PriceAreaConnection!A2:A1000</xm:f>
          </x14:formula1>
          <xm:sqref>D741</xm:sqref>
        </x14:dataValidation>
        <x14:dataValidation type="list" allowBlank="1" showInputMessage="1" showErrorMessage="1" xr:uid="{00000000-0002-0000-0200-0000CC060000}">
          <x14:formula1>
            <xm:f>PriceAreaConnection!A2:A1000</xm:f>
          </x14:formula1>
          <xm:sqref>D742</xm:sqref>
        </x14:dataValidation>
        <x14:dataValidation type="list" allowBlank="1" showInputMessage="1" showErrorMessage="1" xr:uid="{00000000-0002-0000-0200-0000CD060000}">
          <x14:formula1>
            <xm:f>PriceAreaConnection!A2:A1000</xm:f>
          </x14:formula1>
          <xm:sqref>D743</xm:sqref>
        </x14:dataValidation>
        <x14:dataValidation type="list" allowBlank="1" showInputMessage="1" showErrorMessage="1" xr:uid="{00000000-0002-0000-0200-0000CE060000}">
          <x14:formula1>
            <xm:f>PriceAreaConnection!A2:A1000</xm:f>
          </x14:formula1>
          <xm:sqref>D744</xm:sqref>
        </x14:dataValidation>
        <x14:dataValidation type="list" allowBlank="1" showInputMessage="1" showErrorMessage="1" xr:uid="{00000000-0002-0000-0200-0000CF060000}">
          <x14:formula1>
            <xm:f>PriceAreaConnection!A2:A1000</xm:f>
          </x14:formula1>
          <xm:sqref>D745</xm:sqref>
        </x14:dataValidation>
        <x14:dataValidation type="list" allowBlank="1" showInputMessage="1" showErrorMessage="1" xr:uid="{00000000-0002-0000-0200-0000D0060000}">
          <x14:formula1>
            <xm:f>PriceAreaConnection!A2:A1000</xm:f>
          </x14:formula1>
          <xm:sqref>D746</xm:sqref>
        </x14:dataValidation>
        <x14:dataValidation type="list" allowBlank="1" showInputMessage="1" showErrorMessage="1" xr:uid="{00000000-0002-0000-0200-0000D1060000}">
          <x14:formula1>
            <xm:f>PriceAreaConnection!A2:A1000</xm:f>
          </x14:formula1>
          <xm:sqref>D747</xm:sqref>
        </x14:dataValidation>
        <x14:dataValidation type="list" allowBlank="1" showInputMessage="1" showErrorMessage="1" xr:uid="{00000000-0002-0000-0200-0000D2060000}">
          <x14:formula1>
            <xm:f>PriceAreaConnection!A2:A1000</xm:f>
          </x14:formula1>
          <xm:sqref>D748</xm:sqref>
        </x14:dataValidation>
        <x14:dataValidation type="list" allowBlank="1" showInputMessage="1" showErrorMessage="1" xr:uid="{00000000-0002-0000-0200-0000D3060000}">
          <x14:formula1>
            <xm:f>PriceAreaConnection!A2:A1000</xm:f>
          </x14:formula1>
          <xm:sqref>D749</xm:sqref>
        </x14:dataValidation>
        <x14:dataValidation type="list" allowBlank="1" showInputMessage="1" showErrorMessage="1" xr:uid="{00000000-0002-0000-0200-0000D4060000}">
          <x14:formula1>
            <xm:f>PriceAreaConnection!A2:A1000</xm:f>
          </x14:formula1>
          <xm:sqref>D750</xm:sqref>
        </x14:dataValidation>
        <x14:dataValidation type="list" allowBlank="1" showInputMessage="1" showErrorMessage="1" xr:uid="{00000000-0002-0000-0200-0000D5060000}">
          <x14:formula1>
            <xm:f>PriceAreaConnection!A2:A1000</xm:f>
          </x14:formula1>
          <xm:sqref>D751</xm:sqref>
        </x14:dataValidation>
        <x14:dataValidation type="list" allowBlank="1" showInputMessage="1" showErrorMessage="1" xr:uid="{00000000-0002-0000-0200-0000D6060000}">
          <x14:formula1>
            <xm:f>PriceAreaConnection!A2:A1000</xm:f>
          </x14:formula1>
          <xm:sqref>D752</xm:sqref>
        </x14:dataValidation>
        <x14:dataValidation type="list" allowBlank="1" showInputMessage="1" showErrorMessage="1" xr:uid="{00000000-0002-0000-0200-0000D7060000}">
          <x14:formula1>
            <xm:f>PriceAreaConnection!A2:A1000</xm:f>
          </x14:formula1>
          <xm:sqref>D753</xm:sqref>
        </x14:dataValidation>
        <x14:dataValidation type="list" allowBlank="1" showInputMessage="1" showErrorMessage="1" xr:uid="{00000000-0002-0000-0200-0000D8060000}">
          <x14:formula1>
            <xm:f>PriceAreaConnection!A2:A1000</xm:f>
          </x14:formula1>
          <xm:sqref>D754</xm:sqref>
        </x14:dataValidation>
        <x14:dataValidation type="list" allowBlank="1" showInputMessage="1" showErrorMessage="1" xr:uid="{00000000-0002-0000-0200-0000D9060000}">
          <x14:formula1>
            <xm:f>PriceAreaConnection!A2:A1000</xm:f>
          </x14:formula1>
          <xm:sqref>D755</xm:sqref>
        </x14:dataValidation>
        <x14:dataValidation type="list" allowBlank="1" showInputMessage="1" showErrorMessage="1" xr:uid="{00000000-0002-0000-0200-0000DA060000}">
          <x14:formula1>
            <xm:f>PriceAreaConnection!A2:A1000</xm:f>
          </x14:formula1>
          <xm:sqref>D756</xm:sqref>
        </x14:dataValidation>
        <x14:dataValidation type="list" allowBlank="1" showInputMessage="1" showErrorMessage="1" xr:uid="{00000000-0002-0000-0200-0000DB060000}">
          <x14:formula1>
            <xm:f>PriceAreaConnection!A2:A1000</xm:f>
          </x14:formula1>
          <xm:sqref>D757</xm:sqref>
        </x14:dataValidation>
        <x14:dataValidation type="list" allowBlank="1" showInputMessage="1" showErrorMessage="1" xr:uid="{00000000-0002-0000-0200-0000DC060000}">
          <x14:formula1>
            <xm:f>PriceAreaConnection!A2:A1000</xm:f>
          </x14:formula1>
          <xm:sqref>D758</xm:sqref>
        </x14:dataValidation>
        <x14:dataValidation type="list" allowBlank="1" showInputMessage="1" showErrorMessage="1" xr:uid="{00000000-0002-0000-0200-0000DD060000}">
          <x14:formula1>
            <xm:f>PriceAreaConnection!A2:A1000</xm:f>
          </x14:formula1>
          <xm:sqref>D759</xm:sqref>
        </x14:dataValidation>
        <x14:dataValidation type="list" allowBlank="1" showInputMessage="1" showErrorMessage="1" xr:uid="{00000000-0002-0000-0200-0000DE060000}">
          <x14:formula1>
            <xm:f>PriceAreaConnection!A2:A1000</xm:f>
          </x14:formula1>
          <xm:sqref>D760</xm:sqref>
        </x14:dataValidation>
        <x14:dataValidation type="list" allowBlank="1" showInputMessage="1" showErrorMessage="1" xr:uid="{00000000-0002-0000-0200-0000DF060000}">
          <x14:formula1>
            <xm:f>PriceAreaConnection!A2:A1000</xm:f>
          </x14:formula1>
          <xm:sqref>D761</xm:sqref>
        </x14:dataValidation>
        <x14:dataValidation type="list" allowBlank="1" showInputMessage="1" showErrorMessage="1" xr:uid="{00000000-0002-0000-0200-0000E0060000}">
          <x14:formula1>
            <xm:f>PriceAreaConnection!A2:A1000</xm:f>
          </x14:formula1>
          <xm:sqref>D762</xm:sqref>
        </x14:dataValidation>
        <x14:dataValidation type="list" allowBlank="1" showInputMessage="1" showErrorMessage="1" xr:uid="{00000000-0002-0000-0200-0000E1060000}">
          <x14:formula1>
            <xm:f>PriceAreaConnection!A2:A1000</xm:f>
          </x14:formula1>
          <xm:sqref>D763</xm:sqref>
        </x14:dataValidation>
        <x14:dataValidation type="list" allowBlank="1" showInputMessage="1" showErrorMessage="1" xr:uid="{00000000-0002-0000-0200-0000E2060000}">
          <x14:formula1>
            <xm:f>PriceAreaConnection!A2:A1000</xm:f>
          </x14:formula1>
          <xm:sqref>D764</xm:sqref>
        </x14:dataValidation>
        <x14:dataValidation type="list" allowBlank="1" showInputMessage="1" showErrorMessage="1" xr:uid="{00000000-0002-0000-0200-0000E3060000}">
          <x14:formula1>
            <xm:f>PriceAreaConnection!A2:A1000</xm:f>
          </x14:formula1>
          <xm:sqref>D765</xm:sqref>
        </x14:dataValidation>
        <x14:dataValidation type="list" allowBlank="1" showInputMessage="1" showErrorMessage="1" xr:uid="{00000000-0002-0000-0200-0000E4060000}">
          <x14:formula1>
            <xm:f>PriceAreaConnection!A2:A1000</xm:f>
          </x14:formula1>
          <xm:sqref>D766</xm:sqref>
        </x14:dataValidation>
        <x14:dataValidation type="list" allowBlank="1" showInputMessage="1" showErrorMessage="1" xr:uid="{00000000-0002-0000-0200-0000E5060000}">
          <x14:formula1>
            <xm:f>PriceAreaConnection!A2:A1000</xm:f>
          </x14:formula1>
          <xm:sqref>D767</xm:sqref>
        </x14:dataValidation>
        <x14:dataValidation type="list" allowBlank="1" showInputMessage="1" showErrorMessage="1" xr:uid="{00000000-0002-0000-0200-0000E6060000}">
          <x14:formula1>
            <xm:f>PriceAreaConnection!A2:A1000</xm:f>
          </x14:formula1>
          <xm:sqref>D768</xm:sqref>
        </x14:dataValidation>
        <x14:dataValidation type="list" allowBlank="1" showInputMessage="1" showErrorMessage="1" xr:uid="{00000000-0002-0000-0200-0000E7060000}">
          <x14:formula1>
            <xm:f>PriceAreaConnection!A2:A1000</xm:f>
          </x14:formula1>
          <xm:sqref>D769</xm:sqref>
        </x14:dataValidation>
        <x14:dataValidation type="list" allowBlank="1" showInputMessage="1" showErrorMessage="1" xr:uid="{00000000-0002-0000-0200-0000E8060000}">
          <x14:formula1>
            <xm:f>PriceAreaConnection!A2:A1000</xm:f>
          </x14:formula1>
          <xm:sqref>D770</xm:sqref>
        </x14:dataValidation>
        <x14:dataValidation type="list" allowBlank="1" showInputMessage="1" showErrorMessage="1" xr:uid="{00000000-0002-0000-0200-0000E9060000}">
          <x14:formula1>
            <xm:f>PriceAreaConnection!A2:A1000</xm:f>
          </x14:formula1>
          <xm:sqref>D771</xm:sqref>
        </x14:dataValidation>
        <x14:dataValidation type="list" allowBlank="1" showInputMessage="1" showErrorMessage="1" xr:uid="{00000000-0002-0000-0200-0000EA060000}">
          <x14:formula1>
            <xm:f>PriceAreaConnection!A2:A1000</xm:f>
          </x14:formula1>
          <xm:sqref>D772</xm:sqref>
        </x14:dataValidation>
        <x14:dataValidation type="list" allowBlank="1" showInputMessage="1" showErrorMessage="1" xr:uid="{00000000-0002-0000-0200-0000EB060000}">
          <x14:formula1>
            <xm:f>PriceAreaConnection!A2:A1000</xm:f>
          </x14:formula1>
          <xm:sqref>D773</xm:sqref>
        </x14:dataValidation>
        <x14:dataValidation type="list" allowBlank="1" showInputMessage="1" showErrorMessage="1" xr:uid="{00000000-0002-0000-0200-0000EC060000}">
          <x14:formula1>
            <xm:f>PriceAreaConnection!A2:A1000</xm:f>
          </x14:formula1>
          <xm:sqref>D774</xm:sqref>
        </x14:dataValidation>
        <x14:dataValidation type="list" allowBlank="1" showInputMessage="1" showErrorMessage="1" xr:uid="{00000000-0002-0000-0200-0000ED060000}">
          <x14:formula1>
            <xm:f>PriceAreaConnection!A2:A1000</xm:f>
          </x14:formula1>
          <xm:sqref>D775</xm:sqref>
        </x14:dataValidation>
        <x14:dataValidation type="list" allowBlank="1" showInputMessage="1" showErrorMessage="1" xr:uid="{00000000-0002-0000-0200-0000EE060000}">
          <x14:formula1>
            <xm:f>PriceAreaConnection!A2:A1000</xm:f>
          </x14:formula1>
          <xm:sqref>D776</xm:sqref>
        </x14:dataValidation>
        <x14:dataValidation type="list" allowBlank="1" showInputMessage="1" showErrorMessage="1" xr:uid="{00000000-0002-0000-0200-0000EF060000}">
          <x14:formula1>
            <xm:f>PriceAreaConnection!A2:A1000</xm:f>
          </x14:formula1>
          <xm:sqref>D777</xm:sqref>
        </x14:dataValidation>
        <x14:dataValidation type="list" allowBlank="1" showInputMessage="1" showErrorMessage="1" xr:uid="{00000000-0002-0000-0200-0000F0060000}">
          <x14:formula1>
            <xm:f>PriceAreaConnection!A2:A1000</xm:f>
          </x14:formula1>
          <xm:sqref>D778</xm:sqref>
        </x14:dataValidation>
        <x14:dataValidation type="list" allowBlank="1" showInputMessage="1" showErrorMessage="1" xr:uid="{00000000-0002-0000-0200-0000F1060000}">
          <x14:formula1>
            <xm:f>PriceAreaConnection!A2:A1000</xm:f>
          </x14:formula1>
          <xm:sqref>D779</xm:sqref>
        </x14:dataValidation>
        <x14:dataValidation type="list" allowBlank="1" showInputMessage="1" showErrorMessage="1" xr:uid="{00000000-0002-0000-0200-0000F2060000}">
          <x14:formula1>
            <xm:f>PriceAreaConnection!A2:A1000</xm:f>
          </x14:formula1>
          <xm:sqref>D780</xm:sqref>
        </x14:dataValidation>
        <x14:dataValidation type="list" allowBlank="1" showInputMessage="1" showErrorMessage="1" xr:uid="{00000000-0002-0000-0200-0000F3060000}">
          <x14:formula1>
            <xm:f>PriceAreaConnection!A2:A1000</xm:f>
          </x14:formula1>
          <xm:sqref>D781</xm:sqref>
        </x14:dataValidation>
        <x14:dataValidation type="list" allowBlank="1" showInputMessage="1" showErrorMessage="1" xr:uid="{00000000-0002-0000-0200-0000F4060000}">
          <x14:formula1>
            <xm:f>PriceAreaConnection!A2:A1000</xm:f>
          </x14:formula1>
          <xm:sqref>D782</xm:sqref>
        </x14:dataValidation>
        <x14:dataValidation type="list" allowBlank="1" showInputMessage="1" showErrorMessage="1" xr:uid="{00000000-0002-0000-0200-0000F5060000}">
          <x14:formula1>
            <xm:f>PriceAreaConnection!A2:A1000</xm:f>
          </x14:formula1>
          <xm:sqref>D783</xm:sqref>
        </x14:dataValidation>
        <x14:dataValidation type="list" allowBlank="1" showInputMessage="1" showErrorMessage="1" xr:uid="{00000000-0002-0000-0200-0000F6060000}">
          <x14:formula1>
            <xm:f>PriceAreaConnection!A2:A1000</xm:f>
          </x14:formula1>
          <xm:sqref>D784</xm:sqref>
        </x14:dataValidation>
        <x14:dataValidation type="list" allowBlank="1" showInputMessage="1" showErrorMessage="1" xr:uid="{00000000-0002-0000-0200-0000F7060000}">
          <x14:formula1>
            <xm:f>PriceAreaConnection!A2:A1000</xm:f>
          </x14:formula1>
          <xm:sqref>D785</xm:sqref>
        </x14:dataValidation>
        <x14:dataValidation type="list" allowBlank="1" showInputMessage="1" showErrorMessage="1" xr:uid="{00000000-0002-0000-0200-0000F8060000}">
          <x14:formula1>
            <xm:f>PriceAreaConnection!A2:A1000</xm:f>
          </x14:formula1>
          <xm:sqref>D786</xm:sqref>
        </x14:dataValidation>
        <x14:dataValidation type="list" allowBlank="1" showInputMessage="1" showErrorMessage="1" xr:uid="{00000000-0002-0000-0200-0000F9060000}">
          <x14:formula1>
            <xm:f>PriceAreaConnection!A2:A1000</xm:f>
          </x14:formula1>
          <xm:sqref>D787</xm:sqref>
        </x14:dataValidation>
        <x14:dataValidation type="list" allowBlank="1" showInputMessage="1" showErrorMessage="1" xr:uid="{00000000-0002-0000-0200-0000FA060000}">
          <x14:formula1>
            <xm:f>PriceAreaConnection!A2:A1000</xm:f>
          </x14:formula1>
          <xm:sqref>D788</xm:sqref>
        </x14:dataValidation>
        <x14:dataValidation type="list" allowBlank="1" showInputMessage="1" showErrorMessage="1" xr:uid="{00000000-0002-0000-0200-0000FB060000}">
          <x14:formula1>
            <xm:f>PriceAreaConnection!A2:A1000</xm:f>
          </x14:formula1>
          <xm:sqref>D789</xm:sqref>
        </x14:dataValidation>
        <x14:dataValidation type="list" allowBlank="1" showInputMessage="1" showErrorMessage="1" xr:uid="{00000000-0002-0000-0200-0000FC060000}">
          <x14:formula1>
            <xm:f>PriceAreaConnection!A2:A1000</xm:f>
          </x14:formula1>
          <xm:sqref>D790</xm:sqref>
        </x14:dataValidation>
        <x14:dataValidation type="list" allowBlank="1" showInputMessage="1" showErrorMessage="1" xr:uid="{00000000-0002-0000-0200-0000FD060000}">
          <x14:formula1>
            <xm:f>PriceAreaConnection!A2:A1000</xm:f>
          </x14:formula1>
          <xm:sqref>D791</xm:sqref>
        </x14:dataValidation>
        <x14:dataValidation type="list" allowBlank="1" showInputMessage="1" showErrorMessage="1" xr:uid="{00000000-0002-0000-0200-0000FE060000}">
          <x14:formula1>
            <xm:f>PriceAreaConnection!A2:A1000</xm:f>
          </x14:formula1>
          <xm:sqref>D792</xm:sqref>
        </x14:dataValidation>
        <x14:dataValidation type="list" allowBlank="1" showInputMessage="1" showErrorMessage="1" xr:uid="{00000000-0002-0000-0200-0000FF060000}">
          <x14:formula1>
            <xm:f>PriceAreaConnection!A2:A1000</xm:f>
          </x14:formula1>
          <xm:sqref>D793</xm:sqref>
        </x14:dataValidation>
        <x14:dataValidation type="list" allowBlank="1" showInputMessage="1" showErrorMessage="1" xr:uid="{00000000-0002-0000-0200-000000070000}">
          <x14:formula1>
            <xm:f>PriceAreaConnection!A2:A1000</xm:f>
          </x14:formula1>
          <xm:sqref>D794</xm:sqref>
        </x14:dataValidation>
        <x14:dataValidation type="list" allowBlank="1" showInputMessage="1" showErrorMessage="1" xr:uid="{00000000-0002-0000-0200-000001070000}">
          <x14:formula1>
            <xm:f>PriceAreaConnection!A2:A1000</xm:f>
          </x14:formula1>
          <xm:sqref>D795</xm:sqref>
        </x14:dataValidation>
        <x14:dataValidation type="list" allowBlank="1" showInputMessage="1" showErrorMessage="1" xr:uid="{00000000-0002-0000-0200-000002070000}">
          <x14:formula1>
            <xm:f>PriceAreaConnection!A2:A1000</xm:f>
          </x14:formula1>
          <xm:sqref>D796</xm:sqref>
        </x14:dataValidation>
        <x14:dataValidation type="list" allowBlank="1" showInputMessage="1" showErrorMessage="1" xr:uid="{00000000-0002-0000-0200-000003070000}">
          <x14:formula1>
            <xm:f>PriceAreaConnection!A2:A1000</xm:f>
          </x14:formula1>
          <xm:sqref>D797</xm:sqref>
        </x14:dataValidation>
        <x14:dataValidation type="list" allowBlank="1" showInputMessage="1" showErrorMessage="1" xr:uid="{00000000-0002-0000-0200-000004070000}">
          <x14:formula1>
            <xm:f>PriceAreaConnection!A2:A1000</xm:f>
          </x14:formula1>
          <xm:sqref>D798</xm:sqref>
        </x14:dataValidation>
        <x14:dataValidation type="list" allowBlank="1" showInputMessage="1" showErrorMessage="1" xr:uid="{00000000-0002-0000-0200-000005070000}">
          <x14:formula1>
            <xm:f>PriceAreaConnection!A2:A1000</xm:f>
          </x14:formula1>
          <xm:sqref>D799</xm:sqref>
        </x14:dataValidation>
        <x14:dataValidation type="list" allowBlank="1" showInputMessage="1" showErrorMessage="1" xr:uid="{00000000-0002-0000-0200-000006070000}">
          <x14:formula1>
            <xm:f>PriceAreaConnection!A2:A1000</xm:f>
          </x14:formula1>
          <xm:sqref>D800</xm:sqref>
        </x14:dataValidation>
        <x14:dataValidation type="list" allowBlank="1" showInputMessage="1" showErrorMessage="1" xr:uid="{00000000-0002-0000-0200-000007070000}">
          <x14:formula1>
            <xm:f>PriceAreaConnection!A2:A1000</xm:f>
          </x14:formula1>
          <xm:sqref>D801</xm:sqref>
        </x14:dataValidation>
        <x14:dataValidation type="list" allowBlank="1" showInputMessage="1" showErrorMessage="1" xr:uid="{00000000-0002-0000-0200-000008070000}">
          <x14:formula1>
            <xm:f>PriceAreaConnection!A2:A1000</xm:f>
          </x14:formula1>
          <xm:sqref>D802</xm:sqref>
        </x14:dataValidation>
        <x14:dataValidation type="list" allowBlank="1" showInputMessage="1" showErrorMessage="1" xr:uid="{00000000-0002-0000-0200-000009070000}">
          <x14:formula1>
            <xm:f>PriceAreaConnection!A2:A1000</xm:f>
          </x14:formula1>
          <xm:sqref>D803</xm:sqref>
        </x14:dataValidation>
        <x14:dataValidation type="list" allowBlank="1" showInputMessage="1" showErrorMessage="1" xr:uid="{00000000-0002-0000-0200-00000A070000}">
          <x14:formula1>
            <xm:f>PriceAreaConnection!A2:A1000</xm:f>
          </x14:formula1>
          <xm:sqref>D804</xm:sqref>
        </x14:dataValidation>
        <x14:dataValidation type="list" allowBlank="1" showInputMessage="1" showErrorMessage="1" xr:uid="{00000000-0002-0000-0200-00000B070000}">
          <x14:formula1>
            <xm:f>PriceAreaConnection!A2:A1000</xm:f>
          </x14:formula1>
          <xm:sqref>D805</xm:sqref>
        </x14:dataValidation>
        <x14:dataValidation type="list" allowBlank="1" showInputMessage="1" showErrorMessage="1" xr:uid="{00000000-0002-0000-0200-00000C070000}">
          <x14:formula1>
            <xm:f>PriceAreaConnection!A2:A1000</xm:f>
          </x14:formula1>
          <xm:sqref>D806</xm:sqref>
        </x14:dataValidation>
        <x14:dataValidation type="list" allowBlank="1" showInputMessage="1" showErrorMessage="1" xr:uid="{00000000-0002-0000-0200-00000D070000}">
          <x14:formula1>
            <xm:f>PriceAreaConnection!A2:A1000</xm:f>
          </x14:formula1>
          <xm:sqref>D807</xm:sqref>
        </x14:dataValidation>
        <x14:dataValidation type="list" allowBlank="1" showInputMessage="1" showErrorMessage="1" xr:uid="{00000000-0002-0000-0200-00000E070000}">
          <x14:formula1>
            <xm:f>PriceAreaConnection!A2:A1000</xm:f>
          </x14:formula1>
          <xm:sqref>D808</xm:sqref>
        </x14:dataValidation>
        <x14:dataValidation type="list" allowBlank="1" showInputMessage="1" showErrorMessage="1" xr:uid="{00000000-0002-0000-0200-00000F070000}">
          <x14:formula1>
            <xm:f>PriceAreaConnection!A2:A1000</xm:f>
          </x14:formula1>
          <xm:sqref>D809</xm:sqref>
        </x14:dataValidation>
        <x14:dataValidation type="list" allowBlank="1" showInputMessage="1" showErrorMessage="1" xr:uid="{00000000-0002-0000-0200-000010070000}">
          <x14:formula1>
            <xm:f>PriceAreaConnection!A2:A1000</xm:f>
          </x14:formula1>
          <xm:sqref>D810</xm:sqref>
        </x14:dataValidation>
        <x14:dataValidation type="list" allowBlank="1" showInputMessage="1" showErrorMessage="1" xr:uid="{00000000-0002-0000-0200-000011070000}">
          <x14:formula1>
            <xm:f>PriceAreaConnection!A2:A1000</xm:f>
          </x14:formula1>
          <xm:sqref>D811</xm:sqref>
        </x14:dataValidation>
        <x14:dataValidation type="list" allowBlank="1" showInputMessage="1" showErrorMessage="1" xr:uid="{00000000-0002-0000-0200-000012070000}">
          <x14:formula1>
            <xm:f>PriceAreaConnection!A2:A1000</xm:f>
          </x14:formula1>
          <xm:sqref>D812</xm:sqref>
        </x14:dataValidation>
        <x14:dataValidation type="list" allowBlank="1" showInputMessage="1" showErrorMessage="1" xr:uid="{00000000-0002-0000-0200-000013070000}">
          <x14:formula1>
            <xm:f>PriceAreaConnection!A2:A1000</xm:f>
          </x14:formula1>
          <xm:sqref>D813</xm:sqref>
        </x14:dataValidation>
        <x14:dataValidation type="list" allowBlank="1" showInputMessage="1" showErrorMessage="1" xr:uid="{00000000-0002-0000-0200-000014070000}">
          <x14:formula1>
            <xm:f>PriceAreaConnection!A2:A1000</xm:f>
          </x14:formula1>
          <xm:sqref>D814</xm:sqref>
        </x14:dataValidation>
        <x14:dataValidation type="list" allowBlank="1" showInputMessage="1" showErrorMessage="1" xr:uid="{00000000-0002-0000-0200-000015070000}">
          <x14:formula1>
            <xm:f>PriceAreaConnection!A2:A1000</xm:f>
          </x14:formula1>
          <xm:sqref>D815</xm:sqref>
        </x14:dataValidation>
        <x14:dataValidation type="list" allowBlank="1" showInputMessage="1" showErrorMessage="1" xr:uid="{00000000-0002-0000-0200-000016070000}">
          <x14:formula1>
            <xm:f>PriceAreaConnection!A2:A1000</xm:f>
          </x14:formula1>
          <xm:sqref>D816</xm:sqref>
        </x14:dataValidation>
        <x14:dataValidation type="list" allowBlank="1" showInputMessage="1" showErrorMessage="1" xr:uid="{00000000-0002-0000-0200-000017070000}">
          <x14:formula1>
            <xm:f>PriceAreaConnection!A2:A1000</xm:f>
          </x14:formula1>
          <xm:sqref>D817</xm:sqref>
        </x14:dataValidation>
        <x14:dataValidation type="list" allowBlank="1" showInputMessage="1" showErrorMessage="1" xr:uid="{00000000-0002-0000-0200-000018070000}">
          <x14:formula1>
            <xm:f>PriceAreaConnection!A2:A1000</xm:f>
          </x14:formula1>
          <xm:sqref>D818</xm:sqref>
        </x14:dataValidation>
        <x14:dataValidation type="list" allowBlank="1" showInputMessage="1" showErrorMessage="1" xr:uid="{00000000-0002-0000-0200-000019070000}">
          <x14:formula1>
            <xm:f>PriceAreaConnection!A2:A1000</xm:f>
          </x14:formula1>
          <xm:sqref>D819</xm:sqref>
        </x14:dataValidation>
        <x14:dataValidation type="list" allowBlank="1" showInputMessage="1" showErrorMessage="1" xr:uid="{00000000-0002-0000-0200-00001A070000}">
          <x14:formula1>
            <xm:f>PriceAreaConnection!A2:A1000</xm:f>
          </x14:formula1>
          <xm:sqref>D820</xm:sqref>
        </x14:dataValidation>
        <x14:dataValidation type="list" allowBlank="1" showInputMessage="1" showErrorMessage="1" xr:uid="{00000000-0002-0000-0200-00001B070000}">
          <x14:formula1>
            <xm:f>PriceAreaConnection!A2:A1000</xm:f>
          </x14:formula1>
          <xm:sqref>D821</xm:sqref>
        </x14:dataValidation>
        <x14:dataValidation type="list" allowBlank="1" showInputMessage="1" showErrorMessage="1" xr:uid="{00000000-0002-0000-0200-00001C070000}">
          <x14:formula1>
            <xm:f>PriceAreaConnection!A2:A1000</xm:f>
          </x14:formula1>
          <xm:sqref>D822</xm:sqref>
        </x14:dataValidation>
        <x14:dataValidation type="list" allowBlank="1" showInputMessage="1" showErrorMessage="1" xr:uid="{00000000-0002-0000-0200-00001D070000}">
          <x14:formula1>
            <xm:f>PriceAreaConnection!A2:A1000</xm:f>
          </x14:formula1>
          <xm:sqref>D823</xm:sqref>
        </x14:dataValidation>
        <x14:dataValidation type="list" allowBlank="1" showInputMessage="1" showErrorMessage="1" xr:uid="{00000000-0002-0000-0200-00001E070000}">
          <x14:formula1>
            <xm:f>PriceAreaConnection!A2:A1000</xm:f>
          </x14:formula1>
          <xm:sqref>D824</xm:sqref>
        </x14:dataValidation>
        <x14:dataValidation type="list" allowBlank="1" showInputMessage="1" showErrorMessage="1" xr:uid="{00000000-0002-0000-0200-00001F070000}">
          <x14:formula1>
            <xm:f>PriceAreaConnection!A2:A1000</xm:f>
          </x14:formula1>
          <xm:sqref>D825</xm:sqref>
        </x14:dataValidation>
        <x14:dataValidation type="list" allowBlank="1" showInputMessage="1" showErrorMessage="1" xr:uid="{00000000-0002-0000-0200-000020070000}">
          <x14:formula1>
            <xm:f>PriceAreaConnection!A2:A1000</xm:f>
          </x14:formula1>
          <xm:sqref>D826</xm:sqref>
        </x14:dataValidation>
        <x14:dataValidation type="list" allowBlank="1" showInputMessage="1" showErrorMessage="1" xr:uid="{00000000-0002-0000-0200-000021070000}">
          <x14:formula1>
            <xm:f>PriceAreaConnection!A2:A1000</xm:f>
          </x14:formula1>
          <xm:sqref>D827</xm:sqref>
        </x14:dataValidation>
        <x14:dataValidation type="list" allowBlank="1" showInputMessage="1" showErrorMessage="1" xr:uid="{00000000-0002-0000-0200-000022070000}">
          <x14:formula1>
            <xm:f>PriceAreaConnection!A2:A1000</xm:f>
          </x14:formula1>
          <xm:sqref>D828</xm:sqref>
        </x14:dataValidation>
        <x14:dataValidation type="list" allowBlank="1" showInputMessage="1" showErrorMessage="1" xr:uid="{00000000-0002-0000-0200-000023070000}">
          <x14:formula1>
            <xm:f>PriceAreaConnection!A2:A1000</xm:f>
          </x14:formula1>
          <xm:sqref>D829</xm:sqref>
        </x14:dataValidation>
        <x14:dataValidation type="list" allowBlank="1" showInputMessage="1" showErrorMessage="1" xr:uid="{00000000-0002-0000-0200-000024070000}">
          <x14:formula1>
            <xm:f>PriceAreaConnection!A2:A1000</xm:f>
          </x14:formula1>
          <xm:sqref>D830</xm:sqref>
        </x14:dataValidation>
        <x14:dataValidation type="list" allowBlank="1" showInputMessage="1" showErrorMessage="1" xr:uid="{00000000-0002-0000-0200-000025070000}">
          <x14:formula1>
            <xm:f>PriceAreaConnection!A2:A1000</xm:f>
          </x14:formula1>
          <xm:sqref>D831</xm:sqref>
        </x14:dataValidation>
        <x14:dataValidation type="list" allowBlank="1" showInputMessage="1" showErrorMessage="1" xr:uid="{00000000-0002-0000-0200-000026070000}">
          <x14:formula1>
            <xm:f>PriceAreaConnection!A2:A1000</xm:f>
          </x14:formula1>
          <xm:sqref>D832</xm:sqref>
        </x14:dataValidation>
        <x14:dataValidation type="list" allowBlank="1" showInputMessage="1" showErrorMessage="1" xr:uid="{00000000-0002-0000-0200-000027070000}">
          <x14:formula1>
            <xm:f>PriceAreaConnection!A2:A1000</xm:f>
          </x14:formula1>
          <xm:sqref>D833</xm:sqref>
        </x14:dataValidation>
        <x14:dataValidation type="list" allowBlank="1" showInputMessage="1" showErrorMessage="1" xr:uid="{00000000-0002-0000-0200-000028070000}">
          <x14:formula1>
            <xm:f>PriceAreaConnection!A2:A1000</xm:f>
          </x14:formula1>
          <xm:sqref>D834</xm:sqref>
        </x14:dataValidation>
        <x14:dataValidation type="list" allowBlank="1" showInputMessage="1" showErrorMessage="1" xr:uid="{00000000-0002-0000-0200-000029070000}">
          <x14:formula1>
            <xm:f>PriceAreaConnection!A2:A1000</xm:f>
          </x14:formula1>
          <xm:sqref>D835</xm:sqref>
        </x14:dataValidation>
        <x14:dataValidation type="list" allowBlank="1" showInputMessage="1" showErrorMessage="1" xr:uid="{00000000-0002-0000-0200-00002A070000}">
          <x14:formula1>
            <xm:f>PriceAreaConnection!A2:A1000</xm:f>
          </x14:formula1>
          <xm:sqref>D836</xm:sqref>
        </x14:dataValidation>
        <x14:dataValidation type="list" allowBlank="1" showInputMessage="1" showErrorMessage="1" xr:uid="{00000000-0002-0000-0200-00002B070000}">
          <x14:formula1>
            <xm:f>PriceAreaConnection!A2:A1000</xm:f>
          </x14:formula1>
          <xm:sqref>D837</xm:sqref>
        </x14:dataValidation>
        <x14:dataValidation type="list" allowBlank="1" showInputMessage="1" showErrorMessage="1" xr:uid="{00000000-0002-0000-0200-00002C070000}">
          <x14:formula1>
            <xm:f>PriceAreaConnection!A2:A1000</xm:f>
          </x14:formula1>
          <xm:sqref>D838</xm:sqref>
        </x14:dataValidation>
        <x14:dataValidation type="list" allowBlank="1" showInputMessage="1" showErrorMessage="1" xr:uid="{00000000-0002-0000-0200-00002D070000}">
          <x14:formula1>
            <xm:f>PriceAreaConnection!A2:A1000</xm:f>
          </x14:formula1>
          <xm:sqref>D839</xm:sqref>
        </x14:dataValidation>
        <x14:dataValidation type="list" allowBlank="1" showInputMessage="1" showErrorMessage="1" xr:uid="{00000000-0002-0000-0200-00002E070000}">
          <x14:formula1>
            <xm:f>PriceAreaConnection!A2:A1000</xm:f>
          </x14:formula1>
          <xm:sqref>D840</xm:sqref>
        </x14:dataValidation>
        <x14:dataValidation type="list" allowBlank="1" showInputMessage="1" showErrorMessage="1" xr:uid="{00000000-0002-0000-0200-00002F070000}">
          <x14:formula1>
            <xm:f>PriceAreaConnection!A2:A1000</xm:f>
          </x14:formula1>
          <xm:sqref>D841</xm:sqref>
        </x14:dataValidation>
        <x14:dataValidation type="list" allowBlank="1" showInputMessage="1" showErrorMessage="1" xr:uid="{00000000-0002-0000-0200-000030070000}">
          <x14:formula1>
            <xm:f>PriceAreaConnection!A2:A1000</xm:f>
          </x14:formula1>
          <xm:sqref>D842</xm:sqref>
        </x14:dataValidation>
        <x14:dataValidation type="list" allowBlank="1" showInputMessage="1" showErrorMessage="1" xr:uid="{00000000-0002-0000-0200-000031070000}">
          <x14:formula1>
            <xm:f>PriceAreaConnection!A2:A1000</xm:f>
          </x14:formula1>
          <xm:sqref>D843</xm:sqref>
        </x14:dataValidation>
        <x14:dataValidation type="list" allowBlank="1" showInputMessage="1" showErrorMessage="1" xr:uid="{00000000-0002-0000-0200-000032070000}">
          <x14:formula1>
            <xm:f>PriceAreaConnection!A2:A1000</xm:f>
          </x14:formula1>
          <xm:sqref>D844</xm:sqref>
        </x14:dataValidation>
        <x14:dataValidation type="list" allowBlank="1" showInputMessage="1" showErrorMessage="1" xr:uid="{00000000-0002-0000-0200-000033070000}">
          <x14:formula1>
            <xm:f>PriceAreaConnection!A2:A1000</xm:f>
          </x14:formula1>
          <xm:sqref>D845</xm:sqref>
        </x14:dataValidation>
        <x14:dataValidation type="list" allowBlank="1" showInputMessage="1" showErrorMessage="1" xr:uid="{00000000-0002-0000-0200-000034070000}">
          <x14:formula1>
            <xm:f>PriceAreaConnection!A2:A1000</xm:f>
          </x14:formula1>
          <xm:sqref>D846</xm:sqref>
        </x14:dataValidation>
        <x14:dataValidation type="list" allowBlank="1" showInputMessage="1" showErrorMessage="1" xr:uid="{00000000-0002-0000-0200-000035070000}">
          <x14:formula1>
            <xm:f>PriceAreaConnection!A2:A1000</xm:f>
          </x14:formula1>
          <xm:sqref>D847</xm:sqref>
        </x14:dataValidation>
        <x14:dataValidation type="list" allowBlank="1" showInputMessage="1" showErrorMessage="1" xr:uid="{00000000-0002-0000-0200-000036070000}">
          <x14:formula1>
            <xm:f>PriceAreaConnection!A2:A1000</xm:f>
          </x14:formula1>
          <xm:sqref>D848</xm:sqref>
        </x14:dataValidation>
        <x14:dataValidation type="list" allowBlank="1" showInputMessage="1" showErrorMessage="1" xr:uid="{00000000-0002-0000-0200-000037070000}">
          <x14:formula1>
            <xm:f>PriceAreaConnection!A2:A1000</xm:f>
          </x14:formula1>
          <xm:sqref>D849</xm:sqref>
        </x14:dataValidation>
        <x14:dataValidation type="list" allowBlank="1" showInputMessage="1" showErrorMessage="1" xr:uid="{00000000-0002-0000-0200-000038070000}">
          <x14:formula1>
            <xm:f>PriceAreaConnection!A2:A1000</xm:f>
          </x14:formula1>
          <xm:sqref>D850</xm:sqref>
        </x14:dataValidation>
        <x14:dataValidation type="list" allowBlank="1" showInputMessage="1" showErrorMessage="1" xr:uid="{00000000-0002-0000-0200-000039070000}">
          <x14:formula1>
            <xm:f>PriceAreaConnection!A2:A1000</xm:f>
          </x14:formula1>
          <xm:sqref>D851</xm:sqref>
        </x14:dataValidation>
        <x14:dataValidation type="list" allowBlank="1" showInputMessage="1" showErrorMessage="1" xr:uid="{00000000-0002-0000-0200-00003A070000}">
          <x14:formula1>
            <xm:f>PriceAreaConnection!A2:A1000</xm:f>
          </x14:formula1>
          <xm:sqref>D852</xm:sqref>
        </x14:dataValidation>
        <x14:dataValidation type="list" allowBlank="1" showInputMessage="1" showErrorMessage="1" xr:uid="{00000000-0002-0000-0200-00003B070000}">
          <x14:formula1>
            <xm:f>PriceAreaConnection!A2:A1000</xm:f>
          </x14:formula1>
          <xm:sqref>D853</xm:sqref>
        </x14:dataValidation>
        <x14:dataValidation type="list" allowBlank="1" showInputMessage="1" showErrorMessage="1" xr:uid="{00000000-0002-0000-0200-00003C070000}">
          <x14:formula1>
            <xm:f>PriceAreaConnection!A2:A1000</xm:f>
          </x14:formula1>
          <xm:sqref>D854</xm:sqref>
        </x14:dataValidation>
        <x14:dataValidation type="list" allowBlank="1" showInputMessage="1" showErrorMessage="1" xr:uid="{00000000-0002-0000-0200-00003D070000}">
          <x14:formula1>
            <xm:f>PriceAreaConnection!A2:A1000</xm:f>
          </x14:formula1>
          <xm:sqref>D855</xm:sqref>
        </x14:dataValidation>
        <x14:dataValidation type="list" allowBlank="1" showInputMessage="1" showErrorMessage="1" xr:uid="{00000000-0002-0000-0200-00003E070000}">
          <x14:formula1>
            <xm:f>PriceAreaConnection!A2:A1000</xm:f>
          </x14:formula1>
          <xm:sqref>D856</xm:sqref>
        </x14:dataValidation>
        <x14:dataValidation type="list" allowBlank="1" showInputMessage="1" showErrorMessage="1" xr:uid="{00000000-0002-0000-0200-00003F070000}">
          <x14:formula1>
            <xm:f>PriceAreaConnection!A2:A1000</xm:f>
          </x14:formula1>
          <xm:sqref>D857</xm:sqref>
        </x14:dataValidation>
        <x14:dataValidation type="list" allowBlank="1" showInputMessage="1" showErrorMessage="1" xr:uid="{00000000-0002-0000-0200-000040070000}">
          <x14:formula1>
            <xm:f>PriceAreaConnection!A2:A1000</xm:f>
          </x14:formula1>
          <xm:sqref>D858</xm:sqref>
        </x14:dataValidation>
        <x14:dataValidation type="list" allowBlank="1" showInputMessage="1" showErrorMessage="1" xr:uid="{00000000-0002-0000-0200-000041070000}">
          <x14:formula1>
            <xm:f>PriceAreaConnection!A2:A1000</xm:f>
          </x14:formula1>
          <xm:sqref>D859</xm:sqref>
        </x14:dataValidation>
        <x14:dataValidation type="list" allowBlank="1" showInputMessage="1" showErrorMessage="1" xr:uid="{00000000-0002-0000-0200-000042070000}">
          <x14:formula1>
            <xm:f>PriceAreaConnection!A2:A1000</xm:f>
          </x14:formula1>
          <xm:sqref>D860</xm:sqref>
        </x14:dataValidation>
        <x14:dataValidation type="list" allowBlank="1" showInputMessage="1" showErrorMessage="1" xr:uid="{00000000-0002-0000-0200-000043070000}">
          <x14:formula1>
            <xm:f>PriceAreaConnection!A2:A1000</xm:f>
          </x14:formula1>
          <xm:sqref>D861</xm:sqref>
        </x14:dataValidation>
        <x14:dataValidation type="list" allowBlank="1" showInputMessage="1" showErrorMessage="1" xr:uid="{00000000-0002-0000-0200-000044070000}">
          <x14:formula1>
            <xm:f>PriceAreaConnection!A2:A1000</xm:f>
          </x14:formula1>
          <xm:sqref>D862</xm:sqref>
        </x14:dataValidation>
        <x14:dataValidation type="list" allowBlank="1" showInputMessage="1" showErrorMessage="1" xr:uid="{00000000-0002-0000-0200-000045070000}">
          <x14:formula1>
            <xm:f>PriceAreaConnection!A2:A1000</xm:f>
          </x14:formula1>
          <xm:sqref>D863</xm:sqref>
        </x14:dataValidation>
        <x14:dataValidation type="list" allowBlank="1" showInputMessage="1" showErrorMessage="1" xr:uid="{00000000-0002-0000-0200-000046070000}">
          <x14:formula1>
            <xm:f>PriceAreaConnection!A2:A1000</xm:f>
          </x14:formula1>
          <xm:sqref>D864</xm:sqref>
        </x14:dataValidation>
        <x14:dataValidation type="list" allowBlank="1" showInputMessage="1" showErrorMessage="1" xr:uid="{00000000-0002-0000-0200-000047070000}">
          <x14:formula1>
            <xm:f>PriceAreaConnection!A2:A1000</xm:f>
          </x14:formula1>
          <xm:sqref>D865</xm:sqref>
        </x14:dataValidation>
        <x14:dataValidation type="list" allowBlank="1" showInputMessage="1" showErrorMessage="1" xr:uid="{00000000-0002-0000-0200-000048070000}">
          <x14:formula1>
            <xm:f>PriceAreaConnection!A2:A1000</xm:f>
          </x14:formula1>
          <xm:sqref>D866</xm:sqref>
        </x14:dataValidation>
        <x14:dataValidation type="list" allowBlank="1" showInputMessage="1" showErrorMessage="1" xr:uid="{00000000-0002-0000-0200-000049070000}">
          <x14:formula1>
            <xm:f>PriceAreaConnection!A2:A1000</xm:f>
          </x14:formula1>
          <xm:sqref>D867</xm:sqref>
        </x14:dataValidation>
        <x14:dataValidation type="list" allowBlank="1" showInputMessage="1" showErrorMessage="1" xr:uid="{00000000-0002-0000-0200-00004A070000}">
          <x14:formula1>
            <xm:f>PriceAreaConnection!A2:A1000</xm:f>
          </x14:formula1>
          <xm:sqref>D868</xm:sqref>
        </x14:dataValidation>
        <x14:dataValidation type="list" allowBlank="1" showInputMessage="1" showErrorMessage="1" xr:uid="{00000000-0002-0000-0200-00004B070000}">
          <x14:formula1>
            <xm:f>PriceAreaConnection!A2:A1000</xm:f>
          </x14:formula1>
          <xm:sqref>D869</xm:sqref>
        </x14:dataValidation>
        <x14:dataValidation type="list" allowBlank="1" showInputMessage="1" showErrorMessage="1" xr:uid="{00000000-0002-0000-0200-00004C070000}">
          <x14:formula1>
            <xm:f>PriceAreaConnection!A2:A1000</xm:f>
          </x14:formula1>
          <xm:sqref>D870</xm:sqref>
        </x14:dataValidation>
        <x14:dataValidation type="list" allowBlank="1" showInputMessage="1" showErrorMessage="1" xr:uid="{00000000-0002-0000-0200-00004D070000}">
          <x14:formula1>
            <xm:f>PriceAreaConnection!A2:A1000</xm:f>
          </x14:formula1>
          <xm:sqref>D871</xm:sqref>
        </x14:dataValidation>
        <x14:dataValidation type="list" allowBlank="1" showInputMessage="1" showErrorMessage="1" xr:uid="{00000000-0002-0000-0200-00004E070000}">
          <x14:formula1>
            <xm:f>PriceAreaConnection!A2:A1000</xm:f>
          </x14:formula1>
          <xm:sqref>D872</xm:sqref>
        </x14:dataValidation>
        <x14:dataValidation type="list" allowBlank="1" showInputMessage="1" showErrorMessage="1" xr:uid="{00000000-0002-0000-0200-00004F070000}">
          <x14:formula1>
            <xm:f>PriceAreaConnection!A2:A1000</xm:f>
          </x14:formula1>
          <xm:sqref>D873</xm:sqref>
        </x14:dataValidation>
        <x14:dataValidation type="list" allowBlank="1" showInputMessage="1" showErrorMessage="1" xr:uid="{00000000-0002-0000-0200-000050070000}">
          <x14:formula1>
            <xm:f>PriceAreaConnection!A2:A1000</xm:f>
          </x14:formula1>
          <xm:sqref>D874</xm:sqref>
        </x14:dataValidation>
        <x14:dataValidation type="list" allowBlank="1" showInputMessage="1" showErrorMessage="1" xr:uid="{00000000-0002-0000-0200-000051070000}">
          <x14:formula1>
            <xm:f>PriceAreaConnection!A2:A1000</xm:f>
          </x14:formula1>
          <xm:sqref>D875</xm:sqref>
        </x14:dataValidation>
        <x14:dataValidation type="list" allowBlank="1" showInputMessage="1" showErrorMessage="1" xr:uid="{00000000-0002-0000-0200-000052070000}">
          <x14:formula1>
            <xm:f>PriceAreaConnection!A2:A1000</xm:f>
          </x14:formula1>
          <xm:sqref>D876</xm:sqref>
        </x14:dataValidation>
        <x14:dataValidation type="list" allowBlank="1" showInputMessage="1" showErrorMessage="1" xr:uid="{00000000-0002-0000-0200-000053070000}">
          <x14:formula1>
            <xm:f>PriceAreaConnection!A2:A1000</xm:f>
          </x14:formula1>
          <xm:sqref>D877</xm:sqref>
        </x14:dataValidation>
        <x14:dataValidation type="list" allowBlank="1" showInputMessage="1" showErrorMessage="1" xr:uid="{00000000-0002-0000-0200-000054070000}">
          <x14:formula1>
            <xm:f>PriceAreaConnection!A2:A1000</xm:f>
          </x14:formula1>
          <xm:sqref>D878</xm:sqref>
        </x14:dataValidation>
        <x14:dataValidation type="list" allowBlank="1" showInputMessage="1" showErrorMessage="1" xr:uid="{00000000-0002-0000-0200-000055070000}">
          <x14:formula1>
            <xm:f>PriceAreaConnection!A2:A1000</xm:f>
          </x14:formula1>
          <xm:sqref>D879</xm:sqref>
        </x14:dataValidation>
        <x14:dataValidation type="list" allowBlank="1" showInputMessage="1" showErrorMessage="1" xr:uid="{00000000-0002-0000-0200-000056070000}">
          <x14:formula1>
            <xm:f>PriceAreaConnection!A2:A1000</xm:f>
          </x14:formula1>
          <xm:sqref>D880</xm:sqref>
        </x14:dataValidation>
        <x14:dataValidation type="list" allowBlank="1" showInputMessage="1" showErrorMessage="1" xr:uid="{00000000-0002-0000-0200-000057070000}">
          <x14:formula1>
            <xm:f>PriceAreaConnection!A2:A1000</xm:f>
          </x14:formula1>
          <xm:sqref>D881</xm:sqref>
        </x14:dataValidation>
        <x14:dataValidation type="list" allowBlank="1" showInputMessage="1" showErrorMessage="1" xr:uid="{00000000-0002-0000-0200-000058070000}">
          <x14:formula1>
            <xm:f>PriceAreaConnection!A2:A1000</xm:f>
          </x14:formula1>
          <xm:sqref>D882</xm:sqref>
        </x14:dataValidation>
        <x14:dataValidation type="list" allowBlank="1" showInputMessage="1" showErrorMessage="1" xr:uid="{00000000-0002-0000-0200-000059070000}">
          <x14:formula1>
            <xm:f>PriceAreaConnection!A2:A1000</xm:f>
          </x14:formula1>
          <xm:sqref>D883</xm:sqref>
        </x14:dataValidation>
        <x14:dataValidation type="list" allowBlank="1" showInputMessage="1" showErrorMessage="1" xr:uid="{00000000-0002-0000-0200-00005A070000}">
          <x14:formula1>
            <xm:f>PriceAreaConnection!A2:A1000</xm:f>
          </x14:formula1>
          <xm:sqref>D884</xm:sqref>
        </x14:dataValidation>
        <x14:dataValidation type="list" allowBlank="1" showInputMessage="1" showErrorMessage="1" xr:uid="{00000000-0002-0000-0200-00005B070000}">
          <x14:formula1>
            <xm:f>PriceAreaConnection!A2:A1000</xm:f>
          </x14:formula1>
          <xm:sqref>D885</xm:sqref>
        </x14:dataValidation>
        <x14:dataValidation type="list" allowBlank="1" showInputMessage="1" showErrorMessage="1" xr:uid="{00000000-0002-0000-0200-00005C070000}">
          <x14:formula1>
            <xm:f>PriceAreaConnection!A2:A1000</xm:f>
          </x14:formula1>
          <xm:sqref>D886</xm:sqref>
        </x14:dataValidation>
        <x14:dataValidation type="list" allowBlank="1" showInputMessage="1" showErrorMessage="1" xr:uid="{00000000-0002-0000-0200-00005D070000}">
          <x14:formula1>
            <xm:f>PriceAreaConnection!A2:A1000</xm:f>
          </x14:formula1>
          <xm:sqref>D887</xm:sqref>
        </x14:dataValidation>
        <x14:dataValidation type="list" allowBlank="1" showInputMessage="1" showErrorMessage="1" xr:uid="{00000000-0002-0000-0200-00005E070000}">
          <x14:formula1>
            <xm:f>PriceAreaConnection!A2:A1000</xm:f>
          </x14:formula1>
          <xm:sqref>D888</xm:sqref>
        </x14:dataValidation>
        <x14:dataValidation type="list" allowBlank="1" showInputMessage="1" showErrorMessage="1" xr:uid="{00000000-0002-0000-0200-00005F070000}">
          <x14:formula1>
            <xm:f>PriceAreaConnection!A2:A1000</xm:f>
          </x14:formula1>
          <xm:sqref>D889</xm:sqref>
        </x14:dataValidation>
        <x14:dataValidation type="list" allowBlank="1" showInputMessage="1" showErrorMessage="1" xr:uid="{00000000-0002-0000-0200-000060070000}">
          <x14:formula1>
            <xm:f>PriceAreaConnection!A2:A1000</xm:f>
          </x14:formula1>
          <xm:sqref>D890</xm:sqref>
        </x14:dataValidation>
        <x14:dataValidation type="list" allowBlank="1" showInputMessage="1" showErrorMessage="1" xr:uid="{00000000-0002-0000-0200-000061070000}">
          <x14:formula1>
            <xm:f>PriceAreaConnection!A2:A1000</xm:f>
          </x14:formula1>
          <xm:sqref>D891</xm:sqref>
        </x14:dataValidation>
        <x14:dataValidation type="list" allowBlank="1" showInputMessage="1" showErrorMessage="1" xr:uid="{00000000-0002-0000-0200-000062070000}">
          <x14:formula1>
            <xm:f>PriceAreaConnection!A2:A1000</xm:f>
          </x14:formula1>
          <xm:sqref>D892</xm:sqref>
        </x14:dataValidation>
        <x14:dataValidation type="list" allowBlank="1" showInputMessage="1" showErrorMessage="1" xr:uid="{00000000-0002-0000-0200-000063070000}">
          <x14:formula1>
            <xm:f>PriceAreaConnection!A2:A1000</xm:f>
          </x14:formula1>
          <xm:sqref>D893</xm:sqref>
        </x14:dataValidation>
        <x14:dataValidation type="list" allowBlank="1" showInputMessage="1" showErrorMessage="1" xr:uid="{00000000-0002-0000-0200-000064070000}">
          <x14:formula1>
            <xm:f>PriceAreaConnection!A2:A1000</xm:f>
          </x14:formula1>
          <xm:sqref>D894</xm:sqref>
        </x14:dataValidation>
        <x14:dataValidation type="list" allowBlank="1" showInputMessage="1" showErrorMessage="1" xr:uid="{00000000-0002-0000-0200-000065070000}">
          <x14:formula1>
            <xm:f>PriceAreaConnection!A2:A1000</xm:f>
          </x14:formula1>
          <xm:sqref>D895</xm:sqref>
        </x14:dataValidation>
        <x14:dataValidation type="list" allowBlank="1" showInputMessage="1" showErrorMessage="1" xr:uid="{00000000-0002-0000-0200-000066070000}">
          <x14:formula1>
            <xm:f>PriceAreaConnection!A2:A1000</xm:f>
          </x14:formula1>
          <xm:sqref>D896</xm:sqref>
        </x14:dataValidation>
        <x14:dataValidation type="list" allowBlank="1" showInputMessage="1" showErrorMessage="1" xr:uid="{00000000-0002-0000-0200-000067070000}">
          <x14:formula1>
            <xm:f>PriceAreaConnection!A2:A1000</xm:f>
          </x14:formula1>
          <xm:sqref>D897</xm:sqref>
        </x14:dataValidation>
        <x14:dataValidation type="list" allowBlank="1" showInputMessage="1" showErrorMessage="1" xr:uid="{00000000-0002-0000-0200-000068070000}">
          <x14:formula1>
            <xm:f>PriceAreaConnection!A2:A1000</xm:f>
          </x14:formula1>
          <xm:sqref>D898</xm:sqref>
        </x14:dataValidation>
        <x14:dataValidation type="list" allowBlank="1" showInputMessage="1" showErrorMessage="1" xr:uid="{00000000-0002-0000-0200-000069070000}">
          <x14:formula1>
            <xm:f>PriceAreaConnection!A2:A1000</xm:f>
          </x14:formula1>
          <xm:sqref>D899</xm:sqref>
        </x14:dataValidation>
        <x14:dataValidation type="list" allowBlank="1" showInputMessage="1" showErrorMessage="1" xr:uid="{00000000-0002-0000-0200-00006A070000}">
          <x14:formula1>
            <xm:f>PriceAreaConnection!A2:A1000</xm:f>
          </x14:formula1>
          <xm:sqref>D900</xm:sqref>
        </x14:dataValidation>
        <x14:dataValidation type="list" allowBlank="1" showInputMessage="1" showErrorMessage="1" xr:uid="{00000000-0002-0000-0200-00006B070000}">
          <x14:formula1>
            <xm:f>PriceAreaConnection!A2:A1000</xm:f>
          </x14:formula1>
          <xm:sqref>D901</xm:sqref>
        </x14:dataValidation>
        <x14:dataValidation type="list" allowBlank="1" showInputMessage="1" showErrorMessage="1" xr:uid="{00000000-0002-0000-0200-00006C070000}">
          <x14:formula1>
            <xm:f>PriceAreaConnection!A2:A1000</xm:f>
          </x14:formula1>
          <xm:sqref>D902</xm:sqref>
        </x14:dataValidation>
        <x14:dataValidation type="list" allowBlank="1" showInputMessage="1" showErrorMessage="1" xr:uid="{00000000-0002-0000-0200-00006D070000}">
          <x14:formula1>
            <xm:f>PriceAreaConnection!A2:A1000</xm:f>
          </x14:formula1>
          <xm:sqref>D903</xm:sqref>
        </x14:dataValidation>
        <x14:dataValidation type="list" allowBlank="1" showInputMessage="1" showErrorMessage="1" xr:uid="{00000000-0002-0000-0200-00006E070000}">
          <x14:formula1>
            <xm:f>PriceAreaConnection!A2:A1000</xm:f>
          </x14:formula1>
          <xm:sqref>D904</xm:sqref>
        </x14:dataValidation>
        <x14:dataValidation type="list" allowBlank="1" showInputMessage="1" showErrorMessage="1" xr:uid="{00000000-0002-0000-0200-00006F070000}">
          <x14:formula1>
            <xm:f>PriceAreaConnection!A2:A1000</xm:f>
          </x14:formula1>
          <xm:sqref>D905</xm:sqref>
        </x14:dataValidation>
        <x14:dataValidation type="list" allowBlank="1" showInputMessage="1" showErrorMessage="1" xr:uid="{00000000-0002-0000-0200-000070070000}">
          <x14:formula1>
            <xm:f>PriceAreaConnection!A2:A1000</xm:f>
          </x14:formula1>
          <xm:sqref>D906</xm:sqref>
        </x14:dataValidation>
        <x14:dataValidation type="list" allowBlank="1" showInputMessage="1" showErrorMessage="1" xr:uid="{00000000-0002-0000-0200-000071070000}">
          <x14:formula1>
            <xm:f>PriceAreaConnection!A2:A1000</xm:f>
          </x14:formula1>
          <xm:sqref>D907</xm:sqref>
        </x14:dataValidation>
        <x14:dataValidation type="list" allowBlank="1" showInputMessage="1" showErrorMessage="1" xr:uid="{00000000-0002-0000-0200-000072070000}">
          <x14:formula1>
            <xm:f>PriceAreaConnection!A2:A1000</xm:f>
          </x14:formula1>
          <xm:sqref>D908</xm:sqref>
        </x14:dataValidation>
        <x14:dataValidation type="list" allowBlank="1" showInputMessage="1" showErrorMessage="1" xr:uid="{00000000-0002-0000-0200-000073070000}">
          <x14:formula1>
            <xm:f>PriceAreaConnection!A2:A1000</xm:f>
          </x14:formula1>
          <xm:sqref>D909</xm:sqref>
        </x14:dataValidation>
        <x14:dataValidation type="list" allowBlank="1" showInputMessage="1" showErrorMessage="1" xr:uid="{00000000-0002-0000-0200-000074070000}">
          <x14:formula1>
            <xm:f>PriceAreaConnection!A2:A1000</xm:f>
          </x14:formula1>
          <xm:sqref>D910</xm:sqref>
        </x14:dataValidation>
        <x14:dataValidation type="list" allowBlank="1" showInputMessage="1" showErrorMessage="1" xr:uid="{00000000-0002-0000-0200-000075070000}">
          <x14:formula1>
            <xm:f>PriceAreaConnection!A2:A1000</xm:f>
          </x14:formula1>
          <xm:sqref>D911</xm:sqref>
        </x14:dataValidation>
        <x14:dataValidation type="list" allowBlank="1" showInputMessage="1" showErrorMessage="1" xr:uid="{00000000-0002-0000-0200-000076070000}">
          <x14:formula1>
            <xm:f>PriceAreaConnection!A2:A1000</xm:f>
          </x14:formula1>
          <xm:sqref>D912</xm:sqref>
        </x14:dataValidation>
        <x14:dataValidation type="list" allowBlank="1" showInputMessage="1" showErrorMessage="1" xr:uid="{00000000-0002-0000-0200-000077070000}">
          <x14:formula1>
            <xm:f>PriceAreaConnection!A2:A1000</xm:f>
          </x14:formula1>
          <xm:sqref>D913</xm:sqref>
        </x14:dataValidation>
        <x14:dataValidation type="list" allowBlank="1" showInputMessage="1" showErrorMessage="1" xr:uid="{00000000-0002-0000-0200-000078070000}">
          <x14:formula1>
            <xm:f>PriceAreaConnection!A2:A1000</xm:f>
          </x14:formula1>
          <xm:sqref>D914</xm:sqref>
        </x14:dataValidation>
        <x14:dataValidation type="list" allowBlank="1" showInputMessage="1" showErrorMessage="1" xr:uid="{00000000-0002-0000-0200-000079070000}">
          <x14:formula1>
            <xm:f>PriceAreaConnection!A2:A1000</xm:f>
          </x14:formula1>
          <xm:sqref>D915</xm:sqref>
        </x14:dataValidation>
        <x14:dataValidation type="list" allowBlank="1" showInputMessage="1" showErrorMessage="1" xr:uid="{00000000-0002-0000-0200-00007A070000}">
          <x14:formula1>
            <xm:f>PriceAreaConnection!A2:A1000</xm:f>
          </x14:formula1>
          <xm:sqref>D916</xm:sqref>
        </x14:dataValidation>
        <x14:dataValidation type="list" allowBlank="1" showInputMessage="1" showErrorMessage="1" xr:uid="{00000000-0002-0000-0200-00007B070000}">
          <x14:formula1>
            <xm:f>PriceAreaConnection!A2:A1000</xm:f>
          </x14:formula1>
          <xm:sqref>D917</xm:sqref>
        </x14:dataValidation>
        <x14:dataValidation type="list" allowBlank="1" showInputMessage="1" showErrorMessage="1" xr:uid="{00000000-0002-0000-0200-00007C070000}">
          <x14:formula1>
            <xm:f>PriceAreaConnection!A2:A1000</xm:f>
          </x14:formula1>
          <xm:sqref>D918</xm:sqref>
        </x14:dataValidation>
        <x14:dataValidation type="list" allowBlank="1" showInputMessage="1" showErrorMessage="1" xr:uid="{00000000-0002-0000-0200-00007D070000}">
          <x14:formula1>
            <xm:f>PriceAreaConnection!A2:A1000</xm:f>
          </x14:formula1>
          <xm:sqref>D919</xm:sqref>
        </x14:dataValidation>
        <x14:dataValidation type="list" allowBlank="1" showInputMessage="1" showErrorMessage="1" xr:uid="{00000000-0002-0000-0200-00007E070000}">
          <x14:formula1>
            <xm:f>PriceAreaConnection!A2:A1000</xm:f>
          </x14:formula1>
          <xm:sqref>D920</xm:sqref>
        </x14:dataValidation>
        <x14:dataValidation type="list" allowBlank="1" showInputMessage="1" showErrorMessage="1" xr:uid="{00000000-0002-0000-0200-00007F070000}">
          <x14:formula1>
            <xm:f>PriceAreaConnection!A2:A1000</xm:f>
          </x14:formula1>
          <xm:sqref>D921</xm:sqref>
        </x14:dataValidation>
        <x14:dataValidation type="list" allowBlank="1" showInputMessage="1" showErrorMessage="1" xr:uid="{00000000-0002-0000-0200-000080070000}">
          <x14:formula1>
            <xm:f>PriceAreaConnection!A2:A1000</xm:f>
          </x14:formula1>
          <xm:sqref>D922</xm:sqref>
        </x14:dataValidation>
        <x14:dataValidation type="list" allowBlank="1" showInputMessage="1" showErrorMessage="1" xr:uid="{00000000-0002-0000-0200-000081070000}">
          <x14:formula1>
            <xm:f>PriceAreaConnection!A2:A1000</xm:f>
          </x14:formula1>
          <xm:sqref>D923</xm:sqref>
        </x14:dataValidation>
        <x14:dataValidation type="list" allowBlank="1" showInputMessage="1" showErrorMessage="1" xr:uid="{00000000-0002-0000-0200-000082070000}">
          <x14:formula1>
            <xm:f>PriceAreaConnection!A2:A1000</xm:f>
          </x14:formula1>
          <xm:sqref>D924</xm:sqref>
        </x14:dataValidation>
        <x14:dataValidation type="list" allowBlank="1" showInputMessage="1" showErrorMessage="1" xr:uid="{00000000-0002-0000-0200-000083070000}">
          <x14:formula1>
            <xm:f>PriceAreaConnection!A2:A1000</xm:f>
          </x14:formula1>
          <xm:sqref>D925</xm:sqref>
        </x14:dataValidation>
        <x14:dataValidation type="list" allowBlank="1" showInputMessage="1" showErrorMessage="1" xr:uid="{00000000-0002-0000-0200-000084070000}">
          <x14:formula1>
            <xm:f>PriceAreaConnection!A2:A1000</xm:f>
          </x14:formula1>
          <xm:sqref>D926</xm:sqref>
        </x14:dataValidation>
        <x14:dataValidation type="list" allowBlank="1" showInputMessage="1" showErrorMessage="1" xr:uid="{00000000-0002-0000-0200-000085070000}">
          <x14:formula1>
            <xm:f>PriceAreaConnection!A2:A1000</xm:f>
          </x14:formula1>
          <xm:sqref>D927</xm:sqref>
        </x14:dataValidation>
        <x14:dataValidation type="list" allowBlank="1" showInputMessage="1" showErrorMessage="1" xr:uid="{00000000-0002-0000-0200-000086070000}">
          <x14:formula1>
            <xm:f>PriceAreaConnection!A2:A1000</xm:f>
          </x14:formula1>
          <xm:sqref>D928</xm:sqref>
        </x14:dataValidation>
        <x14:dataValidation type="list" allowBlank="1" showInputMessage="1" showErrorMessage="1" xr:uid="{00000000-0002-0000-0200-000087070000}">
          <x14:formula1>
            <xm:f>PriceAreaConnection!A2:A1000</xm:f>
          </x14:formula1>
          <xm:sqref>D929</xm:sqref>
        </x14:dataValidation>
        <x14:dataValidation type="list" allowBlank="1" showInputMessage="1" showErrorMessage="1" xr:uid="{00000000-0002-0000-0200-000088070000}">
          <x14:formula1>
            <xm:f>PriceAreaConnection!A2:A1000</xm:f>
          </x14:formula1>
          <xm:sqref>D930</xm:sqref>
        </x14:dataValidation>
        <x14:dataValidation type="list" allowBlank="1" showInputMessage="1" showErrorMessage="1" xr:uid="{00000000-0002-0000-0200-000089070000}">
          <x14:formula1>
            <xm:f>PriceAreaConnection!A2:A1000</xm:f>
          </x14:formula1>
          <xm:sqref>D931</xm:sqref>
        </x14:dataValidation>
        <x14:dataValidation type="list" allowBlank="1" showInputMessage="1" showErrorMessage="1" xr:uid="{00000000-0002-0000-0200-00008A070000}">
          <x14:formula1>
            <xm:f>PriceAreaConnection!A2:A1000</xm:f>
          </x14:formula1>
          <xm:sqref>D932</xm:sqref>
        </x14:dataValidation>
        <x14:dataValidation type="list" allowBlank="1" showInputMessage="1" showErrorMessage="1" xr:uid="{00000000-0002-0000-0200-00008B070000}">
          <x14:formula1>
            <xm:f>PriceAreaConnection!A2:A1000</xm:f>
          </x14:formula1>
          <xm:sqref>D933</xm:sqref>
        </x14:dataValidation>
        <x14:dataValidation type="list" allowBlank="1" showInputMessage="1" showErrorMessage="1" xr:uid="{00000000-0002-0000-0200-00008C070000}">
          <x14:formula1>
            <xm:f>PriceAreaConnection!A2:A1000</xm:f>
          </x14:formula1>
          <xm:sqref>D934</xm:sqref>
        </x14:dataValidation>
        <x14:dataValidation type="list" allowBlank="1" showInputMessage="1" showErrorMessage="1" xr:uid="{00000000-0002-0000-0200-00008D070000}">
          <x14:formula1>
            <xm:f>PriceAreaConnection!A2:A1000</xm:f>
          </x14:formula1>
          <xm:sqref>D935</xm:sqref>
        </x14:dataValidation>
        <x14:dataValidation type="list" allowBlank="1" showInputMessage="1" showErrorMessage="1" xr:uid="{00000000-0002-0000-0200-00008E070000}">
          <x14:formula1>
            <xm:f>PriceAreaConnection!A2:A1000</xm:f>
          </x14:formula1>
          <xm:sqref>D936</xm:sqref>
        </x14:dataValidation>
        <x14:dataValidation type="list" allowBlank="1" showInputMessage="1" showErrorMessage="1" xr:uid="{00000000-0002-0000-0200-00008F070000}">
          <x14:formula1>
            <xm:f>PriceAreaConnection!A2:A1000</xm:f>
          </x14:formula1>
          <xm:sqref>D937</xm:sqref>
        </x14:dataValidation>
        <x14:dataValidation type="list" allowBlank="1" showInputMessage="1" showErrorMessage="1" xr:uid="{00000000-0002-0000-0200-000090070000}">
          <x14:formula1>
            <xm:f>PriceAreaConnection!A2:A1000</xm:f>
          </x14:formula1>
          <xm:sqref>D938</xm:sqref>
        </x14:dataValidation>
        <x14:dataValidation type="list" allowBlank="1" showInputMessage="1" showErrorMessage="1" xr:uid="{00000000-0002-0000-0200-000091070000}">
          <x14:formula1>
            <xm:f>PriceAreaConnection!A2:A1000</xm:f>
          </x14:formula1>
          <xm:sqref>D939</xm:sqref>
        </x14:dataValidation>
        <x14:dataValidation type="list" allowBlank="1" showInputMessage="1" showErrorMessage="1" xr:uid="{00000000-0002-0000-0200-000092070000}">
          <x14:formula1>
            <xm:f>PriceAreaConnection!A2:A1000</xm:f>
          </x14:formula1>
          <xm:sqref>D940</xm:sqref>
        </x14:dataValidation>
        <x14:dataValidation type="list" allowBlank="1" showInputMessage="1" showErrorMessage="1" xr:uid="{00000000-0002-0000-0200-000093070000}">
          <x14:formula1>
            <xm:f>PriceAreaConnection!A2:A1000</xm:f>
          </x14:formula1>
          <xm:sqref>D941</xm:sqref>
        </x14:dataValidation>
        <x14:dataValidation type="list" allowBlank="1" showInputMessage="1" showErrorMessage="1" xr:uid="{00000000-0002-0000-0200-000094070000}">
          <x14:formula1>
            <xm:f>PriceAreaConnection!A2:A1000</xm:f>
          </x14:formula1>
          <xm:sqref>D942</xm:sqref>
        </x14:dataValidation>
        <x14:dataValidation type="list" allowBlank="1" showInputMessage="1" showErrorMessage="1" xr:uid="{00000000-0002-0000-0200-000095070000}">
          <x14:formula1>
            <xm:f>PriceAreaConnection!A2:A1000</xm:f>
          </x14:formula1>
          <xm:sqref>D943</xm:sqref>
        </x14:dataValidation>
        <x14:dataValidation type="list" allowBlank="1" showInputMessage="1" showErrorMessage="1" xr:uid="{00000000-0002-0000-0200-000096070000}">
          <x14:formula1>
            <xm:f>PriceAreaConnection!A2:A1000</xm:f>
          </x14:formula1>
          <xm:sqref>D944</xm:sqref>
        </x14:dataValidation>
        <x14:dataValidation type="list" allowBlank="1" showInputMessage="1" showErrorMessage="1" xr:uid="{00000000-0002-0000-0200-000097070000}">
          <x14:formula1>
            <xm:f>PriceAreaConnection!A2:A1000</xm:f>
          </x14:formula1>
          <xm:sqref>D945</xm:sqref>
        </x14:dataValidation>
        <x14:dataValidation type="list" allowBlank="1" showInputMessage="1" showErrorMessage="1" xr:uid="{00000000-0002-0000-0200-000098070000}">
          <x14:formula1>
            <xm:f>PriceAreaConnection!A2:A1000</xm:f>
          </x14:formula1>
          <xm:sqref>D946</xm:sqref>
        </x14:dataValidation>
        <x14:dataValidation type="list" allowBlank="1" showInputMessage="1" showErrorMessage="1" xr:uid="{00000000-0002-0000-0200-000099070000}">
          <x14:formula1>
            <xm:f>PriceAreaConnection!A2:A1000</xm:f>
          </x14:formula1>
          <xm:sqref>D947</xm:sqref>
        </x14:dataValidation>
        <x14:dataValidation type="list" allowBlank="1" showInputMessage="1" showErrorMessage="1" xr:uid="{00000000-0002-0000-0200-00009A070000}">
          <x14:formula1>
            <xm:f>PriceAreaConnection!A2:A1000</xm:f>
          </x14:formula1>
          <xm:sqref>D948</xm:sqref>
        </x14:dataValidation>
        <x14:dataValidation type="list" allowBlank="1" showInputMessage="1" showErrorMessage="1" xr:uid="{00000000-0002-0000-0200-00009B070000}">
          <x14:formula1>
            <xm:f>PriceAreaConnection!A2:A1000</xm:f>
          </x14:formula1>
          <xm:sqref>D949</xm:sqref>
        </x14:dataValidation>
        <x14:dataValidation type="list" allowBlank="1" showInputMessage="1" showErrorMessage="1" xr:uid="{00000000-0002-0000-0200-00009C070000}">
          <x14:formula1>
            <xm:f>PriceAreaConnection!A2:A1000</xm:f>
          </x14:formula1>
          <xm:sqref>D950</xm:sqref>
        </x14:dataValidation>
        <x14:dataValidation type="list" allowBlank="1" showInputMessage="1" showErrorMessage="1" xr:uid="{00000000-0002-0000-0200-00009D070000}">
          <x14:formula1>
            <xm:f>PriceAreaConnection!A2:A1000</xm:f>
          </x14:formula1>
          <xm:sqref>D951</xm:sqref>
        </x14:dataValidation>
        <x14:dataValidation type="list" allowBlank="1" showInputMessage="1" showErrorMessage="1" xr:uid="{00000000-0002-0000-0200-00009E070000}">
          <x14:formula1>
            <xm:f>PriceAreaConnection!A2:A1000</xm:f>
          </x14:formula1>
          <xm:sqref>D952</xm:sqref>
        </x14:dataValidation>
        <x14:dataValidation type="list" allowBlank="1" showInputMessage="1" showErrorMessage="1" xr:uid="{00000000-0002-0000-0200-00009F070000}">
          <x14:formula1>
            <xm:f>PriceAreaConnection!A2:A1000</xm:f>
          </x14:formula1>
          <xm:sqref>D953</xm:sqref>
        </x14:dataValidation>
        <x14:dataValidation type="list" allowBlank="1" showInputMessage="1" showErrorMessage="1" xr:uid="{00000000-0002-0000-0200-0000A0070000}">
          <x14:formula1>
            <xm:f>PriceAreaConnection!A2:A1000</xm:f>
          </x14:formula1>
          <xm:sqref>D954</xm:sqref>
        </x14:dataValidation>
        <x14:dataValidation type="list" allowBlank="1" showInputMessage="1" showErrorMessage="1" xr:uid="{00000000-0002-0000-0200-0000A1070000}">
          <x14:formula1>
            <xm:f>PriceAreaConnection!A2:A1000</xm:f>
          </x14:formula1>
          <xm:sqref>D955</xm:sqref>
        </x14:dataValidation>
        <x14:dataValidation type="list" allowBlank="1" showInputMessage="1" showErrorMessage="1" xr:uid="{00000000-0002-0000-0200-0000A2070000}">
          <x14:formula1>
            <xm:f>PriceAreaConnection!A2:A1000</xm:f>
          </x14:formula1>
          <xm:sqref>D956</xm:sqref>
        </x14:dataValidation>
        <x14:dataValidation type="list" allowBlank="1" showInputMessage="1" showErrorMessage="1" xr:uid="{00000000-0002-0000-0200-0000A3070000}">
          <x14:formula1>
            <xm:f>PriceAreaConnection!A2:A1000</xm:f>
          </x14:formula1>
          <xm:sqref>D957</xm:sqref>
        </x14:dataValidation>
        <x14:dataValidation type="list" allowBlank="1" showInputMessage="1" showErrorMessage="1" xr:uid="{00000000-0002-0000-0200-0000A4070000}">
          <x14:formula1>
            <xm:f>PriceAreaConnection!A2:A1000</xm:f>
          </x14:formula1>
          <xm:sqref>D958</xm:sqref>
        </x14:dataValidation>
        <x14:dataValidation type="list" allowBlank="1" showInputMessage="1" showErrorMessage="1" xr:uid="{00000000-0002-0000-0200-0000A5070000}">
          <x14:formula1>
            <xm:f>PriceAreaConnection!A2:A1000</xm:f>
          </x14:formula1>
          <xm:sqref>D959</xm:sqref>
        </x14:dataValidation>
        <x14:dataValidation type="list" allowBlank="1" showInputMessage="1" showErrorMessage="1" xr:uid="{00000000-0002-0000-0200-0000A6070000}">
          <x14:formula1>
            <xm:f>PriceAreaConnection!A2:A1000</xm:f>
          </x14:formula1>
          <xm:sqref>D960</xm:sqref>
        </x14:dataValidation>
        <x14:dataValidation type="list" allowBlank="1" showInputMessage="1" showErrorMessage="1" xr:uid="{00000000-0002-0000-0200-0000A7070000}">
          <x14:formula1>
            <xm:f>PriceAreaConnection!A2:A1000</xm:f>
          </x14:formula1>
          <xm:sqref>D961</xm:sqref>
        </x14:dataValidation>
        <x14:dataValidation type="list" allowBlank="1" showInputMessage="1" showErrorMessage="1" xr:uid="{00000000-0002-0000-0200-0000A8070000}">
          <x14:formula1>
            <xm:f>PriceAreaConnection!A2:A1000</xm:f>
          </x14:formula1>
          <xm:sqref>D962</xm:sqref>
        </x14:dataValidation>
        <x14:dataValidation type="list" allowBlank="1" showInputMessage="1" showErrorMessage="1" xr:uid="{00000000-0002-0000-0200-0000A9070000}">
          <x14:formula1>
            <xm:f>PriceAreaConnection!A2:A1000</xm:f>
          </x14:formula1>
          <xm:sqref>D963</xm:sqref>
        </x14:dataValidation>
        <x14:dataValidation type="list" allowBlank="1" showInputMessage="1" showErrorMessage="1" xr:uid="{00000000-0002-0000-0200-0000AA070000}">
          <x14:formula1>
            <xm:f>PriceAreaConnection!A2:A1000</xm:f>
          </x14:formula1>
          <xm:sqref>D964</xm:sqref>
        </x14:dataValidation>
        <x14:dataValidation type="list" allowBlank="1" showInputMessage="1" showErrorMessage="1" xr:uid="{00000000-0002-0000-0200-0000AB070000}">
          <x14:formula1>
            <xm:f>PriceAreaConnection!A2:A1000</xm:f>
          </x14:formula1>
          <xm:sqref>D965</xm:sqref>
        </x14:dataValidation>
        <x14:dataValidation type="list" allowBlank="1" showInputMessage="1" showErrorMessage="1" xr:uid="{00000000-0002-0000-0200-0000AC070000}">
          <x14:formula1>
            <xm:f>PriceAreaConnection!A2:A1000</xm:f>
          </x14:formula1>
          <xm:sqref>D966</xm:sqref>
        </x14:dataValidation>
        <x14:dataValidation type="list" allowBlank="1" showInputMessage="1" showErrorMessage="1" xr:uid="{00000000-0002-0000-0200-0000AD070000}">
          <x14:formula1>
            <xm:f>PriceAreaConnection!A2:A1000</xm:f>
          </x14:formula1>
          <xm:sqref>D967</xm:sqref>
        </x14:dataValidation>
        <x14:dataValidation type="list" allowBlank="1" showInputMessage="1" showErrorMessage="1" xr:uid="{00000000-0002-0000-0200-0000AE070000}">
          <x14:formula1>
            <xm:f>PriceAreaConnection!A2:A1000</xm:f>
          </x14:formula1>
          <xm:sqref>D968</xm:sqref>
        </x14:dataValidation>
        <x14:dataValidation type="list" allowBlank="1" showInputMessage="1" showErrorMessage="1" xr:uid="{00000000-0002-0000-0200-0000AF070000}">
          <x14:formula1>
            <xm:f>PriceAreaConnection!A2:A1000</xm:f>
          </x14:formula1>
          <xm:sqref>D969</xm:sqref>
        </x14:dataValidation>
        <x14:dataValidation type="list" allowBlank="1" showInputMessage="1" showErrorMessage="1" xr:uid="{00000000-0002-0000-0200-0000B0070000}">
          <x14:formula1>
            <xm:f>PriceAreaConnection!A2:A1000</xm:f>
          </x14:formula1>
          <xm:sqref>D970</xm:sqref>
        </x14:dataValidation>
        <x14:dataValidation type="list" allowBlank="1" showInputMessage="1" showErrorMessage="1" xr:uid="{00000000-0002-0000-0200-0000B1070000}">
          <x14:formula1>
            <xm:f>PriceAreaConnection!A2:A1000</xm:f>
          </x14:formula1>
          <xm:sqref>D971</xm:sqref>
        </x14:dataValidation>
        <x14:dataValidation type="list" allowBlank="1" showInputMessage="1" showErrorMessage="1" xr:uid="{00000000-0002-0000-0200-0000B2070000}">
          <x14:formula1>
            <xm:f>PriceAreaConnection!A2:A1000</xm:f>
          </x14:formula1>
          <xm:sqref>D972</xm:sqref>
        </x14:dataValidation>
        <x14:dataValidation type="list" allowBlank="1" showInputMessage="1" showErrorMessage="1" xr:uid="{00000000-0002-0000-0200-0000B3070000}">
          <x14:formula1>
            <xm:f>PriceAreaConnection!A2:A1000</xm:f>
          </x14:formula1>
          <xm:sqref>D973</xm:sqref>
        </x14:dataValidation>
        <x14:dataValidation type="list" allowBlank="1" showInputMessage="1" showErrorMessage="1" xr:uid="{00000000-0002-0000-0200-0000B4070000}">
          <x14:formula1>
            <xm:f>PriceAreaConnection!A2:A1000</xm:f>
          </x14:formula1>
          <xm:sqref>D974</xm:sqref>
        </x14:dataValidation>
        <x14:dataValidation type="list" allowBlank="1" showInputMessage="1" showErrorMessage="1" xr:uid="{00000000-0002-0000-0200-0000B5070000}">
          <x14:formula1>
            <xm:f>PriceAreaConnection!A2:A1000</xm:f>
          </x14:formula1>
          <xm:sqref>D975</xm:sqref>
        </x14:dataValidation>
        <x14:dataValidation type="list" allowBlank="1" showInputMessage="1" showErrorMessage="1" xr:uid="{00000000-0002-0000-0200-0000B6070000}">
          <x14:formula1>
            <xm:f>PriceAreaConnection!A2:A1000</xm:f>
          </x14:formula1>
          <xm:sqref>D976</xm:sqref>
        </x14:dataValidation>
        <x14:dataValidation type="list" allowBlank="1" showInputMessage="1" showErrorMessage="1" xr:uid="{00000000-0002-0000-0200-0000B7070000}">
          <x14:formula1>
            <xm:f>PriceAreaConnection!A2:A1000</xm:f>
          </x14:formula1>
          <xm:sqref>D977</xm:sqref>
        </x14:dataValidation>
        <x14:dataValidation type="list" allowBlank="1" showInputMessage="1" showErrorMessage="1" xr:uid="{00000000-0002-0000-0200-0000B8070000}">
          <x14:formula1>
            <xm:f>PriceAreaConnection!A2:A1000</xm:f>
          </x14:formula1>
          <xm:sqref>D978</xm:sqref>
        </x14:dataValidation>
        <x14:dataValidation type="list" allowBlank="1" showInputMessage="1" showErrorMessage="1" xr:uid="{00000000-0002-0000-0200-0000B9070000}">
          <x14:formula1>
            <xm:f>PriceAreaConnection!A2:A1000</xm:f>
          </x14:formula1>
          <xm:sqref>D979</xm:sqref>
        </x14:dataValidation>
        <x14:dataValidation type="list" allowBlank="1" showInputMessage="1" showErrorMessage="1" xr:uid="{00000000-0002-0000-0200-0000BA070000}">
          <x14:formula1>
            <xm:f>PriceAreaConnection!A2:A1000</xm:f>
          </x14:formula1>
          <xm:sqref>D980</xm:sqref>
        </x14:dataValidation>
        <x14:dataValidation type="list" allowBlank="1" showInputMessage="1" showErrorMessage="1" xr:uid="{00000000-0002-0000-0200-0000BB070000}">
          <x14:formula1>
            <xm:f>PriceAreaConnection!A2:A1000</xm:f>
          </x14:formula1>
          <xm:sqref>D981</xm:sqref>
        </x14:dataValidation>
        <x14:dataValidation type="list" allowBlank="1" showInputMessage="1" showErrorMessage="1" xr:uid="{00000000-0002-0000-0200-0000BC070000}">
          <x14:formula1>
            <xm:f>PriceAreaConnection!A2:A1000</xm:f>
          </x14:formula1>
          <xm:sqref>D982</xm:sqref>
        </x14:dataValidation>
        <x14:dataValidation type="list" allowBlank="1" showInputMessage="1" showErrorMessage="1" xr:uid="{00000000-0002-0000-0200-0000BD070000}">
          <x14:formula1>
            <xm:f>PriceAreaConnection!A2:A1000</xm:f>
          </x14:formula1>
          <xm:sqref>D983</xm:sqref>
        </x14:dataValidation>
        <x14:dataValidation type="list" allowBlank="1" showInputMessage="1" showErrorMessage="1" xr:uid="{00000000-0002-0000-0200-0000BE070000}">
          <x14:formula1>
            <xm:f>PriceAreaConnection!A2:A1000</xm:f>
          </x14:formula1>
          <xm:sqref>D984</xm:sqref>
        </x14:dataValidation>
        <x14:dataValidation type="list" allowBlank="1" showInputMessage="1" showErrorMessage="1" xr:uid="{00000000-0002-0000-0200-0000BF070000}">
          <x14:formula1>
            <xm:f>PriceAreaConnection!A2:A1000</xm:f>
          </x14:formula1>
          <xm:sqref>D985</xm:sqref>
        </x14:dataValidation>
        <x14:dataValidation type="list" allowBlank="1" showInputMessage="1" showErrorMessage="1" xr:uid="{00000000-0002-0000-0200-0000C0070000}">
          <x14:formula1>
            <xm:f>PriceAreaConnection!A2:A1000</xm:f>
          </x14:formula1>
          <xm:sqref>D986</xm:sqref>
        </x14:dataValidation>
        <x14:dataValidation type="list" allowBlank="1" showInputMessage="1" showErrorMessage="1" xr:uid="{00000000-0002-0000-0200-0000C1070000}">
          <x14:formula1>
            <xm:f>PriceAreaConnection!A2:A1000</xm:f>
          </x14:formula1>
          <xm:sqref>D987</xm:sqref>
        </x14:dataValidation>
        <x14:dataValidation type="list" allowBlank="1" showInputMessage="1" showErrorMessage="1" xr:uid="{00000000-0002-0000-0200-0000C2070000}">
          <x14:formula1>
            <xm:f>PriceAreaConnection!A2:A1000</xm:f>
          </x14:formula1>
          <xm:sqref>D988</xm:sqref>
        </x14:dataValidation>
        <x14:dataValidation type="list" allowBlank="1" showInputMessage="1" showErrorMessage="1" xr:uid="{00000000-0002-0000-0200-0000C3070000}">
          <x14:formula1>
            <xm:f>PriceAreaConnection!A2:A1000</xm:f>
          </x14:formula1>
          <xm:sqref>D989</xm:sqref>
        </x14:dataValidation>
        <x14:dataValidation type="list" allowBlank="1" showInputMessage="1" showErrorMessage="1" xr:uid="{00000000-0002-0000-0200-0000C4070000}">
          <x14:formula1>
            <xm:f>PriceAreaConnection!A2:A1000</xm:f>
          </x14:formula1>
          <xm:sqref>D990</xm:sqref>
        </x14:dataValidation>
        <x14:dataValidation type="list" allowBlank="1" showInputMessage="1" showErrorMessage="1" xr:uid="{00000000-0002-0000-0200-0000C5070000}">
          <x14:formula1>
            <xm:f>PriceAreaConnection!A2:A1000</xm:f>
          </x14:formula1>
          <xm:sqref>D991</xm:sqref>
        </x14:dataValidation>
        <x14:dataValidation type="list" allowBlank="1" showInputMessage="1" showErrorMessage="1" xr:uid="{00000000-0002-0000-0200-0000C6070000}">
          <x14:formula1>
            <xm:f>PriceAreaConnection!A2:A1000</xm:f>
          </x14:formula1>
          <xm:sqref>D992</xm:sqref>
        </x14:dataValidation>
        <x14:dataValidation type="list" allowBlank="1" showInputMessage="1" showErrorMessage="1" xr:uid="{00000000-0002-0000-0200-0000C7070000}">
          <x14:formula1>
            <xm:f>PriceAreaConnection!A2:A1000</xm:f>
          </x14:formula1>
          <xm:sqref>D993</xm:sqref>
        </x14:dataValidation>
        <x14:dataValidation type="list" allowBlank="1" showInputMessage="1" showErrorMessage="1" xr:uid="{00000000-0002-0000-0200-0000C8070000}">
          <x14:formula1>
            <xm:f>PriceAreaConnection!A2:A1000</xm:f>
          </x14:formula1>
          <xm:sqref>D994</xm:sqref>
        </x14:dataValidation>
        <x14:dataValidation type="list" allowBlank="1" showInputMessage="1" showErrorMessage="1" xr:uid="{00000000-0002-0000-0200-0000C9070000}">
          <x14:formula1>
            <xm:f>PriceAreaConnection!A2:A1000</xm:f>
          </x14:formula1>
          <xm:sqref>D995</xm:sqref>
        </x14:dataValidation>
        <x14:dataValidation type="list" allowBlank="1" showInputMessage="1" showErrorMessage="1" xr:uid="{00000000-0002-0000-0200-0000CA070000}">
          <x14:formula1>
            <xm:f>PriceAreaConnection!A2:A1000</xm:f>
          </x14:formula1>
          <xm:sqref>D996</xm:sqref>
        </x14:dataValidation>
        <x14:dataValidation type="list" allowBlank="1" showInputMessage="1" showErrorMessage="1" xr:uid="{00000000-0002-0000-0200-0000CB070000}">
          <x14:formula1>
            <xm:f>PriceAreaConnection!A2:A1000</xm:f>
          </x14:formula1>
          <xm:sqref>D997</xm:sqref>
        </x14:dataValidation>
        <x14:dataValidation type="list" allowBlank="1" showInputMessage="1" showErrorMessage="1" xr:uid="{00000000-0002-0000-0200-0000CC070000}">
          <x14:formula1>
            <xm:f>PriceAreaConnection!A2:A1000</xm:f>
          </x14:formula1>
          <xm:sqref>D998</xm:sqref>
        </x14:dataValidation>
        <x14:dataValidation type="list" allowBlank="1" showInputMessage="1" showErrorMessage="1" xr:uid="{00000000-0002-0000-0200-0000CD070000}">
          <x14:formula1>
            <xm:f>PriceAreaConnection!A2:A1000</xm:f>
          </x14:formula1>
          <xm:sqref>D999</xm:sqref>
        </x14:dataValidation>
        <x14:dataValidation type="list" allowBlank="1" showInputMessage="1" showErrorMessage="1" xr:uid="{00000000-0002-0000-0200-0000CE070000}">
          <x14:formula1>
            <xm:f>PriceAreaConnection!A2:A1000</xm:f>
          </x14:formula1>
          <xm:sqref>D1000</xm:sqref>
        </x14:dataValidation>
        <x14:dataValidation type="list" allowBlank="1" showInputMessage="1" showErrorMessage="1" xr:uid="{00000000-0002-0000-0200-0000CF070000}">
          <x14:formula1>
            <xm:f>PriceAreaConnection!A2:A1000</xm:f>
          </x14:formula1>
          <xm:sqref>D1001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C2" sqref="C2"/>
    </sheetView>
  </sheetViews>
  <sheetFormatPr baseColWidth="10" defaultColWidth="8.83203125" defaultRowHeight="15" x14ac:dyDescent="0.2"/>
  <cols>
    <col min="1" max="3" width="30.6640625" customWidth="1"/>
  </cols>
  <sheetData>
    <row r="1" spans="1:3" ht="21" x14ac:dyDescent="0.2">
      <c r="A1" s="1" t="s">
        <v>0</v>
      </c>
      <c r="B1" s="2" t="s">
        <v>1</v>
      </c>
      <c r="C1" s="2" t="s">
        <v>6</v>
      </c>
    </row>
    <row r="2" spans="1:3" x14ac:dyDescent="0.2">
      <c r="A2" t="str">
        <f>IF(ISBLANK(B2), "","PriceAreaConnection-1")</f>
        <v>PriceAreaConnection-1</v>
      </c>
      <c r="B2" t="s">
        <v>13</v>
      </c>
      <c r="C2" t="s">
        <v>14</v>
      </c>
    </row>
    <row r="3" spans="1:3" x14ac:dyDescent="0.2">
      <c r="A3" t="str">
        <f>IF(ISBLANK(B3), "","PriceAreaConnection-2")</f>
        <v/>
      </c>
    </row>
    <row r="4" spans="1:3" x14ac:dyDescent="0.2">
      <c r="A4" t="str">
        <f>IF(ISBLANK(B4), "","PriceAreaConnection-3")</f>
        <v/>
      </c>
    </row>
    <row r="5" spans="1:3" x14ac:dyDescent="0.2">
      <c r="A5" t="str">
        <f>IF(ISBLANK(B5), "","PriceAreaConnection-4")</f>
        <v/>
      </c>
    </row>
    <row r="6" spans="1:3" x14ac:dyDescent="0.2">
      <c r="A6" t="str">
        <f>IF(ISBLANK(B6), "","PriceAreaConnection-5")</f>
        <v/>
      </c>
    </row>
    <row r="7" spans="1:3" x14ac:dyDescent="0.2">
      <c r="A7" t="str">
        <f>IF(ISBLANK(B7), "","PriceAreaConnection-6")</f>
        <v/>
      </c>
    </row>
    <row r="8" spans="1:3" x14ac:dyDescent="0.2">
      <c r="A8" t="str">
        <f>IF(ISBLANK(B8), "","PriceAreaConnection-7")</f>
        <v/>
      </c>
    </row>
    <row r="9" spans="1:3" x14ac:dyDescent="0.2">
      <c r="A9" t="str">
        <f>IF(ISBLANK(B9), "","PriceAreaConnection-8")</f>
        <v/>
      </c>
    </row>
    <row r="10" spans="1:3" x14ac:dyDescent="0.2">
      <c r="A10" t="str">
        <f>IF(ISBLANK(B10), "","PriceAreaConnection-9")</f>
        <v/>
      </c>
    </row>
    <row r="11" spans="1:3" x14ac:dyDescent="0.2">
      <c r="A11" t="str">
        <f>IF(ISBLANK(B11), "","PriceAreaConnection-10")</f>
        <v/>
      </c>
    </row>
    <row r="12" spans="1:3" x14ac:dyDescent="0.2">
      <c r="A12" t="str">
        <f>IF(ISBLANK(B12), "","PriceAreaConnection-11")</f>
        <v/>
      </c>
    </row>
    <row r="13" spans="1:3" x14ac:dyDescent="0.2">
      <c r="A13" t="str">
        <f>IF(ISBLANK(B13), "","PriceAreaConnection-12")</f>
        <v/>
      </c>
    </row>
    <row r="14" spans="1:3" x14ac:dyDescent="0.2">
      <c r="A14" t="str">
        <f>IF(ISBLANK(B14), "","PriceAreaConnection-13")</f>
        <v/>
      </c>
    </row>
    <row r="15" spans="1:3" x14ac:dyDescent="0.2">
      <c r="A15" t="str">
        <f>IF(ISBLANK(B15), "","PriceAreaConnection-14")</f>
        <v/>
      </c>
    </row>
    <row r="16" spans="1:3" x14ac:dyDescent="0.2">
      <c r="A16" t="str">
        <f>IF(ISBLANK(B16), "","PriceAreaConnection-15")</f>
        <v/>
      </c>
    </row>
    <row r="17" spans="1:1" x14ac:dyDescent="0.2">
      <c r="A17" t="str">
        <f>IF(ISBLANK(B17), "","PriceAreaConnection-16")</f>
        <v/>
      </c>
    </row>
    <row r="18" spans="1:1" x14ac:dyDescent="0.2">
      <c r="A18" t="str">
        <f>IF(ISBLANK(B18), "","PriceAreaConnection-17")</f>
        <v/>
      </c>
    </row>
    <row r="19" spans="1:1" x14ac:dyDescent="0.2">
      <c r="A19" t="str">
        <f>IF(ISBLANK(B19), "","PriceAreaConnection-18")</f>
        <v/>
      </c>
    </row>
    <row r="20" spans="1:1" x14ac:dyDescent="0.2">
      <c r="A20" t="str">
        <f>IF(ISBLANK(B20), "","PriceAreaConnection-19")</f>
        <v/>
      </c>
    </row>
    <row r="21" spans="1:1" x14ac:dyDescent="0.2">
      <c r="A21" t="str">
        <f>IF(ISBLANK(B21), "","PriceAreaConnection-20")</f>
        <v/>
      </c>
    </row>
    <row r="22" spans="1:1" x14ac:dyDescent="0.2">
      <c r="A22" t="str">
        <f>IF(ISBLANK(B22), "","PriceAreaConnection-21")</f>
        <v/>
      </c>
    </row>
    <row r="23" spans="1:1" x14ac:dyDescent="0.2">
      <c r="A23" t="str">
        <f>IF(ISBLANK(B23), "","PriceAreaConnection-22")</f>
        <v/>
      </c>
    </row>
    <row r="24" spans="1:1" x14ac:dyDescent="0.2">
      <c r="A24" t="str">
        <f>IF(ISBLANK(B24), "","PriceAreaConnection-23")</f>
        <v/>
      </c>
    </row>
    <row r="25" spans="1:1" x14ac:dyDescent="0.2">
      <c r="A25" t="str">
        <f>IF(ISBLANK(B25), "","PriceAreaConnection-24")</f>
        <v/>
      </c>
    </row>
    <row r="26" spans="1:1" x14ac:dyDescent="0.2">
      <c r="A26" t="str">
        <f>IF(ISBLANK(B26), "","PriceAreaConnection-25")</f>
        <v/>
      </c>
    </row>
    <row r="27" spans="1:1" x14ac:dyDescent="0.2">
      <c r="A27" t="str">
        <f>IF(ISBLANK(B27), "","PriceAreaConnection-26")</f>
        <v/>
      </c>
    </row>
    <row r="28" spans="1:1" x14ac:dyDescent="0.2">
      <c r="A28" t="str">
        <f>IF(ISBLANK(B28), "","PriceAreaConnection-27")</f>
        <v/>
      </c>
    </row>
    <row r="29" spans="1:1" x14ac:dyDescent="0.2">
      <c r="A29" t="str">
        <f>IF(ISBLANK(B29), "","PriceAreaConnection-28")</f>
        <v/>
      </c>
    </row>
    <row r="30" spans="1:1" x14ac:dyDescent="0.2">
      <c r="A30" t="str">
        <f>IF(ISBLANK(B30), "","PriceAreaConnection-29")</f>
        <v/>
      </c>
    </row>
    <row r="31" spans="1:1" x14ac:dyDescent="0.2">
      <c r="A31" t="str">
        <f>IF(ISBLANK(B31), "","PriceAreaConnection-30")</f>
        <v/>
      </c>
    </row>
    <row r="32" spans="1:1" x14ac:dyDescent="0.2">
      <c r="A32" t="str">
        <f>IF(ISBLANK(B32), "","PriceAreaConnection-31")</f>
        <v/>
      </c>
    </row>
    <row r="33" spans="1:1" x14ac:dyDescent="0.2">
      <c r="A33" t="str">
        <f>IF(ISBLANK(B33), "","PriceAreaConnection-32")</f>
        <v/>
      </c>
    </row>
    <row r="34" spans="1:1" x14ac:dyDescent="0.2">
      <c r="A34" t="str">
        <f>IF(ISBLANK(B34), "","PriceAreaConnection-33")</f>
        <v/>
      </c>
    </row>
    <row r="35" spans="1:1" x14ac:dyDescent="0.2">
      <c r="A35" t="str">
        <f>IF(ISBLANK(B35), "","PriceAreaConnection-34")</f>
        <v/>
      </c>
    </row>
    <row r="36" spans="1:1" x14ac:dyDescent="0.2">
      <c r="A36" t="str">
        <f>IF(ISBLANK(B36), "","PriceAreaConnection-35")</f>
        <v/>
      </c>
    </row>
    <row r="37" spans="1:1" x14ac:dyDescent="0.2">
      <c r="A37" t="str">
        <f>IF(ISBLANK(B37), "","PriceAreaConnection-36")</f>
        <v/>
      </c>
    </row>
    <row r="38" spans="1:1" x14ac:dyDescent="0.2">
      <c r="A38" t="str">
        <f>IF(ISBLANK(B38), "","PriceAreaConnection-37")</f>
        <v/>
      </c>
    </row>
    <row r="39" spans="1:1" x14ac:dyDescent="0.2">
      <c r="A39" t="str">
        <f>IF(ISBLANK(B39), "","PriceAreaConnection-38")</f>
        <v/>
      </c>
    </row>
    <row r="40" spans="1:1" x14ac:dyDescent="0.2">
      <c r="A40" t="str">
        <f>IF(ISBLANK(B40), "","PriceAreaConnection-39")</f>
        <v/>
      </c>
    </row>
    <row r="41" spans="1:1" x14ac:dyDescent="0.2">
      <c r="A41" t="str">
        <f>IF(ISBLANK(B41), "","PriceAreaConnection-40")</f>
        <v/>
      </c>
    </row>
    <row r="42" spans="1:1" x14ac:dyDescent="0.2">
      <c r="A42" t="str">
        <f>IF(ISBLANK(B42), "","PriceAreaConnection-41")</f>
        <v/>
      </c>
    </row>
    <row r="43" spans="1:1" x14ac:dyDescent="0.2">
      <c r="A43" t="str">
        <f>IF(ISBLANK(B43), "","PriceAreaConnection-42")</f>
        <v/>
      </c>
    </row>
    <row r="44" spans="1:1" x14ac:dyDescent="0.2">
      <c r="A44" t="str">
        <f>IF(ISBLANK(B44), "","PriceAreaConnection-43")</f>
        <v/>
      </c>
    </row>
    <row r="45" spans="1:1" x14ac:dyDescent="0.2">
      <c r="A45" t="str">
        <f>IF(ISBLANK(B45), "","PriceAreaConnection-44")</f>
        <v/>
      </c>
    </row>
    <row r="46" spans="1:1" x14ac:dyDescent="0.2">
      <c r="A46" t="str">
        <f>IF(ISBLANK(B46), "","PriceAreaConnection-45")</f>
        <v/>
      </c>
    </row>
    <row r="47" spans="1:1" x14ac:dyDescent="0.2">
      <c r="A47" t="str">
        <f>IF(ISBLANK(B47), "","PriceAreaConnection-46")</f>
        <v/>
      </c>
    </row>
    <row r="48" spans="1:1" x14ac:dyDescent="0.2">
      <c r="A48" t="str">
        <f>IF(ISBLANK(B48), "","PriceAreaConnection-47")</f>
        <v/>
      </c>
    </row>
    <row r="49" spans="1:1" x14ac:dyDescent="0.2">
      <c r="A49" t="str">
        <f>IF(ISBLANK(B49), "","PriceAreaConnection-48")</f>
        <v/>
      </c>
    </row>
    <row r="50" spans="1:1" x14ac:dyDescent="0.2">
      <c r="A50" t="str">
        <f>IF(ISBLANK(B50), "","PriceAreaConnection-49")</f>
        <v/>
      </c>
    </row>
    <row r="51" spans="1:1" x14ac:dyDescent="0.2">
      <c r="A51" t="str">
        <f>IF(ISBLANK(B51), "","PriceAreaConnection-50")</f>
        <v/>
      </c>
    </row>
    <row r="52" spans="1:1" x14ac:dyDescent="0.2">
      <c r="A52" t="str">
        <f>IF(ISBLANK(B52), "","PriceAreaConnection-51")</f>
        <v/>
      </c>
    </row>
    <row r="53" spans="1:1" x14ac:dyDescent="0.2">
      <c r="A53" t="str">
        <f>IF(ISBLANK(B53), "","PriceAreaConnection-52")</f>
        <v/>
      </c>
    </row>
    <row r="54" spans="1:1" x14ac:dyDescent="0.2">
      <c r="A54" t="str">
        <f>IF(ISBLANK(B54), "","PriceAreaConnection-53")</f>
        <v/>
      </c>
    </row>
    <row r="55" spans="1:1" x14ac:dyDescent="0.2">
      <c r="A55" t="str">
        <f>IF(ISBLANK(B55), "","PriceAreaConnection-54")</f>
        <v/>
      </c>
    </row>
    <row r="56" spans="1:1" x14ac:dyDescent="0.2">
      <c r="A56" t="str">
        <f>IF(ISBLANK(B56), "","PriceAreaConnection-55")</f>
        <v/>
      </c>
    </row>
    <row r="57" spans="1:1" x14ac:dyDescent="0.2">
      <c r="A57" t="str">
        <f>IF(ISBLANK(B57), "","PriceAreaConnection-56")</f>
        <v/>
      </c>
    </row>
    <row r="58" spans="1:1" x14ac:dyDescent="0.2">
      <c r="A58" t="str">
        <f>IF(ISBLANK(B58), "","PriceAreaConnection-57")</f>
        <v/>
      </c>
    </row>
    <row r="59" spans="1:1" x14ac:dyDescent="0.2">
      <c r="A59" t="str">
        <f>IF(ISBLANK(B59), "","PriceAreaConnection-58")</f>
        <v/>
      </c>
    </row>
    <row r="60" spans="1:1" x14ac:dyDescent="0.2">
      <c r="A60" t="str">
        <f>IF(ISBLANK(B60), "","PriceAreaConnection-59")</f>
        <v/>
      </c>
    </row>
    <row r="61" spans="1:1" x14ac:dyDescent="0.2">
      <c r="A61" t="str">
        <f>IF(ISBLANK(B61), "","PriceAreaConnection-60")</f>
        <v/>
      </c>
    </row>
    <row r="62" spans="1:1" x14ac:dyDescent="0.2">
      <c r="A62" t="str">
        <f>IF(ISBLANK(B62), "","PriceAreaConnection-61")</f>
        <v/>
      </c>
    </row>
    <row r="63" spans="1:1" x14ac:dyDescent="0.2">
      <c r="A63" t="str">
        <f>IF(ISBLANK(B63), "","PriceAreaConnection-62")</f>
        <v/>
      </c>
    </row>
    <row r="64" spans="1:1" x14ac:dyDescent="0.2">
      <c r="A64" t="str">
        <f>IF(ISBLANK(B64), "","PriceAreaConnection-63")</f>
        <v/>
      </c>
    </row>
    <row r="65" spans="1:1" x14ac:dyDescent="0.2">
      <c r="A65" t="str">
        <f>IF(ISBLANK(B65), "","PriceAreaConnection-64")</f>
        <v/>
      </c>
    </row>
    <row r="66" spans="1:1" x14ac:dyDescent="0.2">
      <c r="A66" t="str">
        <f>IF(ISBLANK(B66), "","PriceAreaConnection-65")</f>
        <v/>
      </c>
    </row>
    <row r="67" spans="1:1" x14ac:dyDescent="0.2">
      <c r="A67" t="str">
        <f>IF(ISBLANK(B67), "","PriceAreaConnection-66")</f>
        <v/>
      </c>
    </row>
    <row r="68" spans="1:1" x14ac:dyDescent="0.2">
      <c r="A68" t="str">
        <f>IF(ISBLANK(B68), "","PriceAreaConnection-67")</f>
        <v/>
      </c>
    </row>
    <row r="69" spans="1:1" x14ac:dyDescent="0.2">
      <c r="A69" t="str">
        <f>IF(ISBLANK(B69), "","PriceAreaConnection-68")</f>
        <v/>
      </c>
    </row>
    <row r="70" spans="1:1" x14ac:dyDescent="0.2">
      <c r="A70" t="str">
        <f>IF(ISBLANK(B70), "","PriceAreaConnection-69")</f>
        <v/>
      </c>
    </row>
    <row r="71" spans="1:1" x14ac:dyDescent="0.2">
      <c r="A71" t="str">
        <f>IF(ISBLANK(B71), "","PriceAreaConnection-70")</f>
        <v/>
      </c>
    </row>
    <row r="72" spans="1:1" x14ac:dyDescent="0.2">
      <c r="A72" t="str">
        <f>IF(ISBLANK(B72), "","PriceAreaConnection-71")</f>
        <v/>
      </c>
    </row>
    <row r="73" spans="1:1" x14ac:dyDescent="0.2">
      <c r="A73" t="str">
        <f>IF(ISBLANK(B73), "","PriceAreaConnection-72")</f>
        <v/>
      </c>
    </row>
    <row r="74" spans="1:1" x14ac:dyDescent="0.2">
      <c r="A74" t="str">
        <f>IF(ISBLANK(B74), "","PriceAreaConnection-73")</f>
        <v/>
      </c>
    </row>
    <row r="75" spans="1:1" x14ac:dyDescent="0.2">
      <c r="A75" t="str">
        <f>IF(ISBLANK(B75), "","PriceAreaConnection-74")</f>
        <v/>
      </c>
    </row>
    <row r="76" spans="1:1" x14ac:dyDescent="0.2">
      <c r="A76" t="str">
        <f>IF(ISBLANK(B76), "","PriceAreaConnection-75")</f>
        <v/>
      </c>
    </row>
    <row r="77" spans="1:1" x14ac:dyDescent="0.2">
      <c r="A77" t="str">
        <f>IF(ISBLANK(B77), "","PriceAreaConnection-76")</f>
        <v/>
      </c>
    </row>
    <row r="78" spans="1:1" x14ac:dyDescent="0.2">
      <c r="A78" t="str">
        <f>IF(ISBLANK(B78), "","PriceAreaConnection-77")</f>
        <v/>
      </c>
    </row>
    <row r="79" spans="1:1" x14ac:dyDescent="0.2">
      <c r="A79" t="str">
        <f>IF(ISBLANK(B79), "","PriceAreaConnection-78")</f>
        <v/>
      </c>
    </row>
    <row r="80" spans="1:1" x14ac:dyDescent="0.2">
      <c r="A80" t="str">
        <f>IF(ISBLANK(B80), "","PriceAreaConnection-79")</f>
        <v/>
      </c>
    </row>
    <row r="81" spans="1:1" x14ac:dyDescent="0.2">
      <c r="A81" t="str">
        <f>IF(ISBLANK(B81), "","PriceAreaConnection-80")</f>
        <v/>
      </c>
    </row>
    <row r="82" spans="1:1" x14ac:dyDescent="0.2">
      <c r="A82" t="str">
        <f>IF(ISBLANK(B82), "","PriceAreaConnection-81")</f>
        <v/>
      </c>
    </row>
    <row r="83" spans="1:1" x14ac:dyDescent="0.2">
      <c r="A83" t="str">
        <f>IF(ISBLANK(B83), "","PriceAreaConnection-82")</f>
        <v/>
      </c>
    </row>
    <row r="84" spans="1:1" x14ac:dyDescent="0.2">
      <c r="A84" t="str">
        <f>IF(ISBLANK(B84), "","PriceAreaConnection-83")</f>
        <v/>
      </c>
    </row>
    <row r="85" spans="1:1" x14ac:dyDescent="0.2">
      <c r="A85" t="str">
        <f>IF(ISBLANK(B85), "","PriceAreaConnection-84")</f>
        <v/>
      </c>
    </row>
    <row r="86" spans="1:1" x14ac:dyDescent="0.2">
      <c r="A86" t="str">
        <f>IF(ISBLANK(B86), "","PriceAreaConnection-85")</f>
        <v/>
      </c>
    </row>
    <row r="87" spans="1:1" x14ac:dyDescent="0.2">
      <c r="A87" t="str">
        <f>IF(ISBLANK(B87), "","PriceAreaConnection-86")</f>
        <v/>
      </c>
    </row>
    <row r="88" spans="1:1" x14ac:dyDescent="0.2">
      <c r="A88" t="str">
        <f>IF(ISBLANK(B88), "","PriceAreaConnection-87")</f>
        <v/>
      </c>
    </row>
    <row r="89" spans="1:1" x14ac:dyDescent="0.2">
      <c r="A89" t="str">
        <f>IF(ISBLANK(B89), "","PriceAreaConnection-88")</f>
        <v/>
      </c>
    </row>
    <row r="90" spans="1:1" x14ac:dyDescent="0.2">
      <c r="A90" t="str">
        <f>IF(ISBLANK(B90), "","PriceAreaConnection-89")</f>
        <v/>
      </c>
    </row>
    <row r="91" spans="1:1" x14ac:dyDescent="0.2">
      <c r="A91" t="str">
        <f>IF(ISBLANK(B91), "","PriceAreaConnection-90")</f>
        <v/>
      </c>
    </row>
    <row r="92" spans="1:1" x14ac:dyDescent="0.2">
      <c r="A92" t="str">
        <f>IF(ISBLANK(B92), "","PriceAreaConnection-91")</f>
        <v/>
      </c>
    </row>
    <row r="93" spans="1:1" x14ac:dyDescent="0.2">
      <c r="A93" t="str">
        <f>IF(ISBLANK(B93), "","PriceAreaConnection-92")</f>
        <v/>
      </c>
    </row>
    <row r="94" spans="1:1" x14ac:dyDescent="0.2">
      <c r="A94" t="str">
        <f>IF(ISBLANK(B94), "","PriceAreaConnection-93")</f>
        <v/>
      </c>
    </row>
    <row r="95" spans="1:1" x14ac:dyDescent="0.2">
      <c r="A95" t="str">
        <f>IF(ISBLANK(B95), "","PriceAreaConnection-94")</f>
        <v/>
      </c>
    </row>
    <row r="96" spans="1:1" x14ac:dyDescent="0.2">
      <c r="A96" t="str">
        <f>IF(ISBLANK(B96), "","PriceAreaConnection-95")</f>
        <v/>
      </c>
    </row>
    <row r="97" spans="1:1" x14ac:dyDescent="0.2">
      <c r="A97" t="str">
        <f>IF(ISBLANK(B97), "","PriceAreaConnection-96")</f>
        <v/>
      </c>
    </row>
    <row r="98" spans="1:1" x14ac:dyDescent="0.2">
      <c r="A98" t="str">
        <f>IF(ISBLANK(B98), "","PriceAreaConnection-97")</f>
        <v/>
      </c>
    </row>
    <row r="99" spans="1:1" x14ac:dyDescent="0.2">
      <c r="A99" t="str">
        <f>IF(ISBLANK(B99), "","PriceAreaConnection-98")</f>
        <v/>
      </c>
    </row>
    <row r="100" spans="1:1" x14ac:dyDescent="0.2">
      <c r="A100" t="str">
        <f>IF(ISBLANK(B100), "","PriceAreaConnection-99")</f>
        <v/>
      </c>
    </row>
    <row r="101" spans="1:1" x14ac:dyDescent="0.2">
      <c r="A101" t="str">
        <f>IF(ISBLANK(B101), "","PriceAreaConnection-100")</f>
        <v/>
      </c>
    </row>
    <row r="102" spans="1:1" x14ac:dyDescent="0.2">
      <c r="A102" t="str">
        <f>IF(ISBLANK(B102), "","PriceAreaConnection-101")</f>
        <v/>
      </c>
    </row>
    <row r="103" spans="1:1" x14ac:dyDescent="0.2">
      <c r="A103" t="str">
        <f>IF(ISBLANK(B103), "","PriceAreaConnection-102")</f>
        <v/>
      </c>
    </row>
    <row r="104" spans="1:1" x14ac:dyDescent="0.2">
      <c r="A104" t="str">
        <f>IF(ISBLANK(B104), "","PriceAreaConnection-103")</f>
        <v/>
      </c>
    </row>
    <row r="105" spans="1:1" x14ac:dyDescent="0.2">
      <c r="A105" t="str">
        <f>IF(ISBLANK(B105), "","PriceAreaConnection-104")</f>
        <v/>
      </c>
    </row>
    <row r="106" spans="1:1" x14ac:dyDescent="0.2">
      <c r="A106" t="str">
        <f>IF(ISBLANK(B106), "","PriceAreaConnection-105")</f>
        <v/>
      </c>
    </row>
    <row r="107" spans="1:1" x14ac:dyDescent="0.2">
      <c r="A107" t="str">
        <f>IF(ISBLANK(B107), "","PriceAreaConnection-106")</f>
        <v/>
      </c>
    </row>
    <row r="108" spans="1:1" x14ac:dyDescent="0.2">
      <c r="A108" t="str">
        <f>IF(ISBLANK(B108), "","PriceAreaConnection-107")</f>
        <v/>
      </c>
    </row>
    <row r="109" spans="1:1" x14ac:dyDescent="0.2">
      <c r="A109" t="str">
        <f>IF(ISBLANK(B109), "","PriceAreaConnection-108")</f>
        <v/>
      </c>
    </row>
    <row r="110" spans="1:1" x14ac:dyDescent="0.2">
      <c r="A110" t="str">
        <f>IF(ISBLANK(B110), "","PriceAreaConnection-109")</f>
        <v/>
      </c>
    </row>
    <row r="111" spans="1:1" x14ac:dyDescent="0.2">
      <c r="A111" t="str">
        <f>IF(ISBLANK(B111), "","PriceAreaConnection-110")</f>
        <v/>
      </c>
    </row>
    <row r="112" spans="1:1" x14ac:dyDescent="0.2">
      <c r="A112" t="str">
        <f>IF(ISBLANK(B112), "","PriceAreaConnection-111")</f>
        <v/>
      </c>
    </row>
    <row r="113" spans="1:1" x14ac:dyDescent="0.2">
      <c r="A113" t="str">
        <f>IF(ISBLANK(B113), "","PriceAreaConnection-112")</f>
        <v/>
      </c>
    </row>
    <row r="114" spans="1:1" x14ac:dyDescent="0.2">
      <c r="A114" t="str">
        <f>IF(ISBLANK(B114), "","PriceAreaConnection-113")</f>
        <v/>
      </c>
    </row>
    <row r="115" spans="1:1" x14ac:dyDescent="0.2">
      <c r="A115" t="str">
        <f>IF(ISBLANK(B115), "","PriceAreaConnection-114")</f>
        <v/>
      </c>
    </row>
    <row r="116" spans="1:1" x14ac:dyDescent="0.2">
      <c r="A116" t="str">
        <f>IF(ISBLANK(B116), "","PriceAreaConnection-115")</f>
        <v/>
      </c>
    </row>
    <row r="117" spans="1:1" x14ac:dyDescent="0.2">
      <c r="A117" t="str">
        <f>IF(ISBLANK(B117), "","PriceAreaConnection-116")</f>
        <v/>
      </c>
    </row>
    <row r="118" spans="1:1" x14ac:dyDescent="0.2">
      <c r="A118" t="str">
        <f>IF(ISBLANK(B118), "","PriceAreaConnection-117")</f>
        <v/>
      </c>
    </row>
    <row r="119" spans="1:1" x14ac:dyDescent="0.2">
      <c r="A119" t="str">
        <f>IF(ISBLANK(B119), "","PriceAreaConnection-118")</f>
        <v/>
      </c>
    </row>
    <row r="120" spans="1:1" x14ac:dyDescent="0.2">
      <c r="A120" t="str">
        <f>IF(ISBLANK(B120), "","PriceAreaConnection-119")</f>
        <v/>
      </c>
    </row>
    <row r="121" spans="1:1" x14ac:dyDescent="0.2">
      <c r="A121" t="str">
        <f>IF(ISBLANK(B121), "","PriceAreaConnection-120")</f>
        <v/>
      </c>
    </row>
    <row r="122" spans="1:1" x14ac:dyDescent="0.2">
      <c r="A122" t="str">
        <f>IF(ISBLANK(B122), "","PriceAreaConnection-121")</f>
        <v/>
      </c>
    </row>
    <row r="123" spans="1:1" x14ac:dyDescent="0.2">
      <c r="A123" t="str">
        <f>IF(ISBLANK(B123), "","PriceAreaConnection-122")</f>
        <v/>
      </c>
    </row>
    <row r="124" spans="1:1" x14ac:dyDescent="0.2">
      <c r="A124" t="str">
        <f>IF(ISBLANK(B124), "","PriceAreaConnection-123")</f>
        <v/>
      </c>
    </row>
    <row r="125" spans="1:1" x14ac:dyDescent="0.2">
      <c r="A125" t="str">
        <f>IF(ISBLANK(B125), "","PriceAreaConnection-124")</f>
        <v/>
      </c>
    </row>
    <row r="126" spans="1:1" x14ac:dyDescent="0.2">
      <c r="A126" t="str">
        <f>IF(ISBLANK(B126), "","PriceAreaConnection-125")</f>
        <v/>
      </c>
    </row>
    <row r="127" spans="1:1" x14ac:dyDescent="0.2">
      <c r="A127" t="str">
        <f>IF(ISBLANK(B127), "","PriceAreaConnection-126")</f>
        <v/>
      </c>
    </row>
    <row r="128" spans="1:1" x14ac:dyDescent="0.2">
      <c r="A128" t="str">
        <f>IF(ISBLANK(B128), "","PriceAreaConnection-127")</f>
        <v/>
      </c>
    </row>
    <row r="129" spans="1:1" x14ac:dyDescent="0.2">
      <c r="A129" t="str">
        <f>IF(ISBLANK(B129), "","PriceAreaConnection-128")</f>
        <v/>
      </c>
    </row>
    <row r="130" spans="1:1" x14ac:dyDescent="0.2">
      <c r="A130" t="str">
        <f>IF(ISBLANK(B130), "","PriceAreaConnection-129")</f>
        <v/>
      </c>
    </row>
    <row r="131" spans="1:1" x14ac:dyDescent="0.2">
      <c r="A131" t="str">
        <f>IF(ISBLANK(B131), "","PriceAreaConnection-130")</f>
        <v/>
      </c>
    </row>
    <row r="132" spans="1:1" x14ac:dyDescent="0.2">
      <c r="A132" t="str">
        <f>IF(ISBLANK(B132), "","PriceAreaConnection-131")</f>
        <v/>
      </c>
    </row>
    <row r="133" spans="1:1" x14ac:dyDescent="0.2">
      <c r="A133" t="str">
        <f>IF(ISBLANK(B133), "","PriceAreaConnection-132")</f>
        <v/>
      </c>
    </row>
    <row r="134" spans="1:1" x14ac:dyDescent="0.2">
      <c r="A134" t="str">
        <f>IF(ISBLANK(B134), "","PriceAreaConnection-133")</f>
        <v/>
      </c>
    </row>
    <row r="135" spans="1:1" x14ac:dyDescent="0.2">
      <c r="A135" t="str">
        <f>IF(ISBLANK(B135), "","PriceAreaConnection-134")</f>
        <v/>
      </c>
    </row>
    <row r="136" spans="1:1" x14ac:dyDescent="0.2">
      <c r="A136" t="str">
        <f>IF(ISBLANK(B136), "","PriceAreaConnection-135")</f>
        <v/>
      </c>
    </row>
    <row r="137" spans="1:1" x14ac:dyDescent="0.2">
      <c r="A137" t="str">
        <f>IF(ISBLANK(B137), "","PriceAreaConnection-136")</f>
        <v/>
      </c>
    </row>
    <row r="138" spans="1:1" x14ac:dyDescent="0.2">
      <c r="A138" t="str">
        <f>IF(ISBLANK(B138), "","PriceAreaConnection-137")</f>
        <v/>
      </c>
    </row>
    <row r="139" spans="1:1" x14ac:dyDescent="0.2">
      <c r="A139" t="str">
        <f>IF(ISBLANK(B139), "","PriceAreaConnection-138")</f>
        <v/>
      </c>
    </row>
    <row r="140" spans="1:1" x14ac:dyDescent="0.2">
      <c r="A140" t="str">
        <f>IF(ISBLANK(B140), "","PriceAreaConnection-139")</f>
        <v/>
      </c>
    </row>
    <row r="141" spans="1:1" x14ac:dyDescent="0.2">
      <c r="A141" t="str">
        <f>IF(ISBLANK(B141), "","PriceAreaConnection-140")</f>
        <v/>
      </c>
    </row>
    <row r="142" spans="1:1" x14ac:dyDescent="0.2">
      <c r="A142" t="str">
        <f>IF(ISBLANK(B142), "","PriceAreaConnection-141")</f>
        <v/>
      </c>
    </row>
    <row r="143" spans="1:1" x14ac:dyDescent="0.2">
      <c r="A143" t="str">
        <f>IF(ISBLANK(B143), "","PriceAreaConnection-142")</f>
        <v/>
      </c>
    </row>
    <row r="144" spans="1:1" x14ac:dyDescent="0.2">
      <c r="A144" t="str">
        <f>IF(ISBLANK(B144), "","PriceAreaConnection-143")</f>
        <v/>
      </c>
    </row>
    <row r="145" spans="1:1" x14ac:dyDescent="0.2">
      <c r="A145" t="str">
        <f>IF(ISBLANK(B145), "","PriceAreaConnection-144")</f>
        <v/>
      </c>
    </row>
    <row r="146" spans="1:1" x14ac:dyDescent="0.2">
      <c r="A146" t="str">
        <f>IF(ISBLANK(B146), "","PriceAreaConnection-145")</f>
        <v/>
      </c>
    </row>
    <row r="147" spans="1:1" x14ac:dyDescent="0.2">
      <c r="A147" t="str">
        <f>IF(ISBLANK(B147), "","PriceAreaConnection-146")</f>
        <v/>
      </c>
    </row>
    <row r="148" spans="1:1" x14ac:dyDescent="0.2">
      <c r="A148" t="str">
        <f>IF(ISBLANK(B148), "","PriceAreaConnection-147")</f>
        <v/>
      </c>
    </row>
    <row r="149" spans="1:1" x14ac:dyDescent="0.2">
      <c r="A149" t="str">
        <f>IF(ISBLANK(B149), "","PriceAreaConnection-148")</f>
        <v/>
      </c>
    </row>
    <row r="150" spans="1:1" x14ac:dyDescent="0.2">
      <c r="A150" t="str">
        <f>IF(ISBLANK(B150), "","PriceAreaConnection-149")</f>
        <v/>
      </c>
    </row>
    <row r="151" spans="1:1" x14ac:dyDescent="0.2">
      <c r="A151" t="str">
        <f>IF(ISBLANK(B151), "","PriceAreaConnection-150")</f>
        <v/>
      </c>
    </row>
    <row r="152" spans="1:1" x14ac:dyDescent="0.2">
      <c r="A152" t="str">
        <f>IF(ISBLANK(B152), "","PriceAreaConnection-151")</f>
        <v/>
      </c>
    </row>
    <row r="153" spans="1:1" x14ac:dyDescent="0.2">
      <c r="A153" t="str">
        <f>IF(ISBLANK(B153), "","PriceAreaConnection-152")</f>
        <v/>
      </c>
    </row>
    <row r="154" spans="1:1" x14ac:dyDescent="0.2">
      <c r="A154" t="str">
        <f>IF(ISBLANK(B154), "","PriceAreaConnection-153")</f>
        <v/>
      </c>
    </row>
    <row r="155" spans="1:1" x14ac:dyDescent="0.2">
      <c r="A155" t="str">
        <f>IF(ISBLANK(B155), "","PriceAreaConnection-154")</f>
        <v/>
      </c>
    </row>
    <row r="156" spans="1:1" x14ac:dyDescent="0.2">
      <c r="A156" t="str">
        <f>IF(ISBLANK(B156), "","PriceAreaConnection-155")</f>
        <v/>
      </c>
    </row>
    <row r="157" spans="1:1" x14ac:dyDescent="0.2">
      <c r="A157" t="str">
        <f>IF(ISBLANK(B157), "","PriceAreaConnection-156")</f>
        <v/>
      </c>
    </row>
    <row r="158" spans="1:1" x14ac:dyDescent="0.2">
      <c r="A158" t="str">
        <f>IF(ISBLANK(B158), "","PriceAreaConnection-157")</f>
        <v/>
      </c>
    </row>
    <row r="159" spans="1:1" x14ac:dyDescent="0.2">
      <c r="A159" t="str">
        <f>IF(ISBLANK(B159), "","PriceAreaConnection-158")</f>
        <v/>
      </c>
    </row>
    <row r="160" spans="1:1" x14ac:dyDescent="0.2">
      <c r="A160" t="str">
        <f>IF(ISBLANK(B160), "","PriceAreaConnection-159")</f>
        <v/>
      </c>
    </row>
    <row r="161" spans="1:1" x14ac:dyDescent="0.2">
      <c r="A161" t="str">
        <f>IF(ISBLANK(B161), "","PriceAreaConnection-160")</f>
        <v/>
      </c>
    </row>
    <row r="162" spans="1:1" x14ac:dyDescent="0.2">
      <c r="A162" t="str">
        <f>IF(ISBLANK(B162), "","PriceAreaConnection-161")</f>
        <v/>
      </c>
    </row>
    <row r="163" spans="1:1" x14ac:dyDescent="0.2">
      <c r="A163" t="str">
        <f>IF(ISBLANK(B163), "","PriceAreaConnection-162")</f>
        <v/>
      </c>
    </row>
    <row r="164" spans="1:1" x14ac:dyDescent="0.2">
      <c r="A164" t="str">
        <f>IF(ISBLANK(B164), "","PriceAreaConnection-163")</f>
        <v/>
      </c>
    </row>
    <row r="165" spans="1:1" x14ac:dyDescent="0.2">
      <c r="A165" t="str">
        <f>IF(ISBLANK(B165), "","PriceAreaConnection-164")</f>
        <v/>
      </c>
    </row>
    <row r="166" spans="1:1" x14ac:dyDescent="0.2">
      <c r="A166" t="str">
        <f>IF(ISBLANK(B166), "","PriceAreaConnection-165")</f>
        <v/>
      </c>
    </row>
    <row r="167" spans="1:1" x14ac:dyDescent="0.2">
      <c r="A167" t="str">
        <f>IF(ISBLANK(B167), "","PriceAreaConnection-166")</f>
        <v/>
      </c>
    </row>
    <row r="168" spans="1:1" x14ac:dyDescent="0.2">
      <c r="A168" t="str">
        <f>IF(ISBLANK(B168), "","PriceAreaConnection-167")</f>
        <v/>
      </c>
    </row>
    <row r="169" spans="1:1" x14ac:dyDescent="0.2">
      <c r="A169" t="str">
        <f>IF(ISBLANK(B169), "","PriceAreaConnection-168")</f>
        <v/>
      </c>
    </row>
    <row r="170" spans="1:1" x14ac:dyDescent="0.2">
      <c r="A170" t="str">
        <f>IF(ISBLANK(B170), "","PriceAreaConnection-169")</f>
        <v/>
      </c>
    </row>
    <row r="171" spans="1:1" x14ac:dyDescent="0.2">
      <c r="A171" t="str">
        <f>IF(ISBLANK(B171), "","PriceAreaConnection-170")</f>
        <v/>
      </c>
    </row>
    <row r="172" spans="1:1" x14ac:dyDescent="0.2">
      <c r="A172" t="str">
        <f>IF(ISBLANK(B172), "","PriceAreaConnection-171")</f>
        <v/>
      </c>
    </row>
    <row r="173" spans="1:1" x14ac:dyDescent="0.2">
      <c r="A173" t="str">
        <f>IF(ISBLANK(B173), "","PriceAreaConnection-172")</f>
        <v/>
      </c>
    </row>
    <row r="174" spans="1:1" x14ac:dyDescent="0.2">
      <c r="A174" t="str">
        <f>IF(ISBLANK(B174), "","PriceAreaConnection-173")</f>
        <v/>
      </c>
    </row>
    <row r="175" spans="1:1" x14ac:dyDescent="0.2">
      <c r="A175" t="str">
        <f>IF(ISBLANK(B175), "","PriceAreaConnection-174")</f>
        <v/>
      </c>
    </row>
    <row r="176" spans="1:1" x14ac:dyDescent="0.2">
      <c r="A176" t="str">
        <f>IF(ISBLANK(B176), "","PriceAreaConnection-175")</f>
        <v/>
      </c>
    </row>
    <row r="177" spans="1:1" x14ac:dyDescent="0.2">
      <c r="A177" t="str">
        <f>IF(ISBLANK(B177), "","PriceAreaConnection-176")</f>
        <v/>
      </c>
    </row>
    <row r="178" spans="1:1" x14ac:dyDescent="0.2">
      <c r="A178" t="str">
        <f>IF(ISBLANK(B178), "","PriceAreaConnection-177")</f>
        <v/>
      </c>
    </row>
    <row r="179" spans="1:1" x14ac:dyDescent="0.2">
      <c r="A179" t="str">
        <f>IF(ISBLANK(B179), "","PriceAreaConnection-178")</f>
        <v/>
      </c>
    </row>
    <row r="180" spans="1:1" x14ac:dyDescent="0.2">
      <c r="A180" t="str">
        <f>IF(ISBLANK(B180), "","PriceAreaConnection-179")</f>
        <v/>
      </c>
    </row>
    <row r="181" spans="1:1" x14ac:dyDescent="0.2">
      <c r="A181" t="str">
        <f>IF(ISBLANK(B181), "","PriceAreaConnection-180")</f>
        <v/>
      </c>
    </row>
    <row r="182" spans="1:1" x14ac:dyDescent="0.2">
      <c r="A182" t="str">
        <f>IF(ISBLANK(B182), "","PriceAreaConnection-181")</f>
        <v/>
      </c>
    </row>
    <row r="183" spans="1:1" x14ac:dyDescent="0.2">
      <c r="A183" t="str">
        <f>IF(ISBLANK(B183), "","PriceAreaConnection-182")</f>
        <v/>
      </c>
    </row>
    <row r="184" spans="1:1" x14ac:dyDescent="0.2">
      <c r="A184" t="str">
        <f>IF(ISBLANK(B184), "","PriceAreaConnection-183")</f>
        <v/>
      </c>
    </row>
    <row r="185" spans="1:1" x14ac:dyDescent="0.2">
      <c r="A185" t="str">
        <f>IF(ISBLANK(B185), "","PriceAreaConnection-184")</f>
        <v/>
      </c>
    </row>
    <row r="186" spans="1:1" x14ac:dyDescent="0.2">
      <c r="A186" t="str">
        <f>IF(ISBLANK(B186), "","PriceAreaConnection-185")</f>
        <v/>
      </c>
    </row>
    <row r="187" spans="1:1" x14ac:dyDescent="0.2">
      <c r="A187" t="str">
        <f>IF(ISBLANK(B187), "","PriceAreaConnection-186")</f>
        <v/>
      </c>
    </row>
    <row r="188" spans="1:1" x14ac:dyDescent="0.2">
      <c r="A188" t="str">
        <f>IF(ISBLANK(B188), "","PriceAreaConnection-187")</f>
        <v/>
      </c>
    </row>
    <row r="189" spans="1:1" x14ac:dyDescent="0.2">
      <c r="A189" t="str">
        <f>IF(ISBLANK(B189), "","PriceAreaConnection-188")</f>
        <v/>
      </c>
    </row>
    <row r="190" spans="1:1" x14ac:dyDescent="0.2">
      <c r="A190" t="str">
        <f>IF(ISBLANK(B190), "","PriceAreaConnection-189")</f>
        <v/>
      </c>
    </row>
    <row r="191" spans="1:1" x14ac:dyDescent="0.2">
      <c r="A191" t="str">
        <f>IF(ISBLANK(B191), "","PriceAreaConnection-190")</f>
        <v/>
      </c>
    </row>
    <row r="192" spans="1:1" x14ac:dyDescent="0.2">
      <c r="A192" t="str">
        <f>IF(ISBLANK(B192), "","PriceAreaConnection-191")</f>
        <v/>
      </c>
    </row>
    <row r="193" spans="1:1" x14ac:dyDescent="0.2">
      <c r="A193" t="str">
        <f>IF(ISBLANK(B193), "","PriceAreaConnection-192")</f>
        <v/>
      </c>
    </row>
    <row r="194" spans="1:1" x14ac:dyDescent="0.2">
      <c r="A194" t="str">
        <f>IF(ISBLANK(B194), "","PriceAreaConnection-193")</f>
        <v/>
      </c>
    </row>
    <row r="195" spans="1:1" x14ac:dyDescent="0.2">
      <c r="A195" t="str">
        <f>IF(ISBLANK(B195), "","PriceAreaConnection-194")</f>
        <v/>
      </c>
    </row>
    <row r="196" spans="1:1" x14ac:dyDescent="0.2">
      <c r="A196" t="str">
        <f>IF(ISBLANK(B196), "","PriceAreaConnection-195")</f>
        <v/>
      </c>
    </row>
    <row r="197" spans="1:1" x14ac:dyDescent="0.2">
      <c r="A197" t="str">
        <f>IF(ISBLANK(B197), "","PriceAreaConnection-196")</f>
        <v/>
      </c>
    </row>
    <row r="198" spans="1:1" x14ac:dyDescent="0.2">
      <c r="A198" t="str">
        <f>IF(ISBLANK(B198), "","PriceAreaConnection-197")</f>
        <v/>
      </c>
    </row>
    <row r="199" spans="1:1" x14ac:dyDescent="0.2">
      <c r="A199" t="str">
        <f>IF(ISBLANK(B199), "","PriceAreaConnection-198")</f>
        <v/>
      </c>
    </row>
    <row r="200" spans="1:1" x14ac:dyDescent="0.2">
      <c r="A200" t="str">
        <f>IF(ISBLANK(B200), "","PriceAreaConnection-199")</f>
        <v/>
      </c>
    </row>
    <row r="201" spans="1:1" x14ac:dyDescent="0.2">
      <c r="A201" t="str">
        <f>IF(ISBLANK(B201), "","PriceAreaConnection-200")</f>
        <v/>
      </c>
    </row>
    <row r="202" spans="1:1" x14ac:dyDescent="0.2">
      <c r="A202" t="str">
        <f>IF(ISBLANK(B202), "","PriceAreaConnection-201")</f>
        <v/>
      </c>
    </row>
    <row r="203" spans="1:1" x14ac:dyDescent="0.2">
      <c r="A203" t="str">
        <f>IF(ISBLANK(B203), "","PriceAreaConnection-202")</f>
        <v/>
      </c>
    </row>
    <row r="204" spans="1:1" x14ac:dyDescent="0.2">
      <c r="A204" t="str">
        <f>IF(ISBLANK(B204), "","PriceAreaConnection-203")</f>
        <v/>
      </c>
    </row>
    <row r="205" spans="1:1" x14ac:dyDescent="0.2">
      <c r="A205" t="str">
        <f>IF(ISBLANK(B205), "","PriceAreaConnection-204")</f>
        <v/>
      </c>
    </row>
    <row r="206" spans="1:1" x14ac:dyDescent="0.2">
      <c r="A206" t="str">
        <f>IF(ISBLANK(B206), "","PriceAreaConnection-205")</f>
        <v/>
      </c>
    </row>
    <row r="207" spans="1:1" x14ac:dyDescent="0.2">
      <c r="A207" t="str">
        <f>IF(ISBLANK(B207), "","PriceAreaConnection-206")</f>
        <v/>
      </c>
    </row>
    <row r="208" spans="1:1" x14ac:dyDescent="0.2">
      <c r="A208" t="str">
        <f>IF(ISBLANK(B208), "","PriceAreaConnection-207")</f>
        <v/>
      </c>
    </row>
    <row r="209" spans="1:1" x14ac:dyDescent="0.2">
      <c r="A209" t="str">
        <f>IF(ISBLANK(B209), "","PriceAreaConnection-208")</f>
        <v/>
      </c>
    </row>
    <row r="210" spans="1:1" x14ac:dyDescent="0.2">
      <c r="A210" t="str">
        <f>IF(ISBLANK(B210), "","PriceAreaConnection-209")</f>
        <v/>
      </c>
    </row>
    <row r="211" spans="1:1" x14ac:dyDescent="0.2">
      <c r="A211" t="str">
        <f>IF(ISBLANK(B211), "","PriceAreaConnection-210")</f>
        <v/>
      </c>
    </row>
    <row r="212" spans="1:1" x14ac:dyDescent="0.2">
      <c r="A212" t="str">
        <f>IF(ISBLANK(B212), "","PriceAreaConnection-211")</f>
        <v/>
      </c>
    </row>
    <row r="213" spans="1:1" x14ac:dyDescent="0.2">
      <c r="A213" t="str">
        <f>IF(ISBLANK(B213), "","PriceAreaConnection-212")</f>
        <v/>
      </c>
    </row>
    <row r="214" spans="1:1" x14ac:dyDescent="0.2">
      <c r="A214" t="str">
        <f>IF(ISBLANK(B214), "","PriceAreaConnection-213")</f>
        <v/>
      </c>
    </row>
    <row r="215" spans="1:1" x14ac:dyDescent="0.2">
      <c r="A215" t="str">
        <f>IF(ISBLANK(B215), "","PriceAreaConnection-214")</f>
        <v/>
      </c>
    </row>
    <row r="216" spans="1:1" x14ac:dyDescent="0.2">
      <c r="A216" t="str">
        <f>IF(ISBLANK(B216), "","PriceAreaConnection-215")</f>
        <v/>
      </c>
    </row>
    <row r="217" spans="1:1" x14ac:dyDescent="0.2">
      <c r="A217" t="str">
        <f>IF(ISBLANK(B217), "","PriceAreaConnection-216")</f>
        <v/>
      </c>
    </row>
    <row r="218" spans="1:1" x14ac:dyDescent="0.2">
      <c r="A218" t="str">
        <f>IF(ISBLANK(B218), "","PriceAreaConnection-217")</f>
        <v/>
      </c>
    </row>
    <row r="219" spans="1:1" x14ac:dyDescent="0.2">
      <c r="A219" t="str">
        <f>IF(ISBLANK(B219), "","PriceAreaConnection-218")</f>
        <v/>
      </c>
    </row>
    <row r="220" spans="1:1" x14ac:dyDescent="0.2">
      <c r="A220" t="str">
        <f>IF(ISBLANK(B220), "","PriceAreaConnection-219")</f>
        <v/>
      </c>
    </row>
    <row r="221" spans="1:1" x14ac:dyDescent="0.2">
      <c r="A221" t="str">
        <f>IF(ISBLANK(B221), "","PriceAreaConnection-220")</f>
        <v/>
      </c>
    </row>
    <row r="222" spans="1:1" x14ac:dyDescent="0.2">
      <c r="A222" t="str">
        <f>IF(ISBLANK(B222), "","PriceAreaConnection-221")</f>
        <v/>
      </c>
    </row>
    <row r="223" spans="1:1" x14ac:dyDescent="0.2">
      <c r="A223" t="str">
        <f>IF(ISBLANK(B223), "","PriceAreaConnection-222")</f>
        <v/>
      </c>
    </row>
    <row r="224" spans="1:1" x14ac:dyDescent="0.2">
      <c r="A224" t="str">
        <f>IF(ISBLANK(B224), "","PriceAreaConnection-223")</f>
        <v/>
      </c>
    </row>
    <row r="225" spans="1:1" x14ac:dyDescent="0.2">
      <c r="A225" t="str">
        <f>IF(ISBLANK(B225), "","PriceAreaConnection-224")</f>
        <v/>
      </c>
    </row>
    <row r="226" spans="1:1" x14ac:dyDescent="0.2">
      <c r="A226" t="str">
        <f>IF(ISBLANK(B226), "","PriceAreaConnection-225")</f>
        <v/>
      </c>
    </row>
    <row r="227" spans="1:1" x14ac:dyDescent="0.2">
      <c r="A227" t="str">
        <f>IF(ISBLANK(B227), "","PriceAreaConnection-226")</f>
        <v/>
      </c>
    </row>
    <row r="228" spans="1:1" x14ac:dyDescent="0.2">
      <c r="A228" t="str">
        <f>IF(ISBLANK(B228), "","PriceAreaConnection-227")</f>
        <v/>
      </c>
    </row>
    <row r="229" spans="1:1" x14ac:dyDescent="0.2">
      <c r="A229" t="str">
        <f>IF(ISBLANK(B229), "","PriceAreaConnection-228")</f>
        <v/>
      </c>
    </row>
    <row r="230" spans="1:1" x14ac:dyDescent="0.2">
      <c r="A230" t="str">
        <f>IF(ISBLANK(B230), "","PriceAreaConnection-229")</f>
        <v/>
      </c>
    </row>
    <row r="231" spans="1:1" x14ac:dyDescent="0.2">
      <c r="A231" t="str">
        <f>IF(ISBLANK(B231), "","PriceAreaConnection-230")</f>
        <v/>
      </c>
    </row>
    <row r="232" spans="1:1" x14ac:dyDescent="0.2">
      <c r="A232" t="str">
        <f>IF(ISBLANK(B232), "","PriceAreaConnection-231")</f>
        <v/>
      </c>
    </row>
    <row r="233" spans="1:1" x14ac:dyDescent="0.2">
      <c r="A233" t="str">
        <f>IF(ISBLANK(B233), "","PriceAreaConnection-232")</f>
        <v/>
      </c>
    </row>
    <row r="234" spans="1:1" x14ac:dyDescent="0.2">
      <c r="A234" t="str">
        <f>IF(ISBLANK(B234), "","PriceAreaConnection-233")</f>
        <v/>
      </c>
    </row>
    <row r="235" spans="1:1" x14ac:dyDescent="0.2">
      <c r="A235" t="str">
        <f>IF(ISBLANK(B235), "","PriceAreaConnection-234")</f>
        <v/>
      </c>
    </row>
    <row r="236" spans="1:1" x14ac:dyDescent="0.2">
      <c r="A236" t="str">
        <f>IF(ISBLANK(B236), "","PriceAreaConnection-235")</f>
        <v/>
      </c>
    </row>
    <row r="237" spans="1:1" x14ac:dyDescent="0.2">
      <c r="A237" t="str">
        <f>IF(ISBLANK(B237), "","PriceAreaConnection-236")</f>
        <v/>
      </c>
    </row>
    <row r="238" spans="1:1" x14ac:dyDescent="0.2">
      <c r="A238" t="str">
        <f>IF(ISBLANK(B238), "","PriceAreaConnection-237")</f>
        <v/>
      </c>
    </row>
    <row r="239" spans="1:1" x14ac:dyDescent="0.2">
      <c r="A239" t="str">
        <f>IF(ISBLANK(B239), "","PriceAreaConnection-238")</f>
        <v/>
      </c>
    </row>
    <row r="240" spans="1:1" x14ac:dyDescent="0.2">
      <c r="A240" t="str">
        <f>IF(ISBLANK(B240), "","PriceAreaConnection-239")</f>
        <v/>
      </c>
    </row>
    <row r="241" spans="1:1" x14ac:dyDescent="0.2">
      <c r="A241" t="str">
        <f>IF(ISBLANK(B241), "","PriceAreaConnection-240")</f>
        <v/>
      </c>
    </row>
    <row r="242" spans="1:1" x14ac:dyDescent="0.2">
      <c r="A242" t="str">
        <f>IF(ISBLANK(B242), "","PriceAreaConnection-241")</f>
        <v/>
      </c>
    </row>
    <row r="243" spans="1:1" x14ac:dyDescent="0.2">
      <c r="A243" t="str">
        <f>IF(ISBLANK(B243), "","PriceAreaConnection-242")</f>
        <v/>
      </c>
    </row>
    <row r="244" spans="1:1" x14ac:dyDescent="0.2">
      <c r="A244" t="str">
        <f>IF(ISBLANK(B244), "","PriceAreaConnection-243")</f>
        <v/>
      </c>
    </row>
    <row r="245" spans="1:1" x14ac:dyDescent="0.2">
      <c r="A245" t="str">
        <f>IF(ISBLANK(B245), "","PriceAreaConnection-244")</f>
        <v/>
      </c>
    </row>
    <row r="246" spans="1:1" x14ac:dyDescent="0.2">
      <c r="A246" t="str">
        <f>IF(ISBLANK(B246), "","PriceAreaConnection-245")</f>
        <v/>
      </c>
    </row>
    <row r="247" spans="1:1" x14ac:dyDescent="0.2">
      <c r="A247" t="str">
        <f>IF(ISBLANK(B247), "","PriceAreaConnection-246")</f>
        <v/>
      </c>
    </row>
    <row r="248" spans="1:1" x14ac:dyDescent="0.2">
      <c r="A248" t="str">
        <f>IF(ISBLANK(B248), "","PriceAreaConnection-247")</f>
        <v/>
      </c>
    </row>
    <row r="249" spans="1:1" x14ac:dyDescent="0.2">
      <c r="A249" t="str">
        <f>IF(ISBLANK(B249), "","PriceAreaConnection-248")</f>
        <v/>
      </c>
    </row>
    <row r="250" spans="1:1" x14ac:dyDescent="0.2">
      <c r="A250" t="str">
        <f>IF(ISBLANK(B250), "","PriceAreaConnection-249")</f>
        <v/>
      </c>
    </row>
    <row r="251" spans="1:1" x14ac:dyDescent="0.2">
      <c r="A251" t="str">
        <f>IF(ISBLANK(B251), "","PriceAreaConnection-250")</f>
        <v/>
      </c>
    </row>
    <row r="252" spans="1:1" x14ac:dyDescent="0.2">
      <c r="A252" t="str">
        <f>IF(ISBLANK(B252), "","PriceAreaConnection-251")</f>
        <v/>
      </c>
    </row>
    <row r="253" spans="1:1" x14ac:dyDescent="0.2">
      <c r="A253" t="str">
        <f>IF(ISBLANK(B253), "","PriceAreaConnection-252")</f>
        <v/>
      </c>
    </row>
    <row r="254" spans="1:1" x14ac:dyDescent="0.2">
      <c r="A254" t="str">
        <f>IF(ISBLANK(B254), "","PriceAreaConnection-253")</f>
        <v/>
      </c>
    </row>
    <row r="255" spans="1:1" x14ac:dyDescent="0.2">
      <c r="A255" t="str">
        <f>IF(ISBLANK(B255), "","PriceAreaConnection-254")</f>
        <v/>
      </c>
    </row>
    <row r="256" spans="1:1" x14ac:dyDescent="0.2">
      <c r="A256" t="str">
        <f>IF(ISBLANK(B256), "","PriceAreaConnection-255")</f>
        <v/>
      </c>
    </row>
    <row r="257" spans="1:1" x14ac:dyDescent="0.2">
      <c r="A257" t="str">
        <f>IF(ISBLANK(B257), "","PriceAreaConnection-256")</f>
        <v/>
      </c>
    </row>
    <row r="258" spans="1:1" x14ac:dyDescent="0.2">
      <c r="A258" t="str">
        <f>IF(ISBLANK(B258), "","PriceAreaConnection-257")</f>
        <v/>
      </c>
    </row>
    <row r="259" spans="1:1" x14ac:dyDescent="0.2">
      <c r="A259" t="str">
        <f>IF(ISBLANK(B259), "","PriceAreaConnection-258")</f>
        <v/>
      </c>
    </row>
    <row r="260" spans="1:1" x14ac:dyDescent="0.2">
      <c r="A260" t="str">
        <f>IF(ISBLANK(B260), "","PriceAreaConnection-259")</f>
        <v/>
      </c>
    </row>
    <row r="261" spans="1:1" x14ac:dyDescent="0.2">
      <c r="A261" t="str">
        <f>IF(ISBLANK(B261), "","PriceAreaConnection-260")</f>
        <v/>
      </c>
    </row>
    <row r="262" spans="1:1" x14ac:dyDescent="0.2">
      <c r="A262" t="str">
        <f>IF(ISBLANK(B262), "","PriceAreaConnection-261")</f>
        <v/>
      </c>
    </row>
    <row r="263" spans="1:1" x14ac:dyDescent="0.2">
      <c r="A263" t="str">
        <f>IF(ISBLANK(B263), "","PriceAreaConnection-262")</f>
        <v/>
      </c>
    </row>
    <row r="264" spans="1:1" x14ac:dyDescent="0.2">
      <c r="A264" t="str">
        <f>IF(ISBLANK(B264), "","PriceAreaConnection-263")</f>
        <v/>
      </c>
    </row>
    <row r="265" spans="1:1" x14ac:dyDescent="0.2">
      <c r="A265" t="str">
        <f>IF(ISBLANK(B265), "","PriceAreaConnection-264")</f>
        <v/>
      </c>
    </row>
    <row r="266" spans="1:1" x14ac:dyDescent="0.2">
      <c r="A266" t="str">
        <f>IF(ISBLANK(B266), "","PriceAreaConnection-265")</f>
        <v/>
      </c>
    </row>
    <row r="267" spans="1:1" x14ac:dyDescent="0.2">
      <c r="A267" t="str">
        <f>IF(ISBLANK(B267), "","PriceAreaConnection-266")</f>
        <v/>
      </c>
    </row>
    <row r="268" spans="1:1" x14ac:dyDescent="0.2">
      <c r="A268" t="str">
        <f>IF(ISBLANK(B268), "","PriceAreaConnection-267")</f>
        <v/>
      </c>
    </row>
    <row r="269" spans="1:1" x14ac:dyDescent="0.2">
      <c r="A269" t="str">
        <f>IF(ISBLANK(B269), "","PriceAreaConnection-268")</f>
        <v/>
      </c>
    </row>
    <row r="270" spans="1:1" x14ac:dyDescent="0.2">
      <c r="A270" t="str">
        <f>IF(ISBLANK(B270), "","PriceAreaConnection-269")</f>
        <v/>
      </c>
    </row>
    <row r="271" spans="1:1" x14ac:dyDescent="0.2">
      <c r="A271" t="str">
        <f>IF(ISBLANK(B271), "","PriceAreaConnection-270")</f>
        <v/>
      </c>
    </row>
    <row r="272" spans="1:1" x14ac:dyDescent="0.2">
      <c r="A272" t="str">
        <f>IF(ISBLANK(B272), "","PriceAreaConnection-271")</f>
        <v/>
      </c>
    </row>
    <row r="273" spans="1:1" x14ac:dyDescent="0.2">
      <c r="A273" t="str">
        <f>IF(ISBLANK(B273), "","PriceAreaConnection-272")</f>
        <v/>
      </c>
    </row>
    <row r="274" spans="1:1" x14ac:dyDescent="0.2">
      <c r="A274" t="str">
        <f>IF(ISBLANK(B274), "","PriceAreaConnection-273")</f>
        <v/>
      </c>
    </row>
    <row r="275" spans="1:1" x14ac:dyDescent="0.2">
      <c r="A275" t="str">
        <f>IF(ISBLANK(B275), "","PriceAreaConnection-274")</f>
        <v/>
      </c>
    </row>
    <row r="276" spans="1:1" x14ac:dyDescent="0.2">
      <c r="A276" t="str">
        <f>IF(ISBLANK(B276), "","PriceAreaConnection-275")</f>
        <v/>
      </c>
    </row>
    <row r="277" spans="1:1" x14ac:dyDescent="0.2">
      <c r="A277" t="str">
        <f>IF(ISBLANK(B277), "","PriceAreaConnection-276")</f>
        <v/>
      </c>
    </row>
    <row r="278" spans="1:1" x14ac:dyDescent="0.2">
      <c r="A278" t="str">
        <f>IF(ISBLANK(B278), "","PriceAreaConnection-277")</f>
        <v/>
      </c>
    </row>
    <row r="279" spans="1:1" x14ac:dyDescent="0.2">
      <c r="A279" t="str">
        <f>IF(ISBLANK(B279), "","PriceAreaConnection-278")</f>
        <v/>
      </c>
    </row>
    <row r="280" spans="1:1" x14ac:dyDescent="0.2">
      <c r="A280" t="str">
        <f>IF(ISBLANK(B280), "","PriceAreaConnection-279")</f>
        <v/>
      </c>
    </row>
    <row r="281" spans="1:1" x14ac:dyDescent="0.2">
      <c r="A281" t="str">
        <f>IF(ISBLANK(B281), "","PriceAreaConnection-280")</f>
        <v/>
      </c>
    </row>
    <row r="282" spans="1:1" x14ac:dyDescent="0.2">
      <c r="A282" t="str">
        <f>IF(ISBLANK(B282), "","PriceAreaConnection-281")</f>
        <v/>
      </c>
    </row>
    <row r="283" spans="1:1" x14ac:dyDescent="0.2">
      <c r="A283" t="str">
        <f>IF(ISBLANK(B283), "","PriceAreaConnection-282")</f>
        <v/>
      </c>
    </row>
    <row r="284" spans="1:1" x14ac:dyDescent="0.2">
      <c r="A284" t="str">
        <f>IF(ISBLANK(B284), "","PriceAreaConnection-283")</f>
        <v/>
      </c>
    </row>
    <row r="285" spans="1:1" x14ac:dyDescent="0.2">
      <c r="A285" t="str">
        <f>IF(ISBLANK(B285), "","PriceAreaConnection-284")</f>
        <v/>
      </c>
    </row>
    <row r="286" spans="1:1" x14ac:dyDescent="0.2">
      <c r="A286" t="str">
        <f>IF(ISBLANK(B286), "","PriceAreaConnection-285")</f>
        <v/>
      </c>
    </row>
    <row r="287" spans="1:1" x14ac:dyDescent="0.2">
      <c r="A287" t="str">
        <f>IF(ISBLANK(B287), "","PriceAreaConnection-286")</f>
        <v/>
      </c>
    </row>
    <row r="288" spans="1:1" x14ac:dyDescent="0.2">
      <c r="A288" t="str">
        <f>IF(ISBLANK(B288), "","PriceAreaConnection-287")</f>
        <v/>
      </c>
    </row>
    <row r="289" spans="1:1" x14ac:dyDescent="0.2">
      <c r="A289" t="str">
        <f>IF(ISBLANK(B289), "","PriceAreaConnection-288")</f>
        <v/>
      </c>
    </row>
    <row r="290" spans="1:1" x14ac:dyDescent="0.2">
      <c r="A290" t="str">
        <f>IF(ISBLANK(B290), "","PriceAreaConnection-289")</f>
        <v/>
      </c>
    </row>
    <row r="291" spans="1:1" x14ac:dyDescent="0.2">
      <c r="A291" t="str">
        <f>IF(ISBLANK(B291), "","PriceAreaConnection-290")</f>
        <v/>
      </c>
    </row>
    <row r="292" spans="1:1" x14ac:dyDescent="0.2">
      <c r="A292" t="str">
        <f>IF(ISBLANK(B292), "","PriceAreaConnection-291")</f>
        <v/>
      </c>
    </row>
    <row r="293" spans="1:1" x14ac:dyDescent="0.2">
      <c r="A293" t="str">
        <f>IF(ISBLANK(B293), "","PriceAreaConnection-292")</f>
        <v/>
      </c>
    </row>
    <row r="294" spans="1:1" x14ac:dyDescent="0.2">
      <c r="A294" t="str">
        <f>IF(ISBLANK(B294), "","PriceAreaConnection-293")</f>
        <v/>
      </c>
    </row>
    <row r="295" spans="1:1" x14ac:dyDescent="0.2">
      <c r="A295" t="str">
        <f>IF(ISBLANK(B295), "","PriceAreaConnection-294")</f>
        <v/>
      </c>
    </row>
    <row r="296" spans="1:1" x14ac:dyDescent="0.2">
      <c r="A296" t="str">
        <f>IF(ISBLANK(B296), "","PriceAreaConnection-295")</f>
        <v/>
      </c>
    </row>
    <row r="297" spans="1:1" x14ac:dyDescent="0.2">
      <c r="A297" t="str">
        <f>IF(ISBLANK(B297), "","PriceAreaConnection-296")</f>
        <v/>
      </c>
    </row>
    <row r="298" spans="1:1" x14ac:dyDescent="0.2">
      <c r="A298" t="str">
        <f>IF(ISBLANK(B298), "","PriceAreaConnection-297")</f>
        <v/>
      </c>
    </row>
    <row r="299" spans="1:1" x14ac:dyDescent="0.2">
      <c r="A299" t="str">
        <f>IF(ISBLANK(B299), "","PriceAreaConnection-298")</f>
        <v/>
      </c>
    </row>
    <row r="300" spans="1:1" x14ac:dyDescent="0.2">
      <c r="A300" t="str">
        <f>IF(ISBLANK(B300), "","PriceAreaConnection-299")</f>
        <v/>
      </c>
    </row>
    <row r="301" spans="1:1" x14ac:dyDescent="0.2">
      <c r="A301" t="str">
        <f>IF(ISBLANK(B301), "","PriceAreaConnection-300")</f>
        <v/>
      </c>
    </row>
    <row r="302" spans="1:1" x14ac:dyDescent="0.2">
      <c r="A302" t="str">
        <f>IF(ISBLANK(B302), "","PriceAreaConnection-301")</f>
        <v/>
      </c>
    </row>
    <row r="303" spans="1:1" x14ac:dyDescent="0.2">
      <c r="A303" t="str">
        <f>IF(ISBLANK(B303), "","PriceAreaConnection-302")</f>
        <v/>
      </c>
    </row>
    <row r="304" spans="1:1" x14ac:dyDescent="0.2">
      <c r="A304" t="str">
        <f>IF(ISBLANK(B304), "","PriceAreaConnection-303")</f>
        <v/>
      </c>
    </row>
    <row r="305" spans="1:1" x14ac:dyDescent="0.2">
      <c r="A305" t="str">
        <f>IF(ISBLANK(B305), "","PriceAreaConnection-304")</f>
        <v/>
      </c>
    </row>
    <row r="306" spans="1:1" x14ac:dyDescent="0.2">
      <c r="A306" t="str">
        <f>IF(ISBLANK(B306), "","PriceAreaConnection-305")</f>
        <v/>
      </c>
    </row>
    <row r="307" spans="1:1" x14ac:dyDescent="0.2">
      <c r="A307" t="str">
        <f>IF(ISBLANK(B307), "","PriceAreaConnection-306")</f>
        <v/>
      </c>
    </row>
    <row r="308" spans="1:1" x14ac:dyDescent="0.2">
      <c r="A308" t="str">
        <f>IF(ISBLANK(B308), "","PriceAreaConnection-307")</f>
        <v/>
      </c>
    </row>
    <row r="309" spans="1:1" x14ac:dyDescent="0.2">
      <c r="A309" t="str">
        <f>IF(ISBLANK(B309), "","PriceAreaConnection-308")</f>
        <v/>
      </c>
    </row>
    <row r="310" spans="1:1" x14ac:dyDescent="0.2">
      <c r="A310" t="str">
        <f>IF(ISBLANK(B310), "","PriceAreaConnection-309")</f>
        <v/>
      </c>
    </row>
    <row r="311" spans="1:1" x14ac:dyDescent="0.2">
      <c r="A311" t="str">
        <f>IF(ISBLANK(B311), "","PriceAreaConnection-310")</f>
        <v/>
      </c>
    </row>
    <row r="312" spans="1:1" x14ac:dyDescent="0.2">
      <c r="A312" t="str">
        <f>IF(ISBLANK(B312), "","PriceAreaConnection-311")</f>
        <v/>
      </c>
    </row>
    <row r="313" spans="1:1" x14ac:dyDescent="0.2">
      <c r="A313" t="str">
        <f>IF(ISBLANK(B313), "","PriceAreaConnection-312")</f>
        <v/>
      </c>
    </row>
    <row r="314" spans="1:1" x14ac:dyDescent="0.2">
      <c r="A314" t="str">
        <f>IF(ISBLANK(B314), "","PriceAreaConnection-313")</f>
        <v/>
      </c>
    </row>
    <row r="315" spans="1:1" x14ac:dyDescent="0.2">
      <c r="A315" t="str">
        <f>IF(ISBLANK(B315), "","PriceAreaConnection-314")</f>
        <v/>
      </c>
    </row>
    <row r="316" spans="1:1" x14ac:dyDescent="0.2">
      <c r="A316" t="str">
        <f>IF(ISBLANK(B316), "","PriceAreaConnection-315")</f>
        <v/>
      </c>
    </row>
    <row r="317" spans="1:1" x14ac:dyDescent="0.2">
      <c r="A317" t="str">
        <f>IF(ISBLANK(B317), "","PriceAreaConnection-316")</f>
        <v/>
      </c>
    </row>
    <row r="318" spans="1:1" x14ac:dyDescent="0.2">
      <c r="A318" t="str">
        <f>IF(ISBLANK(B318), "","PriceAreaConnection-317")</f>
        <v/>
      </c>
    </row>
    <row r="319" spans="1:1" x14ac:dyDescent="0.2">
      <c r="A319" t="str">
        <f>IF(ISBLANK(B319), "","PriceAreaConnection-318")</f>
        <v/>
      </c>
    </row>
    <row r="320" spans="1:1" x14ac:dyDescent="0.2">
      <c r="A320" t="str">
        <f>IF(ISBLANK(B320), "","PriceAreaConnection-319")</f>
        <v/>
      </c>
    </row>
    <row r="321" spans="1:1" x14ac:dyDescent="0.2">
      <c r="A321" t="str">
        <f>IF(ISBLANK(B321), "","PriceAreaConnection-320")</f>
        <v/>
      </c>
    </row>
    <row r="322" spans="1:1" x14ac:dyDescent="0.2">
      <c r="A322" t="str">
        <f>IF(ISBLANK(B322), "","PriceAreaConnection-321")</f>
        <v/>
      </c>
    </row>
    <row r="323" spans="1:1" x14ac:dyDescent="0.2">
      <c r="A323" t="str">
        <f>IF(ISBLANK(B323), "","PriceAreaConnection-322")</f>
        <v/>
      </c>
    </row>
    <row r="324" spans="1:1" x14ac:dyDescent="0.2">
      <c r="A324" t="str">
        <f>IF(ISBLANK(B324), "","PriceAreaConnection-323")</f>
        <v/>
      </c>
    </row>
    <row r="325" spans="1:1" x14ac:dyDescent="0.2">
      <c r="A325" t="str">
        <f>IF(ISBLANK(B325), "","PriceAreaConnection-324")</f>
        <v/>
      </c>
    </row>
    <row r="326" spans="1:1" x14ac:dyDescent="0.2">
      <c r="A326" t="str">
        <f>IF(ISBLANK(B326), "","PriceAreaConnection-325")</f>
        <v/>
      </c>
    </row>
    <row r="327" spans="1:1" x14ac:dyDescent="0.2">
      <c r="A327" t="str">
        <f>IF(ISBLANK(B327), "","PriceAreaConnection-326")</f>
        <v/>
      </c>
    </row>
    <row r="328" spans="1:1" x14ac:dyDescent="0.2">
      <c r="A328" t="str">
        <f>IF(ISBLANK(B328), "","PriceAreaConnection-327")</f>
        <v/>
      </c>
    </row>
    <row r="329" spans="1:1" x14ac:dyDescent="0.2">
      <c r="A329" t="str">
        <f>IF(ISBLANK(B329), "","PriceAreaConnection-328")</f>
        <v/>
      </c>
    </row>
    <row r="330" spans="1:1" x14ac:dyDescent="0.2">
      <c r="A330" t="str">
        <f>IF(ISBLANK(B330), "","PriceAreaConnection-329")</f>
        <v/>
      </c>
    </row>
    <row r="331" spans="1:1" x14ac:dyDescent="0.2">
      <c r="A331" t="str">
        <f>IF(ISBLANK(B331), "","PriceAreaConnection-330")</f>
        <v/>
      </c>
    </row>
    <row r="332" spans="1:1" x14ac:dyDescent="0.2">
      <c r="A332" t="str">
        <f>IF(ISBLANK(B332), "","PriceAreaConnection-331")</f>
        <v/>
      </c>
    </row>
    <row r="333" spans="1:1" x14ac:dyDescent="0.2">
      <c r="A333" t="str">
        <f>IF(ISBLANK(B333), "","PriceAreaConnection-332")</f>
        <v/>
      </c>
    </row>
    <row r="334" spans="1:1" x14ac:dyDescent="0.2">
      <c r="A334" t="str">
        <f>IF(ISBLANK(B334), "","PriceAreaConnection-333")</f>
        <v/>
      </c>
    </row>
    <row r="335" spans="1:1" x14ac:dyDescent="0.2">
      <c r="A335" t="str">
        <f>IF(ISBLANK(B335), "","PriceAreaConnection-334")</f>
        <v/>
      </c>
    </row>
    <row r="336" spans="1:1" x14ac:dyDescent="0.2">
      <c r="A336" t="str">
        <f>IF(ISBLANK(B336), "","PriceAreaConnection-335")</f>
        <v/>
      </c>
    </row>
    <row r="337" spans="1:1" x14ac:dyDescent="0.2">
      <c r="A337" t="str">
        <f>IF(ISBLANK(B337), "","PriceAreaConnection-336")</f>
        <v/>
      </c>
    </row>
    <row r="338" spans="1:1" x14ac:dyDescent="0.2">
      <c r="A338" t="str">
        <f>IF(ISBLANK(B338), "","PriceAreaConnection-337")</f>
        <v/>
      </c>
    </row>
    <row r="339" spans="1:1" x14ac:dyDescent="0.2">
      <c r="A339" t="str">
        <f>IF(ISBLANK(B339), "","PriceAreaConnection-338")</f>
        <v/>
      </c>
    </row>
    <row r="340" spans="1:1" x14ac:dyDescent="0.2">
      <c r="A340" t="str">
        <f>IF(ISBLANK(B340), "","PriceAreaConnection-339")</f>
        <v/>
      </c>
    </row>
    <row r="341" spans="1:1" x14ac:dyDescent="0.2">
      <c r="A341" t="str">
        <f>IF(ISBLANK(B341), "","PriceAreaConnection-340")</f>
        <v/>
      </c>
    </row>
    <row r="342" spans="1:1" x14ac:dyDescent="0.2">
      <c r="A342" t="str">
        <f>IF(ISBLANK(B342), "","PriceAreaConnection-341")</f>
        <v/>
      </c>
    </row>
    <row r="343" spans="1:1" x14ac:dyDescent="0.2">
      <c r="A343" t="str">
        <f>IF(ISBLANK(B343), "","PriceAreaConnection-342")</f>
        <v/>
      </c>
    </row>
    <row r="344" spans="1:1" x14ac:dyDescent="0.2">
      <c r="A344" t="str">
        <f>IF(ISBLANK(B344), "","PriceAreaConnection-343")</f>
        <v/>
      </c>
    </row>
    <row r="345" spans="1:1" x14ac:dyDescent="0.2">
      <c r="A345" t="str">
        <f>IF(ISBLANK(B345), "","PriceAreaConnection-344")</f>
        <v/>
      </c>
    </row>
    <row r="346" spans="1:1" x14ac:dyDescent="0.2">
      <c r="A346" t="str">
        <f>IF(ISBLANK(B346), "","PriceAreaConnection-345")</f>
        <v/>
      </c>
    </row>
    <row r="347" spans="1:1" x14ac:dyDescent="0.2">
      <c r="A347" t="str">
        <f>IF(ISBLANK(B347), "","PriceAreaConnection-346")</f>
        <v/>
      </c>
    </row>
    <row r="348" spans="1:1" x14ac:dyDescent="0.2">
      <c r="A348" t="str">
        <f>IF(ISBLANK(B348), "","PriceAreaConnection-347")</f>
        <v/>
      </c>
    </row>
    <row r="349" spans="1:1" x14ac:dyDescent="0.2">
      <c r="A349" t="str">
        <f>IF(ISBLANK(B349), "","PriceAreaConnection-348")</f>
        <v/>
      </c>
    </row>
    <row r="350" spans="1:1" x14ac:dyDescent="0.2">
      <c r="A350" t="str">
        <f>IF(ISBLANK(B350), "","PriceAreaConnection-349")</f>
        <v/>
      </c>
    </row>
    <row r="351" spans="1:1" x14ac:dyDescent="0.2">
      <c r="A351" t="str">
        <f>IF(ISBLANK(B351), "","PriceAreaConnection-350")</f>
        <v/>
      </c>
    </row>
    <row r="352" spans="1:1" x14ac:dyDescent="0.2">
      <c r="A352" t="str">
        <f>IF(ISBLANK(B352), "","PriceAreaConnection-351")</f>
        <v/>
      </c>
    </row>
    <row r="353" spans="1:1" x14ac:dyDescent="0.2">
      <c r="A353" t="str">
        <f>IF(ISBLANK(B353), "","PriceAreaConnection-352")</f>
        <v/>
      </c>
    </row>
    <row r="354" spans="1:1" x14ac:dyDescent="0.2">
      <c r="A354" t="str">
        <f>IF(ISBLANK(B354), "","PriceAreaConnection-353")</f>
        <v/>
      </c>
    </row>
    <row r="355" spans="1:1" x14ac:dyDescent="0.2">
      <c r="A355" t="str">
        <f>IF(ISBLANK(B355), "","PriceAreaConnection-354")</f>
        <v/>
      </c>
    </row>
    <row r="356" spans="1:1" x14ac:dyDescent="0.2">
      <c r="A356" t="str">
        <f>IF(ISBLANK(B356), "","PriceAreaConnection-355")</f>
        <v/>
      </c>
    </row>
    <row r="357" spans="1:1" x14ac:dyDescent="0.2">
      <c r="A357" t="str">
        <f>IF(ISBLANK(B357), "","PriceAreaConnection-356")</f>
        <v/>
      </c>
    </row>
    <row r="358" spans="1:1" x14ac:dyDescent="0.2">
      <c r="A358" t="str">
        <f>IF(ISBLANK(B358), "","PriceAreaConnection-357")</f>
        <v/>
      </c>
    </row>
    <row r="359" spans="1:1" x14ac:dyDescent="0.2">
      <c r="A359" t="str">
        <f>IF(ISBLANK(B359), "","PriceAreaConnection-358")</f>
        <v/>
      </c>
    </row>
    <row r="360" spans="1:1" x14ac:dyDescent="0.2">
      <c r="A360" t="str">
        <f>IF(ISBLANK(B360), "","PriceAreaConnection-359")</f>
        <v/>
      </c>
    </row>
    <row r="361" spans="1:1" x14ac:dyDescent="0.2">
      <c r="A361" t="str">
        <f>IF(ISBLANK(B361), "","PriceAreaConnection-360")</f>
        <v/>
      </c>
    </row>
    <row r="362" spans="1:1" x14ac:dyDescent="0.2">
      <c r="A362" t="str">
        <f>IF(ISBLANK(B362), "","PriceAreaConnection-361")</f>
        <v/>
      </c>
    </row>
    <row r="363" spans="1:1" x14ac:dyDescent="0.2">
      <c r="A363" t="str">
        <f>IF(ISBLANK(B363), "","PriceAreaConnection-362")</f>
        <v/>
      </c>
    </row>
    <row r="364" spans="1:1" x14ac:dyDescent="0.2">
      <c r="A364" t="str">
        <f>IF(ISBLANK(B364), "","PriceAreaConnection-363")</f>
        <v/>
      </c>
    </row>
    <row r="365" spans="1:1" x14ac:dyDescent="0.2">
      <c r="A365" t="str">
        <f>IF(ISBLANK(B365), "","PriceAreaConnection-364")</f>
        <v/>
      </c>
    </row>
    <row r="366" spans="1:1" x14ac:dyDescent="0.2">
      <c r="A366" t="str">
        <f>IF(ISBLANK(B366), "","PriceAreaConnection-365")</f>
        <v/>
      </c>
    </row>
    <row r="367" spans="1:1" x14ac:dyDescent="0.2">
      <c r="A367" t="str">
        <f>IF(ISBLANK(B367), "","PriceAreaConnection-366")</f>
        <v/>
      </c>
    </row>
    <row r="368" spans="1:1" x14ac:dyDescent="0.2">
      <c r="A368" t="str">
        <f>IF(ISBLANK(B368), "","PriceAreaConnection-367")</f>
        <v/>
      </c>
    </row>
    <row r="369" spans="1:1" x14ac:dyDescent="0.2">
      <c r="A369" t="str">
        <f>IF(ISBLANK(B369), "","PriceAreaConnection-368")</f>
        <v/>
      </c>
    </row>
    <row r="370" spans="1:1" x14ac:dyDescent="0.2">
      <c r="A370" t="str">
        <f>IF(ISBLANK(B370), "","PriceAreaConnection-369")</f>
        <v/>
      </c>
    </row>
    <row r="371" spans="1:1" x14ac:dyDescent="0.2">
      <c r="A371" t="str">
        <f>IF(ISBLANK(B371), "","PriceAreaConnection-370")</f>
        <v/>
      </c>
    </row>
    <row r="372" spans="1:1" x14ac:dyDescent="0.2">
      <c r="A372" t="str">
        <f>IF(ISBLANK(B372), "","PriceAreaConnection-371")</f>
        <v/>
      </c>
    </row>
    <row r="373" spans="1:1" x14ac:dyDescent="0.2">
      <c r="A373" t="str">
        <f>IF(ISBLANK(B373), "","PriceAreaConnection-372")</f>
        <v/>
      </c>
    </row>
    <row r="374" spans="1:1" x14ac:dyDescent="0.2">
      <c r="A374" t="str">
        <f>IF(ISBLANK(B374), "","PriceAreaConnection-373")</f>
        <v/>
      </c>
    </row>
    <row r="375" spans="1:1" x14ac:dyDescent="0.2">
      <c r="A375" t="str">
        <f>IF(ISBLANK(B375), "","PriceAreaConnection-374")</f>
        <v/>
      </c>
    </row>
    <row r="376" spans="1:1" x14ac:dyDescent="0.2">
      <c r="A376" t="str">
        <f>IF(ISBLANK(B376), "","PriceAreaConnection-375")</f>
        <v/>
      </c>
    </row>
    <row r="377" spans="1:1" x14ac:dyDescent="0.2">
      <c r="A377" t="str">
        <f>IF(ISBLANK(B377), "","PriceAreaConnection-376")</f>
        <v/>
      </c>
    </row>
    <row r="378" spans="1:1" x14ac:dyDescent="0.2">
      <c r="A378" t="str">
        <f>IF(ISBLANK(B378), "","PriceAreaConnection-377")</f>
        <v/>
      </c>
    </row>
    <row r="379" spans="1:1" x14ac:dyDescent="0.2">
      <c r="A379" t="str">
        <f>IF(ISBLANK(B379), "","PriceAreaConnection-378")</f>
        <v/>
      </c>
    </row>
    <row r="380" spans="1:1" x14ac:dyDescent="0.2">
      <c r="A380" t="str">
        <f>IF(ISBLANK(B380), "","PriceAreaConnection-379")</f>
        <v/>
      </c>
    </row>
    <row r="381" spans="1:1" x14ac:dyDescent="0.2">
      <c r="A381" t="str">
        <f>IF(ISBLANK(B381), "","PriceAreaConnection-380")</f>
        <v/>
      </c>
    </row>
    <row r="382" spans="1:1" x14ac:dyDescent="0.2">
      <c r="A382" t="str">
        <f>IF(ISBLANK(B382), "","PriceAreaConnection-381")</f>
        <v/>
      </c>
    </row>
    <row r="383" spans="1:1" x14ac:dyDescent="0.2">
      <c r="A383" t="str">
        <f>IF(ISBLANK(B383), "","PriceAreaConnection-382")</f>
        <v/>
      </c>
    </row>
    <row r="384" spans="1:1" x14ac:dyDescent="0.2">
      <c r="A384" t="str">
        <f>IF(ISBLANK(B384), "","PriceAreaConnection-383")</f>
        <v/>
      </c>
    </row>
    <row r="385" spans="1:1" x14ac:dyDescent="0.2">
      <c r="A385" t="str">
        <f>IF(ISBLANK(B385), "","PriceAreaConnection-384")</f>
        <v/>
      </c>
    </row>
    <row r="386" spans="1:1" x14ac:dyDescent="0.2">
      <c r="A386" t="str">
        <f>IF(ISBLANK(B386), "","PriceAreaConnection-385")</f>
        <v/>
      </c>
    </row>
    <row r="387" spans="1:1" x14ac:dyDescent="0.2">
      <c r="A387" t="str">
        <f>IF(ISBLANK(B387), "","PriceAreaConnection-386")</f>
        <v/>
      </c>
    </row>
    <row r="388" spans="1:1" x14ac:dyDescent="0.2">
      <c r="A388" t="str">
        <f>IF(ISBLANK(B388), "","PriceAreaConnection-387")</f>
        <v/>
      </c>
    </row>
    <row r="389" spans="1:1" x14ac:dyDescent="0.2">
      <c r="A389" t="str">
        <f>IF(ISBLANK(B389), "","PriceAreaConnection-388")</f>
        <v/>
      </c>
    </row>
    <row r="390" spans="1:1" x14ac:dyDescent="0.2">
      <c r="A390" t="str">
        <f>IF(ISBLANK(B390), "","PriceAreaConnection-389")</f>
        <v/>
      </c>
    </row>
    <row r="391" spans="1:1" x14ac:dyDescent="0.2">
      <c r="A391" t="str">
        <f>IF(ISBLANK(B391), "","PriceAreaConnection-390")</f>
        <v/>
      </c>
    </row>
    <row r="392" spans="1:1" x14ac:dyDescent="0.2">
      <c r="A392" t="str">
        <f>IF(ISBLANK(B392), "","PriceAreaConnection-391")</f>
        <v/>
      </c>
    </row>
    <row r="393" spans="1:1" x14ac:dyDescent="0.2">
      <c r="A393" t="str">
        <f>IF(ISBLANK(B393), "","PriceAreaConnection-392")</f>
        <v/>
      </c>
    </row>
    <row r="394" spans="1:1" x14ac:dyDescent="0.2">
      <c r="A394" t="str">
        <f>IF(ISBLANK(B394), "","PriceAreaConnection-393")</f>
        <v/>
      </c>
    </row>
    <row r="395" spans="1:1" x14ac:dyDescent="0.2">
      <c r="A395" t="str">
        <f>IF(ISBLANK(B395), "","PriceAreaConnection-394")</f>
        <v/>
      </c>
    </row>
    <row r="396" spans="1:1" x14ac:dyDescent="0.2">
      <c r="A396" t="str">
        <f>IF(ISBLANK(B396), "","PriceAreaConnection-395")</f>
        <v/>
      </c>
    </row>
    <row r="397" spans="1:1" x14ac:dyDescent="0.2">
      <c r="A397" t="str">
        <f>IF(ISBLANK(B397), "","PriceAreaConnection-396")</f>
        <v/>
      </c>
    </row>
    <row r="398" spans="1:1" x14ac:dyDescent="0.2">
      <c r="A398" t="str">
        <f>IF(ISBLANK(B398), "","PriceAreaConnection-397")</f>
        <v/>
      </c>
    </row>
    <row r="399" spans="1:1" x14ac:dyDescent="0.2">
      <c r="A399" t="str">
        <f>IF(ISBLANK(B399), "","PriceAreaConnection-398")</f>
        <v/>
      </c>
    </row>
    <row r="400" spans="1:1" x14ac:dyDescent="0.2">
      <c r="A400" t="str">
        <f>IF(ISBLANK(B400), "","PriceAreaConnection-399")</f>
        <v/>
      </c>
    </row>
    <row r="401" spans="1:1" x14ac:dyDescent="0.2">
      <c r="A401" t="str">
        <f>IF(ISBLANK(B401), "","PriceAreaConnection-400")</f>
        <v/>
      </c>
    </row>
    <row r="402" spans="1:1" x14ac:dyDescent="0.2">
      <c r="A402" t="str">
        <f>IF(ISBLANK(B402), "","PriceAreaConnection-401")</f>
        <v/>
      </c>
    </row>
    <row r="403" spans="1:1" x14ac:dyDescent="0.2">
      <c r="A403" t="str">
        <f>IF(ISBLANK(B403), "","PriceAreaConnection-402")</f>
        <v/>
      </c>
    </row>
    <row r="404" spans="1:1" x14ac:dyDescent="0.2">
      <c r="A404" t="str">
        <f>IF(ISBLANK(B404), "","PriceAreaConnection-403")</f>
        <v/>
      </c>
    </row>
    <row r="405" spans="1:1" x14ac:dyDescent="0.2">
      <c r="A405" t="str">
        <f>IF(ISBLANK(B405), "","PriceAreaConnection-404")</f>
        <v/>
      </c>
    </row>
    <row r="406" spans="1:1" x14ac:dyDescent="0.2">
      <c r="A406" t="str">
        <f>IF(ISBLANK(B406), "","PriceAreaConnection-405")</f>
        <v/>
      </c>
    </row>
    <row r="407" spans="1:1" x14ac:dyDescent="0.2">
      <c r="A407" t="str">
        <f>IF(ISBLANK(B407), "","PriceAreaConnection-406")</f>
        <v/>
      </c>
    </row>
    <row r="408" spans="1:1" x14ac:dyDescent="0.2">
      <c r="A408" t="str">
        <f>IF(ISBLANK(B408), "","PriceAreaConnection-407")</f>
        <v/>
      </c>
    </row>
    <row r="409" spans="1:1" x14ac:dyDescent="0.2">
      <c r="A409" t="str">
        <f>IF(ISBLANK(B409), "","PriceAreaConnection-408")</f>
        <v/>
      </c>
    </row>
    <row r="410" spans="1:1" x14ac:dyDescent="0.2">
      <c r="A410" t="str">
        <f>IF(ISBLANK(B410), "","PriceAreaConnection-409")</f>
        <v/>
      </c>
    </row>
    <row r="411" spans="1:1" x14ac:dyDescent="0.2">
      <c r="A411" t="str">
        <f>IF(ISBLANK(B411), "","PriceAreaConnection-410")</f>
        <v/>
      </c>
    </row>
    <row r="412" spans="1:1" x14ac:dyDescent="0.2">
      <c r="A412" t="str">
        <f>IF(ISBLANK(B412), "","PriceAreaConnection-411")</f>
        <v/>
      </c>
    </row>
    <row r="413" spans="1:1" x14ac:dyDescent="0.2">
      <c r="A413" t="str">
        <f>IF(ISBLANK(B413), "","PriceAreaConnection-412")</f>
        <v/>
      </c>
    </row>
    <row r="414" spans="1:1" x14ac:dyDescent="0.2">
      <c r="A414" t="str">
        <f>IF(ISBLANK(B414), "","PriceAreaConnection-413")</f>
        <v/>
      </c>
    </row>
    <row r="415" spans="1:1" x14ac:dyDescent="0.2">
      <c r="A415" t="str">
        <f>IF(ISBLANK(B415), "","PriceAreaConnection-414")</f>
        <v/>
      </c>
    </row>
    <row r="416" spans="1:1" x14ac:dyDescent="0.2">
      <c r="A416" t="str">
        <f>IF(ISBLANK(B416), "","PriceAreaConnection-415")</f>
        <v/>
      </c>
    </row>
    <row r="417" spans="1:1" x14ac:dyDescent="0.2">
      <c r="A417" t="str">
        <f>IF(ISBLANK(B417), "","PriceAreaConnection-416")</f>
        <v/>
      </c>
    </row>
    <row r="418" spans="1:1" x14ac:dyDescent="0.2">
      <c r="A418" t="str">
        <f>IF(ISBLANK(B418), "","PriceAreaConnection-417")</f>
        <v/>
      </c>
    </row>
    <row r="419" spans="1:1" x14ac:dyDescent="0.2">
      <c r="A419" t="str">
        <f>IF(ISBLANK(B419), "","PriceAreaConnection-418")</f>
        <v/>
      </c>
    </row>
    <row r="420" spans="1:1" x14ac:dyDescent="0.2">
      <c r="A420" t="str">
        <f>IF(ISBLANK(B420), "","PriceAreaConnection-419")</f>
        <v/>
      </c>
    </row>
    <row r="421" spans="1:1" x14ac:dyDescent="0.2">
      <c r="A421" t="str">
        <f>IF(ISBLANK(B421), "","PriceAreaConnection-420")</f>
        <v/>
      </c>
    </row>
    <row r="422" spans="1:1" x14ac:dyDescent="0.2">
      <c r="A422" t="str">
        <f>IF(ISBLANK(B422), "","PriceAreaConnection-421")</f>
        <v/>
      </c>
    </row>
    <row r="423" spans="1:1" x14ac:dyDescent="0.2">
      <c r="A423" t="str">
        <f>IF(ISBLANK(B423), "","PriceAreaConnection-422")</f>
        <v/>
      </c>
    </row>
    <row r="424" spans="1:1" x14ac:dyDescent="0.2">
      <c r="A424" t="str">
        <f>IF(ISBLANK(B424), "","PriceAreaConnection-423")</f>
        <v/>
      </c>
    </row>
    <row r="425" spans="1:1" x14ac:dyDescent="0.2">
      <c r="A425" t="str">
        <f>IF(ISBLANK(B425), "","PriceAreaConnection-424")</f>
        <v/>
      </c>
    </row>
    <row r="426" spans="1:1" x14ac:dyDescent="0.2">
      <c r="A426" t="str">
        <f>IF(ISBLANK(B426), "","PriceAreaConnection-425")</f>
        <v/>
      </c>
    </row>
    <row r="427" spans="1:1" x14ac:dyDescent="0.2">
      <c r="A427" t="str">
        <f>IF(ISBLANK(B427), "","PriceAreaConnection-426")</f>
        <v/>
      </c>
    </row>
    <row r="428" spans="1:1" x14ac:dyDescent="0.2">
      <c r="A428" t="str">
        <f>IF(ISBLANK(B428), "","PriceAreaConnection-427")</f>
        <v/>
      </c>
    </row>
    <row r="429" spans="1:1" x14ac:dyDescent="0.2">
      <c r="A429" t="str">
        <f>IF(ISBLANK(B429), "","PriceAreaConnection-428")</f>
        <v/>
      </c>
    </row>
    <row r="430" spans="1:1" x14ac:dyDescent="0.2">
      <c r="A430" t="str">
        <f>IF(ISBLANK(B430), "","PriceAreaConnection-429")</f>
        <v/>
      </c>
    </row>
    <row r="431" spans="1:1" x14ac:dyDescent="0.2">
      <c r="A431" t="str">
        <f>IF(ISBLANK(B431), "","PriceAreaConnection-430")</f>
        <v/>
      </c>
    </row>
    <row r="432" spans="1:1" x14ac:dyDescent="0.2">
      <c r="A432" t="str">
        <f>IF(ISBLANK(B432), "","PriceAreaConnection-431")</f>
        <v/>
      </c>
    </row>
    <row r="433" spans="1:1" x14ac:dyDescent="0.2">
      <c r="A433" t="str">
        <f>IF(ISBLANK(B433), "","PriceAreaConnection-432")</f>
        <v/>
      </c>
    </row>
    <row r="434" spans="1:1" x14ac:dyDescent="0.2">
      <c r="A434" t="str">
        <f>IF(ISBLANK(B434), "","PriceAreaConnection-433")</f>
        <v/>
      </c>
    </row>
    <row r="435" spans="1:1" x14ac:dyDescent="0.2">
      <c r="A435" t="str">
        <f>IF(ISBLANK(B435), "","PriceAreaConnection-434")</f>
        <v/>
      </c>
    </row>
    <row r="436" spans="1:1" x14ac:dyDescent="0.2">
      <c r="A436" t="str">
        <f>IF(ISBLANK(B436), "","PriceAreaConnection-435")</f>
        <v/>
      </c>
    </row>
    <row r="437" spans="1:1" x14ac:dyDescent="0.2">
      <c r="A437" t="str">
        <f>IF(ISBLANK(B437), "","PriceAreaConnection-436")</f>
        <v/>
      </c>
    </row>
    <row r="438" spans="1:1" x14ac:dyDescent="0.2">
      <c r="A438" t="str">
        <f>IF(ISBLANK(B438), "","PriceAreaConnection-437")</f>
        <v/>
      </c>
    </row>
    <row r="439" spans="1:1" x14ac:dyDescent="0.2">
      <c r="A439" t="str">
        <f>IF(ISBLANK(B439), "","PriceAreaConnection-438")</f>
        <v/>
      </c>
    </row>
    <row r="440" spans="1:1" x14ac:dyDescent="0.2">
      <c r="A440" t="str">
        <f>IF(ISBLANK(B440), "","PriceAreaConnection-439")</f>
        <v/>
      </c>
    </row>
    <row r="441" spans="1:1" x14ac:dyDescent="0.2">
      <c r="A441" t="str">
        <f>IF(ISBLANK(B441), "","PriceAreaConnection-440")</f>
        <v/>
      </c>
    </row>
    <row r="442" spans="1:1" x14ac:dyDescent="0.2">
      <c r="A442" t="str">
        <f>IF(ISBLANK(B442), "","PriceAreaConnection-441")</f>
        <v/>
      </c>
    </row>
    <row r="443" spans="1:1" x14ac:dyDescent="0.2">
      <c r="A443" t="str">
        <f>IF(ISBLANK(B443), "","PriceAreaConnection-442")</f>
        <v/>
      </c>
    </row>
    <row r="444" spans="1:1" x14ac:dyDescent="0.2">
      <c r="A444" t="str">
        <f>IF(ISBLANK(B444), "","PriceAreaConnection-443")</f>
        <v/>
      </c>
    </row>
    <row r="445" spans="1:1" x14ac:dyDescent="0.2">
      <c r="A445" t="str">
        <f>IF(ISBLANK(B445), "","PriceAreaConnection-444")</f>
        <v/>
      </c>
    </row>
    <row r="446" spans="1:1" x14ac:dyDescent="0.2">
      <c r="A446" t="str">
        <f>IF(ISBLANK(B446), "","PriceAreaConnection-445")</f>
        <v/>
      </c>
    </row>
    <row r="447" spans="1:1" x14ac:dyDescent="0.2">
      <c r="A447" t="str">
        <f>IF(ISBLANK(B447), "","PriceAreaConnection-446")</f>
        <v/>
      </c>
    </row>
    <row r="448" spans="1:1" x14ac:dyDescent="0.2">
      <c r="A448" t="str">
        <f>IF(ISBLANK(B448), "","PriceAreaConnection-447")</f>
        <v/>
      </c>
    </row>
    <row r="449" spans="1:1" x14ac:dyDescent="0.2">
      <c r="A449" t="str">
        <f>IF(ISBLANK(B449), "","PriceAreaConnection-448")</f>
        <v/>
      </c>
    </row>
    <row r="450" spans="1:1" x14ac:dyDescent="0.2">
      <c r="A450" t="str">
        <f>IF(ISBLANK(B450), "","PriceAreaConnection-449")</f>
        <v/>
      </c>
    </row>
    <row r="451" spans="1:1" x14ac:dyDescent="0.2">
      <c r="A451" t="str">
        <f>IF(ISBLANK(B451), "","PriceAreaConnection-450")</f>
        <v/>
      </c>
    </row>
    <row r="452" spans="1:1" x14ac:dyDescent="0.2">
      <c r="A452" t="str">
        <f>IF(ISBLANK(B452), "","PriceAreaConnection-451")</f>
        <v/>
      </c>
    </row>
    <row r="453" spans="1:1" x14ac:dyDescent="0.2">
      <c r="A453" t="str">
        <f>IF(ISBLANK(B453), "","PriceAreaConnection-452")</f>
        <v/>
      </c>
    </row>
    <row r="454" spans="1:1" x14ac:dyDescent="0.2">
      <c r="A454" t="str">
        <f>IF(ISBLANK(B454), "","PriceAreaConnection-453")</f>
        <v/>
      </c>
    </row>
    <row r="455" spans="1:1" x14ac:dyDescent="0.2">
      <c r="A455" t="str">
        <f>IF(ISBLANK(B455), "","PriceAreaConnection-454")</f>
        <v/>
      </c>
    </row>
    <row r="456" spans="1:1" x14ac:dyDescent="0.2">
      <c r="A456" t="str">
        <f>IF(ISBLANK(B456), "","PriceAreaConnection-455")</f>
        <v/>
      </c>
    </row>
    <row r="457" spans="1:1" x14ac:dyDescent="0.2">
      <c r="A457" t="str">
        <f>IF(ISBLANK(B457), "","PriceAreaConnection-456")</f>
        <v/>
      </c>
    </row>
    <row r="458" spans="1:1" x14ac:dyDescent="0.2">
      <c r="A458" t="str">
        <f>IF(ISBLANK(B458), "","PriceAreaConnection-457")</f>
        <v/>
      </c>
    </row>
    <row r="459" spans="1:1" x14ac:dyDescent="0.2">
      <c r="A459" t="str">
        <f>IF(ISBLANK(B459), "","PriceAreaConnection-458")</f>
        <v/>
      </c>
    </row>
    <row r="460" spans="1:1" x14ac:dyDescent="0.2">
      <c r="A460" t="str">
        <f>IF(ISBLANK(B460), "","PriceAreaConnection-459")</f>
        <v/>
      </c>
    </row>
    <row r="461" spans="1:1" x14ac:dyDescent="0.2">
      <c r="A461" t="str">
        <f>IF(ISBLANK(B461), "","PriceAreaConnection-460")</f>
        <v/>
      </c>
    </row>
    <row r="462" spans="1:1" x14ac:dyDescent="0.2">
      <c r="A462" t="str">
        <f>IF(ISBLANK(B462), "","PriceAreaConnection-461")</f>
        <v/>
      </c>
    </row>
    <row r="463" spans="1:1" x14ac:dyDescent="0.2">
      <c r="A463" t="str">
        <f>IF(ISBLANK(B463), "","PriceAreaConnection-462")</f>
        <v/>
      </c>
    </row>
    <row r="464" spans="1:1" x14ac:dyDescent="0.2">
      <c r="A464" t="str">
        <f>IF(ISBLANK(B464), "","PriceAreaConnection-463")</f>
        <v/>
      </c>
    </row>
    <row r="465" spans="1:1" x14ac:dyDescent="0.2">
      <c r="A465" t="str">
        <f>IF(ISBLANK(B465), "","PriceAreaConnection-464")</f>
        <v/>
      </c>
    </row>
    <row r="466" spans="1:1" x14ac:dyDescent="0.2">
      <c r="A466" t="str">
        <f>IF(ISBLANK(B466), "","PriceAreaConnection-465")</f>
        <v/>
      </c>
    </row>
    <row r="467" spans="1:1" x14ac:dyDescent="0.2">
      <c r="A467" t="str">
        <f>IF(ISBLANK(B467), "","PriceAreaConnection-466")</f>
        <v/>
      </c>
    </row>
    <row r="468" spans="1:1" x14ac:dyDescent="0.2">
      <c r="A468" t="str">
        <f>IF(ISBLANK(B468), "","PriceAreaConnection-467")</f>
        <v/>
      </c>
    </row>
    <row r="469" spans="1:1" x14ac:dyDescent="0.2">
      <c r="A469" t="str">
        <f>IF(ISBLANK(B469), "","PriceAreaConnection-468")</f>
        <v/>
      </c>
    </row>
    <row r="470" spans="1:1" x14ac:dyDescent="0.2">
      <c r="A470" t="str">
        <f>IF(ISBLANK(B470), "","PriceAreaConnection-469")</f>
        <v/>
      </c>
    </row>
    <row r="471" spans="1:1" x14ac:dyDescent="0.2">
      <c r="A471" t="str">
        <f>IF(ISBLANK(B471), "","PriceAreaConnection-470")</f>
        <v/>
      </c>
    </row>
    <row r="472" spans="1:1" x14ac:dyDescent="0.2">
      <c r="A472" t="str">
        <f>IF(ISBLANK(B472), "","PriceAreaConnection-471")</f>
        <v/>
      </c>
    </row>
    <row r="473" spans="1:1" x14ac:dyDescent="0.2">
      <c r="A473" t="str">
        <f>IF(ISBLANK(B473), "","PriceAreaConnection-472")</f>
        <v/>
      </c>
    </row>
    <row r="474" spans="1:1" x14ac:dyDescent="0.2">
      <c r="A474" t="str">
        <f>IF(ISBLANK(B474), "","PriceAreaConnection-473")</f>
        <v/>
      </c>
    </row>
    <row r="475" spans="1:1" x14ac:dyDescent="0.2">
      <c r="A475" t="str">
        <f>IF(ISBLANK(B475), "","PriceAreaConnection-474")</f>
        <v/>
      </c>
    </row>
    <row r="476" spans="1:1" x14ac:dyDescent="0.2">
      <c r="A476" t="str">
        <f>IF(ISBLANK(B476), "","PriceAreaConnection-475")</f>
        <v/>
      </c>
    </row>
    <row r="477" spans="1:1" x14ac:dyDescent="0.2">
      <c r="A477" t="str">
        <f>IF(ISBLANK(B477), "","PriceAreaConnection-476")</f>
        <v/>
      </c>
    </row>
    <row r="478" spans="1:1" x14ac:dyDescent="0.2">
      <c r="A478" t="str">
        <f>IF(ISBLANK(B478), "","PriceAreaConnection-477")</f>
        <v/>
      </c>
    </row>
    <row r="479" spans="1:1" x14ac:dyDescent="0.2">
      <c r="A479" t="str">
        <f>IF(ISBLANK(B479), "","PriceAreaConnection-478")</f>
        <v/>
      </c>
    </row>
    <row r="480" spans="1:1" x14ac:dyDescent="0.2">
      <c r="A480" t="str">
        <f>IF(ISBLANK(B480), "","PriceAreaConnection-479")</f>
        <v/>
      </c>
    </row>
    <row r="481" spans="1:1" x14ac:dyDescent="0.2">
      <c r="A481" t="str">
        <f>IF(ISBLANK(B481), "","PriceAreaConnection-480")</f>
        <v/>
      </c>
    </row>
    <row r="482" spans="1:1" x14ac:dyDescent="0.2">
      <c r="A482" t="str">
        <f>IF(ISBLANK(B482), "","PriceAreaConnection-481")</f>
        <v/>
      </c>
    </row>
    <row r="483" spans="1:1" x14ac:dyDescent="0.2">
      <c r="A483" t="str">
        <f>IF(ISBLANK(B483), "","PriceAreaConnection-482")</f>
        <v/>
      </c>
    </row>
    <row r="484" spans="1:1" x14ac:dyDescent="0.2">
      <c r="A484" t="str">
        <f>IF(ISBLANK(B484), "","PriceAreaConnection-483")</f>
        <v/>
      </c>
    </row>
    <row r="485" spans="1:1" x14ac:dyDescent="0.2">
      <c r="A485" t="str">
        <f>IF(ISBLANK(B485), "","PriceAreaConnection-484")</f>
        <v/>
      </c>
    </row>
    <row r="486" spans="1:1" x14ac:dyDescent="0.2">
      <c r="A486" t="str">
        <f>IF(ISBLANK(B486), "","PriceAreaConnection-485")</f>
        <v/>
      </c>
    </row>
    <row r="487" spans="1:1" x14ac:dyDescent="0.2">
      <c r="A487" t="str">
        <f>IF(ISBLANK(B487), "","PriceAreaConnection-486")</f>
        <v/>
      </c>
    </row>
    <row r="488" spans="1:1" x14ac:dyDescent="0.2">
      <c r="A488" t="str">
        <f>IF(ISBLANK(B488), "","PriceAreaConnection-487")</f>
        <v/>
      </c>
    </row>
    <row r="489" spans="1:1" x14ac:dyDescent="0.2">
      <c r="A489" t="str">
        <f>IF(ISBLANK(B489), "","PriceAreaConnection-488")</f>
        <v/>
      </c>
    </row>
    <row r="490" spans="1:1" x14ac:dyDescent="0.2">
      <c r="A490" t="str">
        <f>IF(ISBLANK(B490), "","PriceAreaConnection-489")</f>
        <v/>
      </c>
    </row>
    <row r="491" spans="1:1" x14ac:dyDescent="0.2">
      <c r="A491" t="str">
        <f>IF(ISBLANK(B491), "","PriceAreaConnection-490")</f>
        <v/>
      </c>
    </row>
    <row r="492" spans="1:1" x14ac:dyDescent="0.2">
      <c r="A492" t="str">
        <f>IF(ISBLANK(B492), "","PriceAreaConnection-491")</f>
        <v/>
      </c>
    </row>
    <row r="493" spans="1:1" x14ac:dyDescent="0.2">
      <c r="A493" t="str">
        <f>IF(ISBLANK(B493), "","PriceAreaConnection-492")</f>
        <v/>
      </c>
    </row>
    <row r="494" spans="1:1" x14ac:dyDescent="0.2">
      <c r="A494" t="str">
        <f>IF(ISBLANK(B494), "","PriceAreaConnection-493")</f>
        <v/>
      </c>
    </row>
    <row r="495" spans="1:1" x14ac:dyDescent="0.2">
      <c r="A495" t="str">
        <f>IF(ISBLANK(B495), "","PriceAreaConnection-494")</f>
        <v/>
      </c>
    </row>
    <row r="496" spans="1:1" x14ac:dyDescent="0.2">
      <c r="A496" t="str">
        <f>IF(ISBLANK(B496), "","PriceAreaConnection-495")</f>
        <v/>
      </c>
    </row>
    <row r="497" spans="1:1" x14ac:dyDescent="0.2">
      <c r="A497" t="str">
        <f>IF(ISBLANK(B497), "","PriceAreaConnection-496")</f>
        <v/>
      </c>
    </row>
    <row r="498" spans="1:1" x14ac:dyDescent="0.2">
      <c r="A498" t="str">
        <f>IF(ISBLANK(B498), "","PriceAreaConnection-497")</f>
        <v/>
      </c>
    </row>
    <row r="499" spans="1:1" x14ac:dyDescent="0.2">
      <c r="A499" t="str">
        <f>IF(ISBLANK(B499), "","PriceAreaConnection-498")</f>
        <v/>
      </c>
    </row>
    <row r="500" spans="1:1" x14ac:dyDescent="0.2">
      <c r="A500" t="str">
        <f>IF(ISBLANK(B500), "","PriceAreaConnection-499")</f>
        <v/>
      </c>
    </row>
    <row r="501" spans="1:1" x14ac:dyDescent="0.2">
      <c r="A501" t="str">
        <f>IF(ISBLANK(B501), "","PriceAreaConnection-500")</f>
        <v/>
      </c>
    </row>
    <row r="502" spans="1:1" x14ac:dyDescent="0.2">
      <c r="A502" t="str">
        <f>IF(ISBLANK(B502), "","PriceAreaConnection-501")</f>
        <v/>
      </c>
    </row>
    <row r="503" spans="1:1" x14ac:dyDescent="0.2">
      <c r="A503" t="str">
        <f>IF(ISBLANK(B503), "","PriceAreaConnection-502")</f>
        <v/>
      </c>
    </row>
    <row r="504" spans="1:1" x14ac:dyDescent="0.2">
      <c r="A504" t="str">
        <f>IF(ISBLANK(B504), "","PriceAreaConnection-503")</f>
        <v/>
      </c>
    </row>
    <row r="505" spans="1:1" x14ac:dyDescent="0.2">
      <c r="A505" t="str">
        <f>IF(ISBLANK(B505), "","PriceAreaConnection-504")</f>
        <v/>
      </c>
    </row>
    <row r="506" spans="1:1" x14ac:dyDescent="0.2">
      <c r="A506" t="str">
        <f>IF(ISBLANK(B506), "","PriceAreaConnection-505")</f>
        <v/>
      </c>
    </row>
    <row r="507" spans="1:1" x14ac:dyDescent="0.2">
      <c r="A507" t="str">
        <f>IF(ISBLANK(B507), "","PriceAreaConnection-506")</f>
        <v/>
      </c>
    </row>
    <row r="508" spans="1:1" x14ac:dyDescent="0.2">
      <c r="A508" t="str">
        <f>IF(ISBLANK(B508), "","PriceAreaConnection-507")</f>
        <v/>
      </c>
    </row>
    <row r="509" spans="1:1" x14ac:dyDescent="0.2">
      <c r="A509" t="str">
        <f>IF(ISBLANK(B509), "","PriceAreaConnection-508")</f>
        <v/>
      </c>
    </row>
    <row r="510" spans="1:1" x14ac:dyDescent="0.2">
      <c r="A510" t="str">
        <f>IF(ISBLANK(B510), "","PriceAreaConnection-509")</f>
        <v/>
      </c>
    </row>
    <row r="511" spans="1:1" x14ac:dyDescent="0.2">
      <c r="A511" t="str">
        <f>IF(ISBLANK(B511), "","PriceAreaConnection-510")</f>
        <v/>
      </c>
    </row>
    <row r="512" spans="1:1" x14ac:dyDescent="0.2">
      <c r="A512" t="str">
        <f>IF(ISBLANK(B512), "","PriceAreaConnection-511")</f>
        <v/>
      </c>
    </row>
    <row r="513" spans="1:1" x14ac:dyDescent="0.2">
      <c r="A513" t="str">
        <f>IF(ISBLANK(B513), "","PriceAreaConnection-512")</f>
        <v/>
      </c>
    </row>
    <row r="514" spans="1:1" x14ac:dyDescent="0.2">
      <c r="A514" t="str">
        <f>IF(ISBLANK(B514), "","PriceAreaConnection-513")</f>
        <v/>
      </c>
    </row>
    <row r="515" spans="1:1" x14ac:dyDescent="0.2">
      <c r="A515" t="str">
        <f>IF(ISBLANK(B515), "","PriceAreaConnection-514")</f>
        <v/>
      </c>
    </row>
    <row r="516" spans="1:1" x14ac:dyDescent="0.2">
      <c r="A516" t="str">
        <f>IF(ISBLANK(B516), "","PriceAreaConnection-515")</f>
        <v/>
      </c>
    </row>
    <row r="517" spans="1:1" x14ac:dyDescent="0.2">
      <c r="A517" t="str">
        <f>IF(ISBLANK(B517), "","PriceAreaConnection-516")</f>
        <v/>
      </c>
    </row>
    <row r="518" spans="1:1" x14ac:dyDescent="0.2">
      <c r="A518" t="str">
        <f>IF(ISBLANK(B518), "","PriceAreaConnection-517")</f>
        <v/>
      </c>
    </row>
    <row r="519" spans="1:1" x14ac:dyDescent="0.2">
      <c r="A519" t="str">
        <f>IF(ISBLANK(B519), "","PriceAreaConnection-518")</f>
        <v/>
      </c>
    </row>
    <row r="520" spans="1:1" x14ac:dyDescent="0.2">
      <c r="A520" t="str">
        <f>IF(ISBLANK(B520), "","PriceAreaConnection-519")</f>
        <v/>
      </c>
    </row>
    <row r="521" spans="1:1" x14ac:dyDescent="0.2">
      <c r="A521" t="str">
        <f>IF(ISBLANK(B521), "","PriceAreaConnection-520")</f>
        <v/>
      </c>
    </row>
    <row r="522" spans="1:1" x14ac:dyDescent="0.2">
      <c r="A522" t="str">
        <f>IF(ISBLANK(B522), "","PriceAreaConnection-521")</f>
        <v/>
      </c>
    </row>
    <row r="523" spans="1:1" x14ac:dyDescent="0.2">
      <c r="A523" t="str">
        <f>IF(ISBLANK(B523), "","PriceAreaConnection-522")</f>
        <v/>
      </c>
    </row>
    <row r="524" spans="1:1" x14ac:dyDescent="0.2">
      <c r="A524" t="str">
        <f>IF(ISBLANK(B524), "","PriceAreaConnection-523")</f>
        <v/>
      </c>
    </row>
    <row r="525" spans="1:1" x14ac:dyDescent="0.2">
      <c r="A525" t="str">
        <f>IF(ISBLANK(B525), "","PriceAreaConnection-524")</f>
        <v/>
      </c>
    </row>
    <row r="526" spans="1:1" x14ac:dyDescent="0.2">
      <c r="A526" t="str">
        <f>IF(ISBLANK(B526), "","PriceAreaConnection-525")</f>
        <v/>
      </c>
    </row>
    <row r="527" spans="1:1" x14ac:dyDescent="0.2">
      <c r="A527" t="str">
        <f>IF(ISBLANK(B527), "","PriceAreaConnection-526")</f>
        <v/>
      </c>
    </row>
    <row r="528" spans="1:1" x14ac:dyDescent="0.2">
      <c r="A528" t="str">
        <f>IF(ISBLANK(B528), "","PriceAreaConnection-527")</f>
        <v/>
      </c>
    </row>
    <row r="529" spans="1:1" x14ac:dyDescent="0.2">
      <c r="A529" t="str">
        <f>IF(ISBLANK(B529), "","PriceAreaConnection-528")</f>
        <v/>
      </c>
    </row>
    <row r="530" spans="1:1" x14ac:dyDescent="0.2">
      <c r="A530" t="str">
        <f>IF(ISBLANK(B530), "","PriceAreaConnection-529")</f>
        <v/>
      </c>
    </row>
    <row r="531" spans="1:1" x14ac:dyDescent="0.2">
      <c r="A531" t="str">
        <f>IF(ISBLANK(B531), "","PriceAreaConnection-530")</f>
        <v/>
      </c>
    </row>
    <row r="532" spans="1:1" x14ac:dyDescent="0.2">
      <c r="A532" t="str">
        <f>IF(ISBLANK(B532), "","PriceAreaConnection-531")</f>
        <v/>
      </c>
    </row>
    <row r="533" spans="1:1" x14ac:dyDescent="0.2">
      <c r="A533" t="str">
        <f>IF(ISBLANK(B533), "","PriceAreaConnection-532")</f>
        <v/>
      </c>
    </row>
    <row r="534" spans="1:1" x14ac:dyDescent="0.2">
      <c r="A534" t="str">
        <f>IF(ISBLANK(B534), "","PriceAreaConnection-533")</f>
        <v/>
      </c>
    </row>
    <row r="535" spans="1:1" x14ac:dyDescent="0.2">
      <c r="A535" t="str">
        <f>IF(ISBLANK(B535), "","PriceAreaConnection-534")</f>
        <v/>
      </c>
    </row>
    <row r="536" spans="1:1" x14ac:dyDescent="0.2">
      <c r="A536" t="str">
        <f>IF(ISBLANK(B536), "","PriceAreaConnection-535")</f>
        <v/>
      </c>
    </row>
    <row r="537" spans="1:1" x14ac:dyDescent="0.2">
      <c r="A537" t="str">
        <f>IF(ISBLANK(B537), "","PriceAreaConnection-536")</f>
        <v/>
      </c>
    </row>
    <row r="538" spans="1:1" x14ac:dyDescent="0.2">
      <c r="A538" t="str">
        <f>IF(ISBLANK(B538), "","PriceAreaConnection-537")</f>
        <v/>
      </c>
    </row>
    <row r="539" spans="1:1" x14ac:dyDescent="0.2">
      <c r="A539" t="str">
        <f>IF(ISBLANK(B539), "","PriceAreaConnection-538")</f>
        <v/>
      </c>
    </row>
    <row r="540" spans="1:1" x14ac:dyDescent="0.2">
      <c r="A540" t="str">
        <f>IF(ISBLANK(B540), "","PriceAreaConnection-539")</f>
        <v/>
      </c>
    </row>
    <row r="541" spans="1:1" x14ac:dyDescent="0.2">
      <c r="A541" t="str">
        <f>IF(ISBLANK(B541), "","PriceAreaConnection-540")</f>
        <v/>
      </c>
    </row>
    <row r="542" spans="1:1" x14ac:dyDescent="0.2">
      <c r="A542" t="str">
        <f>IF(ISBLANK(B542), "","PriceAreaConnection-541")</f>
        <v/>
      </c>
    </row>
    <row r="543" spans="1:1" x14ac:dyDescent="0.2">
      <c r="A543" t="str">
        <f>IF(ISBLANK(B543), "","PriceAreaConnection-542")</f>
        <v/>
      </c>
    </row>
    <row r="544" spans="1:1" x14ac:dyDescent="0.2">
      <c r="A544" t="str">
        <f>IF(ISBLANK(B544), "","PriceAreaConnection-543")</f>
        <v/>
      </c>
    </row>
    <row r="545" spans="1:1" x14ac:dyDescent="0.2">
      <c r="A545" t="str">
        <f>IF(ISBLANK(B545), "","PriceAreaConnection-544")</f>
        <v/>
      </c>
    </row>
    <row r="546" spans="1:1" x14ac:dyDescent="0.2">
      <c r="A546" t="str">
        <f>IF(ISBLANK(B546), "","PriceAreaConnection-545")</f>
        <v/>
      </c>
    </row>
    <row r="547" spans="1:1" x14ac:dyDescent="0.2">
      <c r="A547" t="str">
        <f>IF(ISBLANK(B547), "","PriceAreaConnection-546")</f>
        <v/>
      </c>
    </row>
    <row r="548" spans="1:1" x14ac:dyDescent="0.2">
      <c r="A548" t="str">
        <f>IF(ISBLANK(B548), "","PriceAreaConnection-547")</f>
        <v/>
      </c>
    </row>
    <row r="549" spans="1:1" x14ac:dyDescent="0.2">
      <c r="A549" t="str">
        <f>IF(ISBLANK(B549), "","PriceAreaConnection-548")</f>
        <v/>
      </c>
    </row>
    <row r="550" spans="1:1" x14ac:dyDescent="0.2">
      <c r="A550" t="str">
        <f>IF(ISBLANK(B550), "","PriceAreaConnection-549")</f>
        <v/>
      </c>
    </row>
    <row r="551" spans="1:1" x14ac:dyDescent="0.2">
      <c r="A551" t="str">
        <f>IF(ISBLANK(B551), "","PriceAreaConnection-550")</f>
        <v/>
      </c>
    </row>
    <row r="552" spans="1:1" x14ac:dyDescent="0.2">
      <c r="A552" t="str">
        <f>IF(ISBLANK(B552), "","PriceAreaConnection-551")</f>
        <v/>
      </c>
    </row>
    <row r="553" spans="1:1" x14ac:dyDescent="0.2">
      <c r="A553" t="str">
        <f>IF(ISBLANK(B553), "","PriceAreaConnection-552")</f>
        <v/>
      </c>
    </row>
    <row r="554" spans="1:1" x14ac:dyDescent="0.2">
      <c r="A554" t="str">
        <f>IF(ISBLANK(B554), "","PriceAreaConnection-553")</f>
        <v/>
      </c>
    </row>
    <row r="555" spans="1:1" x14ac:dyDescent="0.2">
      <c r="A555" t="str">
        <f>IF(ISBLANK(B555), "","PriceAreaConnection-554")</f>
        <v/>
      </c>
    </row>
    <row r="556" spans="1:1" x14ac:dyDescent="0.2">
      <c r="A556" t="str">
        <f>IF(ISBLANK(B556), "","PriceAreaConnection-555")</f>
        <v/>
      </c>
    </row>
    <row r="557" spans="1:1" x14ac:dyDescent="0.2">
      <c r="A557" t="str">
        <f>IF(ISBLANK(B557), "","PriceAreaConnection-556")</f>
        <v/>
      </c>
    </row>
    <row r="558" spans="1:1" x14ac:dyDescent="0.2">
      <c r="A558" t="str">
        <f>IF(ISBLANK(B558), "","PriceAreaConnection-557")</f>
        <v/>
      </c>
    </row>
    <row r="559" spans="1:1" x14ac:dyDescent="0.2">
      <c r="A559" t="str">
        <f>IF(ISBLANK(B559), "","PriceAreaConnection-558")</f>
        <v/>
      </c>
    </row>
    <row r="560" spans="1:1" x14ac:dyDescent="0.2">
      <c r="A560" t="str">
        <f>IF(ISBLANK(B560), "","PriceAreaConnection-559")</f>
        <v/>
      </c>
    </row>
    <row r="561" spans="1:1" x14ac:dyDescent="0.2">
      <c r="A561" t="str">
        <f>IF(ISBLANK(B561), "","PriceAreaConnection-560")</f>
        <v/>
      </c>
    </row>
    <row r="562" spans="1:1" x14ac:dyDescent="0.2">
      <c r="A562" t="str">
        <f>IF(ISBLANK(B562), "","PriceAreaConnection-561")</f>
        <v/>
      </c>
    </row>
    <row r="563" spans="1:1" x14ac:dyDescent="0.2">
      <c r="A563" t="str">
        <f>IF(ISBLANK(B563), "","PriceAreaConnection-562")</f>
        <v/>
      </c>
    </row>
    <row r="564" spans="1:1" x14ac:dyDescent="0.2">
      <c r="A564" t="str">
        <f>IF(ISBLANK(B564), "","PriceAreaConnection-563")</f>
        <v/>
      </c>
    </row>
    <row r="565" spans="1:1" x14ac:dyDescent="0.2">
      <c r="A565" t="str">
        <f>IF(ISBLANK(B565), "","PriceAreaConnection-564")</f>
        <v/>
      </c>
    </row>
    <row r="566" spans="1:1" x14ac:dyDescent="0.2">
      <c r="A566" t="str">
        <f>IF(ISBLANK(B566), "","PriceAreaConnection-565")</f>
        <v/>
      </c>
    </row>
    <row r="567" spans="1:1" x14ac:dyDescent="0.2">
      <c r="A567" t="str">
        <f>IF(ISBLANK(B567), "","PriceAreaConnection-566")</f>
        <v/>
      </c>
    </row>
    <row r="568" spans="1:1" x14ac:dyDescent="0.2">
      <c r="A568" t="str">
        <f>IF(ISBLANK(B568), "","PriceAreaConnection-567")</f>
        <v/>
      </c>
    </row>
    <row r="569" spans="1:1" x14ac:dyDescent="0.2">
      <c r="A569" t="str">
        <f>IF(ISBLANK(B569), "","PriceAreaConnection-568")</f>
        <v/>
      </c>
    </row>
    <row r="570" spans="1:1" x14ac:dyDescent="0.2">
      <c r="A570" t="str">
        <f>IF(ISBLANK(B570), "","PriceAreaConnection-569")</f>
        <v/>
      </c>
    </row>
    <row r="571" spans="1:1" x14ac:dyDescent="0.2">
      <c r="A571" t="str">
        <f>IF(ISBLANK(B571), "","PriceAreaConnection-570")</f>
        <v/>
      </c>
    </row>
    <row r="572" spans="1:1" x14ac:dyDescent="0.2">
      <c r="A572" t="str">
        <f>IF(ISBLANK(B572), "","PriceAreaConnection-571")</f>
        <v/>
      </c>
    </row>
    <row r="573" spans="1:1" x14ac:dyDescent="0.2">
      <c r="A573" t="str">
        <f>IF(ISBLANK(B573), "","PriceAreaConnection-572")</f>
        <v/>
      </c>
    </row>
    <row r="574" spans="1:1" x14ac:dyDescent="0.2">
      <c r="A574" t="str">
        <f>IF(ISBLANK(B574), "","PriceAreaConnection-573")</f>
        <v/>
      </c>
    </row>
    <row r="575" spans="1:1" x14ac:dyDescent="0.2">
      <c r="A575" t="str">
        <f>IF(ISBLANK(B575), "","PriceAreaConnection-574")</f>
        <v/>
      </c>
    </row>
    <row r="576" spans="1:1" x14ac:dyDescent="0.2">
      <c r="A576" t="str">
        <f>IF(ISBLANK(B576), "","PriceAreaConnection-575")</f>
        <v/>
      </c>
    </row>
    <row r="577" spans="1:1" x14ac:dyDescent="0.2">
      <c r="A577" t="str">
        <f>IF(ISBLANK(B577), "","PriceAreaConnection-576")</f>
        <v/>
      </c>
    </row>
    <row r="578" spans="1:1" x14ac:dyDescent="0.2">
      <c r="A578" t="str">
        <f>IF(ISBLANK(B578), "","PriceAreaConnection-577")</f>
        <v/>
      </c>
    </row>
    <row r="579" spans="1:1" x14ac:dyDescent="0.2">
      <c r="A579" t="str">
        <f>IF(ISBLANK(B579), "","PriceAreaConnection-578")</f>
        <v/>
      </c>
    </row>
    <row r="580" spans="1:1" x14ac:dyDescent="0.2">
      <c r="A580" t="str">
        <f>IF(ISBLANK(B580), "","PriceAreaConnection-579")</f>
        <v/>
      </c>
    </row>
    <row r="581" spans="1:1" x14ac:dyDescent="0.2">
      <c r="A581" t="str">
        <f>IF(ISBLANK(B581), "","PriceAreaConnection-580")</f>
        <v/>
      </c>
    </row>
    <row r="582" spans="1:1" x14ac:dyDescent="0.2">
      <c r="A582" t="str">
        <f>IF(ISBLANK(B582), "","PriceAreaConnection-581")</f>
        <v/>
      </c>
    </row>
    <row r="583" spans="1:1" x14ac:dyDescent="0.2">
      <c r="A583" t="str">
        <f>IF(ISBLANK(B583), "","PriceAreaConnection-582")</f>
        <v/>
      </c>
    </row>
    <row r="584" spans="1:1" x14ac:dyDescent="0.2">
      <c r="A584" t="str">
        <f>IF(ISBLANK(B584), "","PriceAreaConnection-583")</f>
        <v/>
      </c>
    </row>
    <row r="585" spans="1:1" x14ac:dyDescent="0.2">
      <c r="A585" t="str">
        <f>IF(ISBLANK(B585), "","PriceAreaConnection-584")</f>
        <v/>
      </c>
    </row>
    <row r="586" spans="1:1" x14ac:dyDescent="0.2">
      <c r="A586" t="str">
        <f>IF(ISBLANK(B586), "","PriceAreaConnection-585")</f>
        <v/>
      </c>
    </row>
    <row r="587" spans="1:1" x14ac:dyDescent="0.2">
      <c r="A587" t="str">
        <f>IF(ISBLANK(B587), "","PriceAreaConnection-586")</f>
        <v/>
      </c>
    </row>
    <row r="588" spans="1:1" x14ac:dyDescent="0.2">
      <c r="A588" t="str">
        <f>IF(ISBLANK(B588), "","PriceAreaConnection-587")</f>
        <v/>
      </c>
    </row>
    <row r="589" spans="1:1" x14ac:dyDescent="0.2">
      <c r="A589" t="str">
        <f>IF(ISBLANK(B589), "","PriceAreaConnection-588")</f>
        <v/>
      </c>
    </row>
    <row r="590" spans="1:1" x14ac:dyDescent="0.2">
      <c r="A590" t="str">
        <f>IF(ISBLANK(B590), "","PriceAreaConnection-589")</f>
        <v/>
      </c>
    </row>
    <row r="591" spans="1:1" x14ac:dyDescent="0.2">
      <c r="A591" t="str">
        <f>IF(ISBLANK(B591), "","PriceAreaConnection-590")</f>
        <v/>
      </c>
    </row>
    <row r="592" spans="1:1" x14ac:dyDescent="0.2">
      <c r="A592" t="str">
        <f>IF(ISBLANK(B592), "","PriceAreaConnection-591")</f>
        <v/>
      </c>
    </row>
    <row r="593" spans="1:1" x14ac:dyDescent="0.2">
      <c r="A593" t="str">
        <f>IF(ISBLANK(B593), "","PriceAreaConnection-592")</f>
        <v/>
      </c>
    </row>
    <row r="594" spans="1:1" x14ac:dyDescent="0.2">
      <c r="A594" t="str">
        <f>IF(ISBLANK(B594), "","PriceAreaConnection-593")</f>
        <v/>
      </c>
    </row>
    <row r="595" spans="1:1" x14ac:dyDescent="0.2">
      <c r="A595" t="str">
        <f>IF(ISBLANK(B595), "","PriceAreaConnection-594")</f>
        <v/>
      </c>
    </row>
    <row r="596" spans="1:1" x14ac:dyDescent="0.2">
      <c r="A596" t="str">
        <f>IF(ISBLANK(B596), "","PriceAreaConnection-595")</f>
        <v/>
      </c>
    </row>
    <row r="597" spans="1:1" x14ac:dyDescent="0.2">
      <c r="A597" t="str">
        <f>IF(ISBLANK(B597), "","PriceAreaConnection-596")</f>
        <v/>
      </c>
    </row>
    <row r="598" spans="1:1" x14ac:dyDescent="0.2">
      <c r="A598" t="str">
        <f>IF(ISBLANK(B598), "","PriceAreaConnection-597")</f>
        <v/>
      </c>
    </row>
    <row r="599" spans="1:1" x14ac:dyDescent="0.2">
      <c r="A599" t="str">
        <f>IF(ISBLANK(B599), "","PriceAreaConnection-598")</f>
        <v/>
      </c>
    </row>
    <row r="600" spans="1:1" x14ac:dyDescent="0.2">
      <c r="A600" t="str">
        <f>IF(ISBLANK(B600), "","PriceAreaConnection-599")</f>
        <v/>
      </c>
    </row>
    <row r="601" spans="1:1" x14ac:dyDescent="0.2">
      <c r="A601" t="str">
        <f>IF(ISBLANK(B601), "","PriceAreaConnection-600")</f>
        <v/>
      </c>
    </row>
    <row r="602" spans="1:1" x14ac:dyDescent="0.2">
      <c r="A602" t="str">
        <f>IF(ISBLANK(B602), "","PriceAreaConnection-601")</f>
        <v/>
      </c>
    </row>
    <row r="603" spans="1:1" x14ac:dyDescent="0.2">
      <c r="A603" t="str">
        <f>IF(ISBLANK(B603), "","PriceAreaConnection-602")</f>
        <v/>
      </c>
    </row>
    <row r="604" spans="1:1" x14ac:dyDescent="0.2">
      <c r="A604" t="str">
        <f>IF(ISBLANK(B604), "","PriceAreaConnection-603")</f>
        <v/>
      </c>
    </row>
    <row r="605" spans="1:1" x14ac:dyDescent="0.2">
      <c r="A605" t="str">
        <f>IF(ISBLANK(B605), "","PriceAreaConnection-604")</f>
        <v/>
      </c>
    </row>
    <row r="606" spans="1:1" x14ac:dyDescent="0.2">
      <c r="A606" t="str">
        <f>IF(ISBLANK(B606), "","PriceAreaConnection-605")</f>
        <v/>
      </c>
    </row>
    <row r="607" spans="1:1" x14ac:dyDescent="0.2">
      <c r="A607" t="str">
        <f>IF(ISBLANK(B607), "","PriceAreaConnection-606")</f>
        <v/>
      </c>
    </row>
    <row r="608" spans="1:1" x14ac:dyDescent="0.2">
      <c r="A608" t="str">
        <f>IF(ISBLANK(B608), "","PriceAreaConnection-607")</f>
        <v/>
      </c>
    </row>
    <row r="609" spans="1:1" x14ac:dyDescent="0.2">
      <c r="A609" t="str">
        <f>IF(ISBLANK(B609), "","PriceAreaConnection-608")</f>
        <v/>
      </c>
    </row>
    <row r="610" spans="1:1" x14ac:dyDescent="0.2">
      <c r="A610" t="str">
        <f>IF(ISBLANK(B610), "","PriceAreaConnection-609")</f>
        <v/>
      </c>
    </row>
    <row r="611" spans="1:1" x14ac:dyDescent="0.2">
      <c r="A611" t="str">
        <f>IF(ISBLANK(B611), "","PriceAreaConnection-610")</f>
        <v/>
      </c>
    </row>
    <row r="612" spans="1:1" x14ac:dyDescent="0.2">
      <c r="A612" t="str">
        <f>IF(ISBLANK(B612), "","PriceAreaConnection-611")</f>
        <v/>
      </c>
    </row>
    <row r="613" spans="1:1" x14ac:dyDescent="0.2">
      <c r="A613" t="str">
        <f>IF(ISBLANK(B613), "","PriceAreaConnection-612")</f>
        <v/>
      </c>
    </row>
    <row r="614" spans="1:1" x14ac:dyDescent="0.2">
      <c r="A614" t="str">
        <f>IF(ISBLANK(B614), "","PriceAreaConnection-613")</f>
        <v/>
      </c>
    </row>
    <row r="615" spans="1:1" x14ac:dyDescent="0.2">
      <c r="A615" t="str">
        <f>IF(ISBLANK(B615), "","PriceAreaConnection-614")</f>
        <v/>
      </c>
    </row>
    <row r="616" spans="1:1" x14ac:dyDescent="0.2">
      <c r="A616" t="str">
        <f>IF(ISBLANK(B616), "","PriceAreaConnection-615")</f>
        <v/>
      </c>
    </row>
    <row r="617" spans="1:1" x14ac:dyDescent="0.2">
      <c r="A617" t="str">
        <f>IF(ISBLANK(B617), "","PriceAreaConnection-616")</f>
        <v/>
      </c>
    </row>
    <row r="618" spans="1:1" x14ac:dyDescent="0.2">
      <c r="A618" t="str">
        <f>IF(ISBLANK(B618), "","PriceAreaConnection-617")</f>
        <v/>
      </c>
    </row>
    <row r="619" spans="1:1" x14ac:dyDescent="0.2">
      <c r="A619" t="str">
        <f>IF(ISBLANK(B619), "","PriceAreaConnection-618")</f>
        <v/>
      </c>
    </row>
    <row r="620" spans="1:1" x14ac:dyDescent="0.2">
      <c r="A620" t="str">
        <f>IF(ISBLANK(B620), "","PriceAreaConnection-619")</f>
        <v/>
      </c>
    </row>
    <row r="621" spans="1:1" x14ac:dyDescent="0.2">
      <c r="A621" t="str">
        <f>IF(ISBLANK(B621), "","PriceAreaConnection-620")</f>
        <v/>
      </c>
    </row>
    <row r="622" spans="1:1" x14ac:dyDescent="0.2">
      <c r="A622" t="str">
        <f>IF(ISBLANK(B622), "","PriceAreaConnection-621")</f>
        <v/>
      </c>
    </row>
    <row r="623" spans="1:1" x14ac:dyDescent="0.2">
      <c r="A623" t="str">
        <f>IF(ISBLANK(B623), "","PriceAreaConnection-622")</f>
        <v/>
      </c>
    </row>
    <row r="624" spans="1:1" x14ac:dyDescent="0.2">
      <c r="A624" t="str">
        <f>IF(ISBLANK(B624), "","PriceAreaConnection-623")</f>
        <v/>
      </c>
    </row>
    <row r="625" spans="1:1" x14ac:dyDescent="0.2">
      <c r="A625" t="str">
        <f>IF(ISBLANK(B625), "","PriceAreaConnection-624")</f>
        <v/>
      </c>
    </row>
    <row r="626" spans="1:1" x14ac:dyDescent="0.2">
      <c r="A626" t="str">
        <f>IF(ISBLANK(B626), "","PriceAreaConnection-625")</f>
        <v/>
      </c>
    </row>
    <row r="627" spans="1:1" x14ac:dyDescent="0.2">
      <c r="A627" t="str">
        <f>IF(ISBLANK(B627), "","PriceAreaConnection-626")</f>
        <v/>
      </c>
    </row>
    <row r="628" spans="1:1" x14ac:dyDescent="0.2">
      <c r="A628" t="str">
        <f>IF(ISBLANK(B628), "","PriceAreaConnection-627")</f>
        <v/>
      </c>
    </row>
    <row r="629" spans="1:1" x14ac:dyDescent="0.2">
      <c r="A629" t="str">
        <f>IF(ISBLANK(B629), "","PriceAreaConnection-628")</f>
        <v/>
      </c>
    </row>
    <row r="630" spans="1:1" x14ac:dyDescent="0.2">
      <c r="A630" t="str">
        <f>IF(ISBLANK(B630), "","PriceAreaConnection-629")</f>
        <v/>
      </c>
    </row>
    <row r="631" spans="1:1" x14ac:dyDescent="0.2">
      <c r="A631" t="str">
        <f>IF(ISBLANK(B631), "","PriceAreaConnection-630")</f>
        <v/>
      </c>
    </row>
    <row r="632" spans="1:1" x14ac:dyDescent="0.2">
      <c r="A632" t="str">
        <f>IF(ISBLANK(B632), "","PriceAreaConnection-631")</f>
        <v/>
      </c>
    </row>
    <row r="633" spans="1:1" x14ac:dyDescent="0.2">
      <c r="A633" t="str">
        <f>IF(ISBLANK(B633), "","PriceAreaConnection-632")</f>
        <v/>
      </c>
    </row>
    <row r="634" spans="1:1" x14ac:dyDescent="0.2">
      <c r="A634" t="str">
        <f>IF(ISBLANK(B634), "","PriceAreaConnection-633")</f>
        <v/>
      </c>
    </row>
    <row r="635" spans="1:1" x14ac:dyDescent="0.2">
      <c r="A635" t="str">
        <f>IF(ISBLANK(B635), "","PriceAreaConnection-634")</f>
        <v/>
      </c>
    </row>
    <row r="636" spans="1:1" x14ac:dyDescent="0.2">
      <c r="A636" t="str">
        <f>IF(ISBLANK(B636), "","PriceAreaConnection-635")</f>
        <v/>
      </c>
    </row>
    <row r="637" spans="1:1" x14ac:dyDescent="0.2">
      <c r="A637" t="str">
        <f>IF(ISBLANK(B637), "","PriceAreaConnection-636")</f>
        <v/>
      </c>
    </row>
    <row r="638" spans="1:1" x14ac:dyDescent="0.2">
      <c r="A638" t="str">
        <f>IF(ISBLANK(B638), "","PriceAreaConnection-637")</f>
        <v/>
      </c>
    </row>
    <row r="639" spans="1:1" x14ac:dyDescent="0.2">
      <c r="A639" t="str">
        <f>IF(ISBLANK(B639), "","PriceAreaConnection-638")</f>
        <v/>
      </c>
    </row>
    <row r="640" spans="1:1" x14ac:dyDescent="0.2">
      <c r="A640" t="str">
        <f>IF(ISBLANK(B640), "","PriceAreaConnection-639")</f>
        <v/>
      </c>
    </row>
    <row r="641" spans="1:1" x14ac:dyDescent="0.2">
      <c r="A641" t="str">
        <f>IF(ISBLANK(B641), "","PriceAreaConnection-640")</f>
        <v/>
      </c>
    </row>
    <row r="642" spans="1:1" x14ac:dyDescent="0.2">
      <c r="A642" t="str">
        <f>IF(ISBLANK(B642), "","PriceAreaConnection-641")</f>
        <v/>
      </c>
    </row>
    <row r="643" spans="1:1" x14ac:dyDescent="0.2">
      <c r="A643" t="str">
        <f>IF(ISBLANK(B643), "","PriceAreaConnection-642")</f>
        <v/>
      </c>
    </row>
    <row r="644" spans="1:1" x14ac:dyDescent="0.2">
      <c r="A644" t="str">
        <f>IF(ISBLANK(B644), "","PriceAreaConnection-643")</f>
        <v/>
      </c>
    </row>
    <row r="645" spans="1:1" x14ac:dyDescent="0.2">
      <c r="A645" t="str">
        <f>IF(ISBLANK(B645), "","PriceAreaConnection-644")</f>
        <v/>
      </c>
    </row>
    <row r="646" spans="1:1" x14ac:dyDescent="0.2">
      <c r="A646" t="str">
        <f>IF(ISBLANK(B646), "","PriceAreaConnection-645")</f>
        <v/>
      </c>
    </row>
    <row r="647" spans="1:1" x14ac:dyDescent="0.2">
      <c r="A647" t="str">
        <f>IF(ISBLANK(B647), "","PriceAreaConnection-646")</f>
        <v/>
      </c>
    </row>
    <row r="648" spans="1:1" x14ac:dyDescent="0.2">
      <c r="A648" t="str">
        <f>IF(ISBLANK(B648), "","PriceAreaConnection-647")</f>
        <v/>
      </c>
    </row>
    <row r="649" spans="1:1" x14ac:dyDescent="0.2">
      <c r="A649" t="str">
        <f>IF(ISBLANK(B649), "","PriceAreaConnection-648")</f>
        <v/>
      </c>
    </row>
    <row r="650" spans="1:1" x14ac:dyDescent="0.2">
      <c r="A650" t="str">
        <f>IF(ISBLANK(B650), "","PriceAreaConnection-649")</f>
        <v/>
      </c>
    </row>
    <row r="651" spans="1:1" x14ac:dyDescent="0.2">
      <c r="A651" t="str">
        <f>IF(ISBLANK(B651), "","PriceAreaConnection-650")</f>
        <v/>
      </c>
    </row>
    <row r="652" spans="1:1" x14ac:dyDescent="0.2">
      <c r="A652" t="str">
        <f>IF(ISBLANK(B652), "","PriceAreaConnection-651")</f>
        <v/>
      </c>
    </row>
    <row r="653" spans="1:1" x14ac:dyDescent="0.2">
      <c r="A653" t="str">
        <f>IF(ISBLANK(B653), "","PriceAreaConnection-652")</f>
        <v/>
      </c>
    </row>
    <row r="654" spans="1:1" x14ac:dyDescent="0.2">
      <c r="A654" t="str">
        <f>IF(ISBLANK(B654), "","PriceAreaConnection-653")</f>
        <v/>
      </c>
    </row>
    <row r="655" spans="1:1" x14ac:dyDescent="0.2">
      <c r="A655" t="str">
        <f>IF(ISBLANK(B655), "","PriceAreaConnection-654")</f>
        <v/>
      </c>
    </row>
    <row r="656" spans="1:1" x14ac:dyDescent="0.2">
      <c r="A656" t="str">
        <f>IF(ISBLANK(B656), "","PriceAreaConnection-655")</f>
        <v/>
      </c>
    </row>
    <row r="657" spans="1:1" x14ac:dyDescent="0.2">
      <c r="A657" t="str">
        <f>IF(ISBLANK(B657), "","PriceAreaConnection-656")</f>
        <v/>
      </c>
    </row>
    <row r="658" spans="1:1" x14ac:dyDescent="0.2">
      <c r="A658" t="str">
        <f>IF(ISBLANK(B658), "","PriceAreaConnection-657")</f>
        <v/>
      </c>
    </row>
    <row r="659" spans="1:1" x14ac:dyDescent="0.2">
      <c r="A659" t="str">
        <f>IF(ISBLANK(B659), "","PriceAreaConnection-658")</f>
        <v/>
      </c>
    </row>
    <row r="660" spans="1:1" x14ac:dyDescent="0.2">
      <c r="A660" t="str">
        <f>IF(ISBLANK(B660), "","PriceAreaConnection-659")</f>
        <v/>
      </c>
    </row>
    <row r="661" spans="1:1" x14ac:dyDescent="0.2">
      <c r="A661" t="str">
        <f>IF(ISBLANK(B661), "","PriceAreaConnection-660")</f>
        <v/>
      </c>
    </row>
    <row r="662" spans="1:1" x14ac:dyDescent="0.2">
      <c r="A662" t="str">
        <f>IF(ISBLANK(B662), "","PriceAreaConnection-661")</f>
        <v/>
      </c>
    </row>
    <row r="663" spans="1:1" x14ac:dyDescent="0.2">
      <c r="A663" t="str">
        <f>IF(ISBLANK(B663), "","PriceAreaConnection-662")</f>
        <v/>
      </c>
    </row>
    <row r="664" spans="1:1" x14ac:dyDescent="0.2">
      <c r="A664" t="str">
        <f>IF(ISBLANK(B664), "","PriceAreaConnection-663")</f>
        <v/>
      </c>
    </row>
    <row r="665" spans="1:1" x14ac:dyDescent="0.2">
      <c r="A665" t="str">
        <f>IF(ISBLANK(B665), "","PriceAreaConnection-664")</f>
        <v/>
      </c>
    </row>
    <row r="666" spans="1:1" x14ac:dyDescent="0.2">
      <c r="A666" t="str">
        <f>IF(ISBLANK(B666), "","PriceAreaConnection-665")</f>
        <v/>
      </c>
    </row>
    <row r="667" spans="1:1" x14ac:dyDescent="0.2">
      <c r="A667" t="str">
        <f>IF(ISBLANK(B667), "","PriceAreaConnection-666")</f>
        <v/>
      </c>
    </row>
    <row r="668" spans="1:1" x14ac:dyDescent="0.2">
      <c r="A668" t="str">
        <f>IF(ISBLANK(B668), "","PriceAreaConnection-667")</f>
        <v/>
      </c>
    </row>
    <row r="669" spans="1:1" x14ac:dyDescent="0.2">
      <c r="A669" t="str">
        <f>IF(ISBLANK(B669), "","PriceAreaConnection-668")</f>
        <v/>
      </c>
    </row>
    <row r="670" spans="1:1" x14ac:dyDescent="0.2">
      <c r="A670" t="str">
        <f>IF(ISBLANK(B670), "","PriceAreaConnection-669")</f>
        <v/>
      </c>
    </row>
    <row r="671" spans="1:1" x14ac:dyDescent="0.2">
      <c r="A671" t="str">
        <f>IF(ISBLANK(B671), "","PriceAreaConnection-670")</f>
        <v/>
      </c>
    </row>
    <row r="672" spans="1:1" x14ac:dyDescent="0.2">
      <c r="A672" t="str">
        <f>IF(ISBLANK(B672), "","PriceAreaConnection-671")</f>
        <v/>
      </c>
    </row>
    <row r="673" spans="1:1" x14ac:dyDescent="0.2">
      <c r="A673" t="str">
        <f>IF(ISBLANK(B673), "","PriceAreaConnection-672")</f>
        <v/>
      </c>
    </row>
    <row r="674" spans="1:1" x14ac:dyDescent="0.2">
      <c r="A674" t="str">
        <f>IF(ISBLANK(B674), "","PriceAreaConnection-673")</f>
        <v/>
      </c>
    </row>
    <row r="675" spans="1:1" x14ac:dyDescent="0.2">
      <c r="A675" t="str">
        <f>IF(ISBLANK(B675), "","PriceAreaConnection-674")</f>
        <v/>
      </c>
    </row>
    <row r="676" spans="1:1" x14ac:dyDescent="0.2">
      <c r="A676" t="str">
        <f>IF(ISBLANK(B676), "","PriceAreaConnection-675")</f>
        <v/>
      </c>
    </row>
    <row r="677" spans="1:1" x14ac:dyDescent="0.2">
      <c r="A677" t="str">
        <f>IF(ISBLANK(B677), "","PriceAreaConnection-676")</f>
        <v/>
      </c>
    </row>
    <row r="678" spans="1:1" x14ac:dyDescent="0.2">
      <c r="A678" t="str">
        <f>IF(ISBLANK(B678), "","PriceAreaConnection-677")</f>
        <v/>
      </c>
    </row>
    <row r="679" spans="1:1" x14ac:dyDescent="0.2">
      <c r="A679" t="str">
        <f>IF(ISBLANK(B679), "","PriceAreaConnection-678")</f>
        <v/>
      </c>
    </row>
    <row r="680" spans="1:1" x14ac:dyDescent="0.2">
      <c r="A680" t="str">
        <f>IF(ISBLANK(B680), "","PriceAreaConnection-679")</f>
        <v/>
      </c>
    </row>
    <row r="681" spans="1:1" x14ac:dyDescent="0.2">
      <c r="A681" t="str">
        <f>IF(ISBLANK(B681), "","PriceAreaConnection-680")</f>
        <v/>
      </c>
    </row>
    <row r="682" spans="1:1" x14ac:dyDescent="0.2">
      <c r="A682" t="str">
        <f>IF(ISBLANK(B682), "","PriceAreaConnection-681")</f>
        <v/>
      </c>
    </row>
    <row r="683" spans="1:1" x14ac:dyDescent="0.2">
      <c r="A683" t="str">
        <f>IF(ISBLANK(B683), "","PriceAreaConnection-682")</f>
        <v/>
      </c>
    </row>
    <row r="684" spans="1:1" x14ac:dyDescent="0.2">
      <c r="A684" t="str">
        <f>IF(ISBLANK(B684), "","PriceAreaConnection-683")</f>
        <v/>
      </c>
    </row>
    <row r="685" spans="1:1" x14ac:dyDescent="0.2">
      <c r="A685" t="str">
        <f>IF(ISBLANK(B685), "","PriceAreaConnection-684")</f>
        <v/>
      </c>
    </row>
    <row r="686" spans="1:1" x14ac:dyDescent="0.2">
      <c r="A686" t="str">
        <f>IF(ISBLANK(B686), "","PriceAreaConnection-685")</f>
        <v/>
      </c>
    </row>
    <row r="687" spans="1:1" x14ac:dyDescent="0.2">
      <c r="A687" t="str">
        <f>IF(ISBLANK(B687), "","PriceAreaConnection-686")</f>
        <v/>
      </c>
    </row>
    <row r="688" spans="1:1" x14ac:dyDescent="0.2">
      <c r="A688" t="str">
        <f>IF(ISBLANK(B688), "","PriceAreaConnection-687")</f>
        <v/>
      </c>
    </row>
    <row r="689" spans="1:1" x14ac:dyDescent="0.2">
      <c r="A689" t="str">
        <f>IF(ISBLANK(B689), "","PriceAreaConnection-688")</f>
        <v/>
      </c>
    </row>
    <row r="690" spans="1:1" x14ac:dyDescent="0.2">
      <c r="A690" t="str">
        <f>IF(ISBLANK(B690), "","PriceAreaConnection-689")</f>
        <v/>
      </c>
    </row>
    <row r="691" spans="1:1" x14ac:dyDescent="0.2">
      <c r="A691" t="str">
        <f>IF(ISBLANK(B691), "","PriceAreaConnection-690")</f>
        <v/>
      </c>
    </row>
    <row r="692" spans="1:1" x14ac:dyDescent="0.2">
      <c r="A692" t="str">
        <f>IF(ISBLANK(B692), "","PriceAreaConnection-691")</f>
        <v/>
      </c>
    </row>
    <row r="693" spans="1:1" x14ac:dyDescent="0.2">
      <c r="A693" t="str">
        <f>IF(ISBLANK(B693), "","PriceAreaConnection-692")</f>
        <v/>
      </c>
    </row>
    <row r="694" spans="1:1" x14ac:dyDescent="0.2">
      <c r="A694" t="str">
        <f>IF(ISBLANK(B694), "","PriceAreaConnection-693")</f>
        <v/>
      </c>
    </row>
    <row r="695" spans="1:1" x14ac:dyDescent="0.2">
      <c r="A695" t="str">
        <f>IF(ISBLANK(B695), "","PriceAreaConnection-694")</f>
        <v/>
      </c>
    </row>
    <row r="696" spans="1:1" x14ac:dyDescent="0.2">
      <c r="A696" t="str">
        <f>IF(ISBLANK(B696), "","PriceAreaConnection-695")</f>
        <v/>
      </c>
    </row>
    <row r="697" spans="1:1" x14ac:dyDescent="0.2">
      <c r="A697" t="str">
        <f>IF(ISBLANK(B697), "","PriceAreaConnection-696")</f>
        <v/>
      </c>
    </row>
    <row r="698" spans="1:1" x14ac:dyDescent="0.2">
      <c r="A698" t="str">
        <f>IF(ISBLANK(B698), "","PriceAreaConnection-697")</f>
        <v/>
      </c>
    </row>
    <row r="699" spans="1:1" x14ac:dyDescent="0.2">
      <c r="A699" t="str">
        <f>IF(ISBLANK(B699), "","PriceAreaConnection-698")</f>
        <v/>
      </c>
    </row>
    <row r="700" spans="1:1" x14ac:dyDescent="0.2">
      <c r="A700" t="str">
        <f>IF(ISBLANK(B700), "","PriceAreaConnection-699")</f>
        <v/>
      </c>
    </row>
    <row r="701" spans="1:1" x14ac:dyDescent="0.2">
      <c r="A701" t="str">
        <f>IF(ISBLANK(B701), "","PriceAreaConnection-700")</f>
        <v/>
      </c>
    </row>
    <row r="702" spans="1:1" x14ac:dyDescent="0.2">
      <c r="A702" t="str">
        <f>IF(ISBLANK(B702), "","PriceAreaConnection-701")</f>
        <v/>
      </c>
    </row>
    <row r="703" spans="1:1" x14ac:dyDescent="0.2">
      <c r="A703" t="str">
        <f>IF(ISBLANK(B703), "","PriceAreaConnection-702")</f>
        <v/>
      </c>
    </row>
    <row r="704" spans="1:1" x14ac:dyDescent="0.2">
      <c r="A704" t="str">
        <f>IF(ISBLANK(B704), "","PriceAreaConnection-703")</f>
        <v/>
      </c>
    </row>
    <row r="705" spans="1:1" x14ac:dyDescent="0.2">
      <c r="A705" t="str">
        <f>IF(ISBLANK(B705), "","PriceAreaConnection-704")</f>
        <v/>
      </c>
    </row>
    <row r="706" spans="1:1" x14ac:dyDescent="0.2">
      <c r="A706" t="str">
        <f>IF(ISBLANK(B706), "","PriceAreaConnection-705")</f>
        <v/>
      </c>
    </row>
    <row r="707" spans="1:1" x14ac:dyDescent="0.2">
      <c r="A707" t="str">
        <f>IF(ISBLANK(B707), "","PriceAreaConnection-706")</f>
        <v/>
      </c>
    </row>
    <row r="708" spans="1:1" x14ac:dyDescent="0.2">
      <c r="A708" t="str">
        <f>IF(ISBLANK(B708), "","PriceAreaConnection-707")</f>
        <v/>
      </c>
    </row>
    <row r="709" spans="1:1" x14ac:dyDescent="0.2">
      <c r="A709" t="str">
        <f>IF(ISBLANK(B709), "","PriceAreaConnection-708")</f>
        <v/>
      </c>
    </row>
    <row r="710" spans="1:1" x14ac:dyDescent="0.2">
      <c r="A710" t="str">
        <f>IF(ISBLANK(B710), "","PriceAreaConnection-709")</f>
        <v/>
      </c>
    </row>
    <row r="711" spans="1:1" x14ac:dyDescent="0.2">
      <c r="A711" t="str">
        <f>IF(ISBLANK(B711), "","PriceAreaConnection-710")</f>
        <v/>
      </c>
    </row>
    <row r="712" spans="1:1" x14ac:dyDescent="0.2">
      <c r="A712" t="str">
        <f>IF(ISBLANK(B712), "","PriceAreaConnection-711")</f>
        <v/>
      </c>
    </row>
    <row r="713" spans="1:1" x14ac:dyDescent="0.2">
      <c r="A713" t="str">
        <f>IF(ISBLANK(B713), "","PriceAreaConnection-712")</f>
        <v/>
      </c>
    </row>
    <row r="714" spans="1:1" x14ac:dyDescent="0.2">
      <c r="A714" t="str">
        <f>IF(ISBLANK(B714), "","PriceAreaConnection-713")</f>
        <v/>
      </c>
    </row>
    <row r="715" spans="1:1" x14ac:dyDescent="0.2">
      <c r="A715" t="str">
        <f>IF(ISBLANK(B715), "","PriceAreaConnection-714")</f>
        <v/>
      </c>
    </row>
    <row r="716" spans="1:1" x14ac:dyDescent="0.2">
      <c r="A716" t="str">
        <f>IF(ISBLANK(B716), "","PriceAreaConnection-715")</f>
        <v/>
      </c>
    </row>
    <row r="717" spans="1:1" x14ac:dyDescent="0.2">
      <c r="A717" t="str">
        <f>IF(ISBLANK(B717), "","PriceAreaConnection-716")</f>
        <v/>
      </c>
    </row>
    <row r="718" spans="1:1" x14ac:dyDescent="0.2">
      <c r="A718" t="str">
        <f>IF(ISBLANK(B718), "","PriceAreaConnection-717")</f>
        <v/>
      </c>
    </row>
    <row r="719" spans="1:1" x14ac:dyDescent="0.2">
      <c r="A719" t="str">
        <f>IF(ISBLANK(B719), "","PriceAreaConnection-718")</f>
        <v/>
      </c>
    </row>
    <row r="720" spans="1:1" x14ac:dyDescent="0.2">
      <c r="A720" t="str">
        <f>IF(ISBLANK(B720), "","PriceAreaConnection-719")</f>
        <v/>
      </c>
    </row>
    <row r="721" spans="1:1" x14ac:dyDescent="0.2">
      <c r="A721" t="str">
        <f>IF(ISBLANK(B721), "","PriceAreaConnection-720")</f>
        <v/>
      </c>
    </row>
    <row r="722" spans="1:1" x14ac:dyDescent="0.2">
      <c r="A722" t="str">
        <f>IF(ISBLANK(B722), "","PriceAreaConnection-721")</f>
        <v/>
      </c>
    </row>
    <row r="723" spans="1:1" x14ac:dyDescent="0.2">
      <c r="A723" t="str">
        <f>IF(ISBLANK(B723), "","PriceAreaConnection-722")</f>
        <v/>
      </c>
    </row>
    <row r="724" spans="1:1" x14ac:dyDescent="0.2">
      <c r="A724" t="str">
        <f>IF(ISBLANK(B724), "","PriceAreaConnection-723")</f>
        <v/>
      </c>
    </row>
    <row r="725" spans="1:1" x14ac:dyDescent="0.2">
      <c r="A725" t="str">
        <f>IF(ISBLANK(B725), "","PriceAreaConnection-724")</f>
        <v/>
      </c>
    </row>
    <row r="726" spans="1:1" x14ac:dyDescent="0.2">
      <c r="A726" t="str">
        <f>IF(ISBLANK(B726), "","PriceAreaConnection-725")</f>
        <v/>
      </c>
    </row>
    <row r="727" spans="1:1" x14ac:dyDescent="0.2">
      <c r="A727" t="str">
        <f>IF(ISBLANK(B727), "","PriceAreaConnection-726")</f>
        <v/>
      </c>
    </row>
    <row r="728" spans="1:1" x14ac:dyDescent="0.2">
      <c r="A728" t="str">
        <f>IF(ISBLANK(B728), "","PriceAreaConnection-727")</f>
        <v/>
      </c>
    </row>
    <row r="729" spans="1:1" x14ac:dyDescent="0.2">
      <c r="A729" t="str">
        <f>IF(ISBLANK(B729), "","PriceAreaConnection-728")</f>
        <v/>
      </c>
    </row>
    <row r="730" spans="1:1" x14ac:dyDescent="0.2">
      <c r="A730" t="str">
        <f>IF(ISBLANK(B730), "","PriceAreaConnection-729")</f>
        <v/>
      </c>
    </row>
    <row r="731" spans="1:1" x14ac:dyDescent="0.2">
      <c r="A731" t="str">
        <f>IF(ISBLANK(B731), "","PriceAreaConnection-730")</f>
        <v/>
      </c>
    </row>
    <row r="732" spans="1:1" x14ac:dyDescent="0.2">
      <c r="A732" t="str">
        <f>IF(ISBLANK(B732), "","PriceAreaConnection-731")</f>
        <v/>
      </c>
    </row>
    <row r="733" spans="1:1" x14ac:dyDescent="0.2">
      <c r="A733" t="str">
        <f>IF(ISBLANK(B733), "","PriceAreaConnection-732")</f>
        <v/>
      </c>
    </row>
    <row r="734" spans="1:1" x14ac:dyDescent="0.2">
      <c r="A734" t="str">
        <f>IF(ISBLANK(B734), "","PriceAreaConnection-733")</f>
        <v/>
      </c>
    </row>
    <row r="735" spans="1:1" x14ac:dyDescent="0.2">
      <c r="A735" t="str">
        <f>IF(ISBLANK(B735), "","PriceAreaConnection-734")</f>
        <v/>
      </c>
    </row>
    <row r="736" spans="1:1" x14ac:dyDescent="0.2">
      <c r="A736" t="str">
        <f>IF(ISBLANK(B736), "","PriceAreaConnection-735")</f>
        <v/>
      </c>
    </row>
    <row r="737" spans="1:1" x14ac:dyDescent="0.2">
      <c r="A737" t="str">
        <f>IF(ISBLANK(B737), "","PriceAreaConnection-736")</f>
        <v/>
      </c>
    </row>
    <row r="738" spans="1:1" x14ac:dyDescent="0.2">
      <c r="A738" t="str">
        <f>IF(ISBLANK(B738), "","PriceAreaConnection-737")</f>
        <v/>
      </c>
    </row>
    <row r="739" spans="1:1" x14ac:dyDescent="0.2">
      <c r="A739" t="str">
        <f>IF(ISBLANK(B739), "","PriceAreaConnection-738")</f>
        <v/>
      </c>
    </row>
    <row r="740" spans="1:1" x14ac:dyDescent="0.2">
      <c r="A740" t="str">
        <f>IF(ISBLANK(B740), "","PriceAreaConnection-739")</f>
        <v/>
      </c>
    </row>
    <row r="741" spans="1:1" x14ac:dyDescent="0.2">
      <c r="A741" t="str">
        <f>IF(ISBLANK(B741), "","PriceAreaConnection-740")</f>
        <v/>
      </c>
    </row>
    <row r="742" spans="1:1" x14ac:dyDescent="0.2">
      <c r="A742" t="str">
        <f>IF(ISBLANK(B742), "","PriceAreaConnection-741")</f>
        <v/>
      </c>
    </row>
    <row r="743" spans="1:1" x14ac:dyDescent="0.2">
      <c r="A743" t="str">
        <f>IF(ISBLANK(B743), "","PriceAreaConnection-742")</f>
        <v/>
      </c>
    </row>
    <row r="744" spans="1:1" x14ac:dyDescent="0.2">
      <c r="A744" t="str">
        <f>IF(ISBLANK(B744), "","PriceAreaConnection-743")</f>
        <v/>
      </c>
    </row>
    <row r="745" spans="1:1" x14ac:dyDescent="0.2">
      <c r="A745" t="str">
        <f>IF(ISBLANK(B745), "","PriceAreaConnection-744")</f>
        <v/>
      </c>
    </row>
    <row r="746" spans="1:1" x14ac:dyDescent="0.2">
      <c r="A746" t="str">
        <f>IF(ISBLANK(B746), "","PriceAreaConnection-745")</f>
        <v/>
      </c>
    </row>
    <row r="747" spans="1:1" x14ac:dyDescent="0.2">
      <c r="A747" t="str">
        <f>IF(ISBLANK(B747), "","PriceAreaConnection-746")</f>
        <v/>
      </c>
    </row>
    <row r="748" spans="1:1" x14ac:dyDescent="0.2">
      <c r="A748" t="str">
        <f>IF(ISBLANK(B748), "","PriceAreaConnection-747")</f>
        <v/>
      </c>
    </row>
    <row r="749" spans="1:1" x14ac:dyDescent="0.2">
      <c r="A749" t="str">
        <f>IF(ISBLANK(B749), "","PriceAreaConnection-748")</f>
        <v/>
      </c>
    </row>
    <row r="750" spans="1:1" x14ac:dyDescent="0.2">
      <c r="A750" t="str">
        <f>IF(ISBLANK(B750), "","PriceAreaConnection-749")</f>
        <v/>
      </c>
    </row>
    <row r="751" spans="1:1" x14ac:dyDescent="0.2">
      <c r="A751" t="str">
        <f>IF(ISBLANK(B751), "","PriceAreaConnection-750")</f>
        <v/>
      </c>
    </row>
    <row r="752" spans="1:1" x14ac:dyDescent="0.2">
      <c r="A752" t="str">
        <f>IF(ISBLANK(B752), "","PriceAreaConnection-751")</f>
        <v/>
      </c>
    </row>
    <row r="753" spans="1:1" x14ac:dyDescent="0.2">
      <c r="A753" t="str">
        <f>IF(ISBLANK(B753), "","PriceAreaConnection-752")</f>
        <v/>
      </c>
    </row>
    <row r="754" spans="1:1" x14ac:dyDescent="0.2">
      <c r="A754" t="str">
        <f>IF(ISBLANK(B754), "","PriceAreaConnection-753")</f>
        <v/>
      </c>
    </row>
    <row r="755" spans="1:1" x14ac:dyDescent="0.2">
      <c r="A755" t="str">
        <f>IF(ISBLANK(B755), "","PriceAreaConnection-754")</f>
        <v/>
      </c>
    </row>
    <row r="756" spans="1:1" x14ac:dyDescent="0.2">
      <c r="A756" t="str">
        <f>IF(ISBLANK(B756), "","PriceAreaConnection-755")</f>
        <v/>
      </c>
    </row>
    <row r="757" spans="1:1" x14ac:dyDescent="0.2">
      <c r="A757" t="str">
        <f>IF(ISBLANK(B757), "","PriceAreaConnection-756")</f>
        <v/>
      </c>
    </row>
    <row r="758" spans="1:1" x14ac:dyDescent="0.2">
      <c r="A758" t="str">
        <f>IF(ISBLANK(B758), "","PriceAreaConnection-757")</f>
        <v/>
      </c>
    </row>
    <row r="759" spans="1:1" x14ac:dyDescent="0.2">
      <c r="A759" t="str">
        <f>IF(ISBLANK(B759), "","PriceAreaConnection-758")</f>
        <v/>
      </c>
    </row>
    <row r="760" spans="1:1" x14ac:dyDescent="0.2">
      <c r="A760" t="str">
        <f>IF(ISBLANK(B760), "","PriceAreaConnection-759")</f>
        <v/>
      </c>
    </row>
    <row r="761" spans="1:1" x14ac:dyDescent="0.2">
      <c r="A761" t="str">
        <f>IF(ISBLANK(B761), "","PriceAreaConnection-760")</f>
        <v/>
      </c>
    </row>
    <row r="762" spans="1:1" x14ac:dyDescent="0.2">
      <c r="A762" t="str">
        <f>IF(ISBLANK(B762), "","PriceAreaConnection-761")</f>
        <v/>
      </c>
    </row>
    <row r="763" spans="1:1" x14ac:dyDescent="0.2">
      <c r="A763" t="str">
        <f>IF(ISBLANK(B763), "","PriceAreaConnection-762")</f>
        <v/>
      </c>
    </row>
    <row r="764" spans="1:1" x14ac:dyDescent="0.2">
      <c r="A764" t="str">
        <f>IF(ISBLANK(B764), "","PriceAreaConnection-763")</f>
        <v/>
      </c>
    </row>
    <row r="765" spans="1:1" x14ac:dyDescent="0.2">
      <c r="A765" t="str">
        <f>IF(ISBLANK(B765), "","PriceAreaConnection-764")</f>
        <v/>
      </c>
    </row>
    <row r="766" spans="1:1" x14ac:dyDescent="0.2">
      <c r="A766" t="str">
        <f>IF(ISBLANK(B766), "","PriceAreaConnection-765")</f>
        <v/>
      </c>
    </row>
    <row r="767" spans="1:1" x14ac:dyDescent="0.2">
      <c r="A767" t="str">
        <f>IF(ISBLANK(B767), "","PriceAreaConnection-766")</f>
        <v/>
      </c>
    </row>
    <row r="768" spans="1:1" x14ac:dyDescent="0.2">
      <c r="A768" t="str">
        <f>IF(ISBLANK(B768), "","PriceAreaConnection-767")</f>
        <v/>
      </c>
    </row>
    <row r="769" spans="1:1" x14ac:dyDescent="0.2">
      <c r="A769" t="str">
        <f>IF(ISBLANK(B769), "","PriceAreaConnection-768")</f>
        <v/>
      </c>
    </row>
    <row r="770" spans="1:1" x14ac:dyDescent="0.2">
      <c r="A770" t="str">
        <f>IF(ISBLANK(B770), "","PriceAreaConnection-769")</f>
        <v/>
      </c>
    </row>
    <row r="771" spans="1:1" x14ac:dyDescent="0.2">
      <c r="A771" t="str">
        <f>IF(ISBLANK(B771), "","PriceAreaConnection-770")</f>
        <v/>
      </c>
    </row>
    <row r="772" spans="1:1" x14ac:dyDescent="0.2">
      <c r="A772" t="str">
        <f>IF(ISBLANK(B772), "","PriceAreaConnection-771")</f>
        <v/>
      </c>
    </row>
    <row r="773" spans="1:1" x14ac:dyDescent="0.2">
      <c r="A773" t="str">
        <f>IF(ISBLANK(B773), "","PriceAreaConnection-772")</f>
        <v/>
      </c>
    </row>
    <row r="774" spans="1:1" x14ac:dyDescent="0.2">
      <c r="A774" t="str">
        <f>IF(ISBLANK(B774), "","PriceAreaConnection-773")</f>
        <v/>
      </c>
    </row>
    <row r="775" spans="1:1" x14ac:dyDescent="0.2">
      <c r="A775" t="str">
        <f>IF(ISBLANK(B775), "","PriceAreaConnection-774")</f>
        <v/>
      </c>
    </row>
    <row r="776" spans="1:1" x14ac:dyDescent="0.2">
      <c r="A776" t="str">
        <f>IF(ISBLANK(B776), "","PriceAreaConnection-775")</f>
        <v/>
      </c>
    </row>
    <row r="777" spans="1:1" x14ac:dyDescent="0.2">
      <c r="A777" t="str">
        <f>IF(ISBLANK(B777), "","PriceAreaConnection-776")</f>
        <v/>
      </c>
    </row>
    <row r="778" spans="1:1" x14ac:dyDescent="0.2">
      <c r="A778" t="str">
        <f>IF(ISBLANK(B778), "","PriceAreaConnection-777")</f>
        <v/>
      </c>
    </row>
    <row r="779" spans="1:1" x14ac:dyDescent="0.2">
      <c r="A779" t="str">
        <f>IF(ISBLANK(B779), "","PriceAreaConnection-778")</f>
        <v/>
      </c>
    </row>
    <row r="780" spans="1:1" x14ac:dyDescent="0.2">
      <c r="A780" t="str">
        <f>IF(ISBLANK(B780), "","PriceAreaConnection-779")</f>
        <v/>
      </c>
    </row>
    <row r="781" spans="1:1" x14ac:dyDescent="0.2">
      <c r="A781" t="str">
        <f>IF(ISBLANK(B781), "","PriceAreaConnection-780")</f>
        <v/>
      </c>
    </row>
    <row r="782" spans="1:1" x14ac:dyDescent="0.2">
      <c r="A782" t="str">
        <f>IF(ISBLANK(B782), "","PriceAreaConnection-781")</f>
        <v/>
      </c>
    </row>
    <row r="783" spans="1:1" x14ac:dyDescent="0.2">
      <c r="A783" t="str">
        <f>IF(ISBLANK(B783), "","PriceAreaConnection-782")</f>
        <v/>
      </c>
    </row>
    <row r="784" spans="1:1" x14ac:dyDescent="0.2">
      <c r="A784" t="str">
        <f>IF(ISBLANK(B784), "","PriceAreaConnection-783")</f>
        <v/>
      </c>
    </row>
    <row r="785" spans="1:1" x14ac:dyDescent="0.2">
      <c r="A785" t="str">
        <f>IF(ISBLANK(B785), "","PriceAreaConnection-784")</f>
        <v/>
      </c>
    </row>
    <row r="786" spans="1:1" x14ac:dyDescent="0.2">
      <c r="A786" t="str">
        <f>IF(ISBLANK(B786), "","PriceAreaConnection-785")</f>
        <v/>
      </c>
    </row>
    <row r="787" spans="1:1" x14ac:dyDescent="0.2">
      <c r="A787" t="str">
        <f>IF(ISBLANK(B787), "","PriceAreaConnection-786")</f>
        <v/>
      </c>
    </row>
    <row r="788" spans="1:1" x14ac:dyDescent="0.2">
      <c r="A788" t="str">
        <f>IF(ISBLANK(B788), "","PriceAreaConnection-787")</f>
        <v/>
      </c>
    </row>
    <row r="789" spans="1:1" x14ac:dyDescent="0.2">
      <c r="A789" t="str">
        <f>IF(ISBLANK(B789), "","PriceAreaConnection-788")</f>
        <v/>
      </c>
    </row>
    <row r="790" spans="1:1" x14ac:dyDescent="0.2">
      <c r="A790" t="str">
        <f>IF(ISBLANK(B790), "","PriceAreaConnection-789")</f>
        <v/>
      </c>
    </row>
    <row r="791" spans="1:1" x14ac:dyDescent="0.2">
      <c r="A791" t="str">
        <f>IF(ISBLANK(B791), "","PriceAreaConnection-790")</f>
        <v/>
      </c>
    </row>
    <row r="792" spans="1:1" x14ac:dyDescent="0.2">
      <c r="A792" t="str">
        <f>IF(ISBLANK(B792), "","PriceAreaConnection-791")</f>
        <v/>
      </c>
    </row>
    <row r="793" spans="1:1" x14ac:dyDescent="0.2">
      <c r="A793" t="str">
        <f>IF(ISBLANK(B793), "","PriceAreaConnection-792")</f>
        <v/>
      </c>
    </row>
    <row r="794" spans="1:1" x14ac:dyDescent="0.2">
      <c r="A794" t="str">
        <f>IF(ISBLANK(B794), "","PriceAreaConnection-793")</f>
        <v/>
      </c>
    </row>
    <row r="795" spans="1:1" x14ac:dyDescent="0.2">
      <c r="A795" t="str">
        <f>IF(ISBLANK(B795), "","PriceAreaConnection-794")</f>
        <v/>
      </c>
    </row>
    <row r="796" spans="1:1" x14ac:dyDescent="0.2">
      <c r="A796" t="str">
        <f>IF(ISBLANK(B796), "","PriceAreaConnection-795")</f>
        <v/>
      </c>
    </row>
    <row r="797" spans="1:1" x14ac:dyDescent="0.2">
      <c r="A797" t="str">
        <f>IF(ISBLANK(B797), "","PriceAreaConnection-796")</f>
        <v/>
      </c>
    </row>
    <row r="798" spans="1:1" x14ac:dyDescent="0.2">
      <c r="A798" t="str">
        <f>IF(ISBLANK(B798), "","PriceAreaConnection-797")</f>
        <v/>
      </c>
    </row>
    <row r="799" spans="1:1" x14ac:dyDescent="0.2">
      <c r="A799" t="str">
        <f>IF(ISBLANK(B799), "","PriceAreaConnection-798")</f>
        <v/>
      </c>
    </row>
    <row r="800" spans="1:1" x14ac:dyDescent="0.2">
      <c r="A800" t="str">
        <f>IF(ISBLANK(B800), "","PriceAreaConnection-799")</f>
        <v/>
      </c>
    </row>
    <row r="801" spans="1:1" x14ac:dyDescent="0.2">
      <c r="A801" t="str">
        <f>IF(ISBLANK(B801), "","PriceAreaConnection-800")</f>
        <v/>
      </c>
    </row>
    <row r="802" spans="1:1" x14ac:dyDescent="0.2">
      <c r="A802" t="str">
        <f>IF(ISBLANK(B802), "","PriceAreaConnection-801")</f>
        <v/>
      </c>
    </row>
    <row r="803" spans="1:1" x14ac:dyDescent="0.2">
      <c r="A803" t="str">
        <f>IF(ISBLANK(B803), "","PriceAreaConnection-802")</f>
        <v/>
      </c>
    </row>
    <row r="804" spans="1:1" x14ac:dyDescent="0.2">
      <c r="A804" t="str">
        <f>IF(ISBLANK(B804), "","PriceAreaConnection-803")</f>
        <v/>
      </c>
    </row>
    <row r="805" spans="1:1" x14ac:dyDescent="0.2">
      <c r="A805" t="str">
        <f>IF(ISBLANK(B805), "","PriceAreaConnection-804")</f>
        <v/>
      </c>
    </row>
    <row r="806" spans="1:1" x14ac:dyDescent="0.2">
      <c r="A806" t="str">
        <f>IF(ISBLANK(B806), "","PriceAreaConnection-805")</f>
        <v/>
      </c>
    </row>
    <row r="807" spans="1:1" x14ac:dyDescent="0.2">
      <c r="A807" t="str">
        <f>IF(ISBLANK(B807), "","PriceAreaConnection-806")</f>
        <v/>
      </c>
    </row>
    <row r="808" spans="1:1" x14ac:dyDescent="0.2">
      <c r="A808" t="str">
        <f>IF(ISBLANK(B808), "","PriceAreaConnection-807")</f>
        <v/>
      </c>
    </row>
    <row r="809" spans="1:1" x14ac:dyDescent="0.2">
      <c r="A809" t="str">
        <f>IF(ISBLANK(B809), "","PriceAreaConnection-808")</f>
        <v/>
      </c>
    </row>
    <row r="810" spans="1:1" x14ac:dyDescent="0.2">
      <c r="A810" t="str">
        <f>IF(ISBLANK(B810), "","PriceAreaConnection-809")</f>
        <v/>
      </c>
    </row>
    <row r="811" spans="1:1" x14ac:dyDescent="0.2">
      <c r="A811" t="str">
        <f>IF(ISBLANK(B811), "","PriceAreaConnection-810")</f>
        <v/>
      </c>
    </row>
    <row r="812" spans="1:1" x14ac:dyDescent="0.2">
      <c r="A812" t="str">
        <f>IF(ISBLANK(B812), "","PriceAreaConnection-811")</f>
        <v/>
      </c>
    </row>
    <row r="813" spans="1:1" x14ac:dyDescent="0.2">
      <c r="A813" t="str">
        <f>IF(ISBLANK(B813), "","PriceAreaConnection-812")</f>
        <v/>
      </c>
    </row>
    <row r="814" spans="1:1" x14ac:dyDescent="0.2">
      <c r="A814" t="str">
        <f>IF(ISBLANK(B814), "","PriceAreaConnection-813")</f>
        <v/>
      </c>
    </row>
    <row r="815" spans="1:1" x14ac:dyDescent="0.2">
      <c r="A815" t="str">
        <f>IF(ISBLANK(B815), "","PriceAreaConnection-814")</f>
        <v/>
      </c>
    </row>
    <row r="816" spans="1:1" x14ac:dyDescent="0.2">
      <c r="A816" t="str">
        <f>IF(ISBLANK(B816), "","PriceAreaConnection-815")</f>
        <v/>
      </c>
    </row>
    <row r="817" spans="1:1" x14ac:dyDescent="0.2">
      <c r="A817" t="str">
        <f>IF(ISBLANK(B817), "","PriceAreaConnection-816")</f>
        <v/>
      </c>
    </row>
    <row r="818" spans="1:1" x14ac:dyDescent="0.2">
      <c r="A818" t="str">
        <f>IF(ISBLANK(B818), "","PriceAreaConnection-817")</f>
        <v/>
      </c>
    </row>
    <row r="819" spans="1:1" x14ac:dyDescent="0.2">
      <c r="A819" t="str">
        <f>IF(ISBLANK(B819), "","PriceAreaConnection-818")</f>
        <v/>
      </c>
    </row>
    <row r="820" spans="1:1" x14ac:dyDescent="0.2">
      <c r="A820" t="str">
        <f>IF(ISBLANK(B820), "","PriceAreaConnection-819")</f>
        <v/>
      </c>
    </row>
    <row r="821" spans="1:1" x14ac:dyDescent="0.2">
      <c r="A821" t="str">
        <f>IF(ISBLANK(B821), "","PriceAreaConnection-820")</f>
        <v/>
      </c>
    </row>
    <row r="822" spans="1:1" x14ac:dyDescent="0.2">
      <c r="A822" t="str">
        <f>IF(ISBLANK(B822), "","PriceAreaConnection-821")</f>
        <v/>
      </c>
    </row>
    <row r="823" spans="1:1" x14ac:dyDescent="0.2">
      <c r="A823" t="str">
        <f>IF(ISBLANK(B823), "","PriceAreaConnection-822")</f>
        <v/>
      </c>
    </row>
    <row r="824" spans="1:1" x14ac:dyDescent="0.2">
      <c r="A824" t="str">
        <f>IF(ISBLANK(B824), "","PriceAreaConnection-823")</f>
        <v/>
      </c>
    </row>
    <row r="825" spans="1:1" x14ac:dyDescent="0.2">
      <c r="A825" t="str">
        <f>IF(ISBLANK(B825), "","PriceAreaConnection-824")</f>
        <v/>
      </c>
    </row>
    <row r="826" spans="1:1" x14ac:dyDescent="0.2">
      <c r="A826" t="str">
        <f>IF(ISBLANK(B826), "","PriceAreaConnection-825")</f>
        <v/>
      </c>
    </row>
    <row r="827" spans="1:1" x14ac:dyDescent="0.2">
      <c r="A827" t="str">
        <f>IF(ISBLANK(B827), "","PriceAreaConnection-826")</f>
        <v/>
      </c>
    </row>
    <row r="828" spans="1:1" x14ac:dyDescent="0.2">
      <c r="A828" t="str">
        <f>IF(ISBLANK(B828), "","PriceAreaConnection-827")</f>
        <v/>
      </c>
    </row>
    <row r="829" spans="1:1" x14ac:dyDescent="0.2">
      <c r="A829" t="str">
        <f>IF(ISBLANK(B829), "","PriceAreaConnection-828")</f>
        <v/>
      </c>
    </row>
    <row r="830" spans="1:1" x14ac:dyDescent="0.2">
      <c r="A830" t="str">
        <f>IF(ISBLANK(B830), "","PriceAreaConnection-829")</f>
        <v/>
      </c>
    </row>
    <row r="831" spans="1:1" x14ac:dyDescent="0.2">
      <c r="A831" t="str">
        <f>IF(ISBLANK(B831), "","PriceAreaConnection-830")</f>
        <v/>
      </c>
    </row>
    <row r="832" spans="1:1" x14ac:dyDescent="0.2">
      <c r="A832" t="str">
        <f>IF(ISBLANK(B832), "","PriceAreaConnection-831")</f>
        <v/>
      </c>
    </row>
    <row r="833" spans="1:1" x14ac:dyDescent="0.2">
      <c r="A833" t="str">
        <f>IF(ISBLANK(B833), "","PriceAreaConnection-832")</f>
        <v/>
      </c>
    </row>
    <row r="834" spans="1:1" x14ac:dyDescent="0.2">
      <c r="A834" t="str">
        <f>IF(ISBLANK(B834), "","PriceAreaConnection-833")</f>
        <v/>
      </c>
    </row>
    <row r="835" spans="1:1" x14ac:dyDescent="0.2">
      <c r="A835" t="str">
        <f>IF(ISBLANK(B835), "","PriceAreaConnection-834")</f>
        <v/>
      </c>
    </row>
    <row r="836" spans="1:1" x14ac:dyDescent="0.2">
      <c r="A836" t="str">
        <f>IF(ISBLANK(B836), "","PriceAreaConnection-835")</f>
        <v/>
      </c>
    </row>
    <row r="837" spans="1:1" x14ac:dyDescent="0.2">
      <c r="A837" t="str">
        <f>IF(ISBLANK(B837), "","PriceAreaConnection-836")</f>
        <v/>
      </c>
    </row>
    <row r="838" spans="1:1" x14ac:dyDescent="0.2">
      <c r="A838" t="str">
        <f>IF(ISBLANK(B838), "","PriceAreaConnection-837")</f>
        <v/>
      </c>
    </row>
    <row r="839" spans="1:1" x14ac:dyDescent="0.2">
      <c r="A839" t="str">
        <f>IF(ISBLANK(B839), "","PriceAreaConnection-838")</f>
        <v/>
      </c>
    </row>
    <row r="840" spans="1:1" x14ac:dyDescent="0.2">
      <c r="A840" t="str">
        <f>IF(ISBLANK(B840), "","PriceAreaConnection-839")</f>
        <v/>
      </c>
    </row>
    <row r="841" spans="1:1" x14ac:dyDescent="0.2">
      <c r="A841" t="str">
        <f>IF(ISBLANK(B841), "","PriceAreaConnection-840")</f>
        <v/>
      </c>
    </row>
    <row r="842" spans="1:1" x14ac:dyDescent="0.2">
      <c r="A842" t="str">
        <f>IF(ISBLANK(B842), "","PriceAreaConnection-841")</f>
        <v/>
      </c>
    </row>
    <row r="843" spans="1:1" x14ac:dyDescent="0.2">
      <c r="A843" t="str">
        <f>IF(ISBLANK(B843), "","PriceAreaConnection-842")</f>
        <v/>
      </c>
    </row>
    <row r="844" spans="1:1" x14ac:dyDescent="0.2">
      <c r="A844" t="str">
        <f>IF(ISBLANK(B844), "","PriceAreaConnection-843")</f>
        <v/>
      </c>
    </row>
    <row r="845" spans="1:1" x14ac:dyDescent="0.2">
      <c r="A845" t="str">
        <f>IF(ISBLANK(B845), "","PriceAreaConnection-844")</f>
        <v/>
      </c>
    </row>
    <row r="846" spans="1:1" x14ac:dyDescent="0.2">
      <c r="A846" t="str">
        <f>IF(ISBLANK(B846), "","PriceAreaConnection-845")</f>
        <v/>
      </c>
    </row>
    <row r="847" spans="1:1" x14ac:dyDescent="0.2">
      <c r="A847" t="str">
        <f>IF(ISBLANK(B847), "","PriceAreaConnection-846")</f>
        <v/>
      </c>
    </row>
    <row r="848" spans="1:1" x14ac:dyDescent="0.2">
      <c r="A848" t="str">
        <f>IF(ISBLANK(B848), "","PriceAreaConnection-847")</f>
        <v/>
      </c>
    </row>
    <row r="849" spans="1:1" x14ac:dyDescent="0.2">
      <c r="A849" t="str">
        <f>IF(ISBLANK(B849), "","PriceAreaConnection-848")</f>
        <v/>
      </c>
    </row>
    <row r="850" spans="1:1" x14ac:dyDescent="0.2">
      <c r="A850" t="str">
        <f>IF(ISBLANK(B850), "","PriceAreaConnection-849")</f>
        <v/>
      </c>
    </row>
    <row r="851" spans="1:1" x14ac:dyDescent="0.2">
      <c r="A851" t="str">
        <f>IF(ISBLANK(B851), "","PriceAreaConnection-850")</f>
        <v/>
      </c>
    </row>
    <row r="852" spans="1:1" x14ac:dyDescent="0.2">
      <c r="A852" t="str">
        <f>IF(ISBLANK(B852), "","PriceAreaConnection-851")</f>
        <v/>
      </c>
    </row>
    <row r="853" spans="1:1" x14ac:dyDescent="0.2">
      <c r="A853" t="str">
        <f>IF(ISBLANK(B853), "","PriceAreaConnection-852")</f>
        <v/>
      </c>
    </row>
    <row r="854" spans="1:1" x14ac:dyDescent="0.2">
      <c r="A854" t="str">
        <f>IF(ISBLANK(B854), "","PriceAreaConnection-853")</f>
        <v/>
      </c>
    </row>
    <row r="855" spans="1:1" x14ac:dyDescent="0.2">
      <c r="A855" t="str">
        <f>IF(ISBLANK(B855), "","PriceAreaConnection-854")</f>
        <v/>
      </c>
    </row>
    <row r="856" spans="1:1" x14ac:dyDescent="0.2">
      <c r="A856" t="str">
        <f>IF(ISBLANK(B856), "","PriceAreaConnection-855")</f>
        <v/>
      </c>
    </row>
    <row r="857" spans="1:1" x14ac:dyDescent="0.2">
      <c r="A857" t="str">
        <f>IF(ISBLANK(B857), "","PriceAreaConnection-856")</f>
        <v/>
      </c>
    </row>
    <row r="858" spans="1:1" x14ac:dyDescent="0.2">
      <c r="A858" t="str">
        <f>IF(ISBLANK(B858), "","PriceAreaConnection-857")</f>
        <v/>
      </c>
    </row>
    <row r="859" spans="1:1" x14ac:dyDescent="0.2">
      <c r="A859" t="str">
        <f>IF(ISBLANK(B859), "","PriceAreaConnection-858")</f>
        <v/>
      </c>
    </row>
    <row r="860" spans="1:1" x14ac:dyDescent="0.2">
      <c r="A860" t="str">
        <f>IF(ISBLANK(B860), "","PriceAreaConnection-859")</f>
        <v/>
      </c>
    </row>
    <row r="861" spans="1:1" x14ac:dyDescent="0.2">
      <c r="A861" t="str">
        <f>IF(ISBLANK(B861), "","PriceAreaConnection-860")</f>
        <v/>
      </c>
    </row>
    <row r="862" spans="1:1" x14ac:dyDescent="0.2">
      <c r="A862" t="str">
        <f>IF(ISBLANK(B862), "","PriceAreaConnection-861")</f>
        <v/>
      </c>
    </row>
    <row r="863" spans="1:1" x14ac:dyDescent="0.2">
      <c r="A863" t="str">
        <f>IF(ISBLANK(B863), "","PriceAreaConnection-862")</f>
        <v/>
      </c>
    </row>
    <row r="864" spans="1:1" x14ac:dyDescent="0.2">
      <c r="A864" t="str">
        <f>IF(ISBLANK(B864), "","PriceAreaConnection-863")</f>
        <v/>
      </c>
    </row>
    <row r="865" spans="1:1" x14ac:dyDescent="0.2">
      <c r="A865" t="str">
        <f>IF(ISBLANK(B865), "","PriceAreaConnection-864")</f>
        <v/>
      </c>
    </row>
    <row r="866" spans="1:1" x14ac:dyDescent="0.2">
      <c r="A866" t="str">
        <f>IF(ISBLANK(B866), "","PriceAreaConnection-865")</f>
        <v/>
      </c>
    </row>
    <row r="867" spans="1:1" x14ac:dyDescent="0.2">
      <c r="A867" t="str">
        <f>IF(ISBLANK(B867), "","PriceAreaConnection-866")</f>
        <v/>
      </c>
    </row>
    <row r="868" spans="1:1" x14ac:dyDescent="0.2">
      <c r="A868" t="str">
        <f>IF(ISBLANK(B868), "","PriceAreaConnection-867")</f>
        <v/>
      </c>
    </row>
    <row r="869" spans="1:1" x14ac:dyDescent="0.2">
      <c r="A869" t="str">
        <f>IF(ISBLANK(B869), "","PriceAreaConnection-868")</f>
        <v/>
      </c>
    </row>
    <row r="870" spans="1:1" x14ac:dyDescent="0.2">
      <c r="A870" t="str">
        <f>IF(ISBLANK(B870), "","PriceAreaConnection-869")</f>
        <v/>
      </c>
    </row>
    <row r="871" spans="1:1" x14ac:dyDescent="0.2">
      <c r="A871" t="str">
        <f>IF(ISBLANK(B871), "","PriceAreaConnection-870")</f>
        <v/>
      </c>
    </row>
    <row r="872" spans="1:1" x14ac:dyDescent="0.2">
      <c r="A872" t="str">
        <f>IF(ISBLANK(B872), "","PriceAreaConnection-871")</f>
        <v/>
      </c>
    </row>
    <row r="873" spans="1:1" x14ac:dyDescent="0.2">
      <c r="A873" t="str">
        <f>IF(ISBLANK(B873), "","PriceAreaConnection-872")</f>
        <v/>
      </c>
    </row>
    <row r="874" spans="1:1" x14ac:dyDescent="0.2">
      <c r="A874" t="str">
        <f>IF(ISBLANK(B874), "","PriceAreaConnection-873")</f>
        <v/>
      </c>
    </row>
    <row r="875" spans="1:1" x14ac:dyDescent="0.2">
      <c r="A875" t="str">
        <f>IF(ISBLANK(B875), "","PriceAreaConnection-874")</f>
        <v/>
      </c>
    </row>
    <row r="876" spans="1:1" x14ac:dyDescent="0.2">
      <c r="A876" t="str">
        <f>IF(ISBLANK(B876), "","PriceAreaConnection-875")</f>
        <v/>
      </c>
    </row>
    <row r="877" spans="1:1" x14ac:dyDescent="0.2">
      <c r="A877" t="str">
        <f>IF(ISBLANK(B877), "","PriceAreaConnection-876")</f>
        <v/>
      </c>
    </row>
    <row r="878" spans="1:1" x14ac:dyDescent="0.2">
      <c r="A878" t="str">
        <f>IF(ISBLANK(B878), "","PriceAreaConnection-877")</f>
        <v/>
      </c>
    </row>
    <row r="879" spans="1:1" x14ac:dyDescent="0.2">
      <c r="A879" t="str">
        <f>IF(ISBLANK(B879), "","PriceAreaConnection-878")</f>
        <v/>
      </c>
    </row>
    <row r="880" spans="1:1" x14ac:dyDescent="0.2">
      <c r="A880" t="str">
        <f>IF(ISBLANK(B880), "","PriceAreaConnection-879")</f>
        <v/>
      </c>
    </row>
    <row r="881" spans="1:1" x14ac:dyDescent="0.2">
      <c r="A881" t="str">
        <f>IF(ISBLANK(B881), "","PriceAreaConnection-880")</f>
        <v/>
      </c>
    </row>
    <row r="882" spans="1:1" x14ac:dyDescent="0.2">
      <c r="A882" t="str">
        <f>IF(ISBLANK(B882), "","PriceAreaConnection-881")</f>
        <v/>
      </c>
    </row>
    <row r="883" spans="1:1" x14ac:dyDescent="0.2">
      <c r="A883" t="str">
        <f>IF(ISBLANK(B883), "","PriceAreaConnection-882")</f>
        <v/>
      </c>
    </row>
    <row r="884" spans="1:1" x14ac:dyDescent="0.2">
      <c r="A884" t="str">
        <f>IF(ISBLANK(B884), "","PriceAreaConnection-883")</f>
        <v/>
      </c>
    </row>
    <row r="885" spans="1:1" x14ac:dyDescent="0.2">
      <c r="A885" t="str">
        <f>IF(ISBLANK(B885), "","PriceAreaConnection-884")</f>
        <v/>
      </c>
    </row>
    <row r="886" spans="1:1" x14ac:dyDescent="0.2">
      <c r="A886" t="str">
        <f>IF(ISBLANK(B886), "","PriceAreaConnection-885")</f>
        <v/>
      </c>
    </row>
    <row r="887" spans="1:1" x14ac:dyDescent="0.2">
      <c r="A887" t="str">
        <f>IF(ISBLANK(B887), "","PriceAreaConnection-886")</f>
        <v/>
      </c>
    </row>
    <row r="888" spans="1:1" x14ac:dyDescent="0.2">
      <c r="A888" t="str">
        <f>IF(ISBLANK(B888), "","PriceAreaConnection-887")</f>
        <v/>
      </c>
    </row>
    <row r="889" spans="1:1" x14ac:dyDescent="0.2">
      <c r="A889" t="str">
        <f>IF(ISBLANK(B889), "","PriceAreaConnection-888")</f>
        <v/>
      </c>
    </row>
    <row r="890" spans="1:1" x14ac:dyDescent="0.2">
      <c r="A890" t="str">
        <f>IF(ISBLANK(B890), "","PriceAreaConnection-889")</f>
        <v/>
      </c>
    </row>
    <row r="891" spans="1:1" x14ac:dyDescent="0.2">
      <c r="A891" t="str">
        <f>IF(ISBLANK(B891), "","PriceAreaConnection-890")</f>
        <v/>
      </c>
    </row>
    <row r="892" spans="1:1" x14ac:dyDescent="0.2">
      <c r="A892" t="str">
        <f>IF(ISBLANK(B892), "","PriceAreaConnection-891")</f>
        <v/>
      </c>
    </row>
    <row r="893" spans="1:1" x14ac:dyDescent="0.2">
      <c r="A893" t="str">
        <f>IF(ISBLANK(B893), "","PriceAreaConnection-892")</f>
        <v/>
      </c>
    </row>
    <row r="894" spans="1:1" x14ac:dyDescent="0.2">
      <c r="A894" t="str">
        <f>IF(ISBLANK(B894), "","PriceAreaConnection-893")</f>
        <v/>
      </c>
    </row>
    <row r="895" spans="1:1" x14ac:dyDescent="0.2">
      <c r="A895" t="str">
        <f>IF(ISBLANK(B895), "","PriceAreaConnection-894")</f>
        <v/>
      </c>
    </row>
    <row r="896" spans="1:1" x14ac:dyDescent="0.2">
      <c r="A896" t="str">
        <f>IF(ISBLANK(B896), "","PriceAreaConnection-895")</f>
        <v/>
      </c>
    </row>
    <row r="897" spans="1:1" x14ac:dyDescent="0.2">
      <c r="A897" t="str">
        <f>IF(ISBLANK(B897), "","PriceAreaConnection-896")</f>
        <v/>
      </c>
    </row>
    <row r="898" spans="1:1" x14ac:dyDescent="0.2">
      <c r="A898" t="str">
        <f>IF(ISBLANK(B898), "","PriceAreaConnection-897")</f>
        <v/>
      </c>
    </row>
    <row r="899" spans="1:1" x14ac:dyDescent="0.2">
      <c r="A899" t="str">
        <f>IF(ISBLANK(B899), "","PriceAreaConnection-898")</f>
        <v/>
      </c>
    </row>
    <row r="900" spans="1:1" x14ac:dyDescent="0.2">
      <c r="A900" t="str">
        <f>IF(ISBLANK(B900), "","PriceAreaConnection-899")</f>
        <v/>
      </c>
    </row>
    <row r="901" spans="1:1" x14ac:dyDescent="0.2">
      <c r="A901" t="str">
        <f>IF(ISBLANK(B901), "","PriceAreaConnection-900")</f>
        <v/>
      </c>
    </row>
    <row r="902" spans="1:1" x14ac:dyDescent="0.2">
      <c r="A902" t="str">
        <f>IF(ISBLANK(B902), "","PriceAreaConnection-901")</f>
        <v/>
      </c>
    </row>
    <row r="903" spans="1:1" x14ac:dyDescent="0.2">
      <c r="A903" t="str">
        <f>IF(ISBLANK(B903), "","PriceAreaConnection-902")</f>
        <v/>
      </c>
    </row>
    <row r="904" spans="1:1" x14ac:dyDescent="0.2">
      <c r="A904" t="str">
        <f>IF(ISBLANK(B904), "","PriceAreaConnection-903")</f>
        <v/>
      </c>
    </row>
    <row r="905" spans="1:1" x14ac:dyDescent="0.2">
      <c r="A905" t="str">
        <f>IF(ISBLANK(B905), "","PriceAreaConnection-904")</f>
        <v/>
      </c>
    </row>
    <row r="906" spans="1:1" x14ac:dyDescent="0.2">
      <c r="A906" t="str">
        <f>IF(ISBLANK(B906), "","PriceAreaConnection-905")</f>
        <v/>
      </c>
    </row>
    <row r="907" spans="1:1" x14ac:dyDescent="0.2">
      <c r="A907" t="str">
        <f>IF(ISBLANK(B907), "","PriceAreaConnection-906")</f>
        <v/>
      </c>
    </row>
    <row r="908" spans="1:1" x14ac:dyDescent="0.2">
      <c r="A908" t="str">
        <f>IF(ISBLANK(B908), "","PriceAreaConnection-907")</f>
        <v/>
      </c>
    </row>
    <row r="909" spans="1:1" x14ac:dyDescent="0.2">
      <c r="A909" t="str">
        <f>IF(ISBLANK(B909), "","PriceAreaConnection-908")</f>
        <v/>
      </c>
    </row>
    <row r="910" spans="1:1" x14ac:dyDescent="0.2">
      <c r="A910" t="str">
        <f>IF(ISBLANK(B910), "","PriceAreaConnection-909")</f>
        <v/>
      </c>
    </row>
    <row r="911" spans="1:1" x14ac:dyDescent="0.2">
      <c r="A911" t="str">
        <f>IF(ISBLANK(B911), "","PriceAreaConnection-910")</f>
        <v/>
      </c>
    </row>
    <row r="912" spans="1:1" x14ac:dyDescent="0.2">
      <c r="A912" t="str">
        <f>IF(ISBLANK(B912), "","PriceAreaConnection-911")</f>
        <v/>
      </c>
    </row>
    <row r="913" spans="1:1" x14ac:dyDescent="0.2">
      <c r="A913" t="str">
        <f>IF(ISBLANK(B913), "","PriceAreaConnection-912")</f>
        <v/>
      </c>
    </row>
    <row r="914" spans="1:1" x14ac:dyDescent="0.2">
      <c r="A914" t="str">
        <f>IF(ISBLANK(B914), "","PriceAreaConnection-913")</f>
        <v/>
      </c>
    </row>
    <row r="915" spans="1:1" x14ac:dyDescent="0.2">
      <c r="A915" t="str">
        <f>IF(ISBLANK(B915), "","PriceAreaConnection-914")</f>
        <v/>
      </c>
    </row>
    <row r="916" spans="1:1" x14ac:dyDescent="0.2">
      <c r="A916" t="str">
        <f>IF(ISBLANK(B916), "","PriceAreaConnection-915")</f>
        <v/>
      </c>
    </row>
    <row r="917" spans="1:1" x14ac:dyDescent="0.2">
      <c r="A917" t="str">
        <f>IF(ISBLANK(B917), "","PriceAreaConnection-916")</f>
        <v/>
      </c>
    </row>
    <row r="918" spans="1:1" x14ac:dyDescent="0.2">
      <c r="A918" t="str">
        <f>IF(ISBLANK(B918), "","PriceAreaConnection-917")</f>
        <v/>
      </c>
    </row>
    <row r="919" spans="1:1" x14ac:dyDescent="0.2">
      <c r="A919" t="str">
        <f>IF(ISBLANK(B919), "","PriceAreaConnection-918")</f>
        <v/>
      </c>
    </row>
    <row r="920" spans="1:1" x14ac:dyDescent="0.2">
      <c r="A920" t="str">
        <f>IF(ISBLANK(B920), "","PriceAreaConnection-919")</f>
        <v/>
      </c>
    </row>
    <row r="921" spans="1:1" x14ac:dyDescent="0.2">
      <c r="A921" t="str">
        <f>IF(ISBLANK(B921), "","PriceAreaConnection-920")</f>
        <v/>
      </c>
    </row>
    <row r="922" spans="1:1" x14ac:dyDescent="0.2">
      <c r="A922" t="str">
        <f>IF(ISBLANK(B922), "","PriceAreaConnection-921")</f>
        <v/>
      </c>
    </row>
    <row r="923" spans="1:1" x14ac:dyDescent="0.2">
      <c r="A923" t="str">
        <f>IF(ISBLANK(B923), "","PriceAreaConnection-922")</f>
        <v/>
      </c>
    </row>
    <row r="924" spans="1:1" x14ac:dyDescent="0.2">
      <c r="A924" t="str">
        <f>IF(ISBLANK(B924), "","PriceAreaConnection-923")</f>
        <v/>
      </c>
    </row>
    <row r="925" spans="1:1" x14ac:dyDescent="0.2">
      <c r="A925" t="str">
        <f>IF(ISBLANK(B925), "","PriceAreaConnection-924")</f>
        <v/>
      </c>
    </row>
    <row r="926" spans="1:1" x14ac:dyDescent="0.2">
      <c r="A926" t="str">
        <f>IF(ISBLANK(B926), "","PriceAreaConnection-925")</f>
        <v/>
      </c>
    </row>
    <row r="927" spans="1:1" x14ac:dyDescent="0.2">
      <c r="A927" t="str">
        <f>IF(ISBLANK(B927), "","PriceAreaConnection-926")</f>
        <v/>
      </c>
    </row>
    <row r="928" spans="1:1" x14ac:dyDescent="0.2">
      <c r="A928" t="str">
        <f>IF(ISBLANK(B928), "","PriceAreaConnection-927")</f>
        <v/>
      </c>
    </row>
    <row r="929" spans="1:1" x14ac:dyDescent="0.2">
      <c r="A929" t="str">
        <f>IF(ISBLANK(B929), "","PriceAreaConnection-928")</f>
        <v/>
      </c>
    </row>
    <row r="930" spans="1:1" x14ac:dyDescent="0.2">
      <c r="A930" t="str">
        <f>IF(ISBLANK(B930), "","PriceAreaConnection-929")</f>
        <v/>
      </c>
    </row>
    <row r="931" spans="1:1" x14ac:dyDescent="0.2">
      <c r="A931" t="str">
        <f>IF(ISBLANK(B931), "","PriceAreaConnection-930")</f>
        <v/>
      </c>
    </row>
    <row r="932" spans="1:1" x14ac:dyDescent="0.2">
      <c r="A932" t="str">
        <f>IF(ISBLANK(B932), "","PriceAreaConnection-931")</f>
        <v/>
      </c>
    </row>
    <row r="933" spans="1:1" x14ac:dyDescent="0.2">
      <c r="A933" t="str">
        <f>IF(ISBLANK(B933), "","PriceAreaConnection-932")</f>
        <v/>
      </c>
    </row>
    <row r="934" spans="1:1" x14ac:dyDescent="0.2">
      <c r="A934" t="str">
        <f>IF(ISBLANK(B934), "","PriceAreaConnection-933")</f>
        <v/>
      </c>
    </row>
    <row r="935" spans="1:1" x14ac:dyDescent="0.2">
      <c r="A935" t="str">
        <f>IF(ISBLANK(B935), "","PriceAreaConnection-934")</f>
        <v/>
      </c>
    </row>
    <row r="936" spans="1:1" x14ac:dyDescent="0.2">
      <c r="A936" t="str">
        <f>IF(ISBLANK(B936), "","PriceAreaConnection-935")</f>
        <v/>
      </c>
    </row>
    <row r="937" spans="1:1" x14ac:dyDescent="0.2">
      <c r="A937" t="str">
        <f>IF(ISBLANK(B937), "","PriceAreaConnection-936")</f>
        <v/>
      </c>
    </row>
    <row r="938" spans="1:1" x14ac:dyDescent="0.2">
      <c r="A938" t="str">
        <f>IF(ISBLANK(B938), "","PriceAreaConnection-937")</f>
        <v/>
      </c>
    </row>
    <row r="939" spans="1:1" x14ac:dyDescent="0.2">
      <c r="A939" t="str">
        <f>IF(ISBLANK(B939), "","PriceAreaConnection-938")</f>
        <v/>
      </c>
    </row>
    <row r="940" spans="1:1" x14ac:dyDescent="0.2">
      <c r="A940" t="str">
        <f>IF(ISBLANK(B940), "","PriceAreaConnection-939")</f>
        <v/>
      </c>
    </row>
    <row r="941" spans="1:1" x14ac:dyDescent="0.2">
      <c r="A941" t="str">
        <f>IF(ISBLANK(B941), "","PriceAreaConnection-940")</f>
        <v/>
      </c>
    </row>
    <row r="942" spans="1:1" x14ac:dyDescent="0.2">
      <c r="A942" t="str">
        <f>IF(ISBLANK(B942), "","PriceAreaConnection-941")</f>
        <v/>
      </c>
    </row>
    <row r="943" spans="1:1" x14ac:dyDescent="0.2">
      <c r="A943" t="str">
        <f>IF(ISBLANK(B943), "","PriceAreaConnection-942")</f>
        <v/>
      </c>
    </row>
    <row r="944" spans="1:1" x14ac:dyDescent="0.2">
      <c r="A944" t="str">
        <f>IF(ISBLANK(B944), "","PriceAreaConnection-943")</f>
        <v/>
      </c>
    </row>
    <row r="945" spans="1:1" x14ac:dyDescent="0.2">
      <c r="A945" t="str">
        <f>IF(ISBLANK(B945), "","PriceAreaConnection-944")</f>
        <v/>
      </c>
    </row>
    <row r="946" spans="1:1" x14ac:dyDescent="0.2">
      <c r="A946" t="str">
        <f>IF(ISBLANK(B946), "","PriceAreaConnection-945")</f>
        <v/>
      </c>
    </row>
    <row r="947" spans="1:1" x14ac:dyDescent="0.2">
      <c r="A947" t="str">
        <f>IF(ISBLANK(B947), "","PriceAreaConnection-946")</f>
        <v/>
      </c>
    </row>
    <row r="948" spans="1:1" x14ac:dyDescent="0.2">
      <c r="A948" t="str">
        <f>IF(ISBLANK(B948), "","PriceAreaConnection-947")</f>
        <v/>
      </c>
    </row>
    <row r="949" spans="1:1" x14ac:dyDescent="0.2">
      <c r="A949" t="str">
        <f>IF(ISBLANK(B949), "","PriceAreaConnection-948")</f>
        <v/>
      </c>
    </row>
    <row r="950" spans="1:1" x14ac:dyDescent="0.2">
      <c r="A950" t="str">
        <f>IF(ISBLANK(B950), "","PriceAreaConnection-949")</f>
        <v/>
      </c>
    </row>
    <row r="951" spans="1:1" x14ac:dyDescent="0.2">
      <c r="A951" t="str">
        <f>IF(ISBLANK(B951), "","PriceAreaConnection-950")</f>
        <v/>
      </c>
    </row>
    <row r="952" spans="1:1" x14ac:dyDescent="0.2">
      <c r="A952" t="str">
        <f>IF(ISBLANK(B952), "","PriceAreaConnection-951")</f>
        <v/>
      </c>
    </row>
    <row r="953" spans="1:1" x14ac:dyDescent="0.2">
      <c r="A953" t="str">
        <f>IF(ISBLANK(B953), "","PriceAreaConnection-952")</f>
        <v/>
      </c>
    </row>
    <row r="954" spans="1:1" x14ac:dyDescent="0.2">
      <c r="A954" t="str">
        <f>IF(ISBLANK(B954), "","PriceAreaConnection-953")</f>
        <v/>
      </c>
    </row>
    <row r="955" spans="1:1" x14ac:dyDescent="0.2">
      <c r="A955" t="str">
        <f>IF(ISBLANK(B955), "","PriceAreaConnection-954")</f>
        <v/>
      </c>
    </row>
    <row r="956" spans="1:1" x14ac:dyDescent="0.2">
      <c r="A956" t="str">
        <f>IF(ISBLANK(B956), "","PriceAreaConnection-955")</f>
        <v/>
      </c>
    </row>
    <row r="957" spans="1:1" x14ac:dyDescent="0.2">
      <c r="A957" t="str">
        <f>IF(ISBLANK(B957), "","PriceAreaConnection-956")</f>
        <v/>
      </c>
    </row>
    <row r="958" spans="1:1" x14ac:dyDescent="0.2">
      <c r="A958" t="str">
        <f>IF(ISBLANK(B958), "","PriceAreaConnection-957")</f>
        <v/>
      </c>
    </row>
    <row r="959" spans="1:1" x14ac:dyDescent="0.2">
      <c r="A959" t="str">
        <f>IF(ISBLANK(B959), "","PriceAreaConnection-958")</f>
        <v/>
      </c>
    </row>
    <row r="960" spans="1:1" x14ac:dyDescent="0.2">
      <c r="A960" t="str">
        <f>IF(ISBLANK(B960), "","PriceAreaConnection-959")</f>
        <v/>
      </c>
    </row>
    <row r="961" spans="1:1" x14ac:dyDescent="0.2">
      <c r="A961" t="str">
        <f>IF(ISBLANK(B961), "","PriceAreaConnection-960")</f>
        <v/>
      </c>
    </row>
    <row r="962" spans="1:1" x14ac:dyDescent="0.2">
      <c r="A962" t="str">
        <f>IF(ISBLANK(B962), "","PriceAreaConnection-961")</f>
        <v/>
      </c>
    </row>
    <row r="963" spans="1:1" x14ac:dyDescent="0.2">
      <c r="A963" t="str">
        <f>IF(ISBLANK(B963), "","PriceAreaConnection-962")</f>
        <v/>
      </c>
    </row>
    <row r="964" spans="1:1" x14ac:dyDescent="0.2">
      <c r="A964" t="str">
        <f>IF(ISBLANK(B964), "","PriceAreaConnection-963")</f>
        <v/>
      </c>
    </row>
    <row r="965" spans="1:1" x14ac:dyDescent="0.2">
      <c r="A965" t="str">
        <f>IF(ISBLANK(B965), "","PriceAreaConnection-964")</f>
        <v/>
      </c>
    </row>
    <row r="966" spans="1:1" x14ac:dyDescent="0.2">
      <c r="A966" t="str">
        <f>IF(ISBLANK(B966), "","PriceAreaConnection-965")</f>
        <v/>
      </c>
    </row>
    <row r="967" spans="1:1" x14ac:dyDescent="0.2">
      <c r="A967" t="str">
        <f>IF(ISBLANK(B967), "","PriceAreaConnection-966")</f>
        <v/>
      </c>
    </row>
    <row r="968" spans="1:1" x14ac:dyDescent="0.2">
      <c r="A968" t="str">
        <f>IF(ISBLANK(B968), "","PriceAreaConnection-967")</f>
        <v/>
      </c>
    </row>
    <row r="969" spans="1:1" x14ac:dyDescent="0.2">
      <c r="A969" t="str">
        <f>IF(ISBLANK(B969), "","PriceAreaConnection-968")</f>
        <v/>
      </c>
    </row>
    <row r="970" spans="1:1" x14ac:dyDescent="0.2">
      <c r="A970" t="str">
        <f>IF(ISBLANK(B970), "","PriceAreaConnection-969")</f>
        <v/>
      </c>
    </row>
    <row r="971" spans="1:1" x14ac:dyDescent="0.2">
      <c r="A971" t="str">
        <f>IF(ISBLANK(B971), "","PriceAreaConnection-970")</f>
        <v/>
      </c>
    </row>
    <row r="972" spans="1:1" x14ac:dyDescent="0.2">
      <c r="A972" t="str">
        <f>IF(ISBLANK(B972), "","PriceAreaConnection-971")</f>
        <v/>
      </c>
    </row>
    <row r="973" spans="1:1" x14ac:dyDescent="0.2">
      <c r="A973" t="str">
        <f>IF(ISBLANK(B973), "","PriceAreaConnection-972")</f>
        <v/>
      </c>
    </row>
    <row r="974" spans="1:1" x14ac:dyDescent="0.2">
      <c r="A974" t="str">
        <f>IF(ISBLANK(B974), "","PriceAreaConnection-973")</f>
        <v/>
      </c>
    </row>
    <row r="975" spans="1:1" x14ac:dyDescent="0.2">
      <c r="A975" t="str">
        <f>IF(ISBLANK(B975), "","PriceAreaConnection-974")</f>
        <v/>
      </c>
    </row>
    <row r="976" spans="1:1" x14ac:dyDescent="0.2">
      <c r="A976" t="str">
        <f>IF(ISBLANK(B976), "","PriceAreaConnection-975")</f>
        <v/>
      </c>
    </row>
    <row r="977" spans="1:1" x14ac:dyDescent="0.2">
      <c r="A977" t="str">
        <f>IF(ISBLANK(B977), "","PriceAreaConnection-976")</f>
        <v/>
      </c>
    </row>
    <row r="978" spans="1:1" x14ac:dyDescent="0.2">
      <c r="A978" t="str">
        <f>IF(ISBLANK(B978), "","PriceAreaConnection-977")</f>
        <v/>
      </c>
    </row>
    <row r="979" spans="1:1" x14ac:dyDescent="0.2">
      <c r="A979" t="str">
        <f>IF(ISBLANK(B979), "","PriceAreaConnection-978")</f>
        <v/>
      </c>
    </row>
    <row r="980" spans="1:1" x14ac:dyDescent="0.2">
      <c r="A980" t="str">
        <f>IF(ISBLANK(B980), "","PriceAreaConnection-979")</f>
        <v/>
      </c>
    </row>
    <row r="981" spans="1:1" x14ac:dyDescent="0.2">
      <c r="A981" t="str">
        <f>IF(ISBLANK(B981), "","PriceAreaConnection-980")</f>
        <v/>
      </c>
    </row>
    <row r="982" spans="1:1" x14ac:dyDescent="0.2">
      <c r="A982" t="str">
        <f>IF(ISBLANK(B982), "","PriceAreaConnection-981")</f>
        <v/>
      </c>
    </row>
    <row r="983" spans="1:1" x14ac:dyDescent="0.2">
      <c r="A983" t="str">
        <f>IF(ISBLANK(B983), "","PriceAreaConnection-982")</f>
        <v/>
      </c>
    </row>
    <row r="984" spans="1:1" x14ac:dyDescent="0.2">
      <c r="A984" t="str">
        <f>IF(ISBLANK(B984), "","PriceAreaConnection-983")</f>
        <v/>
      </c>
    </row>
    <row r="985" spans="1:1" x14ac:dyDescent="0.2">
      <c r="A985" t="str">
        <f>IF(ISBLANK(B985), "","PriceAreaConnection-984")</f>
        <v/>
      </c>
    </row>
    <row r="986" spans="1:1" x14ac:dyDescent="0.2">
      <c r="A986" t="str">
        <f>IF(ISBLANK(B986), "","PriceAreaConnection-985")</f>
        <v/>
      </c>
    </row>
    <row r="987" spans="1:1" x14ac:dyDescent="0.2">
      <c r="A987" t="str">
        <f>IF(ISBLANK(B987), "","PriceAreaConnection-986")</f>
        <v/>
      </c>
    </row>
    <row r="988" spans="1:1" x14ac:dyDescent="0.2">
      <c r="A988" t="str">
        <f>IF(ISBLANK(B988), "","PriceAreaConnection-987")</f>
        <v/>
      </c>
    </row>
    <row r="989" spans="1:1" x14ac:dyDescent="0.2">
      <c r="A989" t="str">
        <f>IF(ISBLANK(B989), "","PriceAreaConnection-988")</f>
        <v/>
      </c>
    </row>
    <row r="990" spans="1:1" x14ac:dyDescent="0.2">
      <c r="A990" t="str">
        <f>IF(ISBLANK(B990), "","PriceAreaConnection-989")</f>
        <v/>
      </c>
    </row>
    <row r="991" spans="1:1" x14ac:dyDescent="0.2">
      <c r="A991" t="str">
        <f>IF(ISBLANK(B991), "","PriceAreaConnection-990")</f>
        <v/>
      </c>
    </row>
    <row r="992" spans="1:1" x14ac:dyDescent="0.2">
      <c r="A992" t="str">
        <f>IF(ISBLANK(B992), "","PriceAreaConnection-991")</f>
        <v/>
      </c>
    </row>
    <row r="993" spans="1:1" x14ac:dyDescent="0.2">
      <c r="A993" t="str">
        <f>IF(ISBLANK(B993), "","PriceAreaConnection-992")</f>
        <v/>
      </c>
    </row>
    <row r="994" spans="1:1" x14ac:dyDescent="0.2">
      <c r="A994" t="str">
        <f>IF(ISBLANK(B994), "","PriceAreaConnection-993")</f>
        <v/>
      </c>
    </row>
    <row r="995" spans="1:1" x14ac:dyDescent="0.2">
      <c r="A995" t="str">
        <f>IF(ISBLANK(B995), "","PriceAreaConnection-994")</f>
        <v/>
      </c>
    </row>
    <row r="996" spans="1:1" x14ac:dyDescent="0.2">
      <c r="A996" t="str">
        <f>IF(ISBLANK(B996), "","PriceAreaConnection-995")</f>
        <v/>
      </c>
    </row>
    <row r="997" spans="1:1" x14ac:dyDescent="0.2">
      <c r="A997" t="str">
        <f>IF(ISBLANK(B997), "","PriceAreaConnection-996")</f>
        <v/>
      </c>
    </row>
    <row r="998" spans="1:1" x14ac:dyDescent="0.2">
      <c r="A998" t="str">
        <f>IF(ISBLANK(B998), "","PriceAreaConnection-997")</f>
        <v/>
      </c>
    </row>
    <row r="999" spans="1:1" x14ac:dyDescent="0.2">
      <c r="A999" t="str">
        <f>IF(ISBLANK(B999), "","PriceAreaConnection-998")</f>
        <v/>
      </c>
    </row>
    <row r="1000" spans="1:1" x14ac:dyDescent="0.2">
      <c r="A1000" t="str">
        <f>IF(ISBLANK(B1000), "","PriceAreaConnection-999")</f>
        <v/>
      </c>
    </row>
    <row r="1001" spans="1:1" x14ac:dyDescent="0.2">
      <c r="A1001" t="str">
        <f>IF(ISBLANK(B1001), "","PriceAreaConnection-1000")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00">
        <x14:dataValidation type="list" allowBlank="1" showInputMessage="1" showErrorMessage="1" xr:uid="{00000000-0002-0000-0300-000000000000}">
          <x14:formula1>
            <xm:f>PriceArea!A2:A1000</xm:f>
          </x14:formula1>
          <xm:sqref>C2</xm:sqref>
        </x14:dataValidation>
        <x14:dataValidation type="list" allowBlank="1" showInputMessage="1" showErrorMessage="1" xr:uid="{00000000-0002-0000-0300-000001000000}">
          <x14:formula1>
            <xm:f>PriceArea!A2:A1000</xm:f>
          </x14:formula1>
          <xm:sqref>C3</xm:sqref>
        </x14:dataValidation>
        <x14:dataValidation type="list" allowBlank="1" showInputMessage="1" showErrorMessage="1" xr:uid="{00000000-0002-0000-0300-000002000000}">
          <x14:formula1>
            <xm:f>PriceArea!A2:A1000</xm:f>
          </x14:formula1>
          <xm:sqref>C4</xm:sqref>
        </x14:dataValidation>
        <x14:dataValidation type="list" allowBlank="1" showInputMessage="1" showErrorMessage="1" xr:uid="{00000000-0002-0000-0300-000003000000}">
          <x14:formula1>
            <xm:f>PriceArea!A2:A1000</xm:f>
          </x14:formula1>
          <xm:sqref>C5</xm:sqref>
        </x14:dataValidation>
        <x14:dataValidation type="list" allowBlank="1" showInputMessage="1" showErrorMessage="1" xr:uid="{00000000-0002-0000-0300-000004000000}">
          <x14:formula1>
            <xm:f>PriceArea!A2:A1000</xm:f>
          </x14:formula1>
          <xm:sqref>C6</xm:sqref>
        </x14:dataValidation>
        <x14:dataValidation type="list" allowBlank="1" showInputMessage="1" showErrorMessage="1" xr:uid="{00000000-0002-0000-0300-000005000000}">
          <x14:formula1>
            <xm:f>PriceArea!A2:A1000</xm:f>
          </x14:formula1>
          <xm:sqref>C7</xm:sqref>
        </x14:dataValidation>
        <x14:dataValidation type="list" allowBlank="1" showInputMessage="1" showErrorMessage="1" xr:uid="{00000000-0002-0000-0300-000006000000}">
          <x14:formula1>
            <xm:f>PriceArea!A2:A1000</xm:f>
          </x14:formula1>
          <xm:sqref>C8</xm:sqref>
        </x14:dataValidation>
        <x14:dataValidation type="list" allowBlank="1" showInputMessage="1" showErrorMessage="1" xr:uid="{00000000-0002-0000-0300-000007000000}">
          <x14:formula1>
            <xm:f>PriceArea!A2:A1000</xm:f>
          </x14:formula1>
          <xm:sqref>C9</xm:sqref>
        </x14:dataValidation>
        <x14:dataValidation type="list" allowBlank="1" showInputMessage="1" showErrorMessage="1" xr:uid="{00000000-0002-0000-0300-000008000000}">
          <x14:formula1>
            <xm:f>PriceArea!A2:A1000</xm:f>
          </x14:formula1>
          <xm:sqref>C10</xm:sqref>
        </x14:dataValidation>
        <x14:dataValidation type="list" allowBlank="1" showInputMessage="1" showErrorMessage="1" xr:uid="{00000000-0002-0000-0300-000009000000}">
          <x14:formula1>
            <xm:f>PriceArea!A2:A1000</xm:f>
          </x14:formula1>
          <xm:sqref>C11</xm:sqref>
        </x14:dataValidation>
        <x14:dataValidation type="list" allowBlank="1" showInputMessage="1" showErrorMessage="1" xr:uid="{00000000-0002-0000-0300-00000A000000}">
          <x14:formula1>
            <xm:f>PriceArea!A2:A1000</xm:f>
          </x14:formula1>
          <xm:sqref>C12</xm:sqref>
        </x14:dataValidation>
        <x14:dataValidation type="list" allowBlank="1" showInputMessage="1" showErrorMessage="1" xr:uid="{00000000-0002-0000-0300-00000B000000}">
          <x14:formula1>
            <xm:f>PriceArea!A2:A1000</xm:f>
          </x14:formula1>
          <xm:sqref>C13</xm:sqref>
        </x14:dataValidation>
        <x14:dataValidation type="list" allowBlank="1" showInputMessage="1" showErrorMessage="1" xr:uid="{00000000-0002-0000-0300-00000C000000}">
          <x14:formula1>
            <xm:f>PriceArea!A2:A1000</xm:f>
          </x14:formula1>
          <xm:sqref>C14</xm:sqref>
        </x14:dataValidation>
        <x14:dataValidation type="list" allowBlank="1" showInputMessage="1" showErrorMessage="1" xr:uid="{00000000-0002-0000-0300-00000D000000}">
          <x14:formula1>
            <xm:f>PriceArea!A2:A1000</xm:f>
          </x14:formula1>
          <xm:sqref>C15</xm:sqref>
        </x14:dataValidation>
        <x14:dataValidation type="list" allowBlank="1" showInputMessage="1" showErrorMessage="1" xr:uid="{00000000-0002-0000-0300-00000E000000}">
          <x14:formula1>
            <xm:f>PriceArea!A2:A1000</xm:f>
          </x14:formula1>
          <xm:sqref>C16</xm:sqref>
        </x14:dataValidation>
        <x14:dataValidation type="list" allowBlank="1" showInputMessage="1" showErrorMessage="1" xr:uid="{00000000-0002-0000-0300-00000F000000}">
          <x14:formula1>
            <xm:f>PriceArea!A2:A1000</xm:f>
          </x14:formula1>
          <xm:sqref>C17</xm:sqref>
        </x14:dataValidation>
        <x14:dataValidation type="list" allowBlank="1" showInputMessage="1" showErrorMessage="1" xr:uid="{00000000-0002-0000-0300-000010000000}">
          <x14:formula1>
            <xm:f>PriceArea!A2:A1000</xm:f>
          </x14:formula1>
          <xm:sqref>C18</xm:sqref>
        </x14:dataValidation>
        <x14:dataValidation type="list" allowBlank="1" showInputMessage="1" showErrorMessage="1" xr:uid="{00000000-0002-0000-0300-000011000000}">
          <x14:formula1>
            <xm:f>PriceArea!A2:A1000</xm:f>
          </x14:formula1>
          <xm:sqref>C19</xm:sqref>
        </x14:dataValidation>
        <x14:dataValidation type="list" allowBlank="1" showInputMessage="1" showErrorMessage="1" xr:uid="{00000000-0002-0000-0300-000012000000}">
          <x14:formula1>
            <xm:f>PriceArea!A2:A1000</xm:f>
          </x14:formula1>
          <xm:sqref>C20</xm:sqref>
        </x14:dataValidation>
        <x14:dataValidation type="list" allowBlank="1" showInputMessage="1" showErrorMessage="1" xr:uid="{00000000-0002-0000-0300-000013000000}">
          <x14:formula1>
            <xm:f>PriceArea!A2:A1000</xm:f>
          </x14:formula1>
          <xm:sqref>C21</xm:sqref>
        </x14:dataValidation>
        <x14:dataValidation type="list" allowBlank="1" showInputMessage="1" showErrorMessage="1" xr:uid="{00000000-0002-0000-0300-000014000000}">
          <x14:formula1>
            <xm:f>PriceArea!A2:A1000</xm:f>
          </x14:formula1>
          <xm:sqref>C22</xm:sqref>
        </x14:dataValidation>
        <x14:dataValidation type="list" allowBlank="1" showInputMessage="1" showErrorMessage="1" xr:uid="{00000000-0002-0000-0300-000015000000}">
          <x14:formula1>
            <xm:f>PriceArea!A2:A1000</xm:f>
          </x14:formula1>
          <xm:sqref>C23</xm:sqref>
        </x14:dataValidation>
        <x14:dataValidation type="list" allowBlank="1" showInputMessage="1" showErrorMessage="1" xr:uid="{00000000-0002-0000-0300-000016000000}">
          <x14:formula1>
            <xm:f>PriceArea!A2:A1000</xm:f>
          </x14:formula1>
          <xm:sqref>C24</xm:sqref>
        </x14:dataValidation>
        <x14:dataValidation type="list" allowBlank="1" showInputMessage="1" showErrorMessage="1" xr:uid="{00000000-0002-0000-0300-000017000000}">
          <x14:formula1>
            <xm:f>PriceArea!A2:A1000</xm:f>
          </x14:formula1>
          <xm:sqref>C25</xm:sqref>
        </x14:dataValidation>
        <x14:dataValidation type="list" allowBlank="1" showInputMessage="1" showErrorMessage="1" xr:uid="{00000000-0002-0000-0300-000018000000}">
          <x14:formula1>
            <xm:f>PriceArea!A2:A1000</xm:f>
          </x14:formula1>
          <xm:sqref>C26</xm:sqref>
        </x14:dataValidation>
        <x14:dataValidation type="list" allowBlank="1" showInputMessage="1" showErrorMessage="1" xr:uid="{00000000-0002-0000-0300-000019000000}">
          <x14:formula1>
            <xm:f>PriceArea!A2:A1000</xm:f>
          </x14:formula1>
          <xm:sqref>C27</xm:sqref>
        </x14:dataValidation>
        <x14:dataValidation type="list" allowBlank="1" showInputMessage="1" showErrorMessage="1" xr:uid="{00000000-0002-0000-0300-00001A000000}">
          <x14:formula1>
            <xm:f>PriceArea!A2:A1000</xm:f>
          </x14:formula1>
          <xm:sqref>C28</xm:sqref>
        </x14:dataValidation>
        <x14:dataValidation type="list" allowBlank="1" showInputMessage="1" showErrorMessage="1" xr:uid="{00000000-0002-0000-0300-00001B000000}">
          <x14:formula1>
            <xm:f>PriceArea!A2:A1000</xm:f>
          </x14:formula1>
          <xm:sqref>C29</xm:sqref>
        </x14:dataValidation>
        <x14:dataValidation type="list" allowBlank="1" showInputMessage="1" showErrorMessage="1" xr:uid="{00000000-0002-0000-0300-00001C000000}">
          <x14:formula1>
            <xm:f>PriceArea!A2:A1000</xm:f>
          </x14:formula1>
          <xm:sqref>C30</xm:sqref>
        </x14:dataValidation>
        <x14:dataValidation type="list" allowBlank="1" showInputMessage="1" showErrorMessage="1" xr:uid="{00000000-0002-0000-0300-00001D000000}">
          <x14:formula1>
            <xm:f>PriceArea!A2:A1000</xm:f>
          </x14:formula1>
          <xm:sqref>C31</xm:sqref>
        </x14:dataValidation>
        <x14:dataValidation type="list" allowBlank="1" showInputMessage="1" showErrorMessage="1" xr:uid="{00000000-0002-0000-0300-00001E000000}">
          <x14:formula1>
            <xm:f>PriceArea!A2:A1000</xm:f>
          </x14:formula1>
          <xm:sqref>C32</xm:sqref>
        </x14:dataValidation>
        <x14:dataValidation type="list" allowBlank="1" showInputMessage="1" showErrorMessage="1" xr:uid="{00000000-0002-0000-0300-00001F000000}">
          <x14:formula1>
            <xm:f>PriceArea!A2:A1000</xm:f>
          </x14:formula1>
          <xm:sqref>C33</xm:sqref>
        </x14:dataValidation>
        <x14:dataValidation type="list" allowBlank="1" showInputMessage="1" showErrorMessage="1" xr:uid="{00000000-0002-0000-0300-000020000000}">
          <x14:formula1>
            <xm:f>PriceArea!A2:A1000</xm:f>
          </x14:formula1>
          <xm:sqref>C34</xm:sqref>
        </x14:dataValidation>
        <x14:dataValidation type="list" allowBlank="1" showInputMessage="1" showErrorMessage="1" xr:uid="{00000000-0002-0000-0300-000021000000}">
          <x14:formula1>
            <xm:f>PriceArea!A2:A1000</xm:f>
          </x14:formula1>
          <xm:sqref>C35</xm:sqref>
        </x14:dataValidation>
        <x14:dataValidation type="list" allowBlank="1" showInputMessage="1" showErrorMessage="1" xr:uid="{00000000-0002-0000-0300-000022000000}">
          <x14:formula1>
            <xm:f>PriceArea!A2:A1000</xm:f>
          </x14:formula1>
          <xm:sqref>C36</xm:sqref>
        </x14:dataValidation>
        <x14:dataValidation type="list" allowBlank="1" showInputMessage="1" showErrorMessage="1" xr:uid="{00000000-0002-0000-0300-000023000000}">
          <x14:formula1>
            <xm:f>PriceArea!A2:A1000</xm:f>
          </x14:formula1>
          <xm:sqref>C37</xm:sqref>
        </x14:dataValidation>
        <x14:dataValidation type="list" allowBlank="1" showInputMessage="1" showErrorMessage="1" xr:uid="{00000000-0002-0000-0300-000024000000}">
          <x14:formula1>
            <xm:f>PriceArea!A2:A1000</xm:f>
          </x14:formula1>
          <xm:sqref>C38</xm:sqref>
        </x14:dataValidation>
        <x14:dataValidation type="list" allowBlank="1" showInputMessage="1" showErrorMessage="1" xr:uid="{00000000-0002-0000-0300-000025000000}">
          <x14:formula1>
            <xm:f>PriceArea!A2:A1000</xm:f>
          </x14:formula1>
          <xm:sqref>C39</xm:sqref>
        </x14:dataValidation>
        <x14:dataValidation type="list" allowBlank="1" showInputMessage="1" showErrorMessage="1" xr:uid="{00000000-0002-0000-0300-000026000000}">
          <x14:formula1>
            <xm:f>PriceArea!A2:A1000</xm:f>
          </x14:formula1>
          <xm:sqref>C40</xm:sqref>
        </x14:dataValidation>
        <x14:dataValidation type="list" allowBlank="1" showInputMessage="1" showErrorMessage="1" xr:uid="{00000000-0002-0000-0300-000027000000}">
          <x14:formula1>
            <xm:f>PriceArea!A2:A1000</xm:f>
          </x14:formula1>
          <xm:sqref>C41</xm:sqref>
        </x14:dataValidation>
        <x14:dataValidation type="list" allowBlank="1" showInputMessage="1" showErrorMessage="1" xr:uid="{00000000-0002-0000-0300-000028000000}">
          <x14:formula1>
            <xm:f>PriceArea!A2:A1000</xm:f>
          </x14:formula1>
          <xm:sqref>C42</xm:sqref>
        </x14:dataValidation>
        <x14:dataValidation type="list" allowBlank="1" showInputMessage="1" showErrorMessage="1" xr:uid="{00000000-0002-0000-0300-000029000000}">
          <x14:formula1>
            <xm:f>PriceArea!A2:A1000</xm:f>
          </x14:formula1>
          <xm:sqref>C43</xm:sqref>
        </x14:dataValidation>
        <x14:dataValidation type="list" allowBlank="1" showInputMessage="1" showErrorMessage="1" xr:uid="{00000000-0002-0000-0300-00002A000000}">
          <x14:formula1>
            <xm:f>PriceArea!A2:A1000</xm:f>
          </x14:formula1>
          <xm:sqref>C44</xm:sqref>
        </x14:dataValidation>
        <x14:dataValidation type="list" allowBlank="1" showInputMessage="1" showErrorMessage="1" xr:uid="{00000000-0002-0000-0300-00002B000000}">
          <x14:formula1>
            <xm:f>PriceArea!A2:A1000</xm:f>
          </x14:formula1>
          <xm:sqref>C45</xm:sqref>
        </x14:dataValidation>
        <x14:dataValidation type="list" allowBlank="1" showInputMessage="1" showErrorMessage="1" xr:uid="{00000000-0002-0000-0300-00002C000000}">
          <x14:formula1>
            <xm:f>PriceArea!A2:A1000</xm:f>
          </x14:formula1>
          <xm:sqref>C46</xm:sqref>
        </x14:dataValidation>
        <x14:dataValidation type="list" allowBlank="1" showInputMessage="1" showErrorMessage="1" xr:uid="{00000000-0002-0000-0300-00002D000000}">
          <x14:formula1>
            <xm:f>PriceArea!A2:A1000</xm:f>
          </x14:formula1>
          <xm:sqref>C47</xm:sqref>
        </x14:dataValidation>
        <x14:dataValidation type="list" allowBlank="1" showInputMessage="1" showErrorMessage="1" xr:uid="{00000000-0002-0000-0300-00002E000000}">
          <x14:formula1>
            <xm:f>PriceArea!A2:A1000</xm:f>
          </x14:formula1>
          <xm:sqref>C48</xm:sqref>
        </x14:dataValidation>
        <x14:dataValidation type="list" allowBlank="1" showInputMessage="1" showErrorMessage="1" xr:uid="{00000000-0002-0000-0300-00002F000000}">
          <x14:formula1>
            <xm:f>PriceArea!A2:A1000</xm:f>
          </x14:formula1>
          <xm:sqref>C49</xm:sqref>
        </x14:dataValidation>
        <x14:dataValidation type="list" allowBlank="1" showInputMessage="1" showErrorMessage="1" xr:uid="{00000000-0002-0000-0300-000030000000}">
          <x14:formula1>
            <xm:f>PriceArea!A2:A1000</xm:f>
          </x14:formula1>
          <xm:sqref>C50</xm:sqref>
        </x14:dataValidation>
        <x14:dataValidation type="list" allowBlank="1" showInputMessage="1" showErrorMessage="1" xr:uid="{00000000-0002-0000-0300-000031000000}">
          <x14:formula1>
            <xm:f>PriceArea!A2:A1000</xm:f>
          </x14:formula1>
          <xm:sqref>C51</xm:sqref>
        </x14:dataValidation>
        <x14:dataValidation type="list" allowBlank="1" showInputMessage="1" showErrorMessage="1" xr:uid="{00000000-0002-0000-0300-000032000000}">
          <x14:formula1>
            <xm:f>PriceArea!A2:A1000</xm:f>
          </x14:formula1>
          <xm:sqref>C52</xm:sqref>
        </x14:dataValidation>
        <x14:dataValidation type="list" allowBlank="1" showInputMessage="1" showErrorMessage="1" xr:uid="{00000000-0002-0000-0300-000033000000}">
          <x14:formula1>
            <xm:f>PriceArea!A2:A1000</xm:f>
          </x14:formula1>
          <xm:sqref>C53</xm:sqref>
        </x14:dataValidation>
        <x14:dataValidation type="list" allowBlank="1" showInputMessage="1" showErrorMessage="1" xr:uid="{00000000-0002-0000-0300-000034000000}">
          <x14:formula1>
            <xm:f>PriceArea!A2:A1000</xm:f>
          </x14:formula1>
          <xm:sqref>C54</xm:sqref>
        </x14:dataValidation>
        <x14:dataValidation type="list" allowBlank="1" showInputMessage="1" showErrorMessage="1" xr:uid="{00000000-0002-0000-0300-000035000000}">
          <x14:formula1>
            <xm:f>PriceArea!A2:A1000</xm:f>
          </x14:formula1>
          <xm:sqref>C55</xm:sqref>
        </x14:dataValidation>
        <x14:dataValidation type="list" allowBlank="1" showInputMessage="1" showErrorMessage="1" xr:uid="{00000000-0002-0000-0300-000036000000}">
          <x14:formula1>
            <xm:f>PriceArea!A2:A1000</xm:f>
          </x14:formula1>
          <xm:sqref>C56</xm:sqref>
        </x14:dataValidation>
        <x14:dataValidation type="list" allowBlank="1" showInputMessage="1" showErrorMessage="1" xr:uid="{00000000-0002-0000-0300-000037000000}">
          <x14:formula1>
            <xm:f>PriceArea!A2:A1000</xm:f>
          </x14:formula1>
          <xm:sqref>C57</xm:sqref>
        </x14:dataValidation>
        <x14:dataValidation type="list" allowBlank="1" showInputMessage="1" showErrorMessage="1" xr:uid="{00000000-0002-0000-0300-000038000000}">
          <x14:formula1>
            <xm:f>PriceArea!A2:A1000</xm:f>
          </x14:formula1>
          <xm:sqref>C58</xm:sqref>
        </x14:dataValidation>
        <x14:dataValidation type="list" allowBlank="1" showInputMessage="1" showErrorMessage="1" xr:uid="{00000000-0002-0000-0300-000039000000}">
          <x14:formula1>
            <xm:f>PriceArea!A2:A1000</xm:f>
          </x14:formula1>
          <xm:sqref>C59</xm:sqref>
        </x14:dataValidation>
        <x14:dataValidation type="list" allowBlank="1" showInputMessage="1" showErrorMessage="1" xr:uid="{00000000-0002-0000-0300-00003A000000}">
          <x14:formula1>
            <xm:f>PriceArea!A2:A1000</xm:f>
          </x14:formula1>
          <xm:sqref>C60</xm:sqref>
        </x14:dataValidation>
        <x14:dataValidation type="list" allowBlank="1" showInputMessage="1" showErrorMessage="1" xr:uid="{00000000-0002-0000-0300-00003B000000}">
          <x14:formula1>
            <xm:f>PriceArea!A2:A1000</xm:f>
          </x14:formula1>
          <xm:sqref>C61</xm:sqref>
        </x14:dataValidation>
        <x14:dataValidation type="list" allowBlank="1" showInputMessage="1" showErrorMessage="1" xr:uid="{00000000-0002-0000-0300-00003C000000}">
          <x14:formula1>
            <xm:f>PriceArea!A2:A1000</xm:f>
          </x14:formula1>
          <xm:sqref>C62</xm:sqref>
        </x14:dataValidation>
        <x14:dataValidation type="list" allowBlank="1" showInputMessage="1" showErrorMessage="1" xr:uid="{00000000-0002-0000-0300-00003D000000}">
          <x14:formula1>
            <xm:f>PriceArea!A2:A1000</xm:f>
          </x14:formula1>
          <xm:sqref>C63</xm:sqref>
        </x14:dataValidation>
        <x14:dataValidation type="list" allowBlank="1" showInputMessage="1" showErrorMessage="1" xr:uid="{00000000-0002-0000-0300-00003E000000}">
          <x14:formula1>
            <xm:f>PriceArea!A2:A1000</xm:f>
          </x14:formula1>
          <xm:sqref>C64</xm:sqref>
        </x14:dataValidation>
        <x14:dataValidation type="list" allowBlank="1" showInputMessage="1" showErrorMessage="1" xr:uid="{00000000-0002-0000-0300-00003F000000}">
          <x14:formula1>
            <xm:f>PriceArea!A2:A1000</xm:f>
          </x14:formula1>
          <xm:sqref>C65</xm:sqref>
        </x14:dataValidation>
        <x14:dataValidation type="list" allowBlank="1" showInputMessage="1" showErrorMessage="1" xr:uid="{00000000-0002-0000-0300-000040000000}">
          <x14:formula1>
            <xm:f>PriceArea!A2:A1000</xm:f>
          </x14:formula1>
          <xm:sqref>C66</xm:sqref>
        </x14:dataValidation>
        <x14:dataValidation type="list" allowBlank="1" showInputMessage="1" showErrorMessage="1" xr:uid="{00000000-0002-0000-0300-000041000000}">
          <x14:formula1>
            <xm:f>PriceArea!A2:A1000</xm:f>
          </x14:formula1>
          <xm:sqref>C67</xm:sqref>
        </x14:dataValidation>
        <x14:dataValidation type="list" allowBlank="1" showInputMessage="1" showErrorMessage="1" xr:uid="{00000000-0002-0000-0300-000042000000}">
          <x14:formula1>
            <xm:f>PriceArea!A2:A1000</xm:f>
          </x14:formula1>
          <xm:sqref>C68</xm:sqref>
        </x14:dataValidation>
        <x14:dataValidation type="list" allowBlank="1" showInputMessage="1" showErrorMessage="1" xr:uid="{00000000-0002-0000-0300-000043000000}">
          <x14:formula1>
            <xm:f>PriceArea!A2:A1000</xm:f>
          </x14:formula1>
          <xm:sqref>C69</xm:sqref>
        </x14:dataValidation>
        <x14:dataValidation type="list" allowBlank="1" showInputMessage="1" showErrorMessage="1" xr:uid="{00000000-0002-0000-0300-000044000000}">
          <x14:formula1>
            <xm:f>PriceArea!A2:A1000</xm:f>
          </x14:formula1>
          <xm:sqref>C70</xm:sqref>
        </x14:dataValidation>
        <x14:dataValidation type="list" allowBlank="1" showInputMessage="1" showErrorMessage="1" xr:uid="{00000000-0002-0000-0300-000045000000}">
          <x14:formula1>
            <xm:f>PriceArea!A2:A1000</xm:f>
          </x14:formula1>
          <xm:sqref>C71</xm:sqref>
        </x14:dataValidation>
        <x14:dataValidation type="list" allowBlank="1" showInputMessage="1" showErrorMessage="1" xr:uid="{00000000-0002-0000-0300-000046000000}">
          <x14:formula1>
            <xm:f>PriceArea!A2:A1000</xm:f>
          </x14:formula1>
          <xm:sqref>C72</xm:sqref>
        </x14:dataValidation>
        <x14:dataValidation type="list" allowBlank="1" showInputMessage="1" showErrorMessage="1" xr:uid="{00000000-0002-0000-0300-000047000000}">
          <x14:formula1>
            <xm:f>PriceArea!A2:A1000</xm:f>
          </x14:formula1>
          <xm:sqref>C73</xm:sqref>
        </x14:dataValidation>
        <x14:dataValidation type="list" allowBlank="1" showInputMessage="1" showErrorMessage="1" xr:uid="{00000000-0002-0000-0300-000048000000}">
          <x14:formula1>
            <xm:f>PriceArea!A2:A1000</xm:f>
          </x14:formula1>
          <xm:sqref>C74</xm:sqref>
        </x14:dataValidation>
        <x14:dataValidation type="list" allowBlank="1" showInputMessage="1" showErrorMessage="1" xr:uid="{00000000-0002-0000-0300-000049000000}">
          <x14:formula1>
            <xm:f>PriceArea!A2:A1000</xm:f>
          </x14:formula1>
          <xm:sqref>C75</xm:sqref>
        </x14:dataValidation>
        <x14:dataValidation type="list" allowBlank="1" showInputMessage="1" showErrorMessage="1" xr:uid="{00000000-0002-0000-0300-00004A000000}">
          <x14:formula1>
            <xm:f>PriceArea!A2:A1000</xm:f>
          </x14:formula1>
          <xm:sqref>C76</xm:sqref>
        </x14:dataValidation>
        <x14:dataValidation type="list" allowBlank="1" showInputMessage="1" showErrorMessage="1" xr:uid="{00000000-0002-0000-0300-00004B000000}">
          <x14:formula1>
            <xm:f>PriceArea!A2:A1000</xm:f>
          </x14:formula1>
          <xm:sqref>C77</xm:sqref>
        </x14:dataValidation>
        <x14:dataValidation type="list" allowBlank="1" showInputMessage="1" showErrorMessage="1" xr:uid="{00000000-0002-0000-0300-00004C000000}">
          <x14:formula1>
            <xm:f>PriceArea!A2:A1000</xm:f>
          </x14:formula1>
          <xm:sqref>C78</xm:sqref>
        </x14:dataValidation>
        <x14:dataValidation type="list" allowBlank="1" showInputMessage="1" showErrorMessage="1" xr:uid="{00000000-0002-0000-0300-00004D000000}">
          <x14:formula1>
            <xm:f>PriceArea!A2:A1000</xm:f>
          </x14:formula1>
          <xm:sqref>C79</xm:sqref>
        </x14:dataValidation>
        <x14:dataValidation type="list" allowBlank="1" showInputMessage="1" showErrorMessage="1" xr:uid="{00000000-0002-0000-0300-00004E000000}">
          <x14:formula1>
            <xm:f>PriceArea!A2:A1000</xm:f>
          </x14:formula1>
          <xm:sqref>C80</xm:sqref>
        </x14:dataValidation>
        <x14:dataValidation type="list" allowBlank="1" showInputMessage="1" showErrorMessage="1" xr:uid="{00000000-0002-0000-0300-00004F000000}">
          <x14:formula1>
            <xm:f>PriceArea!A2:A1000</xm:f>
          </x14:formula1>
          <xm:sqref>C81</xm:sqref>
        </x14:dataValidation>
        <x14:dataValidation type="list" allowBlank="1" showInputMessage="1" showErrorMessage="1" xr:uid="{00000000-0002-0000-0300-000050000000}">
          <x14:formula1>
            <xm:f>PriceArea!A2:A1000</xm:f>
          </x14:formula1>
          <xm:sqref>C82</xm:sqref>
        </x14:dataValidation>
        <x14:dataValidation type="list" allowBlank="1" showInputMessage="1" showErrorMessage="1" xr:uid="{00000000-0002-0000-0300-000051000000}">
          <x14:formula1>
            <xm:f>PriceArea!A2:A1000</xm:f>
          </x14:formula1>
          <xm:sqref>C83</xm:sqref>
        </x14:dataValidation>
        <x14:dataValidation type="list" allowBlank="1" showInputMessage="1" showErrorMessage="1" xr:uid="{00000000-0002-0000-0300-000052000000}">
          <x14:formula1>
            <xm:f>PriceArea!A2:A1000</xm:f>
          </x14:formula1>
          <xm:sqref>C84</xm:sqref>
        </x14:dataValidation>
        <x14:dataValidation type="list" allowBlank="1" showInputMessage="1" showErrorMessage="1" xr:uid="{00000000-0002-0000-0300-000053000000}">
          <x14:formula1>
            <xm:f>PriceArea!A2:A1000</xm:f>
          </x14:formula1>
          <xm:sqref>C85</xm:sqref>
        </x14:dataValidation>
        <x14:dataValidation type="list" allowBlank="1" showInputMessage="1" showErrorMessage="1" xr:uid="{00000000-0002-0000-0300-000054000000}">
          <x14:formula1>
            <xm:f>PriceArea!A2:A1000</xm:f>
          </x14:formula1>
          <xm:sqref>C86</xm:sqref>
        </x14:dataValidation>
        <x14:dataValidation type="list" allowBlank="1" showInputMessage="1" showErrorMessage="1" xr:uid="{00000000-0002-0000-0300-000055000000}">
          <x14:formula1>
            <xm:f>PriceArea!A2:A1000</xm:f>
          </x14:formula1>
          <xm:sqref>C87</xm:sqref>
        </x14:dataValidation>
        <x14:dataValidation type="list" allowBlank="1" showInputMessage="1" showErrorMessage="1" xr:uid="{00000000-0002-0000-0300-000056000000}">
          <x14:formula1>
            <xm:f>PriceArea!A2:A1000</xm:f>
          </x14:formula1>
          <xm:sqref>C88</xm:sqref>
        </x14:dataValidation>
        <x14:dataValidation type="list" allowBlank="1" showInputMessage="1" showErrorMessage="1" xr:uid="{00000000-0002-0000-0300-000057000000}">
          <x14:formula1>
            <xm:f>PriceArea!A2:A1000</xm:f>
          </x14:formula1>
          <xm:sqref>C89</xm:sqref>
        </x14:dataValidation>
        <x14:dataValidation type="list" allowBlank="1" showInputMessage="1" showErrorMessage="1" xr:uid="{00000000-0002-0000-0300-000058000000}">
          <x14:formula1>
            <xm:f>PriceArea!A2:A1000</xm:f>
          </x14:formula1>
          <xm:sqref>C90</xm:sqref>
        </x14:dataValidation>
        <x14:dataValidation type="list" allowBlank="1" showInputMessage="1" showErrorMessage="1" xr:uid="{00000000-0002-0000-0300-000059000000}">
          <x14:formula1>
            <xm:f>PriceArea!A2:A1000</xm:f>
          </x14:formula1>
          <xm:sqref>C91</xm:sqref>
        </x14:dataValidation>
        <x14:dataValidation type="list" allowBlank="1" showInputMessage="1" showErrorMessage="1" xr:uid="{00000000-0002-0000-0300-00005A000000}">
          <x14:formula1>
            <xm:f>PriceArea!A2:A1000</xm:f>
          </x14:formula1>
          <xm:sqref>C92</xm:sqref>
        </x14:dataValidation>
        <x14:dataValidation type="list" allowBlank="1" showInputMessage="1" showErrorMessage="1" xr:uid="{00000000-0002-0000-0300-00005B000000}">
          <x14:formula1>
            <xm:f>PriceArea!A2:A1000</xm:f>
          </x14:formula1>
          <xm:sqref>C93</xm:sqref>
        </x14:dataValidation>
        <x14:dataValidation type="list" allowBlank="1" showInputMessage="1" showErrorMessage="1" xr:uid="{00000000-0002-0000-0300-00005C000000}">
          <x14:formula1>
            <xm:f>PriceArea!A2:A1000</xm:f>
          </x14:formula1>
          <xm:sqref>C94</xm:sqref>
        </x14:dataValidation>
        <x14:dataValidation type="list" allowBlank="1" showInputMessage="1" showErrorMessage="1" xr:uid="{00000000-0002-0000-0300-00005D000000}">
          <x14:formula1>
            <xm:f>PriceArea!A2:A1000</xm:f>
          </x14:formula1>
          <xm:sqref>C95</xm:sqref>
        </x14:dataValidation>
        <x14:dataValidation type="list" allowBlank="1" showInputMessage="1" showErrorMessage="1" xr:uid="{00000000-0002-0000-0300-00005E000000}">
          <x14:formula1>
            <xm:f>PriceArea!A2:A1000</xm:f>
          </x14:formula1>
          <xm:sqref>C96</xm:sqref>
        </x14:dataValidation>
        <x14:dataValidation type="list" allowBlank="1" showInputMessage="1" showErrorMessage="1" xr:uid="{00000000-0002-0000-0300-00005F000000}">
          <x14:formula1>
            <xm:f>PriceArea!A2:A1000</xm:f>
          </x14:formula1>
          <xm:sqref>C97</xm:sqref>
        </x14:dataValidation>
        <x14:dataValidation type="list" allowBlank="1" showInputMessage="1" showErrorMessage="1" xr:uid="{00000000-0002-0000-0300-000060000000}">
          <x14:formula1>
            <xm:f>PriceArea!A2:A1000</xm:f>
          </x14:formula1>
          <xm:sqref>C98</xm:sqref>
        </x14:dataValidation>
        <x14:dataValidation type="list" allowBlank="1" showInputMessage="1" showErrorMessage="1" xr:uid="{00000000-0002-0000-0300-000061000000}">
          <x14:formula1>
            <xm:f>PriceArea!A2:A1000</xm:f>
          </x14:formula1>
          <xm:sqref>C99</xm:sqref>
        </x14:dataValidation>
        <x14:dataValidation type="list" allowBlank="1" showInputMessage="1" showErrorMessage="1" xr:uid="{00000000-0002-0000-0300-000062000000}">
          <x14:formula1>
            <xm:f>PriceArea!A2:A1000</xm:f>
          </x14:formula1>
          <xm:sqref>C100</xm:sqref>
        </x14:dataValidation>
        <x14:dataValidation type="list" allowBlank="1" showInputMessage="1" showErrorMessage="1" xr:uid="{00000000-0002-0000-0300-000063000000}">
          <x14:formula1>
            <xm:f>PriceArea!A2:A1000</xm:f>
          </x14:formula1>
          <xm:sqref>C101</xm:sqref>
        </x14:dataValidation>
        <x14:dataValidation type="list" allowBlank="1" showInputMessage="1" showErrorMessage="1" xr:uid="{00000000-0002-0000-0300-000064000000}">
          <x14:formula1>
            <xm:f>PriceArea!A2:A1000</xm:f>
          </x14:formula1>
          <xm:sqref>C102</xm:sqref>
        </x14:dataValidation>
        <x14:dataValidation type="list" allowBlank="1" showInputMessage="1" showErrorMessage="1" xr:uid="{00000000-0002-0000-0300-000065000000}">
          <x14:formula1>
            <xm:f>PriceArea!A2:A1000</xm:f>
          </x14:formula1>
          <xm:sqref>C103</xm:sqref>
        </x14:dataValidation>
        <x14:dataValidation type="list" allowBlank="1" showInputMessage="1" showErrorMessage="1" xr:uid="{00000000-0002-0000-0300-000066000000}">
          <x14:formula1>
            <xm:f>PriceArea!A2:A1000</xm:f>
          </x14:formula1>
          <xm:sqref>C104</xm:sqref>
        </x14:dataValidation>
        <x14:dataValidation type="list" allowBlank="1" showInputMessage="1" showErrorMessage="1" xr:uid="{00000000-0002-0000-0300-000067000000}">
          <x14:formula1>
            <xm:f>PriceArea!A2:A1000</xm:f>
          </x14:formula1>
          <xm:sqref>C105</xm:sqref>
        </x14:dataValidation>
        <x14:dataValidation type="list" allowBlank="1" showInputMessage="1" showErrorMessage="1" xr:uid="{00000000-0002-0000-0300-000068000000}">
          <x14:formula1>
            <xm:f>PriceArea!A2:A1000</xm:f>
          </x14:formula1>
          <xm:sqref>C106</xm:sqref>
        </x14:dataValidation>
        <x14:dataValidation type="list" allowBlank="1" showInputMessage="1" showErrorMessage="1" xr:uid="{00000000-0002-0000-0300-000069000000}">
          <x14:formula1>
            <xm:f>PriceArea!A2:A1000</xm:f>
          </x14:formula1>
          <xm:sqref>C107</xm:sqref>
        </x14:dataValidation>
        <x14:dataValidation type="list" allowBlank="1" showInputMessage="1" showErrorMessage="1" xr:uid="{00000000-0002-0000-0300-00006A000000}">
          <x14:formula1>
            <xm:f>PriceArea!A2:A1000</xm:f>
          </x14:formula1>
          <xm:sqref>C108</xm:sqref>
        </x14:dataValidation>
        <x14:dataValidation type="list" allowBlank="1" showInputMessage="1" showErrorMessage="1" xr:uid="{00000000-0002-0000-0300-00006B000000}">
          <x14:formula1>
            <xm:f>PriceArea!A2:A1000</xm:f>
          </x14:formula1>
          <xm:sqref>C109</xm:sqref>
        </x14:dataValidation>
        <x14:dataValidation type="list" allowBlank="1" showInputMessage="1" showErrorMessage="1" xr:uid="{00000000-0002-0000-0300-00006C000000}">
          <x14:formula1>
            <xm:f>PriceArea!A2:A1000</xm:f>
          </x14:formula1>
          <xm:sqref>C110</xm:sqref>
        </x14:dataValidation>
        <x14:dataValidation type="list" allowBlank="1" showInputMessage="1" showErrorMessage="1" xr:uid="{00000000-0002-0000-0300-00006D000000}">
          <x14:formula1>
            <xm:f>PriceArea!A2:A1000</xm:f>
          </x14:formula1>
          <xm:sqref>C111</xm:sqref>
        </x14:dataValidation>
        <x14:dataValidation type="list" allowBlank="1" showInputMessage="1" showErrorMessage="1" xr:uid="{00000000-0002-0000-0300-00006E000000}">
          <x14:formula1>
            <xm:f>PriceArea!A2:A1000</xm:f>
          </x14:formula1>
          <xm:sqref>C112</xm:sqref>
        </x14:dataValidation>
        <x14:dataValidation type="list" allowBlank="1" showInputMessage="1" showErrorMessage="1" xr:uid="{00000000-0002-0000-0300-00006F000000}">
          <x14:formula1>
            <xm:f>PriceArea!A2:A1000</xm:f>
          </x14:formula1>
          <xm:sqref>C113</xm:sqref>
        </x14:dataValidation>
        <x14:dataValidation type="list" allowBlank="1" showInputMessage="1" showErrorMessage="1" xr:uid="{00000000-0002-0000-0300-000070000000}">
          <x14:formula1>
            <xm:f>PriceArea!A2:A1000</xm:f>
          </x14:formula1>
          <xm:sqref>C114</xm:sqref>
        </x14:dataValidation>
        <x14:dataValidation type="list" allowBlank="1" showInputMessage="1" showErrorMessage="1" xr:uid="{00000000-0002-0000-0300-000071000000}">
          <x14:formula1>
            <xm:f>PriceArea!A2:A1000</xm:f>
          </x14:formula1>
          <xm:sqref>C115</xm:sqref>
        </x14:dataValidation>
        <x14:dataValidation type="list" allowBlank="1" showInputMessage="1" showErrorMessage="1" xr:uid="{00000000-0002-0000-0300-000072000000}">
          <x14:formula1>
            <xm:f>PriceArea!A2:A1000</xm:f>
          </x14:formula1>
          <xm:sqref>C116</xm:sqref>
        </x14:dataValidation>
        <x14:dataValidation type="list" allowBlank="1" showInputMessage="1" showErrorMessage="1" xr:uid="{00000000-0002-0000-0300-000073000000}">
          <x14:formula1>
            <xm:f>PriceArea!A2:A1000</xm:f>
          </x14:formula1>
          <xm:sqref>C117</xm:sqref>
        </x14:dataValidation>
        <x14:dataValidation type="list" allowBlank="1" showInputMessage="1" showErrorMessage="1" xr:uid="{00000000-0002-0000-0300-000074000000}">
          <x14:formula1>
            <xm:f>PriceArea!A2:A1000</xm:f>
          </x14:formula1>
          <xm:sqref>C118</xm:sqref>
        </x14:dataValidation>
        <x14:dataValidation type="list" allowBlank="1" showInputMessage="1" showErrorMessage="1" xr:uid="{00000000-0002-0000-0300-000075000000}">
          <x14:formula1>
            <xm:f>PriceArea!A2:A1000</xm:f>
          </x14:formula1>
          <xm:sqref>C119</xm:sqref>
        </x14:dataValidation>
        <x14:dataValidation type="list" allowBlank="1" showInputMessage="1" showErrorMessage="1" xr:uid="{00000000-0002-0000-0300-000076000000}">
          <x14:formula1>
            <xm:f>PriceArea!A2:A1000</xm:f>
          </x14:formula1>
          <xm:sqref>C120</xm:sqref>
        </x14:dataValidation>
        <x14:dataValidation type="list" allowBlank="1" showInputMessage="1" showErrorMessage="1" xr:uid="{00000000-0002-0000-0300-000077000000}">
          <x14:formula1>
            <xm:f>PriceArea!A2:A1000</xm:f>
          </x14:formula1>
          <xm:sqref>C121</xm:sqref>
        </x14:dataValidation>
        <x14:dataValidation type="list" allowBlank="1" showInputMessage="1" showErrorMessage="1" xr:uid="{00000000-0002-0000-0300-000078000000}">
          <x14:formula1>
            <xm:f>PriceArea!A2:A1000</xm:f>
          </x14:formula1>
          <xm:sqref>C122</xm:sqref>
        </x14:dataValidation>
        <x14:dataValidation type="list" allowBlank="1" showInputMessage="1" showErrorMessage="1" xr:uid="{00000000-0002-0000-0300-000079000000}">
          <x14:formula1>
            <xm:f>PriceArea!A2:A1000</xm:f>
          </x14:formula1>
          <xm:sqref>C123</xm:sqref>
        </x14:dataValidation>
        <x14:dataValidation type="list" allowBlank="1" showInputMessage="1" showErrorMessage="1" xr:uid="{00000000-0002-0000-0300-00007A000000}">
          <x14:formula1>
            <xm:f>PriceArea!A2:A1000</xm:f>
          </x14:formula1>
          <xm:sqref>C124</xm:sqref>
        </x14:dataValidation>
        <x14:dataValidation type="list" allowBlank="1" showInputMessage="1" showErrorMessage="1" xr:uid="{00000000-0002-0000-0300-00007B000000}">
          <x14:formula1>
            <xm:f>PriceArea!A2:A1000</xm:f>
          </x14:formula1>
          <xm:sqref>C125</xm:sqref>
        </x14:dataValidation>
        <x14:dataValidation type="list" allowBlank="1" showInputMessage="1" showErrorMessage="1" xr:uid="{00000000-0002-0000-0300-00007C000000}">
          <x14:formula1>
            <xm:f>PriceArea!A2:A1000</xm:f>
          </x14:formula1>
          <xm:sqref>C126</xm:sqref>
        </x14:dataValidation>
        <x14:dataValidation type="list" allowBlank="1" showInputMessage="1" showErrorMessage="1" xr:uid="{00000000-0002-0000-0300-00007D000000}">
          <x14:formula1>
            <xm:f>PriceArea!A2:A1000</xm:f>
          </x14:formula1>
          <xm:sqref>C127</xm:sqref>
        </x14:dataValidation>
        <x14:dataValidation type="list" allowBlank="1" showInputMessage="1" showErrorMessage="1" xr:uid="{00000000-0002-0000-0300-00007E000000}">
          <x14:formula1>
            <xm:f>PriceArea!A2:A1000</xm:f>
          </x14:formula1>
          <xm:sqref>C128</xm:sqref>
        </x14:dataValidation>
        <x14:dataValidation type="list" allowBlank="1" showInputMessage="1" showErrorMessage="1" xr:uid="{00000000-0002-0000-0300-00007F000000}">
          <x14:formula1>
            <xm:f>PriceArea!A2:A1000</xm:f>
          </x14:formula1>
          <xm:sqref>C129</xm:sqref>
        </x14:dataValidation>
        <x14:dataValidation type="list" allowBlank="1" showInputMessage="1" showErrorMessage="1" xr:uid="{00000000-0002-0000-0300-000080000000}">
          <x14:formula1>
            <xm:f>PriceArea!A2:A1000</xm:f>
          </x14:formula1>
          <xm:sqref>C130</xm:sqref>
        </x14:dataValidation>
        <x14:dataValidation type="list" allowBlank="1" showInputMessage="1" showErrorMessage="1" xr:uid="{00000000-0002-0000-0300-000081000000}">
          <x14:formula1>
            <xm:f>PriceArea!A2:A1000</xm:f>
          </x14:formula1>
          <xm:sqref>C131</xm:sqref>
        </x14:dataValidation>
        <x14:dataValidation type="list" allowBlank="1" showInputMessage="1" showErrorMessage="1" xr:uid="{00000000-0002-0000-0300-000082000000}">
          <x14:formula1>
            <xm:f>PriceArea!A2:A1000</xm:f>
          </x14:formula1>
          <xm:sqref>C132</xm:sqref>
        </x14:dataValidation>
        <x14:dataValidation type="list" allowBlank="1" showInputMessage="1" showErrorMessage="1" xr:uid="{00000000-0002-0000-0300-000083000000}">
          <x14:formula1>
            <xm:f>PriceArea!A2:A1000</xm:f>
          </x14:formula1>
          <xm:sqref>C133</xm:sqref>
        </x14:dataValidation>
        <x14:dataValidation type="list" allowBlank="1" showInputMessage="1" showErrorMessage="1" xr:uid="{00000000-0002-0000-0300-000084000000}">
          <x14:formula1>
            <xm:f>PriceArea!A2:A1000</xm:f>
          </x14:formula1>
          <xm:sqref>C134</xm:sqref>
        </x14:dataValidation>
        <x14:dataValidation type="list" allowBlank="1" showInputMessage="1" showErrorMessage="1" xr:uid="{00000000-0002-0000-0300-000085000000}">
          <x14:formula1>
            <xm:f>PriceArea!A2:A1000</xm:f>
          </x14:formula1>
          <xm:sqref>C135</xm:sqref>
        </x14:dataValidation>
        <x14:dataValidation type="list" allowBlank="1" showInputMessage="1" showErrorMessage="1" xr:uid="{00000000-0002-0000-0300-000086000000}">
          <x14:formula1>
            <xm:f>PriceArea!A2:A1000</xm:f>
          </x14:formula1>
          <xm:sqref>C136</xm:sqref>
        </x14:dataValidation>
        <x14:dataValidation type="list" allowBlank="1" showInputMessage="1" showErrorMessage="1" xr:uid="{00000000-0002-0000-0300-000087000000}">
          <x14:formula1>
            <xm:f>PriceArea!A2:A1000</xm:f>
          </x14:formula1>
          <xm:sqref>C137</xm:sqref>
        </x14:dataValidation>
        <x14:dataValidation type="list" allowBlank="1" showInputMessage="1" showErrorMessage="1" xr:uid="{00000000-0002-0000-0300-000088000000}">
          <x14:formula1>
            <xm:f>PriceArea!A2:A1000</xm:f>
          </x14:formula1>
          <xm:sqref>C138</xm:sqref>
        </x14:dataValidation>
        <x14:dataValidation type="list" allowBlank="1" showInputMessage="1" showErrorMessage="1" xr:uid="{00000000-0002-0000-0300-000089000000}">
          <x14:formula1>
            <xm:f>PriceArea!A2:A1000</xm:f>
          </x14:formula1>
          <xm:sqref>C139</xm:sqref>
        </x14:dataValidation>
        <x14:dataValidation type="list" allowBlank="1" showInputMessage="1" showErrorMessage="1" xr:uid="{00000000-0002-0000-0300-00008A000000}">
          <x14:formula1>
            <xm:f>PriceArea!A2:A1000</xm:f>
          </x14:formula1>
          <xm:sqref>C140</xm:sqref>
        </x14:dataValidation>
        <x14:dataValidation type="list" allowBlank="1" showInputMessage="1" showErrorMessage="1" xr:uid="{00000000-0002-0000-0300-00008B000000}">
          <x14:formula1>
            <xm:f>PriceArea!A2:A1000</xm:f>
          </x14:formula1>
          <xm:sqref>C141</xm:sqref>
        </x14:dataValidation>
        <x14:dataValidation type="list" allowBlank="1" showInputMessage="1" showErrorMessage="1" xr:uid="{00000000-0002-0000-0300-00008C000000}">
          <x14:formula1>
            <xm:f>PriceArea!A2:A1000</xm:f>
          </x14:formula1>
          <xm:sqref>C142</xm:sqref>
        </x14:dataValidation>
        <x14:dataValidation type="list" allowBlank="1" showInputMessage="1" showErrorMessage="1" xr:uid="{00000000-0002-0000-0300-00008D000000}">
          <x14:formula1>
            <xm:f>PriceArea!A2:A1000</xm:f>
          </x14:formula1>
          <xm:sqref>C143</xm:sqref>
        </x14:dataValidation>
        <x14:dataValidation type="list" allowBlank="1" showInputMessage="1" showErrorMessage="1" xr:uid="{00000000-0002-0000-0300-00008E000000}">
          <x14:formula1>
            <xm:f>PriceArea!A2:A1000</xm:f>
          </x14:formula1>
          <xm:sqref>C144</xm:sqref>
        </x14:dataValidation>
        <x14:dataValidation type="list" allowBlank="1" showInputMessage="1" showErrorMessage="1" xr:uid="{00000000-0002-0000-0300-00008F000000}">
          <x14:formula1>
            <xm:f>PriceArea!A2:A1000</xm:f>
          </x14:formula1>
          <xm:sqref>C145</xm:sqref>
        </x14:dataValidation>
        <x14:dataValidation type="list" allowBlank="1" showInputMessage="1" showErrorMessage="1" xr:uid="{00000000-0002-0000-0300-000090000000}">
          <x14:formula1>
            <xm:f>PriceArea!A2:A1000</xm:f>
          </x14:formula1>
          <xm:sqref>C146</xm:sqref>
        </x14:dataValidation>
        <x14:dataValidation type="list" allowBlank="1" showInputMessage="1" showErrorMessage="1" xr:uid="{00000000-0002-0000-0300-000091000000}">
          <x14:formula1>
            <xm:f>PriceArea!A2:A1000</xm:f>
          </x14:formula1>
          <xm:sqref>C147</xm:sqref>
        </x14:dataValidation>
        <x14:dataValidation type="list" allowBlank="1" showInputMessage="1" showErrorMessage="1" xr:uid="{00000000-0002-0000-0300-000092000000}">
          <x14:formula1>
            <xm:f>PriceArea!A2:A1000</xm:f>
          </x14:formula1>
          <xm:sqref>C148</xm:sqref>
        </x14:dataValidation>
        <x14:dataValidation type="list" allowBlank="1" showInputMessage="1" showErrorMessage="1" xr:uid="{00000000-0002-0000-0300-000093000000}">
          <x14:formula1>
            <xm:f>PriceArea!A2:A1000</xm:f>
          </x14:formula1>
          <xm:sqref>C149</xm:sqref>
        </x14:dataValidation>
        <x14:dataValidation type="list" allowBlank="1" showInputMessage="1" showErrorMessage="1" xr:uid="{00000000-0002-0000-0300-000094000000}">
          <x14:formula1>
            <xm:f>PriceArea!A2:A1000</xm:f>
          </x14:formula1>
          <xm:sqref>C150</xm:sqref>
        </x14:dataValidation>
        <x14:dataValidation type="list" allowBlank="1" showInputMessage="1" showErrorMessage="1" xr:uid="{00000000-0002-0000-0300-000095000000}">
          <x14:formula1>
            <xm:f>PriceArea!A2:A1000</xm:f>
          </x14:formula1>
          <xm:sqref>C151</xm:sqref>
        </x14:dataValidation>
        <x14:dataValidation type="list" allowBlank="1" showInputMessage="1" showErrorMessage="1" xr:uid="{00000000-0002-0000-0300-000096000000}">
          <x14:formula1>
            <xm:f>PriceArea!A2:A1000</xm:f>
          </x14:formula1>
          <xm:sqref>C152</xm:sqref>
        </x14:dataValidation>
        <x14:dataValidation type="list" allowBlank="1" showInputMessage="1" showErrorMessage="1" xr:uid="{00000000-0002-0000-0300-000097000000}">
          <x14:formula1>
            <xm:f>PriceArea!A2:A1000</xm:f>
          </x14:formula1>
          <xm:sqref>C153</xm:sqref>
        </x14:dataValidation>
        <x14:dataValidation type="list" allowBlank="1" showInputMessage="1" showErrorMessage="1" xr:uid="{00000000-0002-0000-0300-000098000000}">
          <x14:formula1>
            <xm:f>PriceArea!A2:A1000</xm:f>
          </x14:formula1>
          <xm:sqref>C154</xm:sqref>
        </x14:dataValidation>
        <x14:dataValidation type="list" allowBlank="1" showInputMessage="1" showErrorMessage="1" xr:uid="{00000000-0002-0000-0300-000099000000}">
          <x14:formula1>
            <xm:f>PriceArea!A2:A1000</xm:f>
          </x14:formula1>
          <xm:sqref>C155</xm:sqref>
        </x14:dataValidation>
        <x14:dataValidation type="list" allowBlank="1" showInputMessage="1" showErrorMessage="1" xr:uid="{00000000-0002-0000-0300-00009A000000}">
          <x14:formula1>
            <xm:f>PriceArea!A2:A1000</xm:f>
          </x14:formula1>
          <xm:sqref>C156</xm:sqref>
        </x14:dataValidation>
        <x14:dataValidation type="list" allowBlank="1" showInputMessage="1" showErrorMessage="1" xr:uid="{00000000-0002-0000-0300-00009B000000}">
          <x14:formula1>
            <xm:f>PriceArea!A2:A1000</xm:f>
          </x14:formula1>
          <xm:sqref>C157</xm:sqref>
        </x14:dataValidation>
        <x14:dataValidation type="list" allowBlank="1" showInputMessage="1" showErrorMessage="1" xr:uid="{00000000-0002-0000-0300-00009C000000}">
          <x14:formula1>
            <xm:f>PriceArea!A2:A1000</xm:f>
          </x14:formula1>
          <xm:sqref>C158</xm:sqref>
        </x14:dataValidation>
        <x14:dataValidation type="list" allowBlank="1" showInputMessage="1" showErrorMessage="1" xr:uid="{00000000-0002-0000-0300-00009D000000}">
          <x14:formula1>
            <xm:f>PriceArea!A2:A1000</xm:f>
          </x14:formula1>
          <xm:sqref>C159</xm:sqref>
        </x14:dataValidation>
        <x14:dataValidation type="list" allowBlank="1" showInputMessage="1" showErrorMessage="1" xr:uid="{00000000-0002-0000-0300-00009E000000}">
          <x14:formula1>
            <xm:f>PriceArea!A2:A1000</xm:f>
          </x14:formula1>
          <xm:sqref>C160</xm:sqref>
        </x14:dataValidation>
        <x14:dataValidation type="list" allowBlank="1" showInputMessage="1" showErrorMessage="1" xr:uid="{00000000-0002-0000-0300-00009F000000}">
          <x14:formula1>
            <xm:f>PriceArea!A2:A1000</xm:f>
          </x14:formula1>
          <xm:sqref>C161</xm:sqref>
        </x14:dataValidation>
        <x14:dataValidation type="list" allowBlank="1" showInputMessage="1" showErrorMessage="1" xr:uid="{00000000-0002-0000-0300-0000A0000000}">
          <x14:formula1>
            <xm:f>PriceArea!A2:A1000</xm:f>
          </x14:formula1>
          <xm:sqref>C162</xm:sqref>
        </x14:dataValidation>
        <x14:dataValidation type="list" allowBlank="1" showInputMessage="1" showErrorMessage="1" xr:uid="{00000000-0002-0000-0300-0000A1000000}">
          <x14:formula1>
            <xm:f>PriceArea!A2:A1000</xm:f>
          </x14:formula1>
          <xm:sqref>C163</xm:sqref>
        </x14:dataValidation>
        <x14:dataValidation type="list" allowBlank="1" showInputMessage="1" showErrorMessage="1" xr:uid="{00000000-0002-0000-0300-0000A2000000}">
          <x14:formula1>
            <xm:f>PriceArea!A2:A1000</xm:f>
          </x14:formula1>
          <xm:sqref>C164</xm:sqref>
        </x14:dataValidation>
        <x14:dataValidation type="list" allowBlank="1" showInputMessage="1" showErrorMessage="1" xr:uid="{00000000-0002-0000-0300-0000A3000000}">
          <x14:formula1>
            <xm:f>PriceArea!A2:A1000</xm:f>
          </x14:formula1>
          <xm:sqref>C165</xm:sqref>
        </x14:dataValidation>
        <x14:dataValidation type="list" allowBlank="1" showInputMessage="1" showErrorMessage="1" xr:uid="{00000000-0002-0000-0300-0000A4000000}">
          <x14:formula1>
            <xm:f>PriceArea!A2:A1000</xm:f>
          </x14:formula1>
          <xm:sqref>C166</xm:sqref>
        </x14:dataValidation>
        <x14:dataValidation type="list" allowBlank="1" showInputMessage="1" showErrorMessage="1" xr:uid="{00000000-0002-0000-0300-0000A5000000}">
          <x14:formula1>
            <xm:f>PriceArea!A2:A1000</xm:f>
          </x14:formula1>
          <xm:sqref>C167</xm:sqref>
        </x14:dataValidation>
        <x14:dataValidation type="list" allowBlank="1" showInputMessage="1" showErrorMessage="1" xr:uid="{00000000-0002-0000-0300-0000A6000000}">
          <x14:formula1>
            <xm:f>PriceArea!A2:A1000</xm:f>
          </x14:formula1>
          <xm:sqref>C168</xm:sqref>
        </x14:dataValidation>
        <x14:dataValidation type="list" allowBlank="1" showInputMessage="1" showErrorMessage="1" xr:uid="{00000000-0002-0000-0300-0000A7000000}">
          <x14:formula1>
            <xm:f>PriceArea!A2:A1000</xm:f>
          </x14:formula1>
          <xm:sqref>C169</xm:sqref>
        </x14:dataValidation>
        <x14:dataValidation type="list" allowBlank="1" showInputMessage="1" showErrorMessage="1" xr:uid="{00000000-0002-0000-0300-0000A8000000}">
          <x14:formula1>
            <xm:f>PriceArea!A2:A1000</xm:f>
          </x14:formula1>
          <xm:sqref>C170</xm:sqref>
        </x14:dataValidation>
        <x14:dataValidation type="list" allowBlank="1" showInputMessage="1" showErrorMessage="1" xr:uid="{00000000-0002-0000-0300-0000A9000000}">
          <x14:formula1>
            <xm:f>PriceArea!A2:A1000</xm:f>
          </x14:formula1>
          <xm:sqref>C171</xm:sqref>
        </x14:dataValidation>
        <x14:dataValidation type="list" allowBlank="1" showInputMessage="1" showErrorMessage="1" xr:uid="{00000000-0002-0000-0300-0000AA000000}">
          <x14:formula1>
            <xm:f>PriceArea!A2:A1000</xm:f>
          </x14:formula1>
          <xm:sqref>C172</xm:sqref>
        </x14:dataValidation>
        <x14:dataValidation type="list" allowBlank="1" showInputMessage="1" showErrorMessage="1" xr:uid="{00000000-0002-0000-0300-0000AB000000}">
          <x14:formula1>
            <xm:f>PriceArea!A2:A1000</xm:f>
          </x14:formula1>
          <xm:sqref>C173</xm:sqref>
        </x14:dataValidation>
        <x14:dataValidation type="list" allowBlank="1" showInputMessage="1" showErrorMessage="1" xr:uid="{00000000-0002-0000-0300-0000AC000000}">
          <x14:formula1>
            <xm:f>PriceArea!A2:A1000</xm:f>
          </x14:formula1>
          <xm:sqref>C174</xm:sqref>
        </x14:dataValidation>
        <x14:dataValidation type="list" allowBlank="1" showInputMessage="1" showErrorMessage="1" xr:uid="{00000000-0002-0000-0300-0000AD000000}">
          <x14:formula1>
            <xm:f>PriceArea!A2:A1000</xm:f>
          </x14:formula1>
          <xm:sqref>C175</xm:sqref>
        </x14:dataValidation>
        <x14:dataValidation type="list" allowBlank="1" showInputMessage="1" showErrorMessage="1" xr:uid="{00000000-0002-0000-0300-0000AE000000}">
          <x14:formula1>
            <xm:f>PriceArea!A2:A1000</xm:f>
          </x14:formula1>
          <xm:sqref>C176</xm:sqref>
        </x14:dataValidation>
        <x14:dataValidation type="list" allowBlank="1" showInputMessage="1" showErrorMessage="1" xr:uid="{00000000-0002-0000-0300-0000AF000000}">
          <x14:formula1>
            <xm:f>PriceArea!A2:A1000</xm:f>
          </x14:formula1>
          <xm:sqref>C177</xm:sqref>
        </x14:dataValidation>
        <x14:dataValidation type="list" allowBlank="1" showInputMessage="1" showErrorMessage="1" xr:uid="{00000000-0002-0000-0300-0000B0000000}">
          <x14:formula1>
            <xm:f>PriceArea!A2:A1000</xm:f>
          </x14:formula1>
          <xm:sqref>C178</xm:sqref>
        </x14:dataValidation>
        <x14:dataValidation type="list" allowBlank="1" showInputMessage="1" showErrorMessage="1" xr:uid="{00000000-0002-0000-0300-0000B1000000}">
          <x14:formula1>
            <xm:f>PriceArea!A2:A1000</xm:f>
          </x14:formula1>
          <xm:sqref>C179</xm:sqref>
        </x14:dataValidation>
        <x14:dataValidation type="list" allowBlank="1" showInputMessage="1" showErrorMessage="1" xr:uid="{00000000-0002-0000-0300-0000B2000000}">
          <x14:formula1>
            <xm:f>PriceArea!A2:A1000</xm:f>
          </x14:formula1>
          <xm:sqref>C180</xm:sqref>
        </x14:dataValidation>
        <x14:dataValidation type="list" allowBlank="1" showInputMessage="1" showErrorMessage="1" xr:uid="{00000000-0002-0000-0300-0000B3000000}">
          <x14:formula1>
            <xm:f>PriceArea!A2:A1000</xm:f>
          </x14:formula1>
          <xm:sqref>C181</xm:sqref>
        </x14:dataValidation>
        <x14:dataValidation type="list" allowBlank="1" showInputMessage="1" showErrorMessage="1" xr:uid="{00000000-0002-0000-0300-0000B4000000}">
          <x14:formula1>
            <xm:f>PriceArea!A2:A1000</xm:f>
          </x14:formula1>
          <xm:sqref>C182</xm:sqref>
        </x14:dataValidation>
        <x14:dataValidation type="list" allowBlank="1" showInputMessage="1" showErrorMessage="1" xr:uid="{00000000-0002-0000-0300-0000B5000000}">
          <x14:formula1>
            <xm:f>PriceArea!A2:A1000</xm:f>
          </x14:formula1>
          <xm:sqref>C183</xm:sqref>
        </x14:dataValidation>
        <x14:dataValidation type="list" allowBlank="1" showInputMessage="1" showErrorMessage="1" xr:uid="{00000000-0002-0000-0300-0000B6000000}">
          <x14:formula1>
            <xm:f>PriceArea!A2:A1000</xm:f>
          </x14:formula1>
          <xm:sqref>C184</xm:sqref>
        </x14:dataValidation>
        <x14:dataValidation type="list" allowBlank="1" showInputMessage="1" showErrorMessage="1" xr:uid="{00000000-0002-0000-0300-0000B7000000}">
          <x14:formula1>
            <xm:f>PriceArea!A2:A1000</xm:f>
          </x14:formula1>
          <xm:sqref>C185</xm:sqref>
        </x14:dataValidation>
        <x14:dataValidation type="list" allowBlank="1" showInputMessage="1" showErrorMessage="1" xr:uid="{00000000-0002-0000-0300-0000B8000000}">
          <x14:formula1>
            <xm:f>PriceArea!A2:A1000</xm:f>
          </x14:formula1>
          <xm:sqref>C186</xm:sqref>
        </x14:dataValidation>
        <x14:dataValidation type="list" allowBlank="1" showInputMessage="1" showErrorMessage="1" xr:uid="{00000000-0002-0000-0300-0000B9000000}">
          <x14:formula1>
            <xm:f>PriceArea!A2:A1000</xm:f>
          </x14:formula1>
          <xm:sqref>C187</xm:sqref>
        </x14:dataValidation>
        <x14:dataValidation type="list" allowBlank="1" showInputMessage="1" showErrorMessage="1" xr:uid="{00000000-0002-0000-0300-0000BA000000}">
          <x14:formula1>
            <xm:f>PriceArea!A2:A1000</xm:f>
          </x14:formula1>
          <xm:sqref>C188</xm:sqref>
        </x14:dataValidation>
        <x14:dataValidation type="list" allowBlank="1" showInputMessage="1" showErrorMessage="1" xr:uid="{00000000-0002-0000-0300-0000BB000000}">
          <x14:formula1>
            <xm:f>PriceArea!A2:A1000</xm:f>
          </x14:formula1>
          <xm:sqref>C189</xm:sqref>
        </x14:dataValidation>
        <x14:dataValidation type="list" allowBlank="1" showInputMessage="1" showErrorMessage="1" xr:uid="{00000000-0002-0000-0300-0000BC000000}">
          <x14:formula1>
            <xm:f>PriceArea!A2:A1000</xm:f>
          </x14:formula1>
          <xm:sqref>C190</xm:sqref>
        </x14:dataValidation>
        <x14:dataValidation type="list" allowBlank="1" showInputMessage="1" showErrorMessage="1" xr:uid="{00000000-0002-0000-0300-0000BD000000}">
          <x14:formula1>
            <xm:f>PriceArea!A2:A1000</xm:f>
          </x14:formula1>
          <xm:sqref>C191</xm:sqref>
        </x14:dataValidation>
        <x14:dataValidation type="list" allowBlank="1" showInputMessage="1" showErrorMessage="1" xr:uid="{00000000-0002-0000-0300-0000BE000000}">
          <x14:formula1>
            <xm:f>PriceArea!A2:A1000</xm:f>
          </x14:formula1>
          <xm:sqref>C192</xm:sqref>
        </x14:dataValidation>
        <x14:dataValidation type="list" allowBlank="1" showInputMessage="1" showErrorMessage="1" xr:uid="{00000000-0002-0000-0300-0000BF000000}">
          <x14:formula1>
            <xm:f>PriceArea!A2:A1000</xm:f>
          </x14:formula1>
          <xm:sqref>C193</xm:sqref>
        </x14:dataValidation>
        <x14:dataValidation type="list" allowBlank="1" showInputMessage="1" showErrorMessage="1" xr:uid="{00000000-0002-0000-0300-0000C0000000}">
          <x14:formula1>
            <xm:f>PriceArea!A2:A1000</xm:f>
          </x14:formula1>
          <xm:sqref>C194</xm:sqref>
        </x14:dataValidation>
        <x14:dataValidation type="list" allowBlank="1" showInputMessage="1" showErrorMessage="1" xr:uid="{00000000-0002-0000-0300-0000C1000000}">
          <x14:formula1>
            <xm:f>PriceArea!A2:A1000</xm:f>
          </x14:formula1>
          <xm:sqref>C195</xm:sqref>
        </x14:dataValidation>
        <x14:dataValidation type="list" allowBlank="1" showInputMessage="1" showErrorMessage="1" xr:uid="{00000000-0002-0000-0300-0000C2000000}">
          <x14:formula1>
            <xm:f>PriceArea!A2:A1000</xm:f>
          </x14:formula1>
          <xm:sqref>C196</xm:sqref>
        </x14:dataValidation>
        <x14:dataValidation type="list" allowBlank="1" showInputMessage="1" showErrorMessage="1" xr:uid="{00000000-0002-0000-0300-0000C3000000}">
          <x14:formula1>
            <xm:f>PriceArea!A2:A1000</xm:f>
          </x14:formula1>
          <xm:sqref>C197</xm:sqref>
        </x14:dataValidation>
        <x14:dataValidation type="list" allowBlank="1" showInputMessage="1" showErrorMessage="1" xr:uid="{00000000-0002-0000-0300-0000C4000000}">
          <x14:formula1>
            <xm:f>PriceArea!A2:A1000</xm:f>
          </x14:formula1>
          <xm:sqref>C198</xm:sqref>
        </x14:dataValidation>
        <x14:dataValidation type="list" allowBlank="1" showInputMessage="1" showErrorMessage="1" xr:uid="{00000000-0002-0000-0300-0000C5000000}">
          <x14:formula1>
            <xm:f>PriceArea!A2:A1000</xm:f>
          </x14:formula1>
          <xm:sqref>C199</xm:sqref>
        </x14:dataValidation>
        <x14:dataValidation type="list" allowBlank="1" showInputMessage="1" showErrorMessage="1" xr:uid="{00000000-0002-0000-0300-0000C6000000}">
          <x14:formula1>
            <xm:f>PriceArea!A2:A1000</xm:f>
          </x14:formula1>
          <xm:sqref>C200</xm:sqref>
        </x14:dataValidation>
        <x14:dataValidation type="list" allowBlank="1" showInputMessage="1" showErrorMessage="1" xr:uid="{00000000-0002-0000-0300-0000C7000000}">
          <x14:formula1>
            <xm:f>PriceArea!A2:A1000</xm:f>
          </x14:formula1>
          <xm:sqref>C201</xm:sqref>
        </x14:dataValidation>
        <x14:dataValidation type="list" allowBlank="1" showInputMessage="1" showErrorMessage="1" xr:uid="{00000000-0002-0000-0300-0000C8000000}">
          <x14:formula1>
            <xm:f>PriceArea!A2:A1000</xm:f>
          </x14:formula1>
          <xm:sqref>C202</xm:sqref>
        </x14:dataValidation>
        <x14:dataValidation type="list" allowBlank="1" showInputMessage="1" showErrorMessage="1" xr:uid="{00000000-0002-0000-0300-0000C9000000}">
          <x14:formula1>
            <xm:f>PriceArea!A2:A1000</xm:f>
          </x14:formula1>
          <xm:sqref>C203</xm:sqref>
        </x14:dataValidation>
        <x14:dataValidation type="list" allowBlank="1" showInputMessage="1" showErrorMessage="1" xr:uid="{00000000-0002-0000-0300-0000CA000000}">
          <x14:formula1>
            <xm:f>PriceArea!A2:A1000</xm:f>
          </x14:formula1>
          <xm:sqref>C204</xm:sqref>
        </x14:dataValidation>
        <x14:dataValidation type="list" allowBlank="1" showInputMessage="1" showErrorMessage="1" xr:uid="{00000000-0002-0000-0300-0000CB000000}">
          <x14:formula1>
            <xm:f>PriceArea!A2:A1000</xm:f>
          </x14:formula1>
          <xm:sqref>C205</xm:sqref>
        </x14:dataValidation>
        <x14:dataValidation type="list" allowBlank="1" showInputMessage="1" showErrorMessage="1" xr:uid="{00000000-0002-0000-0300-0000CC000000}">
          <x14:formula1>
            <xm:f>PriceArea!A2:A1000</xm:f>
          </x14:formula1>
          <xm:sqref>C206</xm:sqref>
        </x14:dataValidation>
        <x14:dataValidation type="list" allowBlank="1" showInputMessage="1" showErrorMessage="1" xr:uid="{00000000-0002-0000-0300-0000CD000000}">
          <x14:formula1>
            <xm:f>PriceArea!A2:A1000</xm:f>
          </x14:formula1>
          <xm:sqref>C207</xm:sqref>
        </x14:dataValidation>
        <x14:dataValidation type="list" allowBlank="1" showInputMessage="1" showErrorMessage="1" xr:uid="{00000000-0002-0000-0300-0000CE000000}">
          <x14:formula1>
            <xm:f>PriceArea!A2:A1000</xm:f>
          </x14:formula1>
          <xm:sqref>C208</xm:sqref>
        </x14:dataValidation>
        <x14:dataValidation type="list" allowBlank="1" showInputMessage="1" showErrorMessage="1" xr:uid="{00000000-0002-0000-0300-0000CF000000}">
          <x14:formula1>
            <xm:f>PriceArea!A2:A1000</xm:f>
          </x14:formula1>
          <xm:sqref>C209</xm:sqref>
        </x14:dataValidation>
        <x14:dataValidation type="list" allowBlank="1" showInputMessage="1" showErrorMessage="1" xr:uid="{00000000-0002-0000-0300-0000D0000000}">
          <x14:formula1>
            <xm:f>PriceArea!A2:A1000</xm:f>
          </x14:formula1>
          <xm:sqref>C210</xm:sqref>
        </x14:dataValidation>
        <x14:dataValidation type="list" allowBlank="1" showInputMessage="1" showErrorMessage="1" xr:uid="{00000000-0002-0000-0300-0000D1000000}">
          <x14:formula1>
            <xm:f>PriceArea!A2:A1000</xm:f>
          </x14:formula1>
          <xm:sqref>C211</xm:sqref>
        </x14:dataValidation>
        <x14:dataValidation type="list" allowBlank="1" showInputMessage="1" showErrorMessage="1" xr:uid="{00000000-0002-0000-0300-0000D2000000}">
          <x14:formula1>
            <xm:f>PriceArea!A2:A1000</xm:f>
          </x14:formula1>
          <xm:sqref>C212</xm:sqref>
        </x14:dataValidation>
        <x14:dataValidation type="list" allowBlank="1" showInputMessage="1" showErrorMessage="1" xr:uid="{00000000-0002-0000-0300-0000D3000000}">
          <x14:formula1>
            <xm:f>PriceArea!A2:A1000</xm:f>
          </x14:formula1>
          <xm:sqref>C213</xm:sqref>
        </x14:dataValidation>
        <x14:dataValidation type="list" allowBlank="1" showInputMessage="1" showErrorMessage="1" xr:uid="{00000000-0002-0000-0300-0000D4000000}">
          <x14:formula1>
            <xm:f>PriceArea!A2:A1000</xm:f>
          </x14:formula1>
          <xm:sqref>C214</xm:sqref>
        </x14:dataValidation>
        <x14:dataValidation type="list" allowBlank="1" showInputMessage="1" showErrorMessage="1" xr:uid="{00000000-0002-0000-0300-0000D5000000}">
          <x14:formula1>
            <xm:f>PriceArea!A2:A1000</xm:f>
          </x14:formula1>
          <xm:sqref>C215</xm:sqref>
        </x14:dataValidation>
        <x14:dataValidation type="list" allowBlank="1" showInputMessage="1" showErrorMessage="1" xr:uid="{00000000-0002-0000-0300-0000D6000000}">
          <x14:formula1>
            <xm:f>PriceArea!A2:A1000</xm:f>
          </x14:formula1>
          <xm:sqref>C216</xm:sqref>
        </x14:dataValidation>
        <x14:dataValidation type="list" allowBlank="1" showInputMessage="1" showErrorMessage="1" xr:uid="{00000000-0002-0000-0300-0000D7000000}">
          <x14:formula1>
            <xm:f>PriceArea!A2:A1000</xm:f>
          </x14:formula1>
          <xm:sqref>C217</xm:sqref>
        </x14:dataValidation>
        <x14:dataValidation type="list" allowBlank="1" showInputMessage="1" showErrorMessage="1" xr:uid="{00000000-0002-0000-0300-0000D8000000}">
          <x14:formula1>
            <xm:f>PriceArea!A2:A1000</xm:f>
          </x14:formula1>
          <xm:sqref>C218</xm:sqref>
        </x14:dataValidation>
        <x14:dataValidation type="list" allowBlank="1" showInputMessage="1" showErrorMessage="1" xr:uid="{00000000-0002-0000-0300-0000D9000000}">
          <x14:formula1>
            <xm:f>PriceArea!A2:A1000</xm:f>
          </x14:formula1>
          <xm:sqref>C219</xm:sqref>
        </x14:dataValidation>
        <x14:dataValidation type="list" allowBlank="1" showInputMessage="1" showErrorMessage="1" xr:uid="{00000000-0002-0000-0300-0000DA000000}">
          <x14:formula1>
            <xm:f>PriceArea!A2:A1000</xm:f>
          </x14:formula1>
          <xm:sqref>C220</xm:sqref>
        </x14:dataValidation>
        <x14:dataValidation type="list" allowBlank="1" showInputMessage="1" showErrorMessage="1" xr:uid="{00000000-0002-0000-0300-0000DB000000}">
          <x14:formula1>
            <xm:f>PriceArea!A2:A1000</xm:f>
          </x14:formula1>
          <xm:sqref>C221</xm:sqref>
        </x14:dataValidation>
        <x14:dataValidation type="list" allowBlank="1" showInputMessage="1" showErrorMessage="1" xr:uid="{00000000-0002-0000-0300-0000DC000000}">
          <x14:formula1>
            <xm:f>PriceArea!A2:A1000</xm:f>
          </x14:formula1>
          <xm:sqref>C222</xm:sqref>
        </x14:dataValidation>
        <x14:dataValidation type="list" allowBlank="1" showInputMessage="1" showErrorMessage="1" xr:uid="{00000000-0002-0000-0300-0000DD000000}">
          <x14:formula1>
            <xm:f>PriceArea!A2:A1000</xm:f>
          </x14:formula1>
          <xm:sqref>C223</xm:sqref>
        </x14:dataValidation>
        <x14:dataValidation type="list" allowBlank="1" showInputMessage="1" showErrorMessage="1" xr:uid="{00000000-0002-0000-0300-0000DE000000}">
          <x14:formula1>
            <xm:f>PriceArea!A2:A1000</xm:f>
          </x14:formula1>
          <xm:sqref>C224</xm:sqref>
        </x14:dataValidation>
        <x14:dataValidation type="list" allowBlank="1" showInputMessage="1" showErrorMessage="1" xr:uid="{00000000-0002-0000-0300-0000DF000000}">
          <x14:formula1>
            <xm:f>PriceArea!A2:A1000</xm:f>
          </x14:formula1>
          <xm:sqref>C225</xm:sqref>
        </x14:dataValidation>
        <x14:dataValidation type="list" allowBlank="1" showInputMessage="1" showErrorMessage="1" xr:uid="{00000000-0002-0000-0300-0000E0000000}">
          <x14:formula1>
            <xm:f>PriceArea!A2:A1000</xm:f>
          </x14:formula1>
          <xm:sqref>C226</xm:sqref>
        </x14:dataValidation>
        <x14:dataValidation type="list" allowBlank="1" showInputMessage="1" showErrorMessage="1" xr:uid="{00000000-0002-0000-0300-0000E1000000}">
          <x14:formula1>
            <xm:f>PriceArea!A2:A1000</xm:f>
          </x14:formula1>
          <xm:sqref>C227</xm:sqref>
        </x14:dataValidation>
        <x14:dataValidation type="list" allowBlank="1" showInputMessage="1" showErrorMessage="1" xr:uid="{00000000-0002-0000-0300-0000E2000000}">
          <x14:formula1>
            <xm:f>PriceArea!A2:A1000</xm:f>
          </x14:formula1>
          <xm:sqref>C228</xm:sqref>
        </x14:dataValidation>
        <x14:dataValidation type="list" allowBlank="1" showInputMessage="1" showErrorMessage="1" xr:uid="{00000000-0002-0000-0300-0000E3000000}">
          <x14:formula1>
            <xm:f>PriceArea!A2:A1000</xm:f>
          </x14:formula1>
          <xm:sqref>C229</xm:sqref>
        </x14:dataValidation>
        <x14:dataValidation type="list" allowBlank="1" showInputMessage="1" showErrorMessage="1" xr:uid="{00000000-0002-0000-0300-0000E4000000}">
          <x14:formula1>
            <xm:f>PriceArea!A2:A1000</xm:f>
          </x14:formula1>
          <xm:sqref>C230</xm:sqref>
        </x14:dataValidation>
        <x14:dataValidation type="list" allowBlank="1" showInputMessage="1" showErrorMessage="1" xr:uid="{00000000-0002-0000-0300-0000E5000000}">
          <x14:formula1>
            <xm:f>PriceArea!A2:A1000</xm:f>
          </x14:formula1>
          <xm:sqref>C231</xm:sqref>
        </x14:dataValidation>
        <x14:dataValidation type="list" allowBlank="1" showInputMessage="1" showErrorMessage="1" xr:uid="{00000000-0002-0000-0300-0000E6000000}">
          <x14:formula1>
            <xm:f>PriceArea!A2:A1000</xm:f>
          </x14:formula1>
          <xm:sqref>C232</xm:sqref>
        </x14:dataValidation>
        <x14:dataValidation type="list" allowBlank="1" showInputMessage="1" showErrorMessage="1" xr:uid="{00000000-0002-0000-0300-0000E7000000}">
          <x14:formula1>
            <xm:f>PriceArea!A2:A1000</xm:f>
          </x14:formula1>
          <xm:sqref>C233</xm:sqref>
        </x14:dataValidation>
        <x14:dataValidation type="list" allowBlank="1" showInputMessage="1" showErrorMessage="1" xr:uid="{00000000-0002-0000-0300-0000E8000000}">
          <x14:formula1>
            <xm:f>PriceArea!A2:A1000</xm:f>
          </x14:formula1>
          <xm:sqref>C234</xm:sqref>
        </x14:dataValidation>
        <x14:dataValidation type="list" allowBlank="1" showInputMessage="1" showErrorMessage="1" xr:uid="{00000000-0002-0000-0300-0000E9000000}">
          <x14:formula1>
            <xm:f>PriceArea!A2:A1000</xm:f>
          </x14:formula1>
          <xm:sqref>C235</xm:sqref>
        </x14:dataValidation>
        <x14:dataValidation type="list" allowBlank="1" showInputMessage="1" showErrorMessage="1" xr:uid="{00000000-0002-0000-0300-0000EA000000}">
          <x14:formula1>
            <xm:f>PriceArea!A2:A1000</xm:f>
          </x14:formula1>
          <xm:sqref>C236</xm:sqref>
        </x14:dataValidation>
        <x14:dataValidation type="list" allowBlank="1" showInputMessage="1" showErrorMessage="1" xr:uid="{00000000-0002-0000-0300-0000EB000000}">
          <x14:formula1>
            <xm:f>PriceArea!A2:A1000</xm:f>
          </x14:formula1>
          <xm:sqref>C237</xm:sqref>
        </x14:dataValidation>
        <x14:dataValidation type="list" allowBlank="1" showInputMessage="1" showErrorMessage="1" xr:uid="{00000000-0002-0000-0300-0000EC000000}">
          <x14:formula1>
            <xm:f>PriceArea!A2:A1000</xm:f>
          </x14:formula1>
          <xm:sqref>C238</xm:sqref>
        </x14:dataValidation>
        <x14:dataValidation type="list" allowBlank="1" showInputMessage="1" showErrorMessage="1" xr:uid="{00000000-0002-0000-0300-0000ED000000}">
          <x14:formula1>
            <xm:f>PriceArea!A2:A1000</xm:f>
          </x14:formula1>
          <xm:sqref>C239</xm:sqref>
        </x14:dataValidation>
        <x14:dataValidation type="list" allowBlank="1" showInputMessage="1" showErrorMessage="1" xr:uid="{00000000-0002-0000-0300-0000EE000000}">
          <x14:formula1>
            <xm:f>PriceArea!A2:A1000</xm:f>
          </x14:formula1>
          <xm:sqref>C240</xm:sqref>
        </x14:dataValidation>
        <x14:dataValidation type="list" allowBlank="1" showInputMessage="1" showErrorMessage="1" xr:uid="{00000000-0002-0000-0300-0000EF000000}">
          <x14:formula1>
            <xm:f>PriceArea!A2:A1000</xm:f>
          </x14:formula1>
          <xm:sqref>C241</xm:sqref>
        </x14:dataValidation>
        <x14:dataValidation type="list" allowBlank="1" showInputMessage="1" showErrorMessage="1" xr:uid="{00000000-0002-0000-0300-0000F0000000}">
          <x14:formula1>
            <xm:f>PriceArea!A2:A1000</xm:f>
          </x14:formula1>
          <xm:sqref>C242</xm:sqref>
        </x14:dataValidation>
        <x14:dataValidation type="list" allowBlank="1" showInputMessage="1" showErrorMessage="1" xr:uid="{00000000-0002-0000-0300-0000F1000000}">
          <x14:formula1>
            <xm:f>PriceArea!A2:A1000</xm:f>
          </x14:formula1>
          <xm:sqref>C243</xm:sqref>
        </x14:dataValidation>
        <x14:dataValidation type="list" allowBlank="1" showInputMessage="1" showErrorMessage="1" xr:uid="{00000000-0002-0000-0300-0000F2000000}">
          <x14:formula1>
            <xm:f>PriceArea!A2:A1000</xm:f>
          </x14:formula1>
          <xm:sqref>C244</xm:sqref>
        </x14:dataValidation>
        <x14:dataValidation type="list" allowBlank="1" showInputMessage="1" showErrorMessage="1" xr:uid="{00000000-0002-0000-0300-0000F3000000}">
          <x14:formula1>
            <xm:f>PriceArea!A2:A1000</xm:f>
          </x14:formula1>
          <xm:sqref>C245</xm:sqref>
        </x14:dataValidation>
        <x14:dataValidation type="list" allowBlank="1" showInputMessage="1" showErrorMessage="1" xr:uid="{00000000-0002-0000-0300-0000F4000000}">
          <x14:formula1>
            <xm:f>PriceArea!A2:A1000</xm:f>
          </x14:formula1>
          <xm:sqref>C246</xm:sqref>
        </x14:dataValidation>
        <x14:dataValidation type="list" allowBlank="1" showInputMessage="1" showErrorMessage="1" xr:uid="{00000000-0002-0000-0300-0000F5000000}">
          <x14:formula1>
            <xm:f>PriceArea!A2:A1000</xm:f>
          </x14:formula1>
          <xm:sqref>C247</xm:sqref>
        </x14:dataValidation>
        <x14:dataValidation type="list" allowBlank="1" showInputMessage="1" showErrorMessage="1" xr:uid="{00000000-0002-0000-0300-0000F6000000}">
          <x14:formula1>
            <xm:f>PriceArea!A2:A1000</xm:f>
          </x14:formula1>
          <xm:sqref>C248</xm:sqref>
        </x14:dataValidation>
        <x14:dataValidation type="list" allowBlank="1" showInputMessage="1" showErrorMessage="1" xr:uid="{00000000-0002-0000-0300-0000F7000000}">
          <x14:formula1>
            <xm:f>PriceArea!A2:A1000</xm:f>
          </x14:formula1>
          <xm:sqref>C249</xm:sqref>
        </x14:dataValidation>
        <x14:dataValidation type="list" allowBlank="1" showInputMessage="1" showErrorMessage="1" xr:uid="{00000000-0002-0000-0300-0000F8000000}">
          <x14:formula1>
            <xm:f>PriceArea!A2:A1000</xm:f>
          </x14:formula1>
          <xm:sqref>C250</xm:sqref>
        </x14:dataValidation>
        <x14:dataValidation type="list" allowBlank="1" showInputMessage="1" showErrorMessage="1" xr:uid="{00000000-0002-0000-0300-0000F9000000}">
          <x14:formula1>
            <xm:f>PriceArea!A2:A1000</xm:f>
          </x14:formula1>
          <xm:sqref>C251</xm:sqref>
        </x14:dataValidation>
        <x14:dataValidation type="list" allowBlank="1" showInputMessage="1" showErrorMessage="1" xr:uid="{00000000-0002-0000-0300-0000FA000000}">
          <x14:formula1>
            <xm:f>PriceArea!A2:A1000</xm:f>
          </x14:formula1>
          <xm:sqref>C252</xm:sqref>
        </x14:dataValidation>
        <x14:dataValidation type="list" allowBlank="1" showInputMessage="1" showErrorMessage="1" xr:uid="{00000000-0002-0000-0300-0000FB000000}">
          <x14:formula1>
            <xm:f>PriceArea!A2:A1000</xm:f>
          </x14:formula1>
          <xm:sqref>C253</xm:sqref>
        </x14:dataValidation>
        <x14:dataValidation type="list" allowBlank="1" showInputMessage="1" showErrorMessage="1" xr:uid="{00000000-0002-0000-0300-0000FC000000}">
          <x14:formula1>
            <xm:f>PriceArea!A2:A1000</xm:f>
          </x14:formula1>
          <xm:sqref>C254</xm:sqref>
        </x14:dataValidation>
        <x14:dataValidation type="list" allowBlank="1" showInputMessage="1" showErrorMessage="1" xr:uid="{00000000-0002-0000-0300-0000FD000000}">
          <x14:formula1>
            <xm:f>PriceArea!A2:A1000</xm:f>
          </x14:formula1>
          <xm:sqref>C255</xm:sqref>
        </x14:dataValidation>
        <x14:dataValidation type="list" allowBlank="1" showInputMessage="1" showErrorMessage="1" xr:uid="{00000000-0002-0000-0300-0000FE000000}">
          <x14:formula1>
            <xm:f>PriceArea!A2:A1000</xm:f>
          </x14:formula1>
          <xm:sqref>C256</xm:sqref>
        </x14:dataValidation>
        <x14:dataValidation type="list" allowBlank="1" showInputMessage="1" showErrorMessage="1" xr:uid="{00000000-0002-0000-0300-0000FF000000}">
          <x14:formula1>
            <xm:f>PriceArea!A2:A1000</xm:f>
          </x14:formula1>
          <xm:sqref>C257</xm:sqref>
        </x14:dataValidation>
        <x14:dataValidation type="list" allowBlank="1" showInputMessage="1" showErrorMessage="1" xr:uid="{00000000-0002-0000-0300-000000010000}">
          <x14:formula1>
            <xm:f>PriceArea!A2:A1000</xm:f>
          </x14:formula1>
          <xm:sqref>C258</xm:sqref>
        </x14:dataValidation>
        <x14:dataValidation type="list" allowBlank="1" showInputMessage="1" showErrorMessage="1" xr:uid="{00000000-0002-0000-0300-000001010000}">
          <x14:formula1>
            <xm:f>PriceArea!A2:A1000</xm:f>
          </x14:formula1>
          <xm:sqref>C259</xm:sqref>
        </x14:dataValidation>
        <x14:dataValidation type="list" allowBlank="1" showInputMessage="1" showErrorMessage="1" xr:uid="{00000000-0002-0000-0300-000002010000}">
          <x14:formula1>
            <xm:f>PriceArea!A2:A1000</xm:f>
          </x14:formula1>
          <xm:sqref>C260</xm:sqref>
        </x14:dataValidation>
        <x14:dataValidation type="list" allowBlank="1" showInputMessage="1" showErrorMessage="1" xr:uid="{00000000-0002-0000-0300-000003010000}">
          <x14:formula1>
            <xm:f>PriceArea!A2:A1000</xm:f>
          </x14:formula1>
          <xm:sqref>C261</xm:sqref>
        </x14:dataValidation>
        <x14:dataValidation type="list" allowBlank="1" showInputMessage="1" showErrorMessage="1" xr:uid="{00000000-0002-0000-0300-000004010000}">
          <x14:formula1>
            <xm:f>PriceArea!A2:A1000</xm:f>
          </x14:formula1>
          <xm:sqref>C262</xm:sqref>
        </x14:dataValidation>
        <x14:dataValidation type="list" allowBlank="1" showInputMessage="1" showErrorMessage="1" xr:uid="{00000000-0002-0000-0300-000005010000}">
          <x14:formula1>
            <xm:f>PriceArea!A2:A1000</xm:f>
          </x14:formula1>
          <xm:sqref>C263</xm:sqref>
        </x14:dataValidation>
        <x14:dataValidation type="list" allowBlank="1" showInputMessage="1" showErrorMessage="1" xr:uid="{00000000-0002-0000-0300-000006010000}">
          <x14:formula1>
            <xm:f>PriceArea!A2:A1000</xm:f>
          </x14:formula1>
          <xm:sqref>C264</xm:sqref>
        </x14:dataValidation>
        <x14:dataValidation type="list" allowBlank="1" showInputMessage="1" showErrorMessage="1" xr:uid="{00000000-0002-0000-0300-000007010000}">
          <x14:formula1>
            <xm:f>PriceArea!A2:A1000</xm:f>
          </x14:formula1>
          <xm:sqref>C265</xm:sqref>
        </x14:dataValidation>
        <x14:dataValidation type="list" allowBlank="1" showInputMessage="1" showErrorMessage="1" xr:uid="{00000000-0002-0000-0300-000008010000}">
          <x14:formula1>
            <xm:f>PriceArea!A2:A1000</xm:f>
          </x14:formula1>
          <xm:sqref>C266</xm:sqref>
        </x14:dataValidation>
        <x14:dataValidation type="list" allowBlank="1" showInputMessage="1" showErrorMessage="1" xr:uid="{00000000-0002-0000-0300-000009010000}">
          <x14:formula1>
            <xm:f>PriceArea!A2:A1000</xm:f>
          </x14:formula1>
          <xm:sqref>C267</xm:sqref>
        </x14:dataValidation>
        <x14:dataValidation type="list" allowBlank="1" showInputMessage="1" showErrorMessage="1" xr:uid="{00000000-0002-0000-0300-00000A010000}">
          <x14:formula1>
            <xm:f>PriceArea!A2:A1000</xm:f>
          </x14:formula1>
          <xm:sqref>C268</xm:sqref>
        </x14:dataValidation>
        <x14:dataValidation type="list" allowBlank="1" showInputMessage="1" showErrorMessage="1" xr:uid="{00000000-0002-0000-0300-00000B010000}">
          <x14:formula1>
            <xm:f>PriceArea!A2:A1000</xm:f>
          </x14:formula1>
          <xm:sqref>C269</xm:sqref>
        </x14:dataValidation>
        <x14:dataValidation type="list" allowBlank="1" showInputMessage="1" showErrorMessage="1" xr:uid="{00000000-0002-0000-0300-00000C010000}">
          <x14:formula1>
            <xm:f>PriceArea!A2:A1000</xm:f>
          </x14:formula1>
          <xm:sqref>C270</xm:sqref>
        </x14:dataValidation>
        <x14:dataValidation type="list" allowBlank="1" showInputMessage="1" showErrorMessage="1" xr:uid="{00000000-0002-0000-0300-00000D010000}">
          <x14:formula1>
            <xm:f>PriceArea!A2:A1000</xm:f>
          </x14:formula1>
          <xm:sqref>C271</xm:sqref>
        </x14:dataValidation>
        <x14:dataValidation type="list" allowBlank="1" showInputMessage="1" showErrorMessage="1" xr:uid="{00000000-0002-0000-0300-00000E010000}">
          <x14:formula1>
            <xm:f>PriceArea!A2:A1000</xm:f>
          </x14:formula1>
          <xm:sqref>C272</xm:sqref>
        </x14:dataValidation>
        <x14:dataValidation type="list" allowBlank="1" showInputMessage="1" showErrorMessage="1" xr:uid="{00000000-0002-0000-0300-00000F010000}">
          <x14:formula1>
            <xm:f>PriceArea!A2:A1000</xm:f>
          </x14:formula1>
          <xm:sqref>C273</xm:sqref>
        </x14:dataValidation>
        <x14:dataValidation type="list" allowBlank="1" showInputMessage="1" showErrorMessage="1" xr:uid="{00000000-0002-0000-0300-000010010000}">
          <x14:formula1>
            <xm:f>PriceArea!A2:A1000</xm:f>
          </x14:formula1>
          <xm:sqref>C274</xm:sqref>
        </x14:dataValidation>
        <x14:dataValidation type="list" allowBlank="1" showInputMessage="1" showErrorMessage="1" xr:uid="{00000000-0002-0000-0300-000011010000}">
          <x14:formula1>
            <xm:f>PriceArea!A2:A1000</xm:f>
          </x14:formula1>
          <xm:sqref>C275</xm:sqref>
        </x14:dataValidation>
        <x14:dataValidation type="list" allowBlank="1" showInputMessage="1" showErrorMessage="1" xr:uid="{00000000-0002-0000-0300-000012010000}">
          <x14:formula1>
            <xm:f>PriceArea!A2:A1000</xm:f>
          </x14:formula1>
          <xm:sqref>C276</xm:sqref>
        </x14:dataValidation>
        <x14:dataValidation type="list" allowBlank="1" showInputMessage="1" showErrorMessage="1" xr:uid="{00000000-0002-0000-0300-000013010000}">
          <x14:formula1>
            <xm:f>PriceArea!A2:A1000</xm:f>
          </x14:formula1>
          <xm:sqref>C277</xm:sqref>
        </x14:dataValidation>
        <x14:dataValidation type="list" allowBlank="1" showInputMessage="1" showErrorMessage="1" xr:uid="{00000000-0002-0000-0300-000014010000}">
          <x14:formula1>
            <xm:f>PriceArea!A2:A1000</xm:f>
          </x14:formula1>
          <xm:sqref>C278</xm:sqref>
        </x14:dataValidation>
        <x14:dataValidation type="list" allowBlank="1" showInputMessage="1" showErrorMessage="1" xr:uid="{00000000-0002-0000-0300-000015010000}">
          <x14:formula1>
            <xm:f>PriceArea!A2:A1000</xm:f>
          </x14:formula1>
          <xm:sqref>C279</xm:sqref>
        </x14:dataValidation>
        <x14:dataValidation type="list" allowBlank="1" showInputMessage="1" showErrorMessage="1" xr:uid="{00000000-0002-0000-0300-000016010000}">
          <x14:formula1>
            <xm:f>PriceArea!A2:A1000</xm:f>
          </x14:formula1>
          <xm:sqref>C280</xm:sqref>
        </x14:dataValidation>
        <x14:dataValidation type="list" allowBlank="1" showInputMessage="1" showErrorMessage="1" xr:uid="{00000000-0002-0000-0300-000017010000}">
          <x14:formula1>
            <xm:f>PriceArea!A2:A1000</xm:f>
          </x14:formula1>
          <xm:sqref>C281</xm:sqref>
        </x14:dataValidation>
        <x14:dataValidation type="list" allowBlank="1" showInputMessage="1" showErrorMessage="1" xr:uid="{00000000-0002-0000-0300-000018010000}">
          <x14:formula1>
            <xm:f>PriceArea!A2:A1000</xm:f>
          </x14:formula1>
          <xm:sqref>C282</xm:sqref>
        </x14:dataValidation>
        <x14:dataValidation type="list" allowBlank="1" showInputMessage="1" showErrorMessage="1" xr:uid="{00000000-0002-0000-0300-000019010000}">
          <x14:formula1>
            <xm:f>PriceArea!A2:A1000</xm:f>
          </x14:formula1>
          <xm:sqref>C283</xm:sqref>
        </x14:dataValidation>
        <x14:dataValidation type="list" allowBlank="1" showInputMessage="1" showErrorMessage="1" xr:uid="{00000000-0002-0000-0300-00001A010000}">
          <x14:formula1>
            <xm:f>PriceArea!A2:A1000</xm:f>
          </x14:formula1>
          <xm:sqref>C284</xm:sqref>
        </x14:dataValidation>
        <x14:dataValidation type="list" allowBlank="1" showInputMessage="1" showErrorMessage="1" xr:uid="{00000000-0002-0000-0300-00001B010000}">
          <x14:formula1>
            <xm:f>PriceArea!A2:A1000</xm:f>
          </x14:formula1>
          <xm:sqref>C285</xm:sqref>
        </x14:dataValidation>
        <x14:dataValidation type="list" allowBlank="1" showInputMessage="1" showErrorMessage="1" xr:uid="{00000000-0002-0000-0300-00001C010000}">
          <x14:formula1>
            <xm:f>PriceArea!A2:A1000</xm:f>
          </x14:formula1>
          <xm:sqref>C286</xm:sqref>
        </x14:dataValidation>
        <x14:dataValidation type="list" allowBlank="1" showInputMessage="1" showErrorMessage="1" xr:uid="{00000000-0002-0000-0300-00001D010000}">
          <x14:formula1>
            <xm:f>PriceArea!A2:A1000</xm:f>
          </x14:formula1>
          <xm:sqref>C287</xm:sqref>
        </x14:dataValidation>
        <x14:dataValidation type="list" allowBlank="1" showInputMessage="1" showErrorMessage="1" xr:uid="{00000000-0002-0000-0300-00001E010000}">
          <x14:formula1>
            <xm:f>PriceArea!A2:A1000</xm:f>
          </x14:formula1>
          <xm:sqref>C288</xm:sqref>
        </x14:dataValidation>
        <x14:dataValidation type="list" allowBlank="1" showInputMessage="1" showErrorMessage="1" xr:uid="{00000000-0002-0000-0300-00001F010000}">
          <x14:formula1>
            <xm:f>PriceArea!A2:A1000</xm:f>
          </x14:formula1>
          <xm:sqref>C289</xm:sqref>
        </x14:dataValidation>
        <x14:dataValidation type="list" allowBlank="1" showInputMessage="1" showErrorMessage="1" xr:uid="{00000000-0002-0000-0300-000020010000}">
          <x14:formula1>
            <xm:f>PriceArea!A2:A1000</xm:f>
          </x14:formula1>
          <xm:sqref>C290</xm:sqref>
        </x14:dataValidation>
        <x14:dataValidation type="list" allowBlank="1" showInputMessage="1" showErrorMessage="1" xr:uid="{00000000-0002-0000-0300-000021010000}">
          <x14:formula1>
            <xm:f>PriceArea!A2:A1000</xm:f>
          </x14:formula1>
          <xm:sqref>C291</xm:sqref>
        </x14:dataValidation>
        <x14:dataValidation type="list" allowBlank="1" showInputMessage="1" showErrorMessage="1" xr:uid="{00000000-0002-0000-0300-000022010000}">
          <x14:formula1>
            <xm:f>PriceArea!A2:A1000</xm:f>
          </x14:formula1>
          <xm:sqref>C292</xm:sqref>
        </x14:dataValidation>
        <x14:dataValidation type="list" allowBlank="1" showInputMessage="1" showErrorMessage="1" xr:uid="{00000000-0002-0000-0300-000023010000}">
          <x14:formula1>
            <xm:f>PriceArea!A2:A1000</xm:f>
          </x14:formula1>
          <xm:sqref>C293</xm:sqref>
        </x14:dataValidation>
        <x14:dataValidation type="list" allowBlank="1" showInputMessage="1" showErrorMessage="1" xr:uid="{00000000-0002-0000-0300-000024010000}">
          <x14:formula1>
            <xm:f>PriceArea!A2:A1000</xm:f>
          </x14:formula1>
          <xm:sqref>C294</xm:sqref>
        </x14:dataValidation>
        <x14:dataValidation type="list" allowBlank="1" showInputMessage="1" showErrorMessage="1" xr:uid="{00000000-0002-0000-0300-000025010000}">
          <x14:formula1>
            <xm:f>PriceArea!A2:A1000</xm:f>
          </x14:formula1>
          <xm:sqref>C295</xm:sqref>
        </x14:dataValidation>
        <x14:dataValidation type="list" allowBlank="1" showInputMessage="1" showErrorMessage="1" xr:uid="{00000000-0002-0000-0300-000026010000}">
          <x14:formula1>
            <xm:f>PriceArea!A2:A1000</xm:f>
          </x14:formula1>
          <xm:sqref>C296</xm:sqref>
        </x14:dataValidation>
        <x14:dataValidation type="list" allowBlank="1" showInputMessage="1" showErrorMessage="1" xr:uid="{00000000-0002-0000-0300-000027010000}">
          <x14:formula1>
            <xm:f>PriceArea!A2:A1000</xm:f>
          </x14:formula1>
          <xm:sqref>C297</xm:sqref>
        </x14:dataValidation>
        <x14:dataValidation type="list" allowBlank="1" showInputMessage="1" showErrorMessage="1" xr:uid="{00000000-0002-0000-0300-000028010000}">
          <x14:formula1>
            <xm:f>PriceArea!A2:A1000</xm:f>
          </x14:formula1>
          <xm:sqref>C298</xm:sqref>
        </x14:dataValidation>
        <x14:dataValidation type="list" allowBlank="1" showInputMessage="1" showErrorMessage="1" xr:uid="{00000000-0002-0000-0300-000029010000}">
          <x14:formula1>
            <xm:f>PriceArea!A2:A1000</xm:f>
          </x14:formula1>
          <xm:sqref>C299</xm:sqref>
        </x14:dataValidation>
        <x14:dataValidation type="list" allowBlank="1" showInputMessage="1" showErrorMessage="1" xr:uid="{00000000-0002-0000-0300-00002A010000}">
          <x14:formula1>
            <xm:f>PriceArea!A2:A1000</xm:f>
          </x14:formula1>
          <xm:sqref>C300</xm:sqref>
        </x14:dataValidation>
        <x14:dataValidation type="list" allowBlank="1" showInputMessage="1" showErrorMessage="1" xr:uid="{00000000-0002-0000-0300-00002B010000}">
          <x14:formula1>
            <xm:f>PriceArea!A2:A1000</xm:f>
          </x14:formula1>
          <xm:sqref>C301</xm:sqref>
        </x14:dataValidation>
        <x14:dataValidation type="list" allowBlank="1" showInputMessage="1" showErrorMessage="1" xr:uid="{00000000-0002-0000-0300-00002C010000}">
          <x14:formula1>
            <xm:f>PriceArea!A2:A1000</xm:f>
          </x14:formula1>
          <xm:sqref>C302</xm:sqref>
        </x14:dataValidation>
        <x14:dataValidation type="list" allowBlank="1" showInputMessage="1" showErrorMessage="1" xr:uid="{00000000-0002-0000-0300-00002D010000}">
          <x14:formula1>
            <xm:f>PriceArea!A2:A1000</xm:f>
          </x14:formula1>
          <xm:sqref>C303</xm:sqref>
        </x14:dataValidation>
        <x14:dataValidation type="list" allowBlank="1" showInputMessage="1" showErrorMessage="1" xr:uid="{00000000-0002-0000-0300-00002E010000}">
          <x14:formula1>
            <xm:f>PriceArea!A2:A1000</xm:f>
          </x14:formula1>
          <xm:sqref>C304</xm:sqref>
        </x14:dataValidation>
        <x14:dataValidation type="list" allowBlank="1" showInputMessage="1" showErrorMessage="1" xr:uid="{00000000-0002-0000-0300-00002F010000}">
          <x14:formula1>
            <xm:f>PriceArea!A2:A1000</xm:f>
          </x14:formula1>
          <xm:sqref>C305</xm:sqref>
        </x14:dataValidation>
        <x14:dataValidation type="list" allowBlank="1" showInputMessage="1" showErrorMessage="1" xr:uid="{00000000-0002-0000-0300-000030010000}">
          <x14:formula1>
            <xm:f>PriceArea!A2:A1000</xm:f>
          </x14:formula1>
          <xm:sqref>C306</xm:sqref>
        </x14:dataValidation>
        <x14:dataValidation type="list" allowBlank="1" showInputMessage="1" showErrorMessage="1" xr:uid="{00000000-0002-0000-0300-000031010000}">
          <x14:formula1>
            <xm:f>PriceArea!A2:A1000</xm:f>
          </x14:formula1>
          <xm:sqref>C307</xm:sqref>
        </x14:dataValidation>
        <x14:dataValidation type="list" allowBlank="1" showInputMessage="1" showErrorMessage="1" xr:uid="{00000000-0002-0000-0300-000032010000}">
          <x14:formula1>
            <xm:f>PriceArea!A2:A1000</xm:f>
          </x14:formula1>
          <xm:sqref>C308</xm:sqref>
        </x14:dataValidation>
        <x14:dataValidation type="list" allowBlank="1" showInputMessage="1" showErrorMessage="1" xr:uid="{00000000-0002-0000-0300-000033010000}">
          <x14:formula1>
            <xm:f>PriceArea!A2:A1000</xm:f>
          </x14:formula1>
          <xm:sqref>C309</xm:sqref>
        </x14:dataValidation>
        <x14:dataValidation type="list" allowBlank="1" showInputMessage="1" showErrorMessage="1" xr:uid="{00000000-0002-0000-0300-000034010000}">
          <x14:formula1>
            <xm:f>PriceArea!A2:A1000</xm:f>
          </x14:formula1>
          <xm:sqref>C310</xm:sqref>
        </x14:dataValidation>
        <x14:dataValidation type="list" allowBlank="1" showInputMessage="1" showErrorMessage="1" xr:uid="{00000000-0002-0000-0300-000035010000}">
          <x14:formula1>
            <xm:f>PriceArea!A2:A1000</xm:f>
          </x14:formula1>
          <xm:sqref>C311</xm:sqref>
        </x14:dataValidation>
        <x14:dataValidation type="list" allowBlank="1" showInputMessage="1" showErrorMessage="1" xr:uid="{00000000-0002-0000-0300-000036010000}">
          <x14:formula1>
            <xm:f>PriceArea!A2:A1000</xm:f>
          </x14:formula1>
          <xm:sqref>C312</xm:sqref>
        </x14:dataValidation>
        <x14:dataValidation type="list" allowBlank="1" showInputMessage="1" showErrorMessage="1" xr:uid="{00000000-0002-0000-0300-000037010000}">
          <x14:formula1>
            <xm:f>PriceArea!A2:A1000</xm:f>
          </x14:formula1>
          <xm:sqref>C313</xm:sqref>
        </x14:dataValidation>
        <x14:dataValidation type="list" allowBlank="1" showInputMessage="1" showErrorMessage="1" xr:uid="{00000000-0002-0000-0300-000038010000}">
          <x14:formula1>
            <xm:f>PriceArea!A2:A1000</xm:f>
          </x14:formula1>
          <xm:sqref>C314</xm:sqref>
        </x14:dataValidation>
        <x14:dataValidation type="list" allowBlank="1" showInputMessage="1" showErrorMessage="1" xr:uid="{00000000-0002-0000-0300-000039010000}">
          <x14:formula1>
            <xm:f>PriceArea!A2:A1000</xm:f>
          </x14:formula1>
          <xm:sqref>C315</xm:sqref>
        </x14:dataValidation>
        <x14:dataValidation type="list" allowBlank="1" showInputMessage="1" showErrorMessage="1" xr:uid="{00000000-0002-0000-0300-00003A010000}">
          <x14:formula1>
            <xm:f>PriceArea!A2:A1000</xm:f>
          </x14:formula1>
          <xm:sqref>C316</xm:sqref>
        </x14:dataValidation>
        <x14:dataValidation type="list" allowBlank="1" showInputMessage="1" showErrorMessage="1" xr:uid="{00000000-0002-0000-0300-00003B010000}">
          <x14:formula1>
            <xm:f>PriceArea!A2:A1000</xm:f>
          </x14:formula1>
          <xm:sqref>C317</xm:sqref>
        </x14:dataValidation>
        <x14:dataValidation type="list" allowBlank="1" showInputMessage="1" showErrorMessage="1" xr:uid="{00000000-0002-0000-0300-00003C010000}">
          <x14:formula1>
            <xm:f>PriceArea!A2:A1000</xm:f>
          </x14:formula1>
          <xm:sqref>C318</xm:sqref>
        </x14:dataValidation>
        <x14:dataValidation type="list" allowBlank="1" showInputMessage="1" showErrorMessage="1" xr:uid="{00000000-0002-0000-0300-00003D010000}">
          <x14:formula1>
            <xm:f>PriceArea!A2:A1000</xm:f>
          </x14:formula1>
          <xm:sqref>C319</xm:sqref>
        </x14:dataValidation>
        <x14:dataValidation type="list" allowBlank="1" showInputMessage="1" showErrorMessage="1" xr:uid="{00000000-0002-0000-0300-00003E010000}">
          <x14:formula1>
            <xm:f>PriceArea!A2:A1000</xm:f>
          </x14:formula1>
          <xm:sqref>C320</xm:sqref>
        </x14:dataValidation>
        <x14:dataValidation type="list" allowBlank="1" showInputMessage="1" showErrorMessage="1" xr:uid="{00000000-0002-0000-0300-00003F010000}">
          <x14:formula1>
            <xm:f>PriceArea!A2:A1000</xm:f>
          </x14:formula1>
          <xm:sqref>C321</xm:sqref>
        </x14:dataValidation>
        <x14:dataValidation type="list" allowBlank="1" showInputMessage="1" showErrorMessage="1" xr:uid="{00000000-0002-0000-0300-000040010000}">
          <x14:formula1>
            <xm:f>PriceArea!A2:A1000</xm:f>
          </x14:formula1>
          <xm:sqref>C322</xm:sqref>
        </x14:dataValidation>
        <x14:dataValidation type="list" allowBlank="1" showInputMessage="1" showErrorMessage="1" xr:uid="{00000000-0002-0000-0300-000041010000}">
          <x14:formula1>
            <xm:f>PriceArea!A2:A1000</xm:f>
          </x14:formula1>
          <xm:sqref>C323</xm:sqref>
        </x14:dataValidation>
        <x14:dataValidation type="list" allowBlank="1" showInputMessage="1" showErrorMessage="1" xr:uid="{00000000-0002-0000-0300-000042010000}">
          <x14:formula1>
            <xm:f>PriceArea!A2:A1000</xm:f>
          </x14:formula1>
          <xm:sqref>C324</xm:sqref>
        </x14:dataValidation>
        <x14:dataValidation type="list" allowBlank="1" showInputMessage="1" showErrorMessage="1" xr:uid="{00000000-0002-0000-0300-000043010000}">
          <x14:formula1>
            <xm:f>PriceArea!A2:A1000</xm:f>
          </x14:formula1>
          <xm:sqref>C325</xm:sqref>
        </x14:dataValidation>
        <x14:dataValidation type="list" allowBlank="1" showInputMessage="1" showErrorMessage="1" xr:uid="{00000000-0002-0000-0300-000044010000}">
          <x14:formula1>
            <xm:f>PriceArea!A2:A1000</xm:f>
          </x14:formula1>
          <xm:sqref>C326</xm:sqref>
        </x14:dataValidation>
        <x14:dataValidation type="list" allowBlank="1" showInputMessage="1" showErrorMessage="1" xr:uid="{00000000-0002-0000-0300-000045010000}">
          <x14:formula1>
            <xm:f>PriceArea!A2:A1000</xm:f>
          </x14:formula1>
          <xm:sqref>C327</xm:sqref>
        </x14:dataValidation>
        <x14:dataValidation type="list" allowBlank="1" showInputMessage="1" showErrorMessage="1" xr:uid="{00000000-0002-0000-0300-000046010000}">
          <x14:formula1>
            <xm:f>PriceArea!A2:A1000</xm:f>
          </x14:formula1>
          <xm:sqref>C328</xm:sqref>
        </x14:dataValidation>
        <x14:dataValidation type="list" allowBlank="1" showInputMessage="1" showErrorMessage="1" xr:uid="{00000000-0002-0000-0300-000047010000}">
          <x14:formula1>
            <xm:f>PriceArea!A2:A1000</xm:f>
          </x14:formula1>
          <xm:sqref>C329</xm:sqref>
        </x14:dataValidation>
        <x14:dataValidation type="list" allowBlank="1" showInputMessage="1" showErrorMessage="1" xr:uid="{00000000-0002-0000-0300-000048010000}">
          <x14:formula1>
            <xm:f>PriceArea!A2:A1000</xm:f>
          </x14:formula1>
          <xm:sqref>C330</xm:sqref>
        </x14:dataValidation>
        <x14:dataValidation type="list" allowBlank="1" showInputMessage="1" showErrorMessage="1" xr:uid="{00000000-0002-0000-0300-000049010000}">
          <x14:formula1>
            <xm:f>PriceArea!A2:A1000</xm:f>
          </x14:formula1>
          <xm:sqref>C331</xm:sqref>
        </x14:dataValidation>
        <x14:dataValidation type="list" allowBlank="1" showInputMessage="1" showErrorMessage="1" xr:uid="{00000000-0002-0000-0300-00004A010000}">
          <x14:formula1>
            <xm:f>PriceArea!A2:A1000</xm:f>
          </x14:formula1>
          <xm:sqref>C332</xm:sqref>
        </x14:dataValidation>
        <x14:dataValidation type="list" allowBlank="1" showInputMessage="1" showErrorMessage="1" xr:uid="{00000000-0002-0000-0300-00004B010000}">
          <x14:formula1>
            <xm:f>PriceArea!A2:A1000</xm:f>
          </x14:formula1>
          <xm:sqref>C333</xm:sqref>
        </x14:dataValidation>
        <x14:dataValidation type="list" allowBlank="1" showInputMessage="1" showErrorMessage="1" xr:uid="{00000000-0002-0000-0300-00004C010000}">
          <x14:formula1>
            <xm:f>PriceArea!A2:A1000</xm:f>
          </x14:formula1>
          <xm:sqref>C334</xm:sqref>
        </x14:dataValidation>
        <x14:dataValidation type="list" allowBlank="1" showInputMessage="1" showErrorMessage="1" xr:uid="{00000000-0002-0000-0300-00004D010000}">
          <x14:formula1>
            <xm:f>PriceArea!A2:A1000</xm:f>
          </x14:formula1>
          <xm:sqref>C335</xm:sqref>
        </x14:dataValidation>
        <x14:dataValidation type="list" allowBlank="1" showInputMessage="1" showErrorMessage="1" xr:uid="{00000000-0002-0000-0300-00004E010000}">
          <x14:formula1>
            <xm:f>PriceArea!A2:A1000</xm:f>
          </x14:formula1>
          <xm:sqref>C336</xm:sqref>
        </x14:dataValidation>
        <x14:dataValidation type="list" allowBlank="1" showInputMessage="1" showErrorMessage="1" xr:uid="{00000000-0002-0000-0300-00004F010000}">
          <x14:formula1>
            <xm:f>PriceArea!A2:A1000</xm:f>
          </x14:formula1>
          <xm:sqref>C337</xm:sqref>
        </x14:dataValidation>
        <x14:dataValidation type="list" allowBlank="1" showInputMessage="1" showErrorMessage="1" xr:uid="{00000000-0002-0000-0300-000050010000}">
          <x14:formula1>
            <xm:f>PriceArea!A2:A1000</xm:f>
          </x14:formula1>
          <xm:sqref>C338</xm:sqref>
        </x14:dataValidation>
        <x14:dataValidation type="list" allowBlank="1" showInputMessage="1" showErrorMessage="1" xr:uid="{00000000-0002-0000-0300-000051010000}">
          <x14:formula1>
            <xm:f>PriceArea!A2:A1000</xm:f>
          </x14:formula1>
          <xm:sqref>C339</xm:sqref>
        </x14:dataValidation>
        <x14:dataValidation type="list" allowBlank="1" showInputMessage="1" showErrorMessage="1" xr:uid="{00000000-0002-0000-0300-000052010000}">
          <x14:formula1>
            <xm:f>PriceArea!A2:A1000</xm:f>
          </x14:formula1>
          <xm:sqref>C340</xm:sqref>
        </x14:dataValidation>
        <x14:dataValidation type="list" allowBlank="1" showInputMessage="1" showErrorMessage="1" xr:uid="{00000000-0002-0000-0300-000053010000}">
          <x14:formula1>
            <xm:f>PriceArea!A2:A1000</xm:f>
          </x14:formula1>
          <xm:sqref>C341</xm:sqref>
        </x14:dataValidation>
        <x14:dataValidation type="list" allowBlank="1" showInputMessage="1" showErrorMessage="1" xr:uid="{00000000-0002-0000-0300-000054010000}">
          <x14:formula1>
            <xm:f>PriceArea!A2:A1000</xm:f>
          </x14:formula1>
          <xm:sqref>C342</xm:sqref>
        </x14:dataValidation>
        <x14:dataValidation type="list" allowBlank="1" showInputMessage="1" showErrorMessage="1" xr:uid="{00000000-0002-0000-0300-000055010000}">
          <x14:formula1>
            <xm:f>PriceArea!A2:A1000</xm:f>
          </x14:formula1>
          <xm:sqref>C343</xm:sqref>
        </x14:dataValidation>
        <x14:dataValidation type="list" allowBlank="1" showInputMessage="1" showErrorMessage="1" xr:uid="{00000000-0002-0000-0300-000056010000}">
          <x14:formula1>
            <xm:f>PriceArea!A2:A1000</xm:f>
          </x14:formula1>
          <xm:sqref>C344</xm:sqref>
        </x14:dataValidation>
        <x14:dataValidation type="list" allowBlank="1" showInputMessage="1" showErrorMessage="1" xr:uid="{00000000-0002-0000-0300-000057010000}">
          <x14:formula1>
            <xm:f>PriceArea!A2:A1000</xm:f>
          </x14:formula1>
          <xm:sqref>C345</xm:sqref>
        </x14:dataValidation>
        <x14:dataValidation type="list" allowBlank="1" showInputMessage="1" showErrorMessage="1" xr:uid="{00000000-0002-0000-0300-000058010000}">
          <x14:formula1>
            <xm:f>PriceArea!A2:A1000</xm:f>
          </x14:formula1>
          <xm:sqref>C346</xm:sqref>
        </x14:dataValidation>
        <x14:dataValidation type="list" allowBlank="1" showInputMessage="1" showErrorMessage="1" xr:uid="{00000000-0002-0000-0300-000059010000}">
          <x14:formula1>
            <xm:f>PriceArea!A2:A1000</xm:f>
          </x14:formula1>
          <xm:sqref>C347</xm:sqref>
        </x14:dataValidation>
        <x14:dataValidation type="list" allowBlank="1" showInputMessage="1" showErrorMessage="1" xr:uid="{00000000-0002-0000-0300-00005A010000}">
          <x14:formula1>
            <xm:f>PriceArea!A2:A1000</xm:f>
          </x14:formula1>
          <xm:sqref>C348</xm:sqref>
        </x14:dataValidation>
        <x14:dataValidation type="list" allowBlank="1" showInputMessage="1" showErrorMessage="1" xr:uid="{00000000-0002-0000-0300-00005B010000}">
          <x14:formula1>
            <xm:f>PriceArea!A2:A1000</xm:f>
          </x14:formula1>
          <xm:sqref>C349</xm:sqref>
        </x14:dataValidation>
        <x14:dataValidation type="list" allowBlank="1" showInputMessage="1" showErrorMessage="1" xr:uid="{00000000-0002-0000-0300-00005C010000}">
          <x14:formula1>
            <xm:f>PriceArea!A2:A1000</xm:f>
          </x14:formula1>
          <xm:sqref>C350</xm:sqref>
        </x14:dataValidation>
        <x14:dataValidation type="list" allowBlank="1" showInputMessage="1" showErrorMessage="1" xr:uid="{00000000-0002-0000-0300-00005D010000}">
          <x14:formula1>
            <xm:f>PriceArea!A2:A1000</xm:f>
          </x14:formula1>
          <xm:sqref>C351</xm:sqref>
        </x14:dataValidation>
        <x14:dataValidation type="list" allowBlank="1" showInputMessage="1" showErrorMessage="1" xr:uid="{00000000-0002-0000-0300-00005E010000}">
          <x14:formula1>
            <xm:f>PriceArea!A2:A1000</xm:f>
          </x14:formula1>
          <xm:sqref>C352</xm:sqref>
        </x14:dataValidation>
        <x14:dataValidation type="list" allowBlank="1" showInputMessage="1" showErrorMessage="1" xr:uid="{00000000-0002-0000-0300-00005F010000}">
          <x14:formula1>
            <xm:f>PriceArea!A2:A1000</xm:f>
          </x14:formula1>
          <xm:sqref>C353</xm:sqref>
        </x14:dataValidation>
        <x14:dataValidation type="list" allowBlank="1" showInputMessage="1" showErrorMessage="1" xr:uid="{00000000-0002-0000-0300-000060010000}">
          <x14:formula1>
            <xm:f>PriceArea!A2:A1000</xm:f>
          </x14:formula1>
          <xm:sqref>C354</xm:sqref>
        </x14:dataValidation>
        <x14:dataValidation type="list" allowBlank="1" showInputMessage="1" showErrorMessage="1" xr:uid="{00000000-0002-0000-0300-000061010000}">
          <x14:formula1>
            <xm:f>PriceArea!A2:A1000</xm:f>
          </x14:formula1>
          <xm:sqref>C355</xm:sqref>
        </x14:dataValidation>
        <x14:dataValidation type="list" allowBlank="1" showInputMessage="1" showErrorMessage="1" xr:uid="{00000000-0002-0000-0300-000062010000}">
          <x14:formula1>
            <xm:f>PriceArea!A2:A1000</xm:f>
          </x14:formula1>
          <xm:sqref>C356</xm:sqref>
        </x14:dataValidation>
        <x14:dataValidation type="list" allowBlank="1" showInputMessage="1" showErrorMessage="1" xr:uid="{00000000-0002-0000-0300-000063010000}">
          <x14:formula1>
            <xm:f>PriceArea!A2:A1000</xm:f>
          </x14:formula1>
          <xm:sqref>C357</xm:sqref>
        </x14:dataValidation>
        <x14:dataValidation type="list" allowBlank="1" showInputMessage="1" showErrorMessage="1" xr:uid="{00000000-0002-0000-0300-000064010000}">
          <x14:formula1>
            <xm:f>PriceArea!A2:A1000</xm:f>
          </x14:formula1>
          <xm:sqref>C358</xm:sqref>
        </x14:dataValidation>
        <x14:dataValidation type="list" allowBlank="1" showInputMessage="1" showErrorMessage="1" xr:uid="{00000000-0002-0000-0300-000065010000}">
          <x14:formula1>
            <xm:f>PriceArea!A2:A1000</xm:f>
          </x14:formula1>
          <xm:sqref>C359</xm:sqref>
        </x14:dataValidation>
        <x14:dataValidation type="list" allowBlank="1" showInputMessage="1" showErrorMessage="1" xr:uid="{00000000-0002-0000-0300-000066010000}">
          <x14:formula1>
            <xm:f>PriceArea!A2:A1000</xm:f>
          </x14:formula1>
          <xm:sqref>C360</xm:sqref>
        </x14:dataValidation>
        <x14:dataValidation type="list" allowBlank="1" showInputMessage="1" showErrorMessage="1" xr:uid="{00000000-0002-0000-0300-000067010000}">
          <x14:formula1>
            <xm:f>PriceArea!A2:A1000</xm:f>
          </x14:formula1>
          <xm:sqref>C361</xm:sqref>
        </x14:dataValidation>
        <x14:dataValidation type="list" allowBlank="1" showInputMessage="1" showErrorMessage="1" xr:uid="{00000000-0002-0000-0300-000068010000}">
          <x14:formula1>
            <xm:f>PriceArea!A2:A1000</xm:f>
          </x14:formula1>
          <xm:sqref>C362</xm:sqref>
        </x14:dataValidation>
        <x14:dataValidation type="list" allowBlank="1" showInputMessage="1" showErrorMessage="1" xr:uid="{00000000-0002-0000-0300-000069010000}">
          <x14:formula1>
            <xm:f>PriceArea!A2:A1000</xm:f>
          </x14:formula1>
          <xm:sqref>C363</xm:sqref>
        </x14:dataValidation>
        <x14:dataValidation type="list" allowBlank="1" showInputMessage="1" showErrorMessage="1" xr:uid="{00000000-0002-0000-0300-00006A010000}">
          <x14:formula1>
            <xm:f>PriceArea!A2:A1000</xm:f>
          </x14:formula1>
          <xm:sqref>C364</xm:sqref>
        </x14:dataValidation>
        <x14:dataValidation type="list" allowBlank="1" showInputMessage="1" showErrorMessage="1" xr:uid="{00000000-0002-0000-0300-00006B010000}">
          <x14:formula1>
            <xm:f>PriceArea!A2:A1000</xm:f>
          </x14:formula1>
          <xm:sqref>C365</xm:sqref>
        </x14:dataValidation>
        <x14:dataValidation type="list" allowBlank="1" showInputMessage="1" showErrorMessage="1" xr:uid="{00000000-0002-0000-0300-00006C010000}">
          <x14:formula1>
            <xm:f>PriceArea!A2:A1000</xm:f>
          </x14:formula1>
          <xm:sqref>C366</xm:sqref>
        </x14:dataValidation>
        <x14:dataValidation type="list" allowBlank="1" showInputMessage="1" showErrorMessage="1" xr:uid="{00000000-0002-0000-0300-00006D010000}">
          <x14:formula1>
            <xm:f>PriceArea!A2:A1000</xm:f>
          </x14:formula1>
          <xm:sqref>C367</xm:sqref>
        </x14:dataValidation>
        <x14:dataValidation type="list" allowBlank="1" showInputMessage="1" showErrorMessage="1" xr:uid="{00000000-0002-0000-0300-00006E010000}">
          <x14:formula1>
            <xm:f>PriceArea!A2:A1000</xm:f>
          </x14:formula1>
          <xm:sqref>C368</xm:sqref>
        </x14:dataValidation>
        <x14:dataValidation type="list" allowBlank="1" showInputMessage="1" showErrorMessage="1" xr:uid="{00000000-0002-0000-0300-00006F010000}">
          <x14:formula1>
            <xm:f>PriceArea!A2:A1000</xm:f>
          </x14:formula1>
          <xm:sqref>C369</xm:sqref>
        </x14:dataValidation>
        <x14:dataValidation type="list" allowBlank="1" showInputMessage="1" showErrorMessage="1" xr:uid="{00000000-0002-0000-0300-000070010000}">
          <x14:formula1>
            <xm:f>PriceArea!A2:A1000</xm:f>
          </x14:formula1>
          <xm:sqref>C370</xm:sqref>
        </x14:dataValidation>
        <x14:dataValidation type="list" allowBlank="1" showInputMessage="1" showErrorMessage="1" xr:uid="{00000000-0002-0000-0300-000071010000}">
          <x14:formula1>
            <xm:f>PriceArea!A2:A1000</xm:f>
          </x14:formula1>
          <xm:sqref>C371</xm:sqref>
        </x14:dataValidation>
        <x14:dataValidation type="list" allowBlank="1" showInputMessage="1" showErrorMessage="1" xr:uid="{00000000-0002-0000-0300-000072010000}">
          <x14:formula1>
            <xm:f>PriceArea!A2:A1000</xm:f>
          </x14:formula1>
          <xm:sqref>C372</xm:sqref>
        </x14:dataValidation>
        <x14:dataValidation type="list" allowBlank="1" showInputMessage="1" showErrorMessage="1" xr:uid="{00000000-0002-0000-0300-000073010000}">
          <x14:formula1>
            <xm:f>PriceArea!A2:A1000</xm:f>
          </x14:formula1>
          <xm:sqref>C373</xm:sqref>
        </x14:dataValidation>
        <x14:dataValidation type="list" allowBlank="1" showInputMessage="1" showErrorMessage="1" xr:uid="{00000000-0002-0000-0300-000074010000}">
          <x14:formula1>
            <xm:f>PriceArea!A2:A1000</xm:f>
          </x14:formula1>
          <xm:sqref>C374</xm:sqref>
        </x14:dataValidation>
        <x14:dataValidation type="list" allowBlank="1" showInputMessage="1" showErrorMessage="1" xr:uid="{00000000-0002-0000-0300-000075010000}">
          <x14:formula1>
            <xm:f>PriceArea!A2:A1000</xm:f>
          </x14:formula1>
          <xm:sqref>C375</xm:sqref>
        </x14:dataValidation>
        <x14:dataValidation type="list" allowBlank="1" showInputMessage="1" showErrorMessage="1" xr:uid="{00000000-0002-0000-0300-000076010000}">
          <x14:formula1>
            <xm:f>PriceArea!A2:A1000</xm:f>
          </x14:formula1>
          <xm:sqref>C376</xm:sqref>
        </x14:dataValidation>
        <x14:dataValidation type="list" allowBlank="1" showInputMessage="1" showErrorMessage="1" xr:uid="{00000000-0002-0000-0300-000077010000}">
          <x14:formula1>
            <xm:f>PriceArea!A2:A1000</xm:f>
          </x14:formula1>
          <xm:sqref>C377</xm:sqref>
        </x14:dataValidation>
        <x14:dataValidation type="list" allowBlank="1" showInputMessage="1" showErrorMessage="1" xr:uid="{00000000-0002-0000-0300-000078010000}">
          <x14:formula1>
            <xm:f>PriceArea!A2:A1000</xm:f>
          </x14:formula1>
          <xm:sqref>C378</xm:sqref>
        </x14:dataValidation>
        <x14:dataValidation type="list" allowBlank="1" showInputMessage="1" showErrorMessage="1" xr:uid="{00000000-0002-0000-0300-000079010000}">
          <x14:formula1>
            <xm:f>PriceArea!A2:A1000</xm:f>
          </x14:formula1>
          <xm:sqref>C379</xm:sqref>
        </x14:dataValidation>
        <x14:dataValidation type="list" allowBlank="1" showInputMessage="1" showErrorMessage="1" xr:uid="{00000000-0002-0000-0300-00007A010000}">
          <x14:formula1>
            <xm:f>PriceArea!A2:A1000</xm:f>
          </x14:formula1>
          <xm:sqref>C380</xm:sqref>
        </x14:dataValidation>
        <x14:dataValidation type="list" allowBlank="1" showInputMessage="1" showErrorMessage="1" xr:uid="{00000000-0002-0000-0300-00007B010000}">
          <x14:formula1>
            <xm:f>PriceArea!A2:A1000</xm:f>
          </x14:formula1>
          <xm:sqref>C381</xm:sqref>
        </x14:dataValidation>
        <x14:dataValidation type="list" allowBlank="1" showInputMessage="1" showErrorMessage="1" xr:uid="{00000000-0002-0000-0300-00007C010000}">
          <x14:formula1>
            <xm:f>PriceArea!A2:A1000</xm:f>
          </x14:formula1>
          <xm:sqref>C382</xm:sqref>
        </x14:dataValidation>
        <x14:dataValidation type="list" allowBlank="1" showInputMessage="1" showErrorMessage="1" xr:uid="{00000000-0002-0000-0300-00007D010000}">
          <x14:formula1>
            <xm:f>PriceArea!A2:A1000</xm:f>
          </x14:formula1>
          <xm:sqref>C383</xm:sqref>
        </x14:dataValidation>
        <x14:dataValidation type="list" allowBlank="1" showInputMessage="1" showErrorMessage="1" xr:uid="{00000000-0002-0000-0300-00007E010000}">
          <x14:formula1>
            <xm:f>PriceArea!A2:A1000</xm:f>
          </x14:formula1>
          <xm:sqref>C384</xm:sqref>
        </x14:dataValidation>
        <x14:dataValidation type="list" allowBlank="1" showInputMessage="1" showErrorMessage="1" xr:uid="{00000000-0002-0000-0300-00007F010000}">
          <x14:formula1>
            <xm:f>PriceArea!A2:A1000</xm:f>
          </x14:formula1>
          <xm:sqref>C385</xm:sqref>
        </x14:dataValidation>
        <x14:dataValidation type="list" allowBlank="1" showInputMessage="1" showErrorMessage="1" xr:uid="{00000000-0002-0000-0300-000080010000}">
          <x14:formula1>
            <xm:f>PriceArea!A2:A1000</xm:f>
          </x14:formula1>
          <xm:sqref>C386</xm:sqref>
        </x14:dataValidation>
        <x14:dataValidation type="list" allowBlank="1" showInputMessage="1" showErrorMessage="1" xr:uid="{00000000-0002-0000-0300-000081010000}">
          <x14:formula1>
            <xm:f>PriceArea!A2:A1000</xm:f>
          </x14:formula1>
          <xm:sqref>C387</xm:sqref>
        </x14:dataValidation>
        <x14:dataValidation type="list" allowBlank="1" showInputMessage="1" showErrorMessage="1" xr:uid="{00000000-0002-0000-0300-000082010000}">
          <x14:formula1>
            <xm:f>PriceArea!A2:A1000</xm:f>
          </x14:formula1>
          <xm:sqref>C388</xm:sqref>
        </x14:dataValidation>
        <x14:dataValidation type="list" allowBlank="1" showInputMessage="1" showErrorMessage="1" xr:uid="{00000000-0002-0000-0300-000083010000}">
          <x14:formula1>
            <xm:f>PriceArea!A2:A1000</xm:f>
          </x14:formula1>
          <xm:sqref>C389</xm:sqref>
        </x14:dataValidation>
        <x14:dataValidation type="list" allowBlank="1" showInputMessage="1" showErrorMessage="1" xr:uid="{00000000-0002-0000-0300-000084010000}">
          <x14:formula1>
            <xm:f>PriceArea!A2:A1000</xm:f>
          </x14:formula1>
          <xm:sqref>C390</xm:sqref>
        </x14:dataValidation>
        <x14:dataValidation type="list" allowBlank="1" showInputMessage="1" showErrorMessage="1" xr:uid="{00000000-0002-0000-0300-000085010000}">
          <x14:formula1>
            <xm:f>PriceArea!A2:A1000</xm:f>
          </x14:formula1>
          <xm:sqref>C391</xm:sqref>
        </x14:dataValidation>
        <x14:dataValidation type="list" allowBlank="1" showInputMessage="1" showErrorMessage="1" xr:uid="{00000000-0002-0000-0300-000086010000}">
          <x14:formula1>
            <xm:f>PriceArea!A2:A1000</xm:f>
          </x14:formula1>
          <xm:sqref>C392</xm:sqref>
        </x14:dataValidation>
        <x14:dataValidation type="list" allowBlank="1" showInputMessage="1" showErrorMessage="1" xr:uid="{00000000-0002-0000-0300-000087010000}">
          <x14:formula1>
            <xm:f>PriceArea!A2:A1000</xm:f>
          </x14:formula1>
          <xm:sqref>C393</xm:sqref>
        </x14:dataValidation>
        <x14:dataValidation type="list" allowBlank="1" showInputMessage="1" showErrorMessage="1" xr:uid="{00000000-0002-0000-0300-000088010000}">
          <x14:formula1>
            <xm:f>PriceArea!A2:A1000</xm:f>
          </x14:formula1>
          <xm:sqref>C394</xm:sqref>
        </x14:dataValidation>
        <x14:dataValidation type="list" allowBlank="1" showInputMessage="1" showErrorMessage="1" xr:uid="{00000000-0002-0000-0300-000089010000}">
          <x14:formula1>
            <xm:f>PriceArea!A2:A1000</xm:f>
          </x14:formula1>
          <xm:sqref>C395</xm:sqref>
        </x14:dataValidation>
        <x14:dataValidation type="list" allowBlank="1" showInputMessage="1" showErrorMessage="1" xr:uid="{00000000-0002-0000-0300-00008A010000}">
          <x14:formula1>
            <xm:f>PriceArea!A2:A1000</xm:f>
          </x14:formula1>
          <xm:sqref>C396</xm:sqref>
        </x14:dataValidation>
        <x14:dataValidation type="list" allowBlank="1" showInputMessage="1" showErrorMessage="1" xr:uid="{00000000-0002-0000-0300-00008B010000}">
          <x14:formula1>
            <xm:f>PriceArea!A2:A1000</xm:f>
          </x14:formula1>
          <xm:sqref>C397</xm:sqref>
        </x14:dataValidation>
        <x14:dataValidation type="list" allowBlank="1" showInputMessage="1" showErrorMessage="1" xr:uid="{00000000-0002-0000-0300-00008C010000}">
          <x14:formula1>
            <xm:f>PriceArea!A2:A1000</xm:f>
          </x14:formula1>
          <xm:sqref>C398</xm:sqref>
        </x14:dataValidation>
        <x14:dataValidation type="list" allowBlank="1" showInputMessage="1" showErrorMessage="1" xr:uid="{00000000-0002-0000-0300-00008D010000}">
          <x14:formula1>
            <xm:f>PriceArea!A2:A1000</xm:f>
          </x14:formula1>
          <xm:sqref>C399</xm:sqref>
        </x14:dataValidation>
        <x14:dataValidation type="list" allowBlank="1" showInputMessage="1" showErrorMessage="1" xr:uid="{00000000-0002-0000-0300-00008E010000}">
          <x14:formula1>
            <xm:f>PriceArea!A2:A1000</xm:f>
          </x14:formula1>
          <xm:sqref>C400</xm:sqref>
        </x14:dataValidation>
        <x14:dataValidation type="list" allowBlank="1" showInputMessage="1" showErrorMessage="1" xr:uid="{00000000-0002-0000-0300-00008F010000}">
          <x14:formula1>
            <xm:f>PriceArea!A2:A1000</xm:f>
          </x14:formula1>
          <xm:sqref>C401</xm:sqref>
        </x14:dataValidation>
        <x14:dataValidation type="list" allowBlank="1" showInputMessage="1" showErrorMessage="1" xr:uid="{00000000-0002-0000-0300-000090010000}">
          <x14:formula1>
            <xm:f>PriceArea!A2:A1000</xm:f>
          </x14:formula1>
          <xm:sqref>C402</xm:sqref>
        </x14:dataValidation>
        <x14:dataValidation type="list" allowBlank="1" showInputMessage="1" showErrorMessage="1" xr:uid="{00000000-0002-0000-0300-000091010000}">
          <x14:formula1>
            <xm:f>PriceArea!A2:A1000</xm:f>
          </x14:formula1>
          <xm:sqref>C403</xm:sqref>
        </x14:dataValidation>
        <x14:dataValidation type="list" allowBlank="1" showInputMessage="1" showErrorMessage="1" xr:uid="{00000000-0002-0000-0300-000092010000}">
          <x14:formula1>
            <xm:f>PriceArea!A2:A1000</xm:f>
          </x14:formula1>
          <xm:sqref>C404</xm:sqref>
        </x14:dataValidation>
        <x14:dataValidation type="list" allowBlank="1" showInputMessage="1" showErrorMessage="1" xr:uid="{00000000-0002-0000-0300-000093010000}">
          <x14:formula1>
            <xm:f>PriceArea!A2:A1000</xm:f>
          </x14:formula1>
          <xm:sqref>C405</xm:sqref>
        </x14:dataValidation>
        <x14:dataValidation type="list" allowBlank="1" showInputMessage="1" showErrorMessage="1" xr:uid="{00000000-0002-0000-0300-000094010000}">
          <x14:formula1>
            <xm:f>PriceArea!A2:A1000</xm:f>
          </x14:formula1>
          <xm:sqref>C406</xm:sqref>
        </x14:dataValidation>
        <x14:dataValidation type="list" allowBlank="1" showInputMessage="1" showErrorMessage="1" xr:uid="{00000000-0002-0000-0300-000095010000}">
          <x14:formula1>
            <xm:f>PriceArea!A2:A1000</xm:f>
          </x14:formula1>
          <xm:sqref>C407</xm:sqref>
        </x14:dataValidation>
        <x14:dataValidation type="list" allowBlank="1" showInputMessage="1" showErrorMessage="1" xr:uid="{00000000-0002-0000-0300-000096010000}">
          <x14:formula1>
            <xm:f>PriceArea!A2:A1000</xm:f>
          </x14:formula1>
          <xm:sqref>C408</xm:sqref>
        </x14:dataValidation>
        <x14:dataValidation type="list" allowBlank="1" showInputMessage="1" showErrorMessage="1" xr:uid="{00000000-0002-0000-0300-000097010000}">
          <x14:formula1>
            <xm:f>PriceArea!A2:A1000</xm:f>
          </x14:formula1>
          <xm:sqref>C409</xm:sqref>
        </x14:dataValidation>
        <x14:dataValidation type="list" allowBlank="1" showInputMessage="1" showErrorMessage="1" xr:uid="{00000000-0002-0000-0300-000098010000}">
          <x14:formula1>
            <xm:f>PriceArea!A2:A1000</xm:f>
          </x14:formula1>
          <xm:sqref>C410</xm:sqref>
        </x14:dataValidation>
        <x14:dataValidation type="list" allowBlank="1" showInputMessage="1" showErrorMessage="1" xr:uid="{00000000-0002-0000-0300-000099010000}">
          <x14:formula1>
            <xm:f>PriceArea!A2:A1000</xm:f>
          </x14:formula1>
          <xm:sqref>C411</xm:sqref>
        </x14:dataValidation>
        <x14:dataValidation type="list" allowBlank="1" showInputMessage="1" showErrorMessage="1" xr:uid="{00000000-0002-0000-0300-00009A010000}">
          <x14:formula1>
            <xm:f>PriceArea!A2:A1000</xm:f>
          </x14:formula1>
          <xm:sqref>C412</xm:sqref>
        </x14:dataValidation>
        <x14:dataValidation type="list" allowBlank="1" showInputMessage="1" showErrorMessage="1" xr:uid="{00000000-0002-0000-0300-00009B010000}">
          <x14:formula1>
            <xm:f>PriceArea!A2:A1000</xm:f>
          </x14:formula1>
          <xm:sqref>C413</xm:sqref>
        </x14:dataValidation>
        <x14:dataValidation type="list" allowBlank="1" showInputMessage="1" showErrorMessage="1" xr:uid="{00000000-0002-0000-0300-00009C010000}">
          <x14:formula1>
            <xm:f>PriceArea!A2:A1000</xm:f>
          </x14:formula1>
          <xm:sqref>C414</xm:sqref>
        </x14:dataValidation>
        <x14:dataValidation type="list" allowBlank="1" showInputMessage="1" showErrorMessage="1" xr:uid="{00000000-0002-0000-0300-00009D010000}">
          <x14:formula1>
            <xm:f>PriceArea!A2:A1000</xm:f>
          </x14:formula1>
          <xm:sqref>C415</xm:sqref>
        </x14:dataValidation>
        <x14:dataValidation type="list" allowBlank="1" showInputMessage="1" showErrorMessage="1" xr:uid="{00000000-0002-0000-0300-00009E010000}">
          <x14:formula1>
            <xm:f>PriceArea!A2:A1000</xm:f>
          </x14:formula1>
          <xm:sqref>C416</xm:sqref>
        </x14:dataValidation>
        <x14:dataValidation type="list" allowBlank="1" showInputMessage="1" showErrorMessage="1" xr:uid="{00000000-0002-0000-0300-00009F010000}">
          <x14:formula1>
            <xm:f>PriceArea!A2:A1000</xm:f>
          </x14:formula1>
          <xm:sqref>C417</xm:sqref>
        </x14:dataValidation>
        <x14:dataValidation type="list" allowBlank="1" showInputMessage="1" showErrorMessage="1" xr:uid="{00000000-0002-0000-0300-0000A0010000}">
          <x14:formula1>
            <xm:f>PriceArea!A2:A1000</xm:f>
          </x14:formula1>
          <xm:sqref>C418</xm:sqref>
        </x14:dataValidation>
        <x14:dataValidation type="list" allowBlank="1" showInputMessage="1" showErrorMessage="1" xr:uid="{00000000-0002-0000-0300-0000A1010000}">
          <x14:formula1>
            <xm:f>PriceArea!A2:A1000</xm:f>
          </x14:formula1>
          <xm:sqref>C419</xm:sqref>
        </x14:dataValidation>
        <x14:dataValidation type="list" allowBlank="1" showInputMessage="1" showErrorMessage="1" xr:uid="{00000000-0002-0000-0300-0000A2010000}">
          <x14:formula1>
            <xm:f>PriceArea!A2:A1000</xm:f>
          </x14:formula1>
          <xm:sqref>C420</xm:sqref>
        </x14:dataValidation>
        <x14:dataValidation type="list" allowBlank="1" showInputMessage="1" showErrorMessage="1" xr:uid="{00000000-0002-0000-0300-0000A3010000}">
          <x14:formula1>
            <xm:f>PriceArea!A2:A1000</xm:f>
          </x14:formula1>
          <xm:sqref>C421</xm:sqref>
        </x14:dataValidation>
        <x14:dataValidation type="list" allowBlank="1" showInputMessage="1" showErrorMessage="1" xr:uid="{00000000-0002-0000-0300-0000A4010000}">
          <x14:formula1>
            <xm:f>PriceArea!A2:A1000</xm:f>
          </x14:formula1>
          <xm:sqref>C422</xm:sqref>
        </x14:dataValidation>
        <x14:dataValidation type="list" allowBlank="1" showInputMessage="1" showErrorMessage="1" xr:uid="{00000000-0002-0000-0300-0000A5010000}">
          <x14:formula1>
            <xm:f>PriceArea!A2:A1000</xm:f>
          </x14:formula1>
          <xm:sqref>C423</xm:sqref>
        </x14:dataValidation>
        <x14:dataValidation type="list" allowBlank="1" showInputMessage="1" showErrorMessage="1" xr:uid="{00000000-0002-0000-0300-0000A6010000}">
          <x14:formula1>
            <xm:f>PriceArea!A2:A1000</xm:f>
          </x14:formula1>
          <xm:sqref>C424</xm:sqref>
        </x14:dataValidation>
        <x14:dataValidation type="list" allowBlank="1" showInputMessage="1" showErrorMessage="1" xr:uid="{00000000-0002-0000-0300-0000A7010000}">
          <x14:formula1>
            <xm:f>PriceArea!A2:A1000</xm:f>
          </x14:formula1>
          <xm:sqref>C425</xm:sqref>
        </x14:dataValidation>
        <x14:dataValidation type="list" allowBlank="1" showInputMessage="1" showErrorMessage="1" xr:uid="{00000000-0002-0000-0300-0000A8010000}">
          <x14:formula1>
            <xm:f>PriceArea!A2:A1000</xm:f>
          </x14:formula1>
          <xm:sqref>C426</xm:sqref>
        </x14:dataValidation>
        <x14:dataValidation type="list" allowBlank="1" showInputMessage="1" showErrorMessage="1" xr:uid="{00000000-0002-0000-0300-0000A9010000}">
          <x14:formula1>
            <xm:f>PriceArea!A2:A1000</xm:f>
          </x14:formula1>
          <xm:sqref>C427</xm:sqref>
        </x14:dataValidation>
        <x14:dataValidation type="list" allowBlank="1" showInputMessage="1" showErrorMessage="1" xr:uid="{00000000-0002-0000-0300-0000AA010000}">
          <x14:formula1>
            <xm:f>PriceArea!A2:A1000</xm:f>
          </x14:formula1>
          <xm:sqref>C428</xm:sqref>
        </x14:dataValidation>
        <x14:dataValidation type="list" allowBlank="1" showInputMessage="1" showErrorMessage="1" xr:uid="{00000000-0002-0000-0300-0000AB010000}">
          <x14:formula1>
            <xm:f>PriceArea!A2:A1000</xm:f>
          </x14:formula1>
          <xm:sqref>C429</xm:sqref>
        </x14:dataValidation>
        <x14:dataValidation type="list" allowBlank="1" showInputMessage="1" showErrorMessage="1" xr:uid="{00000000-0002-0000-0300-0000AC010000}">
          <x14:formula1>
            <xm:f>PriceArea!A2:A1000</xm:f>
          </x14:formula1>
          <xm:sqref>C430</xm:sqref>
        </x14:dataValidation>
        <x14:dataValidation type="list" allowBlank="1" showInputMessage="1" showErrorMessage="1" xr:uid="{00000000-0002-0000-0300-0000AD010000}">
          <x14:formula1>
            <xm:f>PriceArea!A2:A1000</xm:f>
          </x14:formula1>
          <xm:sqref>C431</xm:sqref>
        </x14:dataValidation>
        <x14:dataValidation type="list" allowBlank="1" showInputMessage="1" showErrorMessage="1" xr:uid="{00000000-0002-0000-0300-0000AE010000}">
          <x14:formula1>
            <xm:f>PriceArea!A2:A1000</xm:f>
          </x14:formula1>
          <xm:sqref>C432</xm:sqref>
        </x14:dataValidation>
        <x14:dataValidation type="list" allowBlank="1" showInputMessage="1" showErrorMessage="1" xr:uid="{00000000-0002-0000-0300-0000AF010000}">
          <x14:formula1>
            <xm:f>PriceArea!A2:A1000</xm:f>
          </x14:formula1>
          <xm:sqref>C433</xm:sqref>
        </x14:dataValidation>
        <x14:dataValidation type="list" allowBlank="1" showInputMessage="1" showErrorMessage="1" xr:uid="{00000000-0002-0000-0300-0000B0010000}">
          <x14:formula1>
            <xm:f>PriceArea!A2:A1000</xm:f>
          </x14:formula1>
          <xm:sqref>C434</xm:sqref>
        </x14:dataValidation>
        <x14:dataValidation type="list" allowBlank="1" showInputMessage="1" showErrorMessage="1" xr:uid="{00000000-0002-0000-0300-0000B1010000}">
          <x14:formula1>
            <xm:f>PriceArea!A2:A1000</xm:f>
          </x14:formula1>
          <xm:sqref>C435</xm:sqref>
        </x14:dataValidation>
        <x14:dataValidation type="list" allowBlank="1" showInputMessage="1" showErrorMessage="1" xr:uid="{00000000-0002-0000-0300-0000B2010000}">
          <x14:formula1>
            <xm:f>PriceArea!A2:A1000</xm:f>
          </x14:formula1>
          <xm:sqref>C436</xm:sqref>
        </x14:dataValidation>
        <x14:dataValidation type="list" allowBlank="1" showInputMessage="1" showErrorMessage="1" xr:uid="{00000000-0002-0000-0300-0000B3010000}">
          <x14:formula1>
            <xm:f>PriceArea!A2:A1000</xm:f>
          </x14:formula1>
          <xm:sqref>C437</xm:sqref>
        </x14:dataValidation>
        <x14:dataValidation type="list" allowBlank="1" showInputMessage="1" showErrorMessage="1" xr:uid="{00000000-0002-0000-0300-0000B4010000}">
          <x14:formula1>
            <xm:f>PriceArea!A2:A1000</xm:f>
          </x14:formula1>
          <xm:sqref>C438</xm:sqref>
        </x14:dataValidation>
        <x14:dataValidation type="list" allowBlank="1" showInputMessage="1" showErrorMessage="1" xr:uid="{00000000-0002-0000-0300-0000B5010000}">
          <x14:formula1>
            <xm:f>PriceArea!A2:A1000</xm:f>
          </x14:formula1>
          <xm:sqref>C439</xm:sqref>
        </x14:dataValidation>
        <x14:dataValidation type="list" allowBlank="1" showInputMessage="1" showErrorMessage="1" xr:uid="{00000000-0002-0000-0300-0000B6010000}">
          <x14:formula1>
            <xm:f>PriceArea!A2:A1000</xm:f>
          </x14:formula1>
          <xm:sqref>C440</xm:sqref>
        </x14:dataValidation>
        <x14:dataValidation type="list" allowBlank="1" showInputMessage="1" showErrorMessage="1" xr:uid="{00000000-0002-0000-0300-0000B7010000}">
          <x14:formula1>
            <xm:f>PriceArea!A2:A1000</xm:f>
          </x14:formula1>
          <xm:sqref>C441</xm:sqref>
        </x14:dataValidation>
        <x14:dataValidation type="list" allowBlank="1" showInputMessage="1" showErrorMessage="1" xr:uid="{00000000-0002-0000-0300-0000B8010000}">
          <x14:formula1>
            <xm:f>PriceArea!A2:A1000</xm:f>
          </x14:formula1>
          <xm:sqref>C442</xm:sqref>
        </x14:dataValidation>
        <x14:dataValidation type="list" allowBlank="1" showInputMessage="1" showErrorMessage="1" xr:uid="{00000000-0002-0000-0300-0000B9010000}">
          <x14:formula1>
            <xm:f>PriceArea!A2:A1000</xm:f>
          </x14:formula1>
          <xm:sqref>C443</xm:sqref>
        </x14:dataValidation>
        <x14:dataValidation type="list" allowBlank="1" showInputMessage="1" showErrorMessage="1" xr:uid="{00000000-0002-0000-0300-0000BA010000}">
          <x14:formula1>
            <xm:f>PriceArea!A2:A1000</xm:f>
          </x14:formula1>
          <xm:sqref>C444</xm:sqref>
        </x14:dataValidation>
        <x14:dataValidation type="list" allowBlank="1" showInputMessage="1" showErrorMessage="1" xr:uid="{00000000-0002-0000-0300-0000BB010000}">
          <x14:formula1>
            <xm:f>PriceArea!A2:A1000</xm:f>
          </x14:formula1>
          <xm:sqref>C445</xm:sqref>
        </x14:dataValidation>
        <x14:dataValidation type="list" allowBlank="1" showInputMessage="1" showErrorMessage="1" xr:uid="{00000000-0002-0000-0300-0000BC010000}">
          <x14:formula1>
            <xm:f>PriceArea!A2:A1000</xm:f>
          </x14:formula1>
          <xm:sqref>C446</xm:sqref>
        </x14:dataValidation>
        <x14:dataValidation type="list" allowBlank="1" showInputMessage="1" showErrorMessage="1" xr:uid="{00000000-0002-0000-0300-0000BD010000}">
          <x14:formula1>
            <xm:f>PriceArea!A2:A1000</xm:f>
          </x14:formula1>
          <xm:sqref>C447</xm:sqref>
        </x14:dataValidation>
        <x14:dataValidation type="list" allowBlank="1" showInputMessage="1" showErrorMessage="1" xr:uid="{00000000-0002-0000-0300-0000BE010000}">
          <x14:formula1>
            <xm:f>PriceArea!A2:A1000</xm:f>
          </x14:formula1>
          <xm:sqref>C448</xm:sqref>
        </x14:dataValidation>
        <x14:dataValidation type="list" allowBlank="1" showInputMessage="1" showErrorMessage="1" xr:uid="{00000000-0002-0000-0300-0000BF010000}">
          <x14:formula1>
            <xm:f>PriceArea!A2:A1000</xm:f>
          </x14:formula1>
          <xm:sqref>C449</xm:sqref>
        </x14:dataValidation>
        <x14:dataValidation type="list" allowBlank="1" showInputMessage="1" showErrorMessage="1" xr:uid="{00000000-0002-0000-0300-0000C0010000}">
          <x14:formula1>
            <xm:f>PriceArea!A2:A1000</xm:f>
          </x14:formula1>
          <xm:sqref>C450</xm:sqref>
        </x14:dataValidation>
        <x14:dataValidation type="list" allowBlank="1" showInputMessage="1" showErrorMessage="1" xr:uid="{00000000-0002-0000-0300-0000C1010000}">
          <x14:formula1>
            <xm:f>PriceArea!A2:A1000</xm:f>
          </x14:formula1>
          <xm:sqref>C451</xm:sqref>
        </x14:dataValidation>
        <x14:dataValidation type="list" allowBlank="1" showInputMessage="1" showErrorMessage="1" xr:uid="{00000000-0002-0000-0300-0000C2010000}">
          <x14:formula1>
            <xm:f>PriceArea!A2:A1000</xm:f>
          </x14:formula1>
          <xm:sqref>C452</xm:sqref>
        </x14:dataValidation>
        <x14:dataValidation type="list" allowBlank="1" showInputMessage="1" showErrorMessage="1" xr:uid="{00000000-0002-0000-0300-0000C3010000}">
          <x14:formula1>
            <xm:f>PriceArea!A2:A1000</xm:f>
          </x14:formula1>
          <xm:sqref>C453</xm:sqref>
        </x14:dataValidation>
        <x14:dataValidation type="list" allowBlank="1" showInputMessage="1" showErrorMessage="1" xr:uid="{00000000-0002-0000-0300-0000C4010000}">
          <x14:formula1>
            <xm:f>PriceArea!A2:A1000</xm:f>
          </x14:formula1>
          <xm:sqref>C454</xm:sqref>
        </x14:dataValidation>
        <x14:dataValidation type="list" allowBlank="1" showInputMessage="1" showErrorMessage="1" xr:uid="{00000000-0002-0000-0300-0000C5010000}">
          <x14:formula1>
            <xm:f>PriceArea!A2:A1000</xm:f>
          </x14:formula1>
          <xm:sqref>C455</xm:sqref>
        </x14:dataValidation>
        <x14:dataValidation type="list" allowBlank="1" showInputMessage="1" showErrorMessage="1" xr:uid="{00000000-0002-0000-0300-0000C6010000}">
          <x14:formula1>
            <xm:f>PriceArea!A2:A1000</xm:f>
          </x14:formula1>
          <xm:sqref>C456</xm:sqref>
        </x14:dataValidation>
        <x14:dataValidation type="list" allowBlank="1" showInputMessage="1" showErrorMessage="1" xr:uid="{00000000-0002-0000-0300-0000C7010000}">
          <x14:formula1>
            <xm:f>PriceArea!A2:A1000</xm:f>
          </x14:formula1>
          <xm:sqref>C457</xm:sqref>
        </x14:dataValidation>
        <x14:dataValidation type="list" allowBlank="1" showInputMessage="1" showErrorMessage="1" xr:uid="{00000000-0002-0000-0300-0000C8010000}">
          <x14:formula1>
            <xm:f>PriceArea!A2:A1000</xm:f>
          </x14:formula1>
          <xm:sqref>C458</xm:sqref>
        </x14:dataValidation>
        <x14:dataValidation type="list" allowBlank="1" showInputMessage="1" showErrorMessage="1" xr:uid="{00000000-0002-0000-0300-0000C9010000}">
          <x14:formula1>
            <xm:f>PriceArea!A2:A1000</xm:f>
          </x14:formula1>
          <xm:sqref>C459</xm:sqref>
        </x14:dataValidation>
        <x14:dataValidation type="list" allowBlank="1" showInputMessage="1" showErrorMessage="1" xr:uid="{00000000-0002-0000-0300-0000CA010000}">
          <x14:formula1>
            <xm:f>PriceArea!A2:A1000</xm:f>
          </x14:formula1>
          <xm:sqref>C460</xm:sqref>
        </x14:dataValidation>
        <x14:dataValidation type="list" allowBlank="1" showInputMessage="1" showErrorMessage="1" xr:uid="{00000000-0002-0000-0300-0000CB010000}">
          <x14:formula1>
            <xm:f>PriceArea!A2:A1000</xm:f>
          </x14:formula1>
          <xm:sqref>C461</xm:sqref>
        </x14:dataValidation>
        <x14:dataValidation type="list" allowBlank="1" showInputMessage="1" showErrorMessage="1" xr:uid="{00000000-0002-0000-0300-0000CC010000}">
          <x14:formula1>
            <xm:f>PriceArea!A2:A1000</xm:f>
          </x14:formula1>
          <xm:sqref>C462</xm:sqref>
        </x14:dataValidation>
        <x14:dataValidation type="list" allowBlank="1" showInputMessage="1" showErrorMessage="1" xr:uid="{00000000-0002-0000-0300-0000CD010000}">
          <x14:formula1>
            <xm:f>PriceArea!A2:A1000</xm:f>
          </x14:formula1>
          <xm:sqref>C463</xm:sqref>
        </x14:dataValidation>
        <x14:dataValidation type="list" allowBlank="1" showInputMessage="1" showErrorMessage="1" xr:uid="{00000000-0002-0000-0300-0000CE010000}">
          <x14:formula1>
            <xm:f>PriceArea!A2:A1000</xm:f>
          </x14:formula1>
          <xm:sqref>C464</xm:sqref>
        </x14:dataValidation>
        <x14:dataValidation type="list" allowBlank="1" showInputMessage="1" showErrorMessage="1" xr:uid="{00000000-0002-0000-0300-0000CF010000}">
          <x14:formula1>
            <xm:f>PriceArea!A2:A1000</xm:f>
          </x14:formula1>
          <xm:sqref>C465</xm:sqref>
        </x14:dataValidation>
        <x14:dataValidation type="list" allowBlank="1" showInputMessage="1" showErrorMessage="1" xr:uid="{00000000-0002-0000-0300-0000D0010000}">
          <x14:formula1>
            <xm:f>PriceArea!A2:A1000</xm:f>
          </x14:formula1>
          <xm:sqref>C466</xm:sqref>
        </x14:dataValidation>
        <x14:dataValidation type="list" allowBlank="1" showInputMessage="1" showErrorMessage="1" xr:uid="{00000000-0002-0000-0300-0000D1010000}">
          <x14:formula1>
            <xm:f>PriceArea!A2:A1000</xm:f>
          </x14:formula1>
          <xm:sqref>C467</xm:sqref>
        </x14:dataValidation>
        <x14:dataValidation type="list" allowBlank="1" showInputMessage="1" showErrorMessage="1" xr:uid="{00000000-0002-0000-0300-0000D2010000}">
          <x14:formula1>
            <xm:f>PriceArea!A2:A1000</xm:f>
          </x14:formula1>
          <xm:sqref>C468</xm:sqref>
        </x14:dataValidation>
        <x14:dataValidation type="list" allowBlank="1" showInputMessage="1" showErrorMessage="1" xr:uid="{00000000-0002-0000-0300-0000D3010000}">
          <x14:formula1>
            <xm:f>PriceArea!A2:A1000</xm:f>
          </x14:formula1>
          <xm:sqref>C469</xm:sqref>
        </x14:dataValidation>
        <x14:dataValidation type="list" allowBlank="1" showInputMessage="1" showErrorMessage="1" xr:uid="{00000000-0002-0000-0300-0000D4010000}">
          <x14:formula1>
            <xm:f>PriceArea!A2:A1000</xm:f>
          </x14:formula1>
          <xm:sqref>C470</xm:sqref>
        </x14:dataValidation>
        <x14:dataValidation type="list" allowBlank="1" showInputMessage="1" showErrorMessage="1" xr:uid="{00000000-0002-0000-0300-0000D5010000}">
          <x14:formula1>
            <xm:f>PriceArea!A2:A1000</xm:f>
          </x14:formula1>
          <xm:sqref>C471</xm:sqref>
        </x14:dataValidation>
        <x14:dataValidation type="list" allowBlank="1" showInputMessage="1" showErrorMessage="1" xr:uid="{00000000-0002-0000-0300-0000D6010000}">
          <x14:formula1>
            <xm:f>PriceArea!A2:A1000</xm:f>
          </x14:formula1>
          <xm:sqref>C472</xm:sqref>
        </x14:dataValidation>
        <x14:dataValidation type="list" allowBlank="1" showInputMessage="1" showErrorMessage="1" xr:uid="{00000000-0002-0000-0300-0000D7010000}">
          <x14:formula1>
            <xm:f>PriceArea!A2:A1000</xm:f>
          </x14:formula1>
          <xm:sqref>C473</xm:sqref>
        </x14:dataValidation>
        <x14:dataValidation type="list" allowBlank="1" showInputMessage="1" showErrorMessage="1" xr:uid="{00000000-0002-0000-0300-0000D8010000}">
          <x14:formula1>
            <xm:f>PriceArea!A2:A1000</xm:f>
          </x14:formula1>
          <xm:sqref>C474</xm:sqref>
        </x14:dataValidation>
        <x14:dataValidation type="list" allowBlank="1" showInputMessage="1" showErrorMessage="1" xr:uid="{00000000-0002-0000-0300-0000D9010000}">
          <x14:formula1>
            <xm:f>PriceArea!A2:A1000</xm:f>
          </x14:formula1>
          <xm:sqref>C475</xm:sqref>
        </x14:dataValidation>
        <x14:dataValidation type="list" allowBlank="1" showInputMessage="1" showErrorMessage="1" xr:uid="{00000000-0002-0000-0300-0000DA010000}">
          <x14:formula1>
            <xm:f>PriceArea!A2:A1000</xm:f>
          </x14:formula1>
          <xm:sqref>C476</xm:sqref>
        </x14:dataValidation>
        <x14:dataValidation type="list" allowBlank="1" showInputMessage="1" showErrorMessage="1" xr:uid="{00000000-0002-0000-0300-0000DB010000}">
          <x14:formula1>
            <xm:f>PriceArea!A2:A1000</xm:f>
          </x14:formula1>
          <xm:sqref>C477</xm:sqref>
        </x14:dataValidation>
        <x14:dataValidation type="list" allowBlank="1" showInputMessage="1" showErrorMessage="1" xr:uid="{00000000-0002-0000-0300-0000DC010000}">
          <x14:formula1>
            <xm:f>PriceArea!A2:A1000</xm:f>
          </x14:formula1>
          <xm:sqref>C478</xm:sqref>
        </x14:dataValidation>
        <x14:dataValidation type="list" allowBlank="1" showInputMessage="1" showErrorMessage="1" xr:uid="{00000000-0002-0000-0300-0000DD010000}">
          <x14:formula1>
            <xm:f>PriceArea!A2:A1000</xm:f>
          </x14:formula1>
          <xm:sqref>C479</xm:sqref>
        </x14:dataValidation>
        <x14:dataValidation type="list" allowBlank="1" showInputMessage="1" showErrorMessage="1" xr:uid="{00000000-0002-0000-0300-0000DE010000}">
          <x14:formula1>
            <xm:f>PriceArea!A2:A1000</xm:f>
          </x14:formula1>
          <xm:sqref>C480</xm:sqref>
        </x14:dataValidation>
        <x14:dataValidation type="list" allowBlank="1" showInputMessage="1" showErrorMessage="1" xr:uid="{00000000-0002-0000-0300-0000DF010000}">
          <x14:formula1>
            <xm:f>PriceArea!A2:A1000</xm:f>
          </x14:formula1>
          <xm:sqref>C481</xm:sqref>
        </x14:dataValidation>
        <x14:dataValidation type="list" allowBlank="1" showInputMessage="1" showErrorMessage="1" xr:uid="{00000000-0002-0000-0300-0000E0010000}">
          <x14:formula1>
            <xm:f>PriceArea!A2:A1000</xm:f>
          </x14:formula1>
          <xm:sqref>C482</xm:sqref>
        </x14:dataValidation>
        <x14:dataValidation type="list" allowBlank="1" showInputMessage="1" showErrorMessage="1" xr:uid="{00000000-0002-0000-0300-0000E1010000}">
          <x14:formula1>
            <xm:f>PriceArea!A2:A1000</xm:f>
          </x14:formula1>
          <xm:sqref>C483</xm:sqref>
        </x14:dataValidation>
        <x14:dataValidation type="list" allowBlank="1" showInputMessage="1" showErrorMessage="1" xr:uid="{00000000-0002-0000-0300-0000E2010000}">
          <x14:formula1>
            <xm:f>PriceArea!A2:A1000</xm:f>
          </x14:formula1>
          <xm:sqref>C484</xm:sqref>
        </x14:dataValidation>
        <x14:dataValidation type="list" allowBlank="1" showInputMessage="1" showErrorMessage="1" xr:uid="{00000000-0002-0000-0300-0000E3010000}">
          <x14:formula1>
            <xm:f>PriceArea!A2:A1000</xm:f>
          </x14:formula1>
          <xm:sqref>C485</xm:sqref>
        </x14:dataValidation>
        <x14:dataValidation type="list" allowBlank="1" showInputMessage="1" showErrorMessage="1" xr:uid="{00000000-0002-0000-0300-0000E4010000}">
          <x14:formula1>
            <xm:f>PriceArea!A2:A1000</xm:f>
          </x14:formula1>
          <xm:sqref>C486</xm:sqref>
        </x14:dataValidation>
        <x14:dataValidation type="list" allowBlank="1" showInputMessage="1" showErrorMessage="1" xr:uid="{00000000-0002-0000-0300-0000E5010000}">
          <x14:formula1>
            <xm:f>PriceArea!A2:A1000</xm:f>
          </x14:formula1>
          <xm:sqref>C487</xm:sqref>
        </x14:dataValidation>
        <x14:dataValidation type="list" allowBlank="1" showInputMessage="1" showErrorMessage="1" xr:uid="{00000000-0002-0000-0300-0000E6010000}">
          <x14:formula1>
            <xm:f>PriceArea!A2:A1000</xm:f>
          </x14:formula1>
          <xm:sqref>C488</xm:sqref>
        </x14:dataValidation>
        <x14:dataValidation type="list" allowBlank="1" showInputMessage="1" showErrorMessage="1" xr:uid="{00000000-0002-0000-0300-0000E7010000}">
          <x14:formula1>
            <xm:f>PriceArea!A2:A1000</xm:f>
          </x14:formula1>
          <xm:sqref>C489</xm:sqref>
        </x14:dataValidation>
        <x14:dataValidation type="list" allowBlank="1" showInputMessage="1" showErrorMessage="1" xr:uid="{00000000-0002-0000-0300-0000E8010000}">
          <x14:formula1>
            <xm:f>PriceArea!A2:A1000</xm:f>
          </x14:formula1>
          <xm:sqref>C490</xm:sqref>
        </x14:dataValidation>
        <x14:dataValidation type="list" allowBlank="1" showInputMessage="1" showErrorMessage="1" xr:uid="{00000000-0002-0000-0300-0000E9010000}">
          <x14:formula1>
            <xm:f>PriceArea!A2:A1000</xm:f>
          </x14:formula1>
          <xm:sqref>C491</xm:sqref>
        </x14:dataValidation>
        <x14:dataValidation type="list" allowBlank="1" showInputMessage="1" showErrorMessage="1" xr:uid="{00000000-0002-0000-0300-0000EA010000}">
          <x14:formula1>
            <xm:f>PriceArea!A2:A1000</xm:f>
          </x14:formula1>
          <xm:sqref>C492</xm:sqref>
        </x14:dataValidation>
        <x14:dataValidation type="list" allowBlank="1" showInputMessage="1" showErrorMessage="1" xr:uid="{00000000-0002-0000-0300-0000EB010000}">
          <x14:formula1>
            <xm:f>PriceArea!A2:A1000</xm:f>
          </x14:formula1>
          <xm:sqref>C493</xm:sqref>
        </x14:dataValidation>
        <x14:dataValidation type="list" allowBlank="1" showInputMessage="1" showErrorMessage="1" xr:uid="{00000000-0002-0000-0300-0000EC010000}">
          <x14:formula1>
            <xm:f>PriceArea!A2:A1000</xm:f>
          </x14:formula1>
          <xm:sqref>C494</xm:sqref>
        </x14:dataValidation>
        <x14:dataValidation type="list" allowBlank="1" showInputMessage="1" showErrorMessage="1" xr:uid="{00000000-0002-0000-0300-0000ED010000}">
          <x14:formula1>
            <xm:f>PriceArea!A2:A1000</xm:f>
          </x14:formula1>
          <xm:sqref>C495</xm:sqref>
        </x14:dataValidation>
        <x14:dataValidation type="list" allowBlank="1" showInputMessage="1" showErrorMessage="1" xr:uid="{00000000-0002-0000-0300-0000EE010000}">
          <x14:formula1>
            <xm:f>PriceArea!A2:A1000</xm:f>
          </x14:formula1>
          <xm:sqref>C496</xm:sqref>
        </x14:dataValidation>
        <x14:dataValidation type="list" allowBlank="1" showInputMessage="1" showErrorMessage="1" xr:uid="{00000000-0002-0000-0300-0000EF010000}">
          <x14:formula1>
            <xm:f>PriceArea!A2:A1000</xm:f>
          </x14:formula1>
          <xm:sqref>C497</xm:sqref>
        </x14:dataValidation>
        <x14:dataValidation type="list" allowBlank="1" showInputMessage="1" showErrorMessage="1" xr:uid="{00000000-0002-0000-0300-0000F0010000}">
          <x14:formula1>
            <xm:f>PriceArea!A2:A1000</xm:f>
          </x14:formula1>
          <xm:sqref>C498</xm:sqref>
        </x14:dataValidation>
        <x14:dataValidation type="list" allowBlank="1" showInputMessage="1" showErrorMessage="1" xr:uid="{00000000-0002-0000-0300-0000F1010000}">
          <x14:formula1>
            <xm:f>PriceArea!A2:A1000</xm:f>
          </x14:formula1>
          <xm:sqref>C499</xm:sqref>
        </x14:dataValidation>
        <x14:dataValidation type="list" allowBlank="1" showInputMessage="1" showErrorMessage="1" xr:uid="{00000000-0002-0000-0300-0000F2010000}">
          <x14:formula1>
            <xm:f>PriceArea!A2:A1000</xm:f>
          </x14:formula1>
          <xm:sqref>C500</xm:sqref>
        </x14:dataValidation>
        <x14:dataValidation type="list" allowBlank="1" showInputMessage="1" showErrorMessage="1" xr:uid="{00000000-0002-0000-0300-0000F3010000}">
          <x14:formula1>
            <xm:f>PriceArea!A2:A1000</xm:f>
          </x14:formula1>
          <xm:sqref>C501</xm:sqref>
        </x14:dataValidation>
        <x14:dataValidation type="list" allowBlank="1" showInputMessage="1" showErrorMessage="1" xr:uid="{00000000-0002-0000-0300-0000F4010000}">
          <x14:formula1>
            <xm:f>PriceArea!A2:A1000</xm:f>
          </x14:formula1>
          <xm:sqref>C502</xm:sqref>
        </x14:dataValidation>
        <x14:dataValidation type="list" allowBlank="1" showInputMessage="1" showErrorMessage="1" xr:uid="{00000000-0002-0000-0300-0000F5010000}">
          <x14:formula1>
            <xm:f>PriceArea!A2:A1000</xm:f>
          </x14:formula1>
          <xm:sqref>C503</xm:sqref>
        </x14:dataValidation>
        <x14:dataValidation type="list" allowBlank="1" showInputMessage="1" showErrorMessage="1" xr:uid="{00000000-0002-0000-0300-0000F6010000}">
          <x14:formula1>
            <xm:f>PriceArea!A2:A1000</xm:f>
          </x14:formula1>
          <xm:sqref>C504</xm:sqref>
        </x14:dataValidation>
        <x14:dataValidation type="list" allowBlank="1" showInputMessage="1" showErrorMessage="1" xr:uid="{00000000-0002-0000-0300-0000F7010000}">
          <x14:formula1>
            <xm:f>PriceArea!A2:A1000</xm:f>
          </x14:formula1>
          <xm:sqref>C505</xm:sqref>
        </x14:dataValidation>
        <x14:dataValidation type="list" allowBlank="1" showInputMessage="1" showErrorMessage="1" xr:uid="{00000000-0002-0000-0300-0000F8010000}">
          <x14:formula1>
            <xm:f>PriceArea!A2:A1000</xm:f>
          </x14:formula1>
          <xm:sqref>C506</xm:sqref>
        </x14:dataValidation>
        <x14:dataValidation type="list" allowBlank="1" showInputMessage="1" showErrorMessage="1" xr:uid="{00000000-0002-0000-0300-0000F9010000}">
          <x14:formula1>
            <xm:f>PriceArea!A2:A1000</xm:f>
          </x14:formula1>
          <xm:sqref>C507</xm:sqref>
        </x14:dataValidation>
        <x14:dataValidation type="list" allowBlank="1" showInputMessage="1" showErrorMessage="1" xr:uid="{00000000-0002-0000-0300-0000FA010000}">
          <x14:formula1>
            <xm:f>PriceArea!A2:A1000</xm:f>
          </x14:formula1>
          <xm:sqref>C508</xm:sqref>
        </x14:dataValidation>
        <x14:dataValidation type="list" allowBlank="1" showInputMessage="1" showErrorMessage="1" xr:uid="{00000000-0002-0000-0300-0000FB010000}">
          <x14:formula1>
            <xm:f>PriceArea!A2:A1000</xm:f>
          </x14:formula1>
          <xm:sqref>C509</xm:sqref>
        </x14:dataValidation>
        <x14:dataValidation type="list" allowBlank="1" showInputMessage="1" showErrorMessage="1" xr:uid="{00000000-0002-0000-0300-0000FC010000}">
          <x14:formula1>
            <xm:f>PriceArea!A2:A1000</xm:f>
          </x14:formula1>
          <xm:sqref>C510</xm:sqref>
        </x14:dataValidation>
        <x14:dataValidation type="list" allowBlank="1" showInputMessage="1" showErrorMessage="1" xr:uid="{00000000-0002-0000-0300-0000FD010000}">
          <x14:formula1>
            <xm:f>PriceArea!A2:A1000</xm:f>
          </x14:formula1>
          <xm:sqref>C511</xm:sqref>
        </x14:dataValidation>
        <x14:dataValidation type="list" allowBlank="1" showInputMessage="1" showErrorMessage="1" xr:uid="{00000000-0002-0000-0300-0000FE010000}">
          <x14:formula1>
            <xm:f>PriceArea!A2:A1000</xm:f>
          </x14:formula1>
          <xm:sqref>C512</xm:sqref>
        </x14:dataValidation>
        <x14:dataValidation type="list" allowBlank="1" showInputMessage="1" showErrorMessage="1" xr:uid="{00000000-0002-0000-0300-0000FF010000}">
          <x14:formula1>
            <xm:f>PriceArea!A2:A1000</xm:f>
          </x14:formula1>
          <xm:sqref>C513</xm:sqref>
        </x14:dataValidation>
        <x14:dataValidation type="list" allowBlank="1" showInputMessage="1" showErrorMessage="1" xr:uid="{00000000-0002-0000-0300-000000020000}">
          <x14:formula1>
            <xm:f>PriceArea!A2:A1000</xm:f>
          </x14:formula1>
          <xm:sqref>C514</xm:sqref>
        </x14:dataValidation>
        <x14:dataValidation type="list" allowBlank="1" showInputMessage="1" showErrorMessage="1" xr:uid="{00000000-0002-0000-0300-000001020000}">
          <x14:formula1>
            <xm:f>PriceArea!A2:A1000</xm:f>
          </x14:formula1>
          <xm:sqref>C515</xm:sqref>
        </x14:dataValidation>
        <x14:dataValidation type="list" allowBlank="1" showInputMessage="1" showErrorMessage="1" xr:uid="{00000000-0002-0000-0300-000002020000}">
          <x14:formula1>
            <xm:f>PriceArea!A2:A1000</xm:f>
          </x14:formula1>
          <xm:sqref>C516</xm:sqref>
        </x14:dataValidation>
        <x14:dataValidation type="list" allowBlank="1" showInputMessage="1" showErrorMessage="1" xr:uid="{00000000-0002-0000-0300-000003020000}">
          <x14:formula1>
            <xm:f>PriceArea!A2:A1000</xm:f>
          </x14:formula1>
          <xm:sqref>C517</xm:sqref>
        </x14:dataValidation>
        <x14:dataValidation type="list" allowBlank="1" showInputMessage="1" showErrorMessage="1" xr:uid="{00000000-0002-0000-0300-000004020000}">
          <x14:formula1>
            <xm:f>PriceArea!A2:A1000</xm:f>
          </x14:formula1>
          <xm:sqref>C518</xm:sqref>
        </x14:dataValidation>
        <x14:dataValidation type="list" allowBlank="1" showInputMessage="1" showErrorMessage="1" xr:uid="{00000000-0002-0000-0300-000005020000}">
          <x14:formula1>
            <xm:f>PriceArea!A2:A1000</xm:f>
          </x14:formula1>
          <xm:sqref>C519</xm:sqref>
        </x14:dataValidation>
        <x14:dataValidation type="list" allowBlank="1" showInputMessage="1" showErrorMessage="1" xr:uid="{00000000-0002-0000-0300-000006020000}">
          <x14:formula1>
            <xm:f>PriceArea!A2:A1000</xm:f>
          </x14:formula1>
          <xm:sqref>C520</xm:sqref>
        </x14:dataValidation>
        <x14:dataValidation type="list" allowBlank="1" showInputMessage="1" showErrorMessage="1" xr:uid="{00000000-0002-0000-0300-000007020000}">
          <x14:formula1>
            <xm:f>PriceArea!A2:A1000</xm:f>
          </x14:formula1>
          <xm:sqref>C521</xm:sqref>
        </x14:dataValidation>
        <x14:dataValidation type="list" allowBlank="1" showInputMessage="1" showErrorMessage="1" xr:uid="{00000000-0002-0000-0300-000008020000}">
          <x14:formula1>
            <xm:f>PriceArea!A2:A1000</xm:f>
          </x14:formula1>
          <xm:sqref>C522</xm:sqref>
        </x14:dataValidation>
        <x14:dataValidation type="list" allowBlank="1" showInputMessage="1" showErrorMessage="1" xr:uid="{00000000-0002-0000-0300-000009020000}">
          <x14:formula1>
            <xm:f>PriceArea!A2:A1000</xm:f>
          </x14:formula1>
          <xm:sqref>C523</xm:sqref>
        </x14:dataValidation>
        <x14:dataValidation type="list" allowBlank="1" showInputMessage="1" showErrorMessage="1" xr:uid="{00000000-0002-0000-0300-00000A020000}">
          <x14:formula1>
            <xm:f>PriceArea!A2:A1000</xm:f>
          </x14:formula1>
          <xm:sqref>C524</xm:sqref>
        </x14:dataValidation>
        <x14:dataValidation type="list" allowBlank="1" showInputMessage="1" showErrorMessage="1" xr:uid="{00000000-0002-0000-0300-00000B020000}">
          <x14:formula1>
            <xm:f>PriceArea!A2:A1000</xm:f>
          </x14:formula1>
          <xm:sqref>C525</xm:sqref>
        </x14:dataValidation>
        <x14:dataValidation type="list" allowBlank="1" showInputMessage="1" showErrorMessage="1" xr:uid="{00000000-0002-0000-0300-00000C020000}">
          <x14:formula1>
            <xm:f>PriceArea!A2:A1000</xm:f>
          </x14:formula1>
          <xm:sqref>C526</xm:sqref>
        </x14:dataValidation>
        <x14:dataValidation type="list" allowBlank="1" showInputMessage="1" showErrorMessage="1" xr:uid="{00000000-0002-0000-0300-00000D020000}">
          <x14:formula1>
            <xm:f>PriceArea!A2:A1000</xm:f>
          </x14:formula1>
          <xm:sqref>C527</xm:sqref>
        </x14:dataValidation>
        <x14:dataValidation type="list" allowBlank="1" showInputMessage="1" showErrorMessage="1" xr:uid="{00000000-0002-0000-0300-00000E020000}">
          <x14:formula1>
            <xm:f>PriceArea!A2:A1000</xm:f>
          </x14:formula1>
          <xm:sqref>C528</xm:sqref>
        </x14:dataValidation>
        <x14:dataValidation type="list" allowBlank="1" showInputMessage="1" showErrorMessage="1" xr:uid="{00000000-0002-0000-0300-00000F020000}">
          <x14:formula1>
            <xm:f>PriceArea!A2:A1000</xm:f>
          </x14:formula1>
          <xm:sqref>C529</xm:sqref>
        </x14:dataValidation>
        <x14:dataValidation type="list" allowBlank="1" showInputMessage="1" showErrorMessage="1" xr:uid="{00000000-0002-0000-0300-000010020000}">
          <x14:formula1>
            <xm:f>PriceArea!A2:A1000</xm:f>
          </x14:formula1>
          <xm:sqref>C530</xm:sqref>
        </x14:dataValidation>
        <x14:dataValidation type="list" allowBlank="1" showInputMessage="1" showErrorMessage="1" xr:uid="{00000000-0002-0000-0300-000011020000}">
          <x14:formula1>
            <xm:f>PriceArea!A2:A1000</xm:f>
          </x14:formula1>
          <xm:sqref>C531</xm:sqref>
        </x14:dataValidation>
        <x14:dataValidation type="list" allowBlank="1" showInputMessage="1" showErrorMessage="1" xr:uid="{00000000-0002-0000-0300-000012020000}">
          <x14:formula1>
            <xm:f>PriceArea!A2:A1000</xm:f>
          </x14:formula1>
          <xm:sqref>C532</xm:sqref>
        </x14:dataValidation>
        <x14:dataValidation type="list" allowBlank="1" showInputMessage="1" showErrorMessage="1" xr:uid="{00000000-0002-0000-0300-000013020000}">
          <x14:formula1>
            <xm:f>PriceArea!A2:A1000</xm:f>
          </x14:formula1>
          <xm:sqref>C533</xm:sqref>
        </x14:dataValidation>
        <x14:dataValidation type="list" allowBlank="1" showInputMessage="1" showErrorMessage="1" xr:uid="{00000000-0002-0000-0300-000014020000}">
          <x14:formula1>
            <xm:f>PriceArea!A2:A1000</xm:f>
          </x14:formula1>
          <xm:sqref>C534</xm:sqref>
        </x14:dataValidation>
        <x14:dataValidation type="list" allowBlank="1" showInputMessage="1" showErrorMessage="1" xr:uid="{00000000-0002-0000-0300-000015020000}">
          <x14:formula1>
            <xm:f>PriceArea!A2:A1000</xm:f>
          </x14:formula1>
          <xm:sqref>C535</xm:sqref>
        </x14:dataValidation>
        <x14:dataValidation type="list" allowBlank="1" showInputMessage="1" showErrorMessage="1" xr:uid="{00000000-0002-0000-0300-000016020000}">
          <x14:formula1>
            <xm:f>PriceArea!A2:A1000</xm:f>
          </x14:formula1>
          <xm:sqref>C536</xm:sqref>
        </x14:dataValidation>
        <x14:dataValidation type="list" allowBlank="1" showInputMessage="1" showErrorMessage="1" xr:uid="{00000000-0002-0000-0300-000017020000}">
          <x14:formula1>
            <xm:f>PriceArea!A2:A1000</xm:f>
          </x14:formula1>
          <xm:sqref>C537</xm:sqref>
        </x14:dataValidation>
        <x14:dataValidation type="list" allowBlank="1" showInputMessage="1" showErrorMessage="1" xr:uid="{00000000-0002-0000-0300-000018020000}">
          <x14:formula1>
            <xm:f>PriceArea!A2:A1000</xm:f>
          </x14:formula1>
          <xm:sqref>C538</xm:sqref>
        </x14:dataValidation>
        <x14:dataValidation type="list" allowBlank="1" showInputMessage="1" showErrorMessage="1" xr:uid="{00000000-0002-0000-0300-000019020000}">
          <x14:formula1>
            <xm:f>PriceArea!A2:A1000</xm:f>
          </x14:formula1>
          <xm:sqref>C539</xm:sqref>
        </x14:dataValidation>
        <x14:dataValidation type="list" allowBlank="1" showInputMessage="1" showErrorMessage="1" xr:uid="{00000000-0002-0000-0300-00001A020000}">
          <x14:formula1>
            <xm:f>PriceArea!A2:A1000</xm:f>
          </x14:formula1>
          <xm:sqref>C540</xm:sqref>
        </x14:dataValidation>
        <x14:dataValidation type="list" allowBlank="1" showInputMessage="1" showErrorMessage="1" xr:uid="{00000000-0002-0000-0300-00001B020000}">
          <x14:formula1>
            <xm:f>PriceArea!A2:A1000</xm:f>
          </x14:formula1>
          <xm:sqref>C541</xm:sqref>
        </x14:dataValidation>
        <x14:dataValidation type="list" allowBlank="1" showInputMessage="1" showErrorMessage="1" xr:uid="{00000000-0002-0000-0300-00001C020000}">
          <x14:formula1>
            <xm:f>PriceArea!A2:A1000</xm:f>
          </x14:formula1>
          <xm:sqref>C542</xm:sqref>
        </x14:dataValidation>
        <x14:dataValidation type="list" allowBlank="1" showInputMessage="1" showErrorMessage="1" xr:uid="{00000000-0002-0000-0300-00001D020000}">
          <x14:formula1>
            <xm:f>PriceArea!A2:A1000</xm:f>
          </x14:formula1>
          <xm:sqref>C543</xm:sqref>
        </x14:dataValidation>
        <x14:dataValidation type="list" allowBlank="1" showInputMessage="1" showErrorMessage="1" xr:uid="{00000000-0002-0000-0300-00001E020000}">
          <x14:formula1>
            <xm:f>PriceArea!A2:A1000</xm:f>
          </x14:formula1>
          <xm:sqref>C544</xm:sqref>
        </x14:dataValidation>
        <x14:dataValidation type="list" allowBlank="1" showInputMessage="1" showErrorMessage="1" xr:uid="{00000000-0002-0000-0300-00001F020000}">
          <x14:formula1>
            <xm:f>PriceArea!A2:A1000</xm:f>
          </x14:formula1>
          <xm:sqref>C545</xm:sqref>
        </x14:dataValidation>
        <x14:dataValidation type="list" allowBlank="1" showInputMessage="1" showErrorMessage="1" xr:uid="{00000000-0002-0000-0300-000020020000}">
          <x14:formula1>
            <xm:f>PriceArea!A2:A1000</xm:f>
          </x14:formula1>
          <xm:sqref>C546</xm:sqref>
        </x14:dataValidation>
        <x14:dataValidation type="list" allowBlank="1" showInputMessage="1" showErrorMessage="1" xr:uid="{00000000-0002-0000-0300-000021020000}">
          <x14:formula1>
            <xm:f>PriceArea!A2:A1000</xm:f>
          </x14:formula1>
          <xm:sqref>C547</xm:sqref>
        </x14:dataValidation>
        <x14:dataValidation type="list" allowBlank="1" showInputMessage="1" showErrorMessage="1" xr:uid="{00000000-0002-0000-0300-000022020000}">
          <x14:formula1>
            <xm:f>PriceArea!A2:A1000</xm:f>
          </x14:formula1>
          <xm:sqref>C548</xm:sqref>
        </x14:dataValidation>
        <x14:dataValidation type="list" allowBlank="1" showInputMessage="1" showErrorMessage="1" xr:uid="{00000000-0002-0000-0300-000023020000}">
          <x14:formula1>
            <xm:f>PriceArea!A2:A1000</xm:f>
          </x14:formula1>
          <xm:sqref>C549</xm:sqref>
        </x14:dataValidation>
        <x14:dataValidation type="list" allowBlank="1" showInputMessage="1" showErrorMessage="1" xr:uid="{00000000-0002-0000-0300-000024020000}">
          <x14:formula1>
            <xm:f>PriceArea!A2:A1000</xm:f>
          </x14:formula1>
          <xm:sqref>C550</xm:sqref>
        </x14:dataValidation>
        <x14:dataValidation type="list" allowBlank="1" showInputMessage="1" showErrorMessage="1" xr:uid="{00000000-0002-0000-0300-000025020000}">
          <x14:formula1>
            <xm:f>PriceArea!A2:A1000</xm:f>
          </x14:formula1>
          <xm:sqref>C551</xm:sqref>
        </x14:dataValidation>
        <x14:dataValidation type="list" allowBlank="1" showInputMessage="1" showErrorMessage="1" xr:uid="{00000000-0002-0000-0300-000026020000}">
          <x14:formula1>
            <xm:f>PriceArea!A2:A1000</xm:f>
          </x14:formula1>
          <xm:sqref>C552</xm:sqref>
        </x14:dataValidation>
        <x14:dataValidation type="list" allowBlank="1" showInputMessage="1" showErrorMessage="1" xr:uid="{00000000-0002-0000-0300-000027020000}">
          <x14:formula1>
            <xm:f>PriceArea!A2:A1000</xm:f>
          </x14:formula1>
          <xm:sqref>C553</xm:sqref>
        </x14:dataValidation>
        <x14:dataValidation type="list" allowBlank="1" showInputMessage="1" showErrorMessage="1" xr:uid="{00000000-0002-0000-0300-000028020000}">
          <x14:formula1>
            <xm:f>PriceArea!A2:A1000</xm:f>
          </x14:formula1>
          <xm:sqref>C554</xm:sqref>
        </x14:dataValidation>
        <x14:dataValidation type="list" allowBlank="1" showInputMessage="1" showErrorMessage="1" xr:uid="{00000000-0002-0000-0300-000029020000}">
          <x14:formula1>
            <xm:f>PriceArea!A2:A1000</xm:f>
          </x14:formula1>
          <xm:sqref>C555</xm:sqref>
        </x14:dataValidation>
        <x14:dataValidation type="list" allowBlank="1" showInputMessage="1" showErrorMessage="1" xr:uid="{00000000-0002-0000-0300-00002A020000}">
          <x14:formula1>
            <xm:f>PriceArea!A2:A1000</xm:f>
          </x14:formula1>
          <xm:sqref>C556</xm:sqref>
        </x14:dataValidation>
        <x14:dataValidation type="list" allowBlank="1" showInputMessage="1" showErrorMessage="1" xr:uid="{00000000-0002-0000-0300-00002B020000}">
          <x14:formula1>
            <xm:f>PriceArea!A2:A1000</xm:f>
          </x14:formula1>
          <xm:sqref>C557</xm:sqref>
        </x14:dataValidation>
        <x14:dataValidation type="list" allowBlank="1" showInputMessage="1" showErrorMessage="1" xr:uid="{00000000-0002-0000-0300-00002C020000}">
          <x14:formula1>
            <xm:f>PriceArea!A2:A1000</xm:f>
          </x14:formula1>
          <xm:sqref>C558</xm:sqref>
        </x14:dataValidation>
        <x14:dataValidation type="list" allowBlank="1" showInputMessage="1" showErrorMessage="1" xr:uid="{00000000-0002-0000-0300-00002D020000}">
          <x14:formula1>
            <xm:f>PriceArea!A2:A1000</xm:f>
          </x14:formula1>
          <xm:sqref>C559</xm:sqref>
        </x14:dataValidation>
        <x14:dataValidation type="list" allowBlank="1" showInputMessage="1" showErrorMessage="1" xr:uid="{00000000-0002-0000-0300-00002E020000}">
          <x14:formula1>
            <xm:f>PriceArea!A2:A1000</xm:f>
          </x14:formula1>
          <xm:sqref>C560</xm:sqref>
        </x14:dataValidation>
        <x14:dataValidation type="list" allowBlank="1" showInputMessage="1" showErrorMessage="1" xr:uid="{00000000-0002-0000-0300-00002F020000}">
          <x14:formula1>
            <xm:f>PriceArea!A2:A1000</xm:f>
          </x14:formula1>
          <xm:sqref>C561</xm:sqref>
        </x14:dataValidation>
        <x14:dataValidation type="list" allowBlank="1" showInputMessage="1" showErrorMessage="1" xr:uid="{00000000-0002-0000-0300-000030020000}">
          <x14:formula1>
            <xm:f>PriceArea!A2:A1000</xm:f>
          </x14:formula1>
          <xm:sqref>C562</xm:sqref>
        </x14:dataValidation>
        <x14:dataValidation type="list" allowBlank="1" showInputMessage="1" showErrorMessage="1" xr:uid="{00000000-0002-0000-0300-000031020000}">
          <x14:formula1>
            <xm:f>PriceArea!A2:A1000</xm:f>
          </x14:formula1>
          <xm:sqref>C563</xm:sqref>
        </x14:dataValidation>
        <x14:dataValidation type="list" allowBlank="1" showInputMessage="1" showErrorMessage="1" xr:uid="{00000000-0002-0000-0300-000032020000}">
          <x14:formula1>
            <xm:f>PriceArea!A2:A1000</xm:f>
          </x14:formula1>
          <xm:sqref>C564</xm:sqref>
        </x14:dataValidation>
        <x14:dataValidation type="list" allowBlank="1" showInputMessage="1" showErrorMessage="1" xr:uid="{00000000-0002-0000-0300-000033020000}">
          <x14:formula1>
            <xm:f>PriceArea!A2:A1000</xm:f>
          </x14:formula1>
          <xm:sqref>C565</xm:sqref>
        </x14:dataValidation>
        <x14:dataValidation type="list" allowBlank="1" showInputMessage="1" showErrorMessage="1" xr:uid="{00000000-0002-0000-0300-000034020000}">
          <x14:formula1>
            <xm:f>PriceArea!A2:A1000</xm:f>
          </x14:formula1>
          <xm:sqref>C566</xm:sqref>
        </x14:dataValidation>
        <x14:dataValidation type="list" allowBlank="1" showInputMessage="1" showErrorMessage="1" xr:uid="{00000000-0002-0000-0300-000035020000}">
          <x14:formula1>
            <xm:f>PriceArea!A2:A1000</xm:f>
          </x14:formula1>
          <xm:sqref>C567</xm:sqref>
        </x14:dataValidation>
        <x14:dataValidation type="list" allowBlank="1" showInputMessage="1" showErrorMessage="1" xr:uid="{00000000-0002-0000-0300-000036020000}">
          <x14:formula1>
            <xm:f>PriceArea!A2:A1000</xm:f>
          </x14:formula1>
          <xm:sqref>C568</xm:sqref>
        </x14:dataValidation>
        <x14:dataValidation type="list" allowBlank="1" showInputMessage="1" showErrorMessage="1" xr:uid="{00000000-0002-0000-0300-000037020000}">
          <x14:formula1>
            <xm:f>PriceArea!A2:A1000</xm:f>
          </x14:formula1>
          <xm:sqref>C569</xm:sqref>
        </x14:dataValidation>
        <x14:dataValidation type="list" allowBlank="1" showInputMessage="1" showErrorMessage="1" xr:uid="{00000000-0002-0000-0300-000038020000}">
          <x14:formula1>
            <xm:f>PriceArea!A2:A1000</xm:f>
          </x14:formula1>
          <xm:sqref>C570</xm:sqref>
        </x14:dataValidation>
        <x14:dataValidation type="list" allowBlank="1" showInputMessage="1" showErrorMessage="1" xr:uid="{00000000-0002-0000-0300-000039020000}">
          <x14:formula1>
            <xm:f>PriceArea!A2:A1000</xm:f>
          </x14:formula1>
          <xm:sqref>C571</xm:sqref>
        </x14:dataValidation>
        <x14:dataValidation type="list" allowBlank="1" showInputMessage="1" showErrorMessage="1" xr:uid="{00000000-0002-0000-0300-00003A020000}">
          <x14:formula1>
            <xm:f>PriceArea!A2:A1000</xm:f>
          </x14:formula1>
          <xm:sqref>C572</xm:sqref>
        </x14:dataValidation>
        <x14:dataValidation type="list" allowBlank="1" showInputMessage="1" showErrorMessage="1" xr:uid="{00000000-0002-0000-0300-00003B020000}">
          <x14:formula1>
            <xm:f>PriceArea!A2:A1000</xm:f>
          </x14:formula1>
          <xm:sqref>C573</xm:sqref>
        </x14:dataValidation>
        <x14:dataValidation type="list" allowBlank="1" showInputMessage="1" showErrorMessage="1" xr:uid="{00000000-0002-0000-0300-00003C020000}">
          <x14:formula1>
            <xm:f>PriceArea!A2:A1000</xm:f>
          </x14:formula1>
          <xm:sqref>C574</xm:sqref>
        </x14:dataValidation>
        <x14:dataValidation type="list" allowBlank="1" showInputMessage="1" showErrorMessage="1" xr:uid="{00000000-0002-0000-0300-00003D020000}">
          <x14:formula1>
            <xm:f>PriceArea!A2:A1000</xm:f>
          </x14:formula1>
          <xm:sqref>C575</xm:sqref>
        </x14:dataValidation>
        <x14:dataValidation type="list" allowBlank="1" showInputMessage="1" showErrorMessage="1" xr:uid="{00000000-0002-0000-0300-00003E020000}">
          <x14:formula1>
            <xm:f>PriceArea!A2:A1000</xm:f>
          </x14:formula1>
          <xm:sqref>C576</xm:sqref>
        </x14:dataValidation>
        <x14:dataValidation type="list" allowBlank="1" showInputMessage="1" showErrorMessage="1" xr:uid="{00000000-0002-0000-0300-00003F020000}">
          <x14:formula1>
            <xm:f>PriceArea!A2:A1000</xm:f>
          </x14:formula1>
          <xm:sqref>C577</xm:sqref>
        </x14:dataValidation>
        <x14:dataValidation type="list" allowBlank="1" showInputMessage="1" showErrorMessage="1" xr:uid="{00000000-0002-0000-0300-000040020000}">
          <x14:formula1>
            <xm:f>PriceArea!A2:A1000</xm:f>
          </x14:formula1>
          <xm:sqref>C578</xm:sqref>
        </x14:dataValidation>
        <x14:dataValidation type="list" allowBlank="1" showInputMessage="1" showErrorMessage="1" xr:uid="{00000000-0002-0000-0300-000041020000}">
          <x14:formula1>
            <xm:f>PriceArea!A2:A1000</xm:f>
          </x14:formula1>
          <xm:sqref>C579</xm:sqref>
        </x14:dataValidation>
        <x14:dataValidation type="list" allowBlank="1" showInputMessage="1" showErrorMessage="1" xr:uid="{00000000-0002-0000-0300-000042020000}">
          <x14:formula1>
            <xm:f>PriceArea!A2:A1000</xm:f>
          </x14:formula1>
          <xm:sqref>C580</xm:sqref>
        </x14:dataValidation>
        <x14:dataValidation type="list" allowBlank="1" showInputMessage="1" showErrorMessage="1" xr:uid="{00000000-0002-0000-0300-000043020000}">
          <x14:formula1>
            <xm:f>PriceArea!A2:A1000</xm:f>
          </x14:formula1>
          <xm:sqref>C581</xm:sqref>
        </x14:dataValidation>
        <x14:dataValidation type="list" allowBlank="1" showInputMessage="1" showErrorMessage="1" xr:uid="{00000000-0002-0000-0300-000044020000}">
          <x14:formula1>
            <xm:f>PriceArea!A2:A1000</xm:f>
          </x14:formula1>
          <xm:sqref>C582</xm:sqref>
        </x14:dataValidation>
        <x14:dataValidation type="list" allowBlank="1" showInputMessage="1" showErrorMessage="1" xr:uid="{00000000-0002-0000-0300-000045020000}">
          <x14:formula1>
            <xm:f>PriceArea!A2:A1000</xm:f>
          </x14:formula1>
          <xm:sqref>C583</xm:sqref>
        </x14:dataValidation>
        <x14:dataValidation type="list" allowBlank="1" showInputMessage="1" showErrorMessage="1" xr:uid="{00000000-0002-0000-0300-000046020000}">
          <x14:formula1>
            <xm:f>PriceArea!A2:A1000</xm:f>
          </x14:formula1>
          <xm:sqref>C584</xm:sqref>
        </x14:dataValidation>
        <x14:dataValidation type="list" allowBlank="1" showInputMessage="1" showErrorMessage="1" xr:uid="{00000000-0002-0000-0300-000047020000}">
          <x14:formula1>
            <xm:f>PriceArea!A2:A1000</xm:f>
          </x14:formula1>
          <xm:sqref>C585</xm:sqref>
        </x14:dataValidation>
        <x14:dataValidation type="list" allowBlank="1" showInputMessage="1" showErrorMessage="1" xr:uid="{00000000-0002-0000-0300-000048020000}">
          <x14:formula1>
            <xm:f>PriceArea!A2:A1000</xm:f>
          </x14:formula1>
          <xm:sqref>C586</xm:sqref>
        </x14:dataValidation>
        <x14:dataValidation type="list" allowBlank="1" showInputMessage="1" showErrorMessage="1" xr:uid="{00000000-0002-0000-0300-000049020000}">
          <x14:formula1>
            <xm:f>PriceArea!A2:A1000</xm:f>
          </x14:formula1>
          <xm:sqref>C587</xm:sqref>
        </x14:dataValidation>
        <x14:dataValidation type="list" allowBlank="1" showInputMessage="1" showErrorMessage="1" xr:uid="{00000000-0002-0000-0300-00004A020000}">
          <x14:formula1>
            <xm:f>PriceArea!A2:A1000</xm:f>
          </x14:formula1>
          <xm:sqref>C588</xm:sqref>
        </x14:dataValidation>
        <x14:dataValidation type="list" allowBlank="1" showInputMessage="1" showErrorMessage="1" xr:uid="{00000000-0002-0000-0300-00004B020000}">
          <x14:formula1>
            <xm:f>PriceArea!A2:A1000</xm:f>
          </x14:formula1>
          <xm:sqref>C589</xm:sqref>
        </x14:dataValidation>
        <x14:dataValidation type="list" allowBlank="1" showInputMessage="1" showErrorMessage="1" xr:uid="{00000000-0002-0000-0300-00004C020000}">
          <x14:formula1>
            <xm:f>PriceArea!A2:A1000</xm:f>
          </x14:formula1>
          <xm:sqref>C590</xm:sqref>
        </x14:dataValidation>
        <x14:dataValidation type="list" allowBlank="1" showInputMessage="1" showErrorMessage="1" xr:uid="{00000000-0002-0000-0300-00004D020000}">
          <x14:formula1>
            <xm:f>PriceArea!A2:A1000</xm:f>
          </x14:formula1>
          <xm:sqref>C591</xm:sqref>
        </x14:dataValidation>
        <x14:dataValidation type="list" allowBlank="1" showInputMessage="1" showErrorMessage="1" xr:uid="{00000000-0002-0000-0300-00004E020000}">
          <x14:formula1>
            <xm:f>PriceArea!A2:A1000</xm:f>
          </x14:formula1>
          <xm:sqref>C592</xm:sqref>
        </x14:dataValidation>
        <x14:dataValidation type="list" allowBlank="1" showInputMessage="1" showErrorMessage="1" xr:uid="{00000000-0002-0000-0300-00004F020000}">
          <x14:formula1>
            <xm:f>PriceArea!A2:A1000</xm:f>
          </x14:formula1>
          <xm:sqref>C593</xm:sqref>
        </x14:dataValidation>
        <x14:dataValidation type="list" allowBlank="1" showInputMessage="1" showErrorMessage="1" xr:uid="{00000000-0002-0000-0300-000050020000}">
          <x14:formula1>
            <xm:f>PriceArea!A2:A1000</xm:f>
          </x14:formula1>
          <xm:sqref>C594</xm:sqref>
        </x14:dataValidation>
        <x14:dataValidation type="list" allowBlank="1" showInputMessage="1" showErrorMessage="1" xr:uid="{00000000-0002-0000-0300-000051020000}">
          <x14:formula1>
            <xm:f>PriceArea!A2:A1000</xm:f>
          </x14:formula1>
          <xm:sqref>C595</xm:sqref>
        </x14:dataValidation>
        <x14:dataValidation type="list" allowBlank="1" showInputMessage="1" showErrorMessage="1" xr:uid="{00000000-0002-0000-0300-000052020000}">
          <x14:formula1>
            <xm:f>PriceArea!A2:A1000</xm:f>
          </x14:formula1>
          <xm:sqref>C596</xm:sqref>
        </x14:dataValidation>
        <x14:dataValidation type="list" allowBlank="1" showInputMessage="1" showErrorMessage="1" xr:uid="{00000000-0002-0000-0300-000053020000}">
          <x14:formula1>
            <xm:f>PriceArea!A2:A1000</xm:f>
          </x14:formula1>
          <xm:sqref>C597</xm:sqref>
        </x14:dataValidation>
        <x14:dataValidation type="list" allowBlank="1" showInputMessage="1" showErrorMessage="1" xr:uid="{00000000-0002-0000-0300-000054020000}">
          <x14:formula1>
            <xm:f>PriceArea!A2:A1000</xm:f>
          </x14:formula1>
          <xm:sqref>C598</xm:sqref>
        </x14:dataValidation>
        <x14:dataValidation type="list" allowBlank="1" showInputMessage="1" showErrorMessage="1" xr:uid="{00000000-0002-0000-0300-000055020000}">
          <x14:formula1>
            <xm:f>PriceArea!A2:A1000</xm:f>
          </x14:formula1>
          <xm:sqref>C599</xm:sqref>
        </x14:dataValidation>
        <x14:dataValidation type="list" allowBlank="1" showInputMessage="1" showErrorMessage="1" xr:uid="{00000000-0002-0000-0300-000056020000}">
          <x14:formula1>
            <xm:f>PriceArea!A2:A1000</xm:f>
          </x14:formula1>
          <xm:sqref>C600</xm:sqref>
        </x14:dataValidation>
        <x14:dataValidation type="list" allowBlank="1" showInputMessage="1" showErrorMessage="1" xr:uid="{00000000-0002-0000-0300-000057020000}">
          <x14:formula1>
            <xm:f>PriceArea!A2:A1000</xm:f>
          </x14:formula1>
          <xm:sqref>C601</xm:sqref>
        </x14:dataValidation>
        <x14:dataValidation type="list" allowBlank="1" showInputMessage="1" showErrorMessage="1" xr:uid="{00000000-0002-0000-0300-000058020000}">
          <x14:formula1>
            <xm:f>PriceArea!A2:A1000</xm:f>
          </x14:formula1>
          <xm:sqref>C602</xm:sqref>
        </x14:dataValidation>
        <x14:dataValidation type="list" allowBlank="1" showInputMessage="1" showErrorMessage="1" xr:uid="{00000000-0002-0000-0300-000059020000}">
          <x14:formula1>
            <xm:f>PriceArea!A2:A1000</xm:f>
          </x14:formula1>
          <xm:sqref>C603</xm:sqref>
        </x14:dataValidation>
        <x14:dataValidation type="list" allowBlank="1" showInputMessage="1" showErrorMessage="1" xr:uid="{00000000-0002-0000-0300-00005A020000}">
          <x14:formula1>
            <xm:f>PriceArea!A2:A1000</xm:f>
          </x14:formula1>
          <xm:sqref>C604</xm:sqref>
        </x14:dataValidation>
        <x14:dataValidation type="list" allowBlank="1" showInputMessage="1" showErrorMessage="1" xr:uid="{00000000-0002-0000-0300-00005B020000}">
          <x14:formula1>
            <xm:f>PriceArea!A2:A1000</xm:f>
          </x14:formula1>
          <xm:sqref>C605</xm:sqref>
        </x14:dataValidation>
        <x14:dataValidation type="list" allowBlank="1" showInputMessage="1" showErrorMessage="1" xr:uid="{00000000-0002-0000-0300-00005C020000}">
          <x14:formula1>
            <xm:f>PriceArea!A2:A1000</xm:f>
          </x14:formula1>
          <xm:sqref>C606</xm:sqref>
        </x14:dataValidation>
        <x14:dataValidation type="list" allowBlank="1" showInputMessage="1" showErrorMessage="1" xr:uid="{00000000-0002-0000-0300-00005D020000}">
          <x14:formula1>
            <xm:f>PriceArea!A2:A1000</xm:f>
          </x14:formula1>
          <xm:sqref>C607</xm:sqref>
        </x14:dataValidation>
        <x14:dataValidation type="list" allowBlank="1" showInputMessage="1" showErrorMessage="1" xr:uid="{00000000-0002-0000-0300-00005E020000}">
          <x14:formula1>
            <xm:f>PriceArea!A2:A1000</xm:f>
          </x14:formula1>
          <xm:sqref>C608</xm:sqref>
        </x14:dataValidation>
        <x14:dataValidation type="list" allowBlank="1" showInputMessage="1" showErrorMessage="1" xr:uid="{00000000-0002-0000-0300-00005F020000}">
          <x14:formula1>
            <xm:f>PriceArea!A2:A1000</xm:f>
          </x14:formula1>
          <xm:sqref>C609</xm:sqref>
        </x14:dataValidation>
        <x14:dataValidation type="list" allowBlank="1" showInputMessage="1" showErrorMessage="1" xr:uid="{00000000-0002-0000-0300-000060020000}">
          <x14:formula1>
            <xm:f>PriceArea!A2:A1000</xm:f>
          </x14:formula1>
          <xm:sqref>C610</xm:sqref>
        </x14:dataValidation>
        <x14:dataValidation type="list" allowBlank="1" showInputMessage="1" showErrorMessage="1" xr:uid="{00000000-0002-0000-0300-000061020000}">
          <x14:formula1>
            <xm:f>PriceArea!A2:A1000</xm:f>
          </x14:formula1>
          <xm:sqref>C611</xm:sqref>
        </x14:dataValidation>
        <x14:dataValidation type="list" allowBlank="1" showInputMessage="1" showErrorMessage="1" xr:uid="{00000000-0002-0000-0300-000062020000}">
          <x14:formula1>
            <xm:f>PriceArea!A2:A1000</xm:f>
          </x14:formula1>
          <xm:sqref>C612</xm:sqref>
        </x14:dataValidation>
        <x14:dataValidation type="list" allowBlank="1" showInputMessage="1" showErrorMessage="1" xr:uid="{00000000-0002-0000-0300-000063020000}">
          <x14:formula1>
            <xm:f>PriceArea!A2:A1000</xm:f>
          </x14:formula1>
          <xm:sqref>C613</xm:sqref>
        </x14:dataValidation>
        <x14:dataValidation type="list" allowBlank="1" showInputMessage="1" showErrorMessage="1" xr:uid="{00000000-0002-0000-0300-000064020000}">
          <x14:formula1>
            <xm:f>PriceArea!A2:A1000</xm:f>
          </x14:formula1>
          <xm:sqref>C614</xm:sqref>
        </x14:dataValidation>
        <x14:dataValidation type="list" allowBlank="1" showInputMessage="1" showErrorMessage="1" xr:uid="{00000000-0002-0000-0300-000065020000}">
          <x14:formula1>
            <xm:f>PriceArea!A2:A1000</xm:f>
          </x14:formula1>
          <xm:sqref>C615</xm:sqref>
        </x14:dataValidation>
        <x14:dataValidation type="list" allowBlank="1" showInputMessage="1" showErrorMessage="1" xr:uid="{00000000-0002-0000-0300-000066020000}">
          <x14:formula1>
            <xm:f>PriceArea!A2:A1000</xm:f>
          </x14:formula1>
          <xm:sqref>C616</xm:sqref>
        </x14:dataValidation>
        <x14:dataValidation type="list" allowBlank="1" showInputMessage="1" showErrorMessage="1" xr:uid="{00000000-0002-0000-0300-000067020000}">
          <x14:formula1>
            <xm:f>PriceArea!A2:A1000</xm:f>
          </x14:formula1>
          <xm:sqref>C617</xm:sqref>
        </x14:dataValidation>
        <x14:dataValidation type="list" allowBlank="1" showInputMessage="1" showErrorMessage="1" xr:uid="{00000000-0002-0000-0300-000068020000}">
          <x14:formula1>
            <xm:f>PriceArea!A2:A1000</xm:f>
          </x14:formula1>
          <xm:sqref>C618</xm:sqref>
        </x14:dataValidation>
        <x14:dataValidation type="list" allowBlank="1" showInputMessage="1" showErrorMessage="1" xr:uid="{00000000-0002-0000-0300-000069020000}">
          <x14:formula1>
            <xm:f>PriceArea!A2:A1000</xm:f>
          </x14:formula1>
          <xm:sqref>C619</xm:sqref>
        </x14:dataValidation>
        <x14:dataValidation type="list" allowBlank="1" showInputMessage="1" showErrorMessage="1" xr:uid="{00000000-0002-0000-0300-00006A020000}">
          <x14:formula1>
            <xm:f>PriceArea!A2:A1000</xm:f>
          </x14:formula1>
          <xm:sqref>C620</xm:sqref>
        </x14:dataValidation>
        <x14:dataValidation type="list" allowBlank="1" showInputMessage="1" showErrorMessage="1" xr:uid="{00000000-0002-0000-0300-00006B020000}">
          <x14:formula1>
            <xm:f>PriceArea!A2:A1000</xm:f>
          </x14:formula1>
          <xm:sqref>C621</xm:sqref>
        </x14:dataValidation>
        <x14:dataValidation type="list" allowBlank="1" showInputMessage="1" showErrorMessage="1" xr:uid="{00000000-0002-0000-0300-00006C020000}">
          <x14:formula1>
            <xm:f>PriceArea!A2:A1000</xm:f>
          </x14:formula1>
          <xm:sqref>C622</xm:sqref>
        </x14:dataValidation>
        <x14:dataValidation type="list" allowBlank="1" showInputMessage="1" showErrorMessage="1" xr:uid="{00000000-0002-0000-0300-00006D020000}">
          <x14:formula1>
            <xm:f>PriceArea!A2:A1000</xm:f>
          </x14:formula1>
          <xm:sqref>C623</xm:sqref>
        </x14:dataValidation>
        <x14:dataValidation type="list" allowBlank="1" showInputMessage="1" showErrorMessage="1" xr:uid="{00000000-0002-0000-0300-00006E020000}">
          <x14:formula1>
            <xm:f>PriceArea!A2:A1000</xm:f>
          </x14:formula1>
          <xm:sqref>C624</xm:sqref>
        </x14:dataValidation>
        <x14:dataValidation type="list" allowBlank="1" showInputMessage="1" showErrorMessage="1" xr:uid="{00000000-0002-0000-0300-00006F020000}">
          <x14:formula1>
            <xm:f>PriceArea!A2:A1000</xm:f>
          </x14:formula1>
          <xm:sqref>C625</xm:sqref>
        </x14:dataValidation>
        <x14:dataValidation type="list" allowBlank="1" showInputMessage="1" showErrorMessage="1" xr:uid="{00000000-0002-0000-0300-000070020000}">
          <x14:formula1>
            <xm:f>PriceArea!A2:A1000</xm:f>
          </x14:formula1>
          <xm:sqref>C626</xm:sqref>
        </x14:dataValidation>
        <x14:dataValidation type="list" allowBlank="1" showInputMessage="1" showErrorMessage="1" xr:uid="{00000000-0002-0000-0300-000071020000}">
          <x14:formula1>
            <xm:f>PriceArea!A2:A1000</xm:f>
          </x14:formula1>
          <xm:sqref>C627</xm:sqref>
        </x14:dataValidation>
        <x14:dataValidation type="list" allowBlank="1" showInputMessage="1" showErrorMessage="1" xr:uid="{00000000-0002-0000-0300-000072020000}">
          <x14:formula1>
            <xm:f>PriceArea!A2:A1000</xm:f>
          </x14:formula1>
          <xm:sqref>C628</xm:sqref>
        </x14:dataValidation>
        <x14:dataValidation type="list" allowBlank="1" showInputMessage="1" showErrorMessage="1" xr:uid="{00000000-0002-0000-0300-000073020000}">
          <x14:formula1>
            <xm:f>PriceArea!A2:A1000</xm:f>
          </x14:formula1>
          <xm:sqref>C629</xm:sqref>
        </x14:dataValidation>
        <x14:dataValidation type="list" allowBlank="1" showInputMessage="1" showErrorMessage="1" xr:uid="{00000000-0002-0000-0300-000074020000}">
          <x14:formula1>
            <xm:f>PriceArea!A2:A1000</xm:f>
          </x14:formula1>
          <xm:sqref>C630</xm:sqref>
        </x14:dataValidation>
        <x14:dataValidation type="list" allowBlank="1" showInputMessage="1" showErrorMessage="1" xr:uid="{00000000-0002-0000-0300-000075020000}">
          <x14:formula1>
            <xm:f>PriceArea!A2:A1000</xm:f>
          </x14:formula1>
          <xm:sqref>C631</xm:sqref>
        </x14:dataValidation>
        <x14:dataValidation type="list" allowBlank="1" showInputMessage="1" showErrorMessage="1" xr:uid="{00000000-0002-0000-0300-000076020000}">
          <x14:formula1>
            <xm:f>PriceArea!A2:A1000</xm:f>
          </x14:formula1>
          <xm:sqref>C632</xm:sqref>
        </x14:dataValidation>
        <x14:dataValidation type="list" allowBlank="1" showInputMessage="1" showErrorMessage="1" xr:uid="{00000000-0002-0000-0300-000077020000}">
          <x14:formula1>
            <xm:f>PriceArea!A2:A1000</xm:f>
          </x14:formula1>
          <xm:sqref>C633</xm:sqref>
        </x14:dataValidation>
        <x14:dataValidation type="list" allowBlank="1" showInputMessage="1" showErrorMessage="1" xr:uid="{00000000-0002-0000-0300-000078020000}">
          <x14:formula1>
            <xm:f>PriceArea!A2:A1000</xm:f>
          </x14:formula1>
          <xm:sqref>C634</xm:sqref>
        </x14:dataValidation>
        <x14:dataValidation type="list" allowBlank="1" showInputMessage="1" showErrorMessage="1" xr:uid="{00000000-0002-0000-0300-000079020000}">
          <x14:formula1>
            <xm:f>PriceArea!A2:A1000</xm:f>
          </x14:formula1>
          <xm:sqref>C635</xm:sqref>
        </x14:dataValidation>
        <x14:dataValidation type="list" allowBlank="1" showInputMessage="1" showErrorMessage="1" xr:uid="{00000000-0002-0000-0300-00007A020000}">
          <x14:formula1>
            <xm:f>PriceArea!A2:A1000</xm:f>
          </x14:formula1>
          <xm:sqref>C636</xm:sqref>
        </x14:dataValidation>
        <x14:dataValidation type="list" allowBlank="1" showInputMessage="1" showErrorMessage="1" xr:uid="{00000000-0002-0000-0300-00007B020000}">
          <x14:formula1>
            <xm:f>PriceArea!A2:A1000</xm:f>
          </x14:formula1>
          <xm:sqref>C637</xm:sqref>
        </x14:dataValidation>
        <x14:dataValidation type="list" allowBlank="1" showInputMessage="1" showErrorMessage="1" xr:uid="{00000000-0002-0000-0300-00007C020000}">
          <x14:formula1>
            <xm:f>PriceArea!A2:A1000</xm:f>
          </x14:formula1>
          <xm:sqref>C638</xm:sqref>
        </x14:dataValidation>
        <x14:dataValidation type="list" allowBlank="1" showInputMessage="1" showErrorMessage="1" xr:uid="{00000000-0002-0000-0300-00007D020000}">
          <x14:formula1>
            <xm:f>PriceArea!A2:A1000</xm:f>
          </x14:formula1>
          <xm:sqref>C639</xm:sqref>
        </x14:dataValidation>
        <x14:dataValidation type="list" allowBlank="1" showInputMessage="1" showErrorMessage="1" xr:uid="{00000000-0002-0000-0300-00007E020000}">
          <x14:formula1>
            <xm:f>PriceArea!A2:A1000</xm:f>
          </x14:formula1>
          <xm:sqref>C640</xm:sqref>
        </x14:dataValidation>
        <x14:dataValidation type="list" allowBlank="1" showInputMessage="1" showErrorMessage="1" xr:uid="{00000000-0002-0000-0300-00007F020000}">
          <x14:formula1>
            <xm:f>PriceArea!A2:A1000</xm:f>
          </x14:formula1>
          <xm:sqref>C641</xm:sqref>
        </x14:dataValidation>
        <x14:dataValidation type="list" allowBlank="1" showInputMessage="1" showErrorMessage="1" xr:uid="{00000000-0002-0000-0300-000080020000}">
          <x14:formula1>
            <xm:f>PriceArea!A2:A1000</xm:f>
          </x14:formula1>
          <xm:sqref>C642</xm:sqref>
        </x14:dataValidation>
        <x14:dataValidation type="list" allowBlank="1" showInputMessage="1" showErrorMessage="1" xr:uid="{00000000-0002-0000-0300-000081020000}">
          <x14:formula1>
            <xm:f>PriceArea!A2:A1000</xm:f>
          </x14:formula1>
          <xm:sqref>C643</xm:sqref>
        </x14:dataValidation>
        <x14:dataValidation type="list" allowBlank="1" showInputMessage="1" showErrorMessage="1" xr:uid="{00000000-0002-0000-0300-000082020000}">
          <x14:formula1>
            <xm:f>PriceArea!A2:A1000</xm:f>
          </x14:formula1>
          <xm:sqref>C644</xm:sqref>
        </x14:dataValidation>
        <x14:dataValidation type="list" allowBlank="1" showInputMessage="1" showErrorMessage="1" xr:uid="{00000000-0002-0000-0300-000083020000}">
          <x14:formula1>
            <xm:f>PriceArea!A2:A1000</xm:f>
          </x14:formula1>
          <xm:sqref>C645</xm:sqref>
        </x14:dataValidation>
        <x14:dataValidation type="list" allowBlank="1" showInputMessage="1" showErrorMessage="1" xr:uid="{00000000-0002-0000-0300-000084020000}">
          <x14:formula1>
            <xm:f>PriceArea!A2:A1000</xm:f>
          </x14:formula1>
          <xm:sqref>C646</xm:sqref>
        </x14:dataValidation>
        <x14:dataValidation type="list" allowBlank="1" showInputMessage="1" showErrorMessage="1" xr:uid="{00000000-0002-0000-0300-000085020000}">
          <x14:formula1>
            <xm:f>PriceArea!A2:A1000</xm:f>
          </x14:formula1>
          <xm:sqref>C647</xm:sqref>
        </x14:dataValidation>
        <x14:dataValidation type="list" allowBlank="1" showInputMessage="1" showErrorMessage="1" xr:uid="{00000000-0002-0000-0300-000086020000}">
          <x14:formula1>
            <xm:f>PriceArea!A2:A1000</xm:f>
          </x14:formula1>
          <xm:sqref>C648</xm:sqref>
        </x14:dataValidation>
        <x14:dataValidation type="list" allowBlank="1" showInputMessage="1" showErrorMessage="1" xr:uid="{00000000-0002-0000-0300-000087020000}">
          <x14:formula1>
            <xm:f>PriceArea!A2:A1000</xm:f>
          </x14:formula1>
          <xm:sqref>C649</xm:sqref>
        </x14:dataValidation>
        <x14:dataValidation type="list" allowBlank="1" showInputMessage="1" showErrorMessage="1" xr:uid="{00000000-0002-0000-0300-000088020000}">
          <x14:formula1>
            <xm:f>PriceArea!A2:A1000</xm:f>
          </x14:formula1>
          <xm:sqref>C650</xm:sqref>
        </x14:dataValidation>
        <x14:dataValidation type="list" allowBlank="1" showInputMessage="1" showErrorMessage="1" xr:uid="{00000000-0002-0000-0300-000089020000}">
          <x14:formula1>
            <xm:f>PriceArea!A2:A1000</xm:f>
          </x14:formula1>
          <xm:sqref>C651</xm:sqref>
        </x14:dataValidation>
        <x14:dataValidation type="list" allowBlank="1" showInputMessage="1" showErrorMessage="1" xr:uid="{00000000-0002-0000-0300-00008A020000}">
          <x14:formula1>
            <xm:f>PriceArea!A2:A1000</xm:f>
          </x14:formula1>
          <xm:sqref>C652</xm:sqref>
        </x14:dataValidation>
        <x14:dataValidation type="list" allowBlank="1" showInputMessage="1" showErrorMessage="1" xr:uid="{00000000-0002-0000-0300-00008B020000}">
          <x14:formula1>
            <xm:f>PriceArea!A2:A1000</xm:f>
          </x14:formula1>
          <xm:sqref>C653</xm:sqref>
        </x14:dataValidation>
        <x14:dataValidation type="list" allowBlank="1" showInputMessage="1" showErrorMessage="1" xr:uid="{00000000-0002-0000-0300-00008C020000}">
          <x14:formula1>
            <xm:f>PriceArea!A2:A1000</xm:f>
          </x14:formula1>
          <xm:sqref>C654</xm:sqref>
        </x14:dataValidation>
        <x14:dataValidation type="list" allowBlank="1" showInputMessage="1" showErrorMessage="1" xr:uid="{00000000-0002-0000-0300-00008D020000}">
          <x14:formula1>
            <xm:f>PriceArea!A2:A1000</xm:f>
          </x14:formula1>
          <xm:sqref>C655</xm:sqref>
        </x14:dataValidation>
        <x14:dataValidation type="list" allowBlank="1" showInputMessage="1" showErrorMessage="1" xr:uid="{00000000-0002-0000-0300-00008E020000}">
          <x14:formula1>
            <xm:f>PriceArea!A2:A1000</xm:f>
          </x14:formula1>
          <xm:sqref>C656</xm:sqref>
        </x14:dataValidation>
        <x14:dataValidation type="list" allowBlank="1" showInputMessage="1" showErrorMessage="1" xr:uid="{00000000-0002-0000-0300-00008F020000}">
          <x14:formula1>
            <xm:f>PriceArea!A2:A1000</xm:f>
          </x14:formula1>
          <xm:sqref>C657</xm:sqref>
        </x14:dataValidation>
        <x14:dataValidation type="list" allowBlank="1" showInputMessage="1" showErrorMessage="1" xr:uid="{00000000-0002-0000-0300-000090020000}">
          <x14:formula1>
            <xm:f>PriceArea!A2:A1000</xm:f>
          </x14:formula1>
          <xm:sqref>C658</xm:sqref>
        </x14:dataValidation>
        <x14:dataValidation type="list" allowBlank="1" showInputMessage="1" showErrorMessage="1" xr:uid="{00000000-0002-0000-0300-000091020000}">
          <x14:formula1>
            <xm:f>PriceArea!A2:A1000</xm:f>
          </x14:formula1>
          <xm:sqref>C659</xm:sqref>
        </x14:dataValidation>
        <x14:dataValidation type="list" allowBlank="1" showInputMessage="1" showErrorMessage="1" xr:uid="{00000000-0002-0000-0300-000092020000}">
          <x14:formula1>
            <xm:f>PriceArea!A2:A1000</xm:f>
          </x14:formula1>
          <xm:sqref>C660</xm:sqref>
        </x14:dataValidation>
        <x14:dataValidation type="list" allowBlank="1" showInputMessage="1" showErrorMessage="1" xr:uid="{00000000-0002-0000-0300-000093020000}">
          <x14:formula1>
            <xm:f>PriceArea!A2:A1000</xm:f>
          </x14:formula1>
          <xm:sqref>C661</xm:sqref>
        </x14:dataValidation>
        <x14:dataValidation type="list" allowBlank="1" showInputMessage="1" showErrorMessage="1" xr:uid="{00000000-0002-0000-0300-000094020000}">
          <x14:formula1>
            <xm:f>PriceArea!A2:A1000</xm:f>
          </x14:formula1>
          <xm:sqref>C662</xm:sqref>
        </x14:dataValidation>
        <x14:dataValidation type="list" allowBlank="1" showInputMessage="1" showErrorMessage="1" xr:uid="{00000000-0002-0000-0300-000095020000}">
          <x14:formula1>
            <xm:f>PriceArea!A2:A1000</xm:f>
          </x14:formula1>
          <xm:sqref>C663</xm:sqref>
        </x14:dataValidation>
        <x14:dataValidation type="list" allowBlank="1" showInputMessage="1" showErrorMessage="1" xr:uid="{00000000-0002-0000-0300-000096020000}">
          <x14:formula1>
            <xm:f>PriceArea!A2:A1000</xm:f>
          </x14:formula1>
          <xm:sqref>C664</xm:sqref>
        </x14:dataValidation>
        <x14:dataValidation type="list" allowBlank="1" showInputMessage="1" showErrorMessage="1" xr:uid="{00000000-0002-0000-0300-000097020000}">
          <x14:formula1>
            <xm:f>PriceArea!A2:A1000</xm:f>
          </x14:formula1>
          <xm:sqref>C665</xm:sqref>
        </x14:dataValidation>
        <x14:dataValidation type="list" allowBlank="1" showInputMessage="1" showErrorMessage="1" xr:uid="{00000000-0002-0000-0300-000098020000}">
          <x14:formula1>
            <xm:f>PriceArea!A2:A1000</xm:f>
          </x14:formula1>
          <xm:sqref>C666</xm:sqref>
        </x14:dataValidation>
        <x14:dataValidation type="list" allowBlank="1" showInputMessage="1" showErrorMessage="1" xr:uid="{00000000-0002-0000-0300-000099020000}">
          <x14:formula1>
            <xm:f>PriceArea!A2:A1000</xm:f>
          </x14:formula1>
          <xm:sqref>C667</xm:sqref>
        </x14:dataValidation>
        <x14:dataValidation type="list" allowBlank="1" showInputMessage="1" showErrorMessage="1" xr:uid="{00000000-0002-0000-0300-00009A020000}">
          <x14:formula1>
            <xm:f>PriceArea!A2:A1000</xm:f>
          </x14:formula1>
          <xm:sqref>C668</xm:sqref>
        </x14:dataValidation>
        <x14:dataValidation type="list" allowBlank="1" showInputMessage="1" showErrorMessage="1" xr:uid="{00000000-0002-0000-0300-00009B020000}">
          <x14:formula1>
            <xm:f>PriceArea!A2:A1000</xm:f>
          </x14:formula1>
          <xm:sqref>C669</xm:sqref>
        </x14:dataValidation>
        <x14:dataValidation type="list" allowBlank="1" showInputMessage="1" showErrorMessage="1" xr:uid="{00000000-0002-0000-0300-00009C020000}">
          <x14:formula1>
            <xm:f>PriceArea!A2:A1000</xm:f>
          </x14:formula1>
          <xm:sqref>C670</xm:sqref>
        </x14:dataValidation>
        <x14:dataValidation type="list" allowBlank="1" showInputMessage="1" showErrorMessage="1" xr:uid="{00000000-0002-0000-0300-00009D020000}">
          <x14:formula1>
            <xm:f>PriceArea!A2:A1000</xm:f>
          </x14:formula1>
          <xm:sqref>C671</xm:sqref>
        </x14:dataValidation>
        <x14:dataValidation type="list" allowBlank="1" showInputMessage="1" showErrorMessage="1" xr:uid="{00000000-0002-0000-0300-00009E020000}">
          <x14:formula1>
            <xm:f>PriceArea!A2:A1000</xm:f>
          </x14:formula1>
          <xm:sqref>C672</xm:sqref>
        </x14:dataValidation>
        <x14:dataValidation type="list" allowBlank="1" showInputMessage="1" showErrorMessage="1" xr:uid="{00000000-0002-0000-0300-00009F020000}">
          <x14:formula1>
            <xm:f>PriceArea!A2:A1000</xm:f>
          </x14:formula1>
          <xm:sqref>C673</xm:sqref>
        </x14:dataValidation>
        <x14:dataValidation type="list" allowBlank="1" showInputMessage="1" showErrorMessage="1" xr:uid="{00000000-0002-0000-0300-0000A0020000}">
          <x14:formula1>
            <xm:f>PriceArea!A2:A1000</xm:f>
          </x14:formula1>
          <xm:sqref>C674</xm:sqref>
        </x14:dataValidation>
        <x14:dataValidation type="list" allowBlank="1" showInputMessage="1" showErrorMessage="1" xr:uid="{00000000-0002-0000-0300-0000A1020000}">
          <x14:formula1>
            <xm:f>PriceArea!A2:A1000</xm:f>
          </x14:formula1>
          <xm:sqref>C675</xm:sqref>
        </x14:dataValidation>
        <x14:dataValidation type="list" allowBlank="1" showInputMessage="1" showErrorMessage="1" xr:uid="{00000000-0002-0000-0300-0000A2020000}">
          <x14:formula1>
            <xm:f>PriceArea!A2:A1000</xm:f>
          </x14:formula1>
          <xm:sqref>C676</xm:sqref>
        </x14:dataValidation>
        <x14:dataValidation type="list" allowBlank="1" showInputMessage="1" showErrorMessage="1" xr:uid="{00000000-0002-0000-0300-0000A3020000}">
          <x14:formula1>
            <xm:f>PriceArea!A2:A1000</xm:f>
          </x14:formula1>
          <xm:sqref>C677</xm:sqref>
        </x14:dataValidation>
        <x14:dataValidation type="list" allowBlank="1" showInputMessage="1" showErrorMessage="1" xr:uid="{00000000-0002-0000-0300-0000A4020000}">
          <x14:formula1>
            <xm:f>PriceArea!A2:A1000</xm:f>
          </x14:formula1>
          <xm:sqref>C678</xm:sqref>
        </x14:dataValidation>
        <x14:dataValidation type="list" allowBlank="1" showInputMessage="1" showErrorMessage="1" xr:uid="{00000000-0002-0000-0300-0000A5020000}">
          <x14:formula1>
            <xm:f>PriceArea!A2:A1000</xm:f>
          </x14:formula1>
          <xm:sqref>C679</xm:sqref>
        </x14:dataValidation>
        <x14:dataValidation type="list" allowBlank="1" showInputMessage="1" showErrorMessage="1" xr:uid="{00000000-0002-0000-0300-0000A6020000}">
          <x14:formula1>
            <xm:f>PriceArea!A2:A1000</xm:f>
          </x14:formula1>
          <xm:sqref>C680</xm:sqref>
        </x14:dataValidation>
        <x14:dataValidation type="list" allowBlank="1" showInputMessage="1" showErrorMessage="1" xr:uid="{00000000-0002-0000-0300-0000A7020000}">
          <x14:formula1>
            <xm:f>PriceArea!A2:A1000</xm:f>
          </x14:formula1>
          <xm:sqref>C681</xm:sqref>
        </x14:dataValidation>
        <x14:dataValidation type="list" allowBlank="1" showInputMessage="1" showErrorMessage="1" xr:uid="{00000000-0002-0000-0300-0000A8020000}">
          <x14:formula1>
            <xm:f>PriceArea!A2:A1000</xm:f>
          </x14:formula1>
          <xm:sqref>C682</xm:sqref>
        </x14:dataValidation>
        <x14:dataValidation type="list" allowBlank="1" showInputMessage="1" showErrorMessage="1" xr:uid="{00000000-0002-0000-0300-0000A9020000}">
          <x14:formula1>
            <xm:f>PriceArea!A2:A1000</xm:f>
          </x14:formula1>
          <xm:sqref>C683</xm:sqref>
        </x14:dataValidation>
        <x14:dataValidation type="list" allowBlank="1" showInputMessage="1" showErrorMessage="1" xr:uid="{00000000-0002-0000-0300-0000AA020000}">
          <x14:formula1>
            <xm:f>PriceArea!A2:A1000</xm:f>
          </x14:formula1>
          <xm:sqref>C684</xm:sqref>
        </x14:dataValidation>
        <x14:dataValidation type="list" allowBlank="1" showInputMessage="1" showErrorMessage="1" xr:uid="{00000000-0002-0000-0300-0000AB020000}">
          <x14:formula1>
            <xm:f>PriceArea!A2:A1000</xm:f>
          </x14:formula1>
          <xm:sqref>C685</xm:sqref>
        </x14:dataValidation>
        <x14:dataValidation type="list" allowBlank="1" showInputMessage="1" showErrorMessage="1" xr:uid="{00000000-0002-0000-0300-0000AC020000}">
          <x14:formula1>
            <xm:f>PriceArea!A2:A1000</xm:f>
          </x14:formula1>
          <xm:sqref>C686</xm:sqref>
        </x14:dataValidation>
        <x14:dataValidation type="list" allowBlank="1" showInputMessage="1" showErrorMessage="1" xr:uid="{00000000-0002-0000-0300-0000AD020000}">
          <x14:formula1>
            <xm:f>PriceArea!A2:A1000</xm:f>
          </x14:formula1>
          <xm:sqref>C687</xm:sqref>
        </x14:dataValidation>
        <x14:dataValidation type="list" allowBlank="1" showInputMessage="1" showErrorMessage="1" xr:uid="{00000000-0002-0000-0300-0000AE020000}">
          <x14:formula1>
            <xm:f>PriceArea!A2:A1000</xm:f>
          </x14:formula1>
          <xm:sqref>C688</xm:sqref>
        </x14:dataValidation>
        <x14:dataValidation type="list" allowBlank="1" showInputMessage="1" showErrorMessage="1" xr:uid="{00000000-0002-0000-0300-0000AF020000}">
          <x14:formula1>
            <xm:f>PriceArea!A2:A1000</xm:f>
          </x14:formula1>
          <xm:sqref>C689</xm:sqref>
        </x14:dataValidation>
        <x14:dataValidation type="list" allowBlank="1" showInputMessage="1" showErrorMessage="1" xr:uid="{00000000-0002-0000-0300-0000B0020000}">
          <x14:formula1>
            <xm:f>PriceArea!A2:A1000</xm:f>
          </x14:formula1>
          <xm:sqref>C690</xm:sqref>
        </x14:dataValidation>
        <x14:dataValidation type="list" allowBlank="1" showInputMessage="1" showErrorMessage="1" xr:uid="{00000000-0002-0000-0300-0000B1020000}">
          <x14:formula1>
            <xm:f>PriceArea!A2:A1000</xm:f>
          </x14:formula1>
          <xm:sqref>C691</xm:sqref>
        </x14:dataValidation>
        <x14:dataValidation type="list" allowBlank="1" showInputMessage="1" showErrorMessage="1" xr:uid="{00000000-0002-0000-0300-0000B2020000}">
          <x14:formula1>
            <xm:f>PriceArea!A2:A1000</xm:f>
          </x14:formula1>
          <xm:sqref>C692</xm:sqref>
        </x14:dataValidation>
        <x14:dataValidation type="list" allowBlank="1" showInputMessage="1" showErrorMessage="1" xr:uid="{00000000-0002-0000-0300-0000B3020000}">
          <x14:formula1>
            <xm:f>PriceArea!A2:A1000</xm:f>
          </x14:formula1>
          <xm:sqref>C693</xm:sqref>
        </x14:dataValidation>
        <x14:dataValidation type="list" allowBlank="1" showInputMessage="1" showErrorMessage="1" xr:uid="{00000000-0002-0000-0300-0000B4020000}">
          <x14:formula1>
            <xm:f>PriceArea!A2:A1000</xm:f>
          </x14:formula1>
          <xm:sqref>C694</xm:sqref>
        </x14:dataValidation>
        <x14:dataValidation type="list" allowBlank="1" showInputMessage="1" showErrorMessage="1" xr:uid="{00000000-0002-0000-0300-0000B5020000}">
          <x14:formula1>
            <xm:f>PriceArea!A2:A1000</xm:f>
          </x14:formula1>
          <xm:sqref>C695</xm:sqref>
        </x14:dataValidation>
        <x14:dataValidation type="list" allowBlank="1" showInputMessage="1" showErrorMessage="1" xr:uid="{00000000-0002-0000-0300-0000B6020000}">
          <x14:formula1>
            <xm:f>PriceArea!A2:A1000</xm:f>
          </x14:formula1>
          <xm:sqref>C696</xm:sqref>
        </x14:dataValidation>
        <x14:dataValidation type="list" allowBlank="1" showInputMessage="1" showErrorMessage="1" xr:uid="{00000000-0002-0000-0300-0000B7020000}">
          <x14:formula1>
            <xm:f>PriceArea!A2:A1000</xm:f>
          </x14:formula1>
          <xm:sqref>C697</xm:sqref>
        </x14:dataValidation>
        <x14:dataValidation type="list" allowBlank="1" showInputMessage="1" showErrorMessage="1" xr:uid="{00000000-0002-0000-0300-0000B8020000}">
          <x14:formula1>
            <xm:f>PriceArea!A2:A1000</xm:f>
          </x14:formula1>
          <xm:sqref>C698</xm:sqref>
        </x14:dataValidation>
        <x14:dataValidation type="list" allowBlank="1" showInputMessage="1" showErrorMessage="1" xr:uid="{00000000-0002-0000-0300-0000B9020000}">
          <x14:formula1>
            <xm:f>PriceArea!A2:A1000</xm:f>
          </x14:formula1>
          <xm:sqref>C699</xm:sqref>
        </x14:dataValidation>
        <x14:dataValidation type="list" allowBlank="1" showInputMessage="1" showErrorMessage="1" xr:uid="{00000000-0002-0000-0300-0000BA020000}">
          <x14:formula1>
            <xm:f>PriceArea!A2:A1000</xm:f>
          </x14:formula1>
          <xm:sqref>C700</xm:sqref>
        </x14:dataValidation>
        <x14:dataValidation type="list" allowBlank="1" showInputMessage="1" showErrorMessage="1" xr:uid="{00000000-0002-0000-0300-0000BB020000}">
          <x14:formula1>
            <xm:f>PriceArea!A2:A1000</xm:f>
          </x14:formula1>
          <xm:sqref>C701</xm:sqref>
        </x14:dataValidation>
        <x14:dataValidation type="list" allowBlank="1" showInputMessage="1" showErrorMessage="1" xr:uid="{00000000-0002-0000-0300-0000BC020000}">
          <x14:formula1>
            <xm:f>PriceArea!A2:A1000</xm:f>
          </x14:formula1>
          <xm:sqref>C702</xm:sqref>
        </x14:dataValidation>
        <x14:dataValidation type="list" allowBlank="1" showInputMessage="1" showErrorMessage="1" xr:uid="{00000000-0002-0000-0300-0000BD020000}">
          <x14:formula1>
            <xm:f>PriceArea!A2:A1000</xm:f>
          </x14:formula1>
          <xm:sqref>C703</xm:sqref>
        </x14:dataValidation>
        <x14:dataValidation type="list" allowBlank="1" showInputMessage="1" showErrorMessage="1" xr:uid="{00000000-0002-0000-0300-0000BE020000}">
          <x14:formula1>
            <xm:f>PriceArea!A2:A1000</xm:f>
          </x14:formula1>
          <xm:sqref>C704</xm:sqref>
        </x14:dataValidation>
        <x14:dataValidation type="list" allowBlank="1" showInputMessage="1" showErrorMessage="1" xr:uid="{00000000-0002-0000-0300-0000BF020000}">
          <x14:formula1>
            <xm:f>PriceArea!A2:A1000</xm:f>
          </x14:formula1>
          <xm:sqref>C705</xm:sqref>
        </x14:dataValidation>
        <x14:dataValidation type="list" allowBlank="1" showInputMessage="1" showErrorMessage="1" xr:uid="{00000000-0002-0000-0300-0000C0020000}">
          <x14:formula1>
            <xm:f>PriceArea!A2:A1000</xm:f>
          </x14:formula1>
          <xm:sqref>C706</xm:sqref>
        </x14:dataValidation>
        <x14:dataValidation type="list" allowBlank="1" showInputMessage="1" showErrorMessage="1" xr:uid="{00000000-0002-0000-0300-0000C1020000}">
          <x14:formula1>
            <xm:f>PriceArea!A2:A1000</xm:f>
          </x14:formula1>
          <xm:sqref>C707</xm:sqref>
        </x14:dataValidation>
        <x14:dataValidation type="list" allowBlank="1" showInputMessage="1" showErrorMessage="1" xr:uid="{00000000-0002-0000-0300-0000C2020000}">
          <x14:formula1>
            <xm:f>PriceArea!A2:A1000</xm:f>
          </x14:formula1>
          <xm:sqref>C708</xm:sqref>
        </x14:dataValidation>
        <x14:dataValidation type="list" allowBlank="1" showInputMessage="1" showErrorMessage="1" xr:uid="{00000000-0002-0000-0300-0000C3020000}">
          <x14:formula1>
            <xm:f>PriceArea!A2:A1000</xm:f>
          </x14:formula1>
          <xm:sqref>C709</xm:sqref>
        </x14:dataValidation>
        <x14:dataValidation type="list" allowBlank="1" showInputMessage="1" showErrorMessage="1" xr:uid="{00000000-0002-0000-0300-0000C4020000}">
          <x14:formula1>
            <xm:f>PriceArea!A2:A1000</xm:f>
          </x14:formula1>
          <xm:sqref>C710</xm:sqref>
        </x14:dataValidation>
        <x14:dataValidation type="list" allowBlank="1" showInputMessage="1" showErrorMessage="1" xr:uid="{00000000-0002-0000-0300-0000C5020000}">
          <x14:formula1>
            <xm:f>PriceArea!A2:A1000</xm:f>
          </x14:formula1>
          <xm:sqref>C711</xm:sqref>
        </x14:dataValidation>
        <x14:dataValidation type="list" allowBlank="1" showInputMessage="1" showErrorMessage="1" xr:uid="{00000000-0002-0000-0300-0000C6020000}">
          <x14:formula1>
            <xm:f>PriceArea!A2:A1000</xm:f>
          </x14:formula1>
          <xm:sqref>C712</xm:sqref>
        </x14:dataValidation>
        <x14:dataValidation type="list" allowBlank="1" showInputMessage="1" showErrorMessage="1" xr:uid="{00000000-0002-0000-0300-0000C7020000}">
          <x14:formula1>
            <xm:f>PriceArea!A2:A1000</xm:f>
          </x14:formula1>
          <xm:sqref>C713</xm:sqref>
        </x14:dataValidation>
        <x14:dataValidation type="list" allowBlank="1" showInputMessage="1" showErrorMessage="1" xr:uid="{00000000-0002-0000-0300-0000C8020000}">
          <x14:formula1>
            <xm:f>PriceArea!A2:A1000</xm:f>
          </x14:formula1>
          <xm:sqref>C714</xm:sqref>
        </x14:dataValidation>
        <x14:dataValidation type="list" allowBlank="1" showInputMessage="1" showErrorMessage="1" xr:uid="{00000000-0002-0000-0300-0000C9020000}">
          <x14:formula1>
            <xm:f>PriceArea!A2:A1000</xm:f>
          </x14:formula1>
          <xm:sqref>C715</xm:sqref>
        </x14:dataValidation>
        <x14:dataValidation type="list" allowBlank="1" showInputMessage="1" showErrorMessage="1" xr:uid="{00000000-0002-0000-0300-0000CA020000}">
          <x14:formula1>
            <xm:f>PriceArea!A2:A1000</xm:f>
          </x14:formula1>
          <xm:sqref>C716</xm:sqref>
        </x14:dataValidation>
        <x14:dataValidation type="list" allowBlank="1" showInputMessage="1" showErrorMessage="1" xr:uid="{00000000-0002-0000-0300-0000CB020000}">
          <x14:formula1>
            <xm:f>PriceArea!A2:A1000</xm:f>
          </x14:formula1>
          <xm:sqref>C717</xm:sqref>
        </x14:dataValidation>
        <x14:dataValidation type="list" allowBlank="1" showInputMessage="1" showErrorMessage="1" xr:uid="{00000000-0002-0000-0300-0000CC020000}">
          <x14:formula1>
            <xm:f>PriceArea!A2:A1000</xm:f>
          </x14:formula1>
          <xm:sqref>C718</xm:sqref>
        </x14:dataValidation>
        <x14:dataValidation type="list" allowBlank="1" showInputMessage="1" showErrorMessage="1" xr:uid="{00000000-0002-0000-0300-0000CD020000}">
          <x14:formula1>
            <xm:f>PriceArea!A2:A1000</xm:f>
          </x14:formula1>
          <xm:sqref>C719</xm:sqref>
        </x14:dataValidation>
        <x14:dataValidation type="list" allowBlank="1" showInputMessage="1" showErrorMessage="1" xr:uid="{00000000-0002-0000-0300-0000CE020000}">
          <x14:formula1>
            <xm:f>PriceArea!A2:A1000</xm:f>
          </x14:formula1>
          <xm:sqref>C720</xm:sqref>
        </x14:dataValidation>
        <x14:dataValidation type="list" allowBlank="1" showInputMessage="1" showErrorMessage="1" xr:uid="{00000000-0002-0000-0300-0000CF020000}">
          <x14:formula1>
            <xm:f>PriceArea!A2:A1000</xm:f>
          </x14:formula1>
          <xm:sqref>C721</xm:sqref>
        </x14:dataValidation>
        <x14:dataValidation type="list" allowBlank="1" showInputMessage="1" showErrorMessage="1" xr:uid="{00000000-0002-0000-0300-0000D0020000}">
          <x14:formula1>
            <xm:f>PriceArea!A2:A1000</xm:f>
          </x14:formula1>
          <xm:sqref>C722</xm:sqref>
        </x14:dataValidation>
        <x14:dataValidation type="list" allowBlank="1" showInputMessage="1" showErrorMessage="1" xr:uid="{00000000-0002-0000-0300-0000D1020000}">
          <x14:formula1>
            <xm:f>PriceArea!A2:A1000</xm:f>
          </x14:formula1>
          <xm:sqref>C723</xm:sqref>
        </x14:dataValidation>
        <x14:dataValidation type="list" allowBlank="1" showInputMessage="1" showErrorMessage="1" xr:uid="{00000000-0002-0000-0300-0000D2020000}">
          <x14:formula1>
            <xm:f>PriceArea!A2:A1000</xm:f>
          </x14:formula1>
          <xm:sqref>C724</xm:sqref>
        </x14:dataValidation>
        <x14:dataValidation type="list" allowBlank="1" showInputMessage="1" showErrorMessage="1" xr:uid="{00000000-0002-0000-0300-0000D3020000}">
          <x14:formula1>
            <xm:f>PriceArea!A2:A1000</xm:f>
          </x14:formula1>
          <xm:sqref>C725</xm:sqref>
        </x14:dataValidation>
        <x14:dataValidation type="list" allowBlank="1" showInputMessage="1" showErrorMessage="1" xr:uid="{00000000-0002-0000-0300-0000D4020000}">
          <x14:formula1>
            <xm:f>PriceArea!A2:A1000</xm:f>
          </x14:formula1>
          <xm:sqref>C726</xm:sqref>
        </x14:dataValidation>
        <x14:dataValidation type="list" allowBlank="1" showInputMessage="1" showErrorMessage="1" xr:uid="{00000000-0002-0000-0300-0000D5020000}">
          <x14:formula1>
            <xm:f>PriceArea!A2:A1000</xm:f>
          </x14:formula1>
          <xm:sqref>C727</xm:sqref>
        </x14:dataValidation>
        <x14:dataValidation type="list" allowBlank="1" showInputMessage="1" showErrorMessage="1" xr:uid="{00000000-0002-0000-0300-0000D6020000}">
          <x14:formula1>
            <xm:f>PriceArea!A2:A1000</xm:f>
          </x14:formula1>
          <xm:sqref>C728</xm:sqref>
        </x14:dataValidation>
        <x14:dataValidation type="list" allowBlank="1" showInputMessage="1" showErrorMessage="1" xr:uid="{00000000-0002-0000-0300-0000D7020000}">
          <x14:formula1>
            <xm:f>PriceArea!A2:A1000</xm:f>
          </x14:formula1>
          <xm:sqref>C729</xm:sqref>
        </x14:dataValidation>
        <x14:dataValidation type="list" allowBlank="1" showInputMessage="1" showErrorMessage="1" xr:uid="{00000000-0002-0000-0300-0000D8020000}">
          <x14:formula1>
            <xm:f>PriceArea!A2:A1000</xm:f>
          </x14:formula1>
          <xm:sqref>C730</xm:sqref>
        </x14:dataValidation>
        <x14:dataValidation type="list" allowBlank="1" showInputMessage="1" showErrorMessage="1" xr:uid="{00000000-0002-0000-0300-0000D9020000}">
          <x14:formula1>
            <xm:f>PriceArea!A2:A1000</xm:f>
          </x14:formula1>
          <xm:sqref>C731</xm:sqref>
        </x14:dataValidation>
        <x14:dataValidation type="list" allowBlank="1" showInputMessage="1" showErrorMessage="1" xr:uid="{00000000-0002-0000-0300-0000DA020000}">
          <x14:formula1>
            <xm:f>PriceArea!A2:A1000</xm:f>
          </x14:formula1>
          <xm:sqref>C732</xm:sqref>
        </x14:dataValidation>
        <x14:dataValidation type="list" allowBlank="1" showInputMessage="1" showErrorMessage="1" xr:uid="{00000000-0002-0000-0300-0000DB020000}">
          <x14:formula1>
            <xm:f>PriceArea!A2:A1000</xm:f>
          </x14:formula1>
          <xm:sqref>C733</xm:sqref>
        </x14:dataValidation>
        <x14:dataValidation type="list" allowBlank="1" showInputMessage="1" showErrorMessage="1" xr:uid="{00000000-0002-0000-0300-0000DC020000}">
          <x14:formula1>
            <xm:f>PriceArea!A2:A1000</xm:f>
          </x14:formula1>
          <xm:sqref>C734</xm:sqref>
        </x14:dataValidation>
        <x14:dataValidation type="list" allowBlank="1" showInputMessage="1" showErrorMessage="1" xr:uid="{00000000-0002-0000-0300-0000DD020000}">
          <x14:formula1>
            <xm:f>PriceArea!A2:A1000</xm:f>
          </x14:formula1>
          <xm:sqref>C735</xm:sqref>
        </x14:dataValidation>
        <x14:dataValidation type="list" allowBlank="1" showInputMessage="1" showErrorMessage="1" xr:uid="{00000000-0002-0000-0300-0000DE020000}">
          <x14:formula1>
            <xm:f>PriceArea!A2:A1000</xm:f>
          </x14:formula1>
          <xm:sqref>C736</xm:sqref>
        </x14:dataValidation>
        <x14:dataValidation type="list" allowBlank="1" showInputMessage="1" showErrorMessage="1" xr:uid="{00000000-0002-0000-0300-0000DF020000}">
          <x14:formula1>
            <xm:f>PriceArea!A2:A1000</xm:f>
          </x14:formula1>
          <xm:sqref>C737</xm:sqref>
        </x14:dataValidation>
        <x14:dataValidation type="list" allowBlank="1" showInputMessage="1" showErrorMessage="1" xr:uid="{00000000-0002-0000-0300-0000E0020000}">
          <x14:formula1>
            <xm:f>PriceArea!A2:A1000</xm:f>
          </x14:formula1>
          <xm:sqref>C738</xm:sqref>
        </x14:dataValidation>
        <x14:dataValidation type="list" allowBlank="1" showInputMessage="1" showErrorMessage="1" xr:uid="{00000000-0002-0000-0300-0000E1020000}">
          <x14:formula1>
            <xm:f>PriceArea!A2:A1000</xm:f>
          </x14:formula1>
          <xm:sqref>C739</xm:sqref>
        </x14:dataValidation>
        <x14:dataValidation type="list" allowBlank="1" showInputMessage="1" showErrorMessage="1" xr:uid="{00000000-0002-0000-0300-0000E2020000}">
          <x14:formula1>
            <xm:f>PriceArea!A2:A1000</xm:f>
          </x14:formula1>
          <xm:sqref>C740</xm:sqref>
        </x14:dataValidation>
        <x14:dataValidation type="list" allowBlank="1" showInputMessage="1" showErrorMessage="1" xr:uid="{00000000-0002-0000-0300-0000E3020000}">
          <x14:formula1>
            <xm:f>PriceArea!A2:A1000</xm:f>
          </x14:formula1>
          <xm:sqref>C741</xm:sqref>
        </x14:dataValidation>
        <x14:dataValidation type="list" allowBlank="1" showInputMessage="1" showErrorMessage="1" xr:uid="{00000000-0002-0000-0300-0000E4020000}">
          <x14:formula1>
            <xm:f>PriceArea!A2:A1000</xm:f>
          </x14:formula1>
          <xm:sqref>C742</xm:sqref>
        </x14:dataValidation>
        <x14:dataValidation type="list" allowBlank="1" showInputMessage="1" showErrorMessage="1" xr:uid="{00000000-0002-0000-0300-0000E5020000}">
          <x14:formula1>
            <xm:f>PriceArea!A2:A1000</xm:f>
          </x14:formula1>
          <xm:sqref>C743</xm:sqref>
        </x14:dataValidation>
        <x14:dataValidation type="list" allowBlank="1" showInputMessage="1" showErrorMessage="1" xr:uid="{00000000-0002-0000-0300-0000E6020000}">
          <x14:formula1>
            <xm:f>PriceArea!A2:A1000</xm:f>
          </x14:formula1>
          <xm:sqref>C744</xm:sqref>
        </x14:dataValidation>
        <x14:dataValidation type="list" allowBlank="1" showInputMessage="1" showErrorMessage="1" xr:uid="{00000000-0002-0000-0300-0000E7020000}">
          <x14:formula1>
            <xm:f>PriceArea!A2:A1000</xm:f>
          </x14:formula1>
          <xm:sqref>C745</xm:sqref>
        </x14:dataValidation>
        <x14:dataValidation type="list" allowBlank="1" showInputMessage="1" showErrorMessage="1" xr:uid="{00000000-0002-0000-0300-0000E8020000}">
          <x14:formula1>
            <xm:f>PriceArea!A2:A1000</xm:f>
          </x14:formula1>
          <xm:sqref>C746</xm:sqref>
        </x14:dataValidation>
        <x14:dataValidation type="list" allowBlank="1" showInputMessage="1" showErrorMessage="1" xr:uid="{00000000-0002-0000-0300-0000E9020000}">
          <x14:formula1>
            <xm:f>PriceArea!A2:A1000</xm:f>
          </x14:formula1>
          <xm:sqref>C747</xm:sqref>
        </x14:dataValidation>
        <x14:dataValidation type="list" allowBlank="1" showInputMessage="1" showErrorMessage="1" xr:uid="{00000000-0002-0000-0300-0000EA020000}">
          <x14:formula1>
            <xm:f>PriceArea!A2:A1000</xm:f>
          </x14:formula1>
          <xm:sqref>C748</xm:sqref>
        </x14:dataValidation>
        <x14:dataValidation type="list" allowBlank="1" showInputMessage="1" showErrorMessage="1" xr:uid="{00000000-0002-0000-0300-0000EB020000}">
          <x14:formula1>
            <xm:f>PriceArea!A2:A1000</xm:f>
          </x14:formula1>
          <xm:sqref>C749</xm:sqref>
        </x14:dataValidation>
        <x14:dataValidation type="list" allowBlank="1" showInputMessage="1" showErrorMessage="1" xr:uid="{00000000-0002-0000-0300-0000EC020000}">
          <x14:formula1>
            <xm:f>PriceArea!A2:A1000</xm:f>
          </x14:formula1>
          <xm:sqref>C750</xm:sqref>
        </x14:dataValidation>
        <x14:dataValidation type="list" allowBlank="1" showInputMessage="1" showErrorMessage="1" xr:uid="{00000000-0002-0000-0300-0000ED020000}">
          <x14:formula1>
            <xm:f>PriceArea!A2:A1000</xm:f>
          </x14:formula1>
          <xm:sqref>C751</xm:sqref>
        </x14:dataValidation>
        <x14:dataValidation type="list" allowBlank="1" showInputMessage="1" showErrorMessage="1" xr:uid="{00000000-0002-0000-0300-0000EE020000}">
          <x14:formula1>
            <xm:f>PriceArea!A2:A1000</xm:f>
          </x14:formula1>
          <xm:sqref>C752</xm:sqref>
        </x14:dataValidation>
        <x14:dataValidation type="list" allowBlank="1" showInputMessage="1" showErrorMessage="1" xr:uid="{00000000-0002-0000-0300-0000EF020000}">
          <x14:formula1>
            <xm:f>PriceArea!A2:A1000</xm:f>
          </x14:formula1>
          <xm:sqref>C753</xm:sqref>
        </x14:dataValidation>
        <x14:dataValidation type="list" allowBlank="1" showInputMessage="1" showErrorMessage="1" xr:uid="{00000000-0002-0000-0300-0000F0020000}">
          <x14:formula1>
            <xm:f>PriceArea!A2:A1000</xm:f>
          </x14:formula1>
          <xm:sqref>C754</xm:sqref>
        </x14:dataValidation>
        <x14:dataValidation type="list" allowBlank="1" showInputMessage="1" showErrorMessage="1" xr:uid="{00000000-0002-0000-0300-0000F1020000}">
          <x14:formula1>
            <xm:f>PriceArea!A2:A1000</xm:f>
          </x14:formula1>
          <xm:sqref>C755</xm:sqref>
        </x14:dataValidation>
        <x14:dataValidation type="list" allowBlank="1" showInputMessage="1" showErrorMessage="1" xr:uid="{00000000-0002-0000-0300-0000F2020000}">
          <x14:formula1>
            <xm:f>PriceArea!A2:A1000</xm:f>
          </x14:formula1>
          <xm:sqref>C756</xm:sqref>
        </x14:dataValidation>
        <x14:dataValidation type="list" allowBlank="1" showInputMessage="1" showErrorMessage="1" xr:uid="{00000000-0002-0000-0300-0000F3020000}">
          <x14:formula1>
            <xm:f>PriceArea!A2:A1000</xm:f>
          </x14:formula1>
          <xm:sqref>C757</xm:sqref>
        </x14:dataValidation>
        <x14:dataValidation type="list" allowBlank="1" showInputMessage="1" showErrorMessage="1" xr:uid="{00000000-0002-0000-0300-0000F4020000}">
          <x14:formula1>
            <xm:f>PriceArea!A2:A1000</xm:f>
          </x14:formula1>
          <xm:sqref>C758</xm:sqref>
        </x14:dataValidation>
        <x14:dataValidation type="list" allowBlank="1" showInputMessage="1" showErrorMessage="1" xr:uid="{00000000-0002-0000-0300-0000F5020000}">
          <x14:formula1>
            <xm:f>PriceArea!A2:A1000</xm:f>
          </x14:formula1>
          <xm:sqref>C759</xm:sqref>
        </x14:dataValidation>
        <x14:dataValidation type="list" allowBlank="1" showInputMessage="1" showErrorMessage="1" xr:uid="{00000000-0002-0000-0300-0000F6020000}">
          <x14:formula1>
            <xm:f>PriceArea!A2:A1000</xm:f>
          </x14:formula1>
          <xm:sqref>C760</xm:sqref>
        </x14:dataValidation>
        <x14:dataValidation type="list" allowBlank="1" showInputMessage="1" showErrorMessage="1" xr:uid="{00000000-0002-0000-0300-0000F7020000}">
          <x14:formula1>
            <xm:f>PriceArea!A2:A1000</xm:f>
          </x14:formula1>
          <xm:sqref>C761</xm:sqref>
        </x14:dataValidation>
        <x14:dataValidation type="list" allowBlank="1" showInputMessage="1" showErrorMessage="1" xr:uid="{00000000-0002-0000-0300-0000F8020000}">
          <x14:formula1>
            <xm:f>PriceArea!A2:A1000</xm:f>
          </x14:formula1>
          <xm:sqref>C762</xm:sqref>
        </x14:dataValidation>
        <x14:dataValidation type="list" allowBlank="1" showInputMessage="1" showErrorMessage="1" xr:uid="{00000000-0002-0000-0300-0000F9020000}">
          <x14:formula1>
            <xm:f>PriceArea!A2:A1000</xm:f>
          </x14:formula1>
          <xm:sqref>C763</xm:sqref>
        </x14:dataValidation>
        <x14:dataValidation type="list" allowBlank="1" showInputMessage="1" showErrorMessage="1" xr:uid="{00000000-0002-0000-0300-0000FA020000}">
          <x14:formula1>
            <xm:f>PriceArea!A2:A1000</xm:f>
          </x14:formula1>
          <xm:sqref>C764</xm:sqref>
        </x14:dataValidation>
        <x14:dataValidation type="list" allowBlank="1" showInputMessage="1" showErrorMessage="1" xr:uid="{00000000-0002-0000-0300-0000FB020000}">
          <x14:formula1>
            <xm:f>PriceArea!A2:A1000</xm:f>
          </x14:formula1>
          <xm:sqref>C765</xm:sqref>
        </x14:dataValidation>
        <x14:dataValidation type="list" allowBlank="1" showInputMessage="1" showErrorMessage="1" xr:uid="{00000000-0002-0000-0300-0000FC020000}">
          <x14:formula1>
            <xm:f>PriceArea!A2:A1000</xm:f>
          </x14:formula1>
          <xm:sqref>C766</xm:sqref>
        </x14:dataValidation>
        <x14:dataValidation type="list" allowBlank="1" showInputMessage="1" showErrorMessage="1" xr:uid="{00000000-0002-0000-0300-0000FD020000}">
          <x14:formula1>
            <xm:f>PriceArea!A2:A1000</xm:f>
          </x14:formula1>
          <xm:sqref>C767</xm:sqref>
        </x14:dataValidation>
        <x14:dataValidation type="list" allowBlank="1" showInputMessage="1" showErrorMessage="1" xr:uid="{00000000-0002-0000-0300-0000FE020000}">
          <x14:formula1>
            <xm:f>PriceArea!A2:A1000</xm:f>
          </x14:formula1>
          <xm:sqref>C768</xm:sqref>
        </x14:dataValidation>
        <x14:dataValidation type="list" allowBlank="1" showInputMessage="1" showErrorMessage="1" xr:uid="{00000000-0002-0000-0300-0000FF020000}">
          <x14:formula1>
            <xm:f>PriceArea!A2:A1000</xm:f>
          </x14:formula1>
          <xm:sqref>C769</xm:sqref>
        </x14:dataValidation>
        <x14:dataValidation type="list" allowBlank="1" showInputMessage="1" showErrorMessage="1" xr:uid="{00000000-0002-0000-0300-000000030000}">
          <x14:formula1>
            <xm:f>PriceArea!A2:A1000</xm:f>
          </x14:formula1>
          <xm:sqref>C770</xm:sqref>
        </x14:dataValidation>
        <x14:dataValidation type="list" allowBlank="1" showInputMessage="1" showErrorMessage="1" xr:uid="{00000000-0002-0000-0300-000001030000}">
          <x14:formula1>
            <xm:f>PriceArea!A2:A1000</xm:f>
          </x14:formula1>
          <xm:sqref>C771</xm:sqref>
        </x14:dataValidation>
        <x14:dataValidation type="list" allowBlank="1" showInputMessage="1" showErrorMessage="1" xr:uid="{00000000-0002-0000-0300-000002030000}">
          <x14:formula1>
            <xm:f>PriceArea!A2:A1000</xm:f>
          </x14:formula1>
          <xm:sqref>C772</xm:sqref>
        </x14:dataValidation>
        <x14:dataValidation type="list" allowBlank="1" showInputMessage="1" showErrorMessage="1" xr:uid="{00000000-0002-0000-0300-000003030000}">
          <x14:formula1>
            <xm:f>PriceArea!A2:A1000</xm:f>
          </x14:formula1>
          <xm:sqref>C773</xm:sqref>
        </x14:dataValidation>
        <x14:dataValidation type="list" allowBlank="1" showInputMessage="1" showErrorMessage="1" xr:uid="{00000000-0002-0000-0300-000004030000}">
          <x14:formula1>
            <xm:f>PriceArea!A2:A1000</xm:f>
          </x14:formula1>
          <xm:sqref>C774</xm:sqref>
        </x14:dataValidation>
        <x14:dataValidation type="list" allowBlank="1" showInputMessage="1" showErrorMessage="1" xr:uid="{00000000-0002-0000-0300-000005030000}">
          <x14:formula1>
            <xm:f>PriceArea!A2:A1000</xm:f>
          </x14:formula1>
          <xm:sqref>C775</xm:sqref>
        </x14:dataValidation>
        <x14:dataValidation type="list" allowBlank="1" showInputMessage="1" showErrorMessage="1" xr:uid="{00000000-0002-0000-0300-000006030000}">
          <x14:formula1>
            <xm:f>PriceArea!A2:A1000</xm:f>
          </x14:formula1>
          <xm:sqref>C776</xm:sqref>
        </x14:dataValidation>
        <x14:dataValidation type="list" allowBlank="1" showInputMessage="1" showErrorMessage="1" xr:uid="{00000000-0002-0000-0300-000007030000}">
          <x14:formula1>
            <xm:f>PriceArea!A2:A1000</xm:f>
          </x14:formula1>
          <xm:sqref>C777</xm:sqref>
        </x14:dataValidation>
        <x14:dataValidation type="list" allowBlank="1" showInputMessage="1" showErrorMessage="1" xr:uid="{00000000-0002-0000-0300-000008030000}">
          <x14:formula1>
            <xm:f>PriceArea!A2:A1000</xm:f>
          </x14:formula1>
          <xm:sqref>C778</xm:sqref>
        </x14:dataValidation>
        <x14:dataValidation type="list" allowBlank="1" showInputMessage="1" showErrorMessage="1" xr:uid="{00000000-0002-0000-0300-000009030000}">
          <x14:formula1>
            <xm:f>PriceArea!A2:A1000</xm:f>
          </x14:formula1>
          <xm:sqref>C779</xm:sqref>
        </x14:dataValidation>
        <x14:dataValidation type="list" allowBlank="1" showInputMessage="1" showErrorMessage="1" xr:uid="{00000000-0002-0000-0300-00000A030000}">
          <x14:formula1>
            <xm:f>PriceArea!A2:A1000</xm:f>
          </x14:formula1>
          <xm:sqref>C780</xm:sqref>
        </x14:dataValidation>
        <x14:dataValidation type="list" allowBlank="1" showInputMessage="1" showErrorMessage="1" xr:uid="{00000000-0002-0000-0300-00000B030000}">
          <x14:formula1>
            <xm:f>PriceArea!A2:A1000</xm:f>
          </x14:formula1>
          <xm:sqref>C781</xm:sqref>
        </x14:dataValidation>
        <x14:dataValidation type="list" allowBlank="1" showInputMessage="1" showErrorMessage="1" xr:uid="{00000000-0002-0000-0300-00000C030000}">
          <x14:formula1>
            <xm:f>PriceArea!A2:A1000</xm:f>
          </x14:formula1>
          <xm:sqref>C782</xm:sqref>
        </x14:dataValidation>
        <x14:dataValidation type="list" allowBlank="1" showInputMessage="1" showErrorMessage="1" xr:uid="{00000000-0002-0000-0300-00000D030000}">
          <x14:formula1>
            <xm:f>PriceArea!A2:A1000</xm:f>
          </x14:formula1>
          <xm:sqref>C783</xm:sqref>
        </x14:dataValidation>
        <x14:dataValidation type="list" allowBlank="1" showInputMessage="1" showErrorMessage="1" xr:uid="{00000000-0002-0000-0300-00000E030000}">
          <x14:formula1>
            <xm:f>PriceArea!A2:A1000</xm:f>
          </x14:formula1>
          <xm:sqref>C784</xm:sqref>
        </x14:dataValidation>
        <x14:dataValidation type="list" allowBlank="1" showInputMessage="1" showErrorMessage="1" xr:uid="{00000000-0002-0000-0300-00000F030000}">
          <x14:formula1>
            <xm:f>PriceArea!A2:A1000</xm:f>
          </x14:formula1>
          <xm:sqref>C785</xm:sqref>
        </x14:dataValidation>
        <x14:dataValidation type="list" allowBlank="1" showInputMessage="1" showErrorMessage="1" xr:uid="{00000000-0002-0000-0300-000010030000}">
          <x14:formula1>
            <xm:f>PriceArea!A2:A1000</xm:f>
          </x14:formula1>
          <xm:sqref>C786</xm:sqref>
        </x14:dataValidation>
        <x14:dataValidation type="list" allowBlank="1" showInputMessage="1" showErrorMessage="1" xr:uid="{00000000-0002-0000-0300-000011030000}">
          <x14:formula1>
            <xm:f>PriceArea!A2:A1000</xm:f>
          </x14:formula1>
          <xm:sqref>C787</xm:sqref>
        </x14:dataValidation>
        <x14:dataValidation type="list" allowBlank="1" showInputMessage="1" showErrorMessage="1" xr:uid="{00000000-0002-0000-0300-000012030000}">
          <x14:formula1>
            <xm:f>PriceArea!A2:A1000</xm:f>
          </x14:formula1>
          <xm:sqref>C788</xm:sqref>
        </x14:dataValidation>
        <x14:dataValidation type="list" allowBlank="1" showInputMessage="1" showErrorMessage="1" xr:uid="{00000000-0002-0000-0300-000013030000}">
          <x14:formula1>
            <xm:f>PriceArea!A2:A1000</xm:f>
          </x14:formula1>
          <xm:sqref>C789</xm:sqref>
        </x14:dataValidation>
        <x14:dataValidation type="list" allowBlank="1" showInputMessage="1" showErrorMessage="1" xr:uid="{00000000-0002-0000-0300-000014030000}">
          <x14:formula1>
            <xm:f>PriceArea!A2:A1000</xm:f>
          </x14:formula1>
          <xm:sqref>C790</xm:sqref>
        </x14:dataValidation>
        <x14:dataValidation type="list" allowBlank="1" showInputMessage="1" showErrorMessage="1" xr:uid="{00000000-0002-0000-0300-000015030000}">
          <x14:formula1>
            <xm:f>PriceArea!A2:A1000</xm:f>
          </x14:formula1>
          <xm:sqref>C791</xm:sqref>
        </x14:dataValidation>
        <x14:dataValidation type="list" allowBlank="1" showInputMessage="1" showErrorMessage="1" xr:uid="{00000000-0002-0000-0300-000016030000}">
          <x14:formula1>
            <xm:f>PriceArea!A2:A1000</xm:f>
          </x14:formula1>
          <xm:sqref>C792</xm:sqref>
        </x14:dataValidation>
        <x14:dataValidation type="list" allowBlank="1" showInputMessage="1" showErrorMessage="1" xr:uid="{00000000-0002-0000-0300-000017030000}">
          <x14:formula1>
            <xm:f>PriceArea!A2:A1000</xm:f>
          </x14:formula1>
          <xm:sqref>C793</xm:sqref>
        </x14:dataValidation>
        <x14:dataValidation type="list" allowBlank="1" showInputMessage="1" showErrorMessage="1" xr:uid="{00000000-0002-0000-0300-000018030000}">
          <x14:formula1>
            <xm:f>PriceArea!A2:A1000</xm:f>
          </x14:formula1>
          <xm:sqref>C794</xm:sqref>
        </x14:dataValidation>
        <x14:dataValidation type="list" allowBlank="1" showInputMessage="1" showErrorMessage="1" xr:uid="{00000000-0002-0000-0300-000019030000}">
          <x14:formula1>
            <xm:f>PriceArea!A2:A1000</xm:f>
          </x14:formula1>
          <xm:sqref>C795</xm:sqref>
        </x14:dataValidation>
        <x14:dataValidation type="list" allowBlank="1" showInputMessage="1" showErrorMessage="1" xr:uid="{00000000-0002-0000-0300-00001A030000}">
          <x14:formula1>
            <xm:f>PriceArea!A2:A1000</xm:f>
          </x14:formula1>
          <xm:sqref>C796</xm:sqref>
        </x14:dataValidation>
        <x14:dataValidation type="list" allowBlank="1" showInputMessage="1" showErrorMessage="1" xr:uid="{00000000-0002-0000-0300-00001B030000}">
          <x14:formula1>
            <xm:f>PriceArea!A2:A1000</xm:f>
          </x14:formula1>
          <xm:sqref>C797</xm:sqref>
        </x14:dataValidation>
        <x14:dataValidation type="list" allowBlank="1" showInputMessage="1" showErrorMessage="1" xr:uid="{00000000-0002-0000-0300-00001C030000}">
          <x14:formula1>
            <xm:f>PriceArea!A2:A1000</xm:f>
          </x14:formula1>
          <xm:sqref>C798</xm:sqref>
        </x14:dataValidation>
        <x14:dataValidation type="list" allowBlank="1" showInputMessage="1" showErrorMessage="1" xr:uid="{00000000-0002-0000-0300-00001D030000}">
          <x14:formula1>
            <xm:f>PriceArea!A2:A1000</xm:f>
          </x14:formula1>
          <xm:sqref>C799</xm:sqref>
        </x14:dataValidation>
        <x14:dataValidation type="list" allowBlank="1" showInputMessage="1" showErrorMessage="1" xr:uid="{00000000-0002-0000-0300-00001E030000}">
          <x14:formula1>
            <xm:f>PriceArea!A2:A1000</xm:f>
          </x14:formula1>
          <xm:sqref>C800</xm:sqref>
        </x14:dataValidation>
        <x14:dataValidation type="list" allowBlank="1" showInputMessage="1" showErrorMessage="1" xr:uid="{00000000-0002-0000-0300-00001F030000}">
          <x14:formula1>
            <xm:f>PriceArea!A2:A1000</xm:f>
          </x14:formula1>
          <xm:sqref>C801</xm:sqref>
        </x14:dataValidation>
        <x14:dataValidation type="list" allowBlank="1" showInputMessage="1" showErrorMessage="1" xr:uid="{00000000-0002-0000-0300-000020030000}">
          <x14:formula1>
            <xm:f>PriceArea!A2:A1000</xm:f>
          </x14:formula1>
          <xm:sqref>C802</xm:sqref>
        </x14:dataValidation>
        <x14:dataValidation type="list" allowBlank="1" showInputMessage="1" showErrorMessage="1" xr:uid="{00000000-0002-0000-0300-000021030000}">
          <x14:formula1>
            <xm:f>PriceArea!A2:A1000</xm:f>
          </x14:formula1>
          <xm:sqref>C803</xm:sqref>
        </x14:dataValidation>
        <x14:dataValidation type="list" allowBlank="1" showInputMessage="1" showErrorMessage="1" xr:uid="{00000000-0002-0000-0300-000022030000}">
          <x14:formula1>
            <xm:f>PriceArea!A2:A1000</xm:f>
          </x14:formula1>
          <xm:sqref>C804</xm:sqref>
        </x14:dataValidation>
        <x14:dataValidation type="list" allowBlank="1" showInputMessage="1" showErrorMessage="1" xr:uid="{00000000-0002-0000-0300-000023030000}">
          <x14:formula1>
            <xm:f>PriceArea!A2:A1000</xm:f>
          </x14:formula1>
          <xm:sqref>C805</xm:sqref>
        </x14:dataValidation>
        <x14:dataValidation type="list" allowBlank="1" showInputMessage="1" showErrorMessage="1" xr:uid="{00000000-0002-0000-0300-000024030000}">
          <x14:formula1>
            <xm:f>PriceArea!A2:A1000</xm:f>
          </x14:formula1>
          <xm:sqref>C806</xm:sqref>
        </x14:dataValidation>
        <x14:dataValidation type="list" allowBlank="1" showInputMessage="1" showErrorMessage="1" xr:uid="{00000000-0002-0000-0300-000025030000}">
          <x14:formula1>
            <xm:f>PriceArea!A2:A1000</xm:f>
          </x14:formula1>
          <xm:sqref>C807</xm:sqref>
        </x14:dataValidation>
        <x14:dataValidation type="list" allowBlank="1" showInputMessage="1" showErrorMessage="1" xr:uid="{00000000-0002-0000-0300-000026030000}">
          <x14:formula1>
            <xm:f>PriceArea!A2:A1000</xm:f>
          </x14:formula1>
          <xm:sqref>C808</xm:sqref>
        </x14:dataValidation>
        <x14:dataValidation type="list" allowBlank="1" showInputMessage="1" showErrorMessage="1" xr:uid="{00000000-0002-0000-0300-000027030000}">
          <x14:formula1>
            <xm:f>PriceArea!A2:A1000</xm:f>
          </x14:formula1>
          <xm:sqref>C809</xm:sqref>
        </x14:dataValidation>
        <x14:dataValidation type="list" allowBlank="1" showInputMessage="1" showErrorMessage="1" xr:uid="{00000000-0002-0000-0300-000028030000}">
          <x14:formula1>
            <xm:f>PriceArea!A2:A1000</xm:f>
          </x14:formula1>
          <xm:sqref>C810</xm:sqref>
        </x14:dataValidation>
        <x14:dataValidation type="list" allowBlank="1" showInputMessage="1" showErrorMessage="1" xr:uid="{00000000-0002-0000-0300-000029030000}">
          <x14:formula1>
            <xm:f>PriceArea!A2:A1000</xm:f>
          </x14:formula1>
          <xm:sqref>C811</xm:sqref>
        </x14:dataValidation>
        <x14:dataValidation type="list" allowBlank="1" showInputMessage="1" showErrorMessage="1" xr:uid="{00000000-0002-0000-0300-00002A030000}">
          <x14:formula1>
            <xm:f>PriceArea!A2:A1000</xm:f>
          </x14:formula1>
          <xm:sqref>C812</xm:sqref>
        </x14:dataValidation>
        <x14:dataValidation type="list" allowBlank="1" showInputMessage="1" showErrorMessage="1" xr:uid="{00000000-0002-0000-0300-00002B030000}">
          <x14:formula1>
            <xm:f>PriceArea!A2:A1000</xm:f>
          </x14:formula1>
          <xm:sqref>C813</xm:sqref>
        </x14:dataValidation>
        <x14:dataValidation type="list" allowBlank="1" showInputMessage="1" showErrorMessage="1" xr:uid="{00000000-0002-0000-0300-00002C030000}">
          <x14:formula1>
            <xm:f>PriceArea!A2:A1000</xm:f>
          </x14:formula1>
          <xm:sqref>C814</xm:sqref>
        </x14:dataValidation>
        <x14:dataValidation type="list" allowBlank="1" showInputMessage="1" showErrorMessage="1" xr:uid="{00000000-0002-0000-0300-00002D030000}">
          <x14:formula1>
            <xm:f>PriceArea!A2:A1000</xm:f>
          </x14:formula1>
          <xm:sqref>C815</xm:sqref>
        </x14:dataValidation>
        <x14:dataValidation type="list" allowBlank="1" showInputMessage="1" showErrorMessage="1" xr:uid="{00000000-0002-0000-0300-00002E030000}">
          <x14:formula1>
            <xm:f>PriceArea!A2:A1000</xm:f>
          </x14:formula1>
          <xm:sqref>C816</xm:sqref>
        </x14:dataValidation>
        <x14:dataValidation type="list" allowBlank="1" showInputMessage="1" showErrorMessage="1" xr:uid="{00000000-0002-0000-0300-00002F030000}">
          <x14:formula1>
            <xm:f>PriceArea!A2:A1000</xm:f>
          </x14:formula1>
          <xm:sqref>C817</xm:sqref>
        </x14:dataValidation>
        <x14:dataValidation type="list" allowBlank="1" showInputMessage="1" showErrorMessage="1" xr:uid="{00000000-0002-0000-0300-000030030000}">
          <x14:formula1>
            <xm:f>PriceArea!A2:A1000</xm:f>
          </x14:formula1>
          <xm:sqref>C818</xm:sqref>
        </x14:dataValidation>
        <x14:dataValidation type="list" allowBlank="1" showInputMessage="1" showErrorMessage="1" xr:uid="{00000000-0002-0000-0300-000031030000}">
          <x14:formula1>
            <xm:f>PriceArea!A2:A1000</xm:f>
          </x14:formula1>
          <xm:sqref>C819</xm:sqref>
        </x14:dataValidation>
        <x14:dataValidation type="list" allowBlank="1" showInputMessage="1" showErrorMessage="1" xr:uid="{00000000-0002-0000-0300-000032030000}">
          <x14:formula1>
            <xm:f>PriceArea!A2:A1000</xm:f>
          </x14:formula1>
          <xm:sqref>C820</xm:sqref>
        </x14:dataValidation>
        <x14:dataValidation type="list" allowBlank="1" showInputMessage="1" showErrorMessage="1" xr:uid="{00000000-0002-0000-0300-000033030000}">
          <x14:formula1>
            <xm:f>PriceArea!A2:A1000</xm:f>
          </x14:formula1>
          <xm:sqref>C821</xm:sqref>
        </x14:dataValidation>
        <x14:dataValidation type="list" allowBlank="1" showInputMessage="1" showErrorMessage="1" xr:uid="{00000000-0002-0000-0300-000034030000}">
          <x14:formula1>
            <xm:f>PriceArea!A2:A1000</xm:f>
          </x14:formula1>
          <xm:sqref>C822</xm:sqref>
        </x14:dataValidation>
        <x14:dataValidation type="list" allowBlank="1" showInputMessage="1" showErrorMessage="1" xr:uid="{00000000-0002-0000-0300-000035030000}">
          <x14:formula1>
            <xm:f>PriceArea!A2:A1000</xm:f>
          </x14:formula1>
          <xm:sqref>C823</xm:sqref>
        </x14:dataValidation>
        <x14:dataValidation type="list" allowBlank="1" showInputMessage="1" showErrorMessage="1" xr:uid="{00000000-0002-0000-0300-000036030000}">
          <x14:formula1>
            <xm:f>PriceArea!A2:A1000</xm:f>
          </x14:formula1>
          <xm:sqref>C824</xm:sqref>
        </x14:dataValidation>
        <x14:dataValidation type="list" allowBlank="1" showInputMessage="1" showErrorMessage="1" xr:uid="{00000000-0002-0000-0300-000037030000}">
          <x14:formula1>
            <xm:f>PriceArea!A2:A1000</xm:f>
          </x14:formula1>
          <xm:sqref>C825</xm:sqref>
        </x14:dataValidation>
        <x14:dataValidation type="list" allowBlank="1" showInputMessage="1" showErrorMessage="1" xr:uid="{00000000-0002-0000-0300-000038030000}">
          <x14:formula1>
            <xm:f>PriceArea!A2:A1000</xm:f>
          </x14:formula1>
          <xm:sqref>C826</xm:sqref>
        </x14:dataValidation>
        <x14:dataValidation type="list" allowBlank="1" showInputMessage="1" showErrorMessage="1" xr:uid="{00000000-0002-0000-0300-000039030000}">
          <x14:formula1>
            <xm:f>PriceArea!A2:A1000</xm:f>
          </x14:formula1>
          <xm:sqref>C827</xm:sqref>
        </x14:dataValidation>
        <x14:dataValidation type="list" allowBlank="1" showInputMessage="1" showErrorMessage="1" xr:uid="{00000000-0002-0000-0300-00003A030000}">
          <x14:formula1>
            <xm:f>PriceArea!A2:A1000</xm:f>
          </x14:formula1>
          <xm:sqref>C828</xm:sqref>
        </x14:dataValidation>
        <x14:dataValidation type="list" allowBlank="1" showInputMessage="1" showErrorMessage="1" xr:uid="{00000000-0002-0000-0300-00003B030000}">
          <x14:formula1>
            <xm:f>PriceArea!A2:A1000</xm:f>
          </x14:formula1>
          <xm:sqref>C829</xm:sqref>
        </x14:dataValidation>
        <x14:dataValidation type="list" allowBlank="1" showInputMessage="1" showErrorMessage="1" xr:uid="{00000000-0002-0000-0300-00003C030000}">
          <x14:formula1>
            <xm:f>PriceArea!A2:A1000</xm:f>
          </x14:formula1>
          <xm:sqref>C830</xm:sqref>
        </x14:dataValidation>
        <x14:dataValidation type="list" allowBlank="1" showInputMessage="1" showErrorMessage="1" xr:uid="{00000000-0002-0000-0300-00003D030000}">
          <x14:formula1>
            <xm:f>PriceArea!A2:A1000</xm:f>
          </x14:formula1>
          <xm:sqref>C831</xm:sqref>
        </x14:dataValidation>
        <x14:dataValidation type="list" allowBlank="1" showInputMessage="1" showErrorMessage="1" xr:uid="{00000000-0002-0000-0300-00003E030000}">
          <x14:formula1>
            <xm:f>PriceArea!A2:A1000</xm:f>
          </x14:formula1>
          <xm:sqref>C832</xm:sqref>
        </x14:dataValidation>
        <x14:dataValidation type="list" allowBlank="1" showInputMessage="1" showErrorMessage="1" xr:uid="{00000000-0002-0000-0300-00003F030000}">
          <x14:formula1>
            <xm:f>PriceArea!A2:A1000</xm:f>
          </x14:formula1>
          <xm:sqref>C833</xm:sqref>
        </x14:dataValidation>
        <x14:dataValidation type="list" allowBlank="1" showInputMessage="1" showErrorMessage="1" xr:uid="{00000000-0002-0000-0300-000040030000}">
          <x14:formula1>
            <xm:f>PriceArea!A2:A1000</xm:f>
          </x14:formula1>
          <xm:sqref>C834</xm:sqref>
        </x14:dataValidation>
        <x14:dataValidation type="list" allowBlank="1" showInputMessage="1" showErrorMessage="1" xr:uid="{00000000-0002-0000-0300-000041030000}">
          <x14:formula1>
            <xm:f>PriceArea!A2:A1000</xm:f>
          </x14:formula1>
          <xm:sqref>C835</xm:sqref>
        </x14:dataValidation>
        <x14:dataValidation type="list" allowBlank="1" showInputMessage="1" showErrorMessage="1" xr:uid="{00000000-0002-0000-0300-000042030000}">
          <x14:formula1>
            <xm:f>PriceArea!A2:A1000</xm:f>
          </x14:formula1>
          <xm:sqref>C836</xm:sqref>
        </x14:dataValidation>
        <x14:dataValidation type="list" allowBlank="1" showInputMessage="1" showErrorMessage="1" xr:uid="{00000000-0002-0000-0300-000043030000}">
          <x14:formula1>
            <xm:f>PriceArea!A2:A1000</xm:f>
          </x14:formula1>
          <xm:sqref>C837</xm:sqref>
        </x14:dataValidation>
        <x14:dataValidation type="list" allowBlank="1" showInputMessage="1" showErrorMessage="1" xr:uid="{00000000-0002-0000-0300-000044030000}">
          <x14:formula1>
            <xm:f>PriceArea!A2:A1000</xm:f>
          </x14:formula1>
          <xm:sqref>C838</xm:sqref>
        </x14:dataValidation>
        <x14:dataValidation type="list" allowBlank="1" showInputMessage="1" showErrorMessage="1" xr:uid="{00000000-0002-0000-0300-000045030000}">
          <x14:formula1>
            <xm:f>PriceArea!A2:A1000</xm:f>
          </x14:formula1>
          <xm:sqref>C839</xm:sqref>
        </x14:dataValidation>
        <x14:dataValidation type="list" allowBlank="1" showInputMessage="1" showErrorMessage="1" xr:uid="{00000000-0002-0000-0300-000046030000}">
          <x14:formula1>
            <xm:f>PriceArea!A2:A1000</xm:f>
          </x14:formula1>
          <xm:sqref>C840</xm:sqref>
        </x14:dataValidation>
        <x14:dataValidation type="list" allowBlank="1" showInputMessage="1" showErrorMessage="1" xr:uid="{00000000-0002-0000-0300-000047030000}">
          <x14:formula1>
            <xm:f>PriceArea!A2:A1000</xm:f>
          </x14:formula1>
          <xm:sqref>C841</xm:sqref>
        </x14:dataValidation>
        <x14:dataValidation type="list" allowBlank="1" showInputMessage="1" showErrorMessage="1" xr:uid="{00000000-0002-0000-0300-000048030000}">
          <x14:formula1>
            <xm:f>PriceArea!A2:A1000</xm:f>
          </x14:formula1>
          <xm:sqref>C842</xm:sqref>
        </x14:dataValidation>
        <x14:dataValidation type="list" allowBlank="1" showInputMessage="1" showErrorMessage="1" xr:uid="{00000000-0002-0000-0300-000049030000}">
          <x14:formula1>
            <xm:f>PriceArea!A2:A1000</xm:f>
          </x14:formula1>
          <xm:sqref>C843</xm:sqref>
        </x14:dataValidation>
        <x14:dataValidation type="list" allowBlank="1" showInputMessage="1" showErrorMessage="1" xr:uid="{00000000-0002-0000-0300-00004A030000}">
          <x14:formula1>
            <xm:f>PriceArea!A2:A1000</xm:f>
          </x14:formula1>
          <xm:sqref>C844</xm:sqref>
        </x14:dataValidation>
        <x14:dataValidation type="list" allowBlank="1" showInputMessage="1" showErrorMessage="1" xr:uid="{00000000-0002-0000-0300-00004B030000}">
          <x14:formula1>
            <xm:f>PriceArea!A2:A1000</xm:f>
          </x14:formula1>
          <xm:sqref>C845</xm:sqref>
        </x14:dataValidation>
        <x14:dataValidation type="list" allowBlank="1" showInputMessage="1" showErrorMessage="1" xr:uid="{00000000-0002-0000-0300-00004C030000}">
          <x14:formula1>
            <xm:f>PriceArea!A2:A1000</xm:f>
          </x14:formula1>
          <xm:sqref>C846</xm:sqref>
        </x14:dataValidation>
        <x14:dataValidation type="list" allowBlank="1" showInputMessage="1" showErrorMessage="1" xr:uid="{00000000-0002-0000-0300-00004D030000}">
          <x14:formula1>
            <xm:f>PriceArea!A2:A1000</xm:f>
          </x14:formula1>
          <xm:sqref>C847</xm:sqref>
        </x14:dataValidation>
        <x14:dataValidation type="list" allowBlank="1" showInputMessage="1" showErrorMessage="1" xr:uid="{00000000-0002-0000-0300-00004E030000}">
          <x14:formula1>
            <xm:f>PriceArea!A2:A1000</xm:f>
          </x14:formula1>
          <xm:sqref>C848</xm:sqref>
        </x14:dataValidation>
        <x14:dataValidation type="list" allowBlank="1" showInputMessage="1" showErrorMessage="1" xr:uid="{00000000-0002-0000-0300-00004F030000}">
          <x14:formula1>
            <xm:f>PriceArea!A2:A1000</xm:f>
          </x14:formula1>
          <xm:sqref>C849</xm:sqref>
        </x14:dataValidation>
        <x14:dataValidation type="list" allowBlank="1" showInputMessage="1" showErrorMessage="1" xr:uid="{00000000-0002-0000-0300-000050030000}">
          <x14:formula1>
            <xm:f>PriceArea!A2:A1000</xm:f>
          </x14:formula1>
          <xm:sqref>C850</xm:sqref>
        </x14:dataValidation>
        <x14:dataValidation type="list" allowBlank="1" showInputMessage="1" showErrorMessage="1" xr:uid="{00000000-0002-0000-0300-000051030000}">
          <x14:formula1>
            <xm:f>PriceArea!A2:A1000</xm:f>
          </x14:formula1>
          <xm:sqref>C851</xm:sqref>
        </x14:dataValidation>
        <x14:dataValidation type="list" allowBlank="1" showInputMessage="1" showErrorMessage="1" xr:uid="{00000000-0002-0000-0300-000052030000}">
          <x14:formula1>
            <xm:f>PriceArea!A2:A1000</xm:f>
          </x14:formula1>
          <xm:sqref>C852</xm:sqref>
        </x14:dataValidation>
        <x14:dataValidation type="list" allowBlank="1" showInputMessage="1" showErrorMessage="1" xr:uid="{00000000-0002-0000-0300-000053030000}">
          <x14:formula1>
            <xm:f>PriceArea!A2:A1000</xm:f>
          </x14:formula1>
          <xm:sqref>C853</xm:sqref>
        </x14:dataValidation>
        <x14:dataValidation type="list" allowBlank="1" showInputMessage="1" showErrorMessage="1" xr:uid="{00000000-0002-0000-0300-000054030000}">
          <x14:formula1>
            <xm:f>PriceArea!A2:A1000</xm:f>
          </x14:formula1>
          <xm:sqref>C854</xm:sqref>
        </x14:dataValidation>
        <x14:dataValidation type="list" allowBlank="1" showInputMessage="1" showErrorMessage="1" xr:uid="{00000000-0002-0000-0300-000055030000}">
          <x14:formula1>
            <xm:f>PriceArea!A2:A1000</xm:f>
          </x14:formula1>
          <xm:sqref>C855</xm:sqref>
        </x14:dataValidation>
        <x14:dataValidation type="list" allowBlank="1" showInputMessage="1" showErrorMessage="1" xr:uid="{00000000-0002-0000-0300-000056030000}">
          <x14:formula1>
            <xm:f>PriceArea!A2:A1000</xm:f>
          </x14:formula1>
          <xm:sqref>C856</xm:sqref>
        </x14:dataValidation>
        <x14:dataValidation type="list" allowBlank="1" showInputMessage="1" showErrorMessage="1" xr:uid="{00000000-0002-0000-0300-000057030000}">
          <x14:formula1>
            <xm:f>PriceArea!A2:A1000</xm:f>
          </x14:formula1>
          <xm:sqref>C857</xm:sqref>
        </x14:dataValidation>
        <x14:dataValidation type="list" allowBlank="1" showInputMessage="1" showErrorMessage="1" xr:uid="{00000000-0002-0000-0300-000058030000}">
          <x14:formula1>
            <xm:f>PriceArea!A2:A1000</xm:f>
          </x14:formula1>
          <xm:sqref>C858</xm:sqref>
        </x14:dataValidation>
        <x14:dataValidation type="list" allowBlank="1" showInputMessage="1" showErrorMessage="1" xr:uid="{00000000-0002-0000-0300-000059030000}">
          <x14:formula1>
            <xm:f>PriceArea!A2:A1000</xm:f>
          </x14:formula1>
          <xm:sqref>C859</xm:sqref>
        </x14:dataValidation>
        <x14:dataValidation type="list" allowBlank="1" showInputMessage="1" showErrorMessage="1" xr:uid="{00000000-0002-0000-0300-00005A030000}">
          <x14:formula1>
            <xm:f>PriceArea!A2:A1000</xm:f>
          </x14:formula1>
          <xm:sqref>C860</xm:sqref>
        </x14:dataValidation>
        <x14:dataValidation type="list" allowBlank="1" showInputMessage="1" showErrorMessage="1" xr:uid="{00000000-0002-0000-0300-00005B030000}">
          <x14:formula1>
            <xm:f>PriceArea!A2:A1000</xm:f>
          </x14:formula1>
          <xm:sqref>C861</xm:sqref>
        </x14:dataValidation>
        <x14:dataValidation type="list" allowBlank="1" showInputMessage="1" showErrorMessage="1" xr:uid="{00000000-0002-0000-0300-00005C030000}">
          <x14:formula1>
            <xm:f>PriceArea!A2:A1000</xm:f>
          </x14:formula1>
          <xm:sqref>C862</xm:sqref>
        </x14:dataValidation>
        <x14:dataValidation type="list" allowBlank="1" showInputMessage="1" showErrorMessage="1" xr:uid="{00000000-0002-0000-0300-00005D030000}">
          <x14:formula1>
            <xm:f>PriceArea!A2:A1000</xm:f>
          </x14:formula1>
          <xm:sqref>C863</xm:sqref>
        </x14:dataValidation>
        <x14:dataValidation type="list" allowBlank="1" showInputMessage="1" showErrorMessage="1" xr:uid="{00000000-0002-0000-0300-00005E030000}">
          <x14:formula1>
            <xm:f>PriceArea!A2:A1000</xm:f>
          </x14:formula1>
          <xm:sqref>C864</xm:sqref>
        </x14:dataValidation>
        <x14:dataValidation type="list" allowBlank="1" showInputMessage="1" showErrorMessage="1" xr:uid="{00000000-0002-0000-0300-00005F030000}">
          <x14:formula1>
            <xm:f>PriceArea!A2:A1000</xm:f>
          </x14:formula1>
          <xm:sqref>C865</xm:sqref>
        </x14:dataValidation>
        <x14:dataValidation type="list" allowBlank="1" showInputMessage="1" showErrorMessage="1" xr:uid="{00000000-0002-0000-0300-000060030000}">
          <x14:formula1>
            <xm:f>PriceArea!A2:A1000</xm:f>
          </x14:formula1>
          <xm:sqref>C866</xm:sqref>
        </x14:dataValidation>
        <x14:dataValidation type="list" allowBlank="1" showInputMessage="1" showErrorMessage="1" xr:uid="{00000000-0002-0000-0300-000061030000}">
          <x14:formula1>
            <xm:f>PriceArea!A2:A1000</xm:f>
          </x14:formula1>
          <xm:sqref>C867</xm:sqref>
        </x14:dataValidation>
        <x14:dataValidation type="list" allowBlank="1" showInputMessage="1" showErrorMessage="1" xr:uid="{00000000-0002-0000-0300-000062030000}">
          <x14:formula1>
            <xm:f>PriceArea!A2:A1000</xm:f>
          </x14:formula1>
          <xm:sqref>C868</xm:sqref>
        </x14:dataValidation>
        <x14:dataValidation type="list" allowBlank="1" showInputMessage="1" showErrorMessage="1" xr:uid="{00000000-0002-0000-0300-000063030000}">
          <x14:formula1>
            <xm:f>PriceArea!A2:A1000</xm:f>
          </x14:formula1>
          <xm:sqref>C869</xm:sqref>
        </x14:dataValidation>
        <x14:dataValidation type="list" allowBlank="1" showInputMessage="1" showErrorMessage="1" xr:uid="{00000000-0002-0000-0300-000064030000}">
          <x14:formula1>
            <xm:f>PriceArea!A2:A1000</xm:f>
          </x14:formula1>
          <xm:sqref>C870</xm:sqref>
        </x14:dataValidation>
        <x14:dataValidation type="list" allowBlank="1" showInputMessage="1" showErrorMessage="1" xr:uid="{00000000-0002-0000-0300-000065030000}">
          <x14:formula1>
            <xm:f>PriceArea!A2:A1000</xm:f>
          </x14:formula1>
          <xm:sqref>C871</xm:sqref>
        </x14:dataValidation>
        <x14:dataValidation type="list" allowBlank="1" showInputMessage="1" showErrorMessage="1" xr:uid="{00000000-0002-0000-0300-000066030000}">
          <x14:formula1>
            <xm:f>PriceArea!A2:A1000</xm:f>
          </x14:formula1>
          <xm:sqref>C872</xm:sqref>
        </x14:dataValidation>
        <x14:dataValidation type="list" allowBlank="1" showInputMessage="1" showErrorMessage="1" xr:uid="{00000000-0002-0000-0300-000067030000}">
          <x14:formula1>
            <xm:f>PriceArea!A2:A1000</xm:f>
          </x14:formula1>
          <xm:sqref>C873</xm:sqref>
        </x14:dataValidation>
        <x14:dataValidation type="list" allowBlank="1" showInputMessage="1" showErrorMessage="1" xr:uid="{00000000-0002-0000-0300-000068030000}">
          <x14:formula1>
            <xm:f>PriceArea!A2:A1000</xm:f>
          </x14:formula1>
          <xm:sqref>C874</xm:sqref>
        </x14:dataValidation>
        <x14:dataValidation type="list" allowBlank="1" showInputMessage="1" showErrorMessage="1" xr:uid="{00000000-0002-0000-0300-000069030000}">
          <x14:formula1>
            <xm:f>PriceArea!A2:A1000</xm:f>
          </x14:formula1>
          <xm:sqref>C875</xm:sqref>
        </x14:dataValidation>
        <x14:dataValidation type="list" allowBlank="1" showInputMessage="1" showErrorMessage="1" xr:uid="{00000000-0002-0000-0300-00006A030000}">
          <x14:formula1>
            <xm:f>PriceArea!A2:A1000</xm:f>
          </x14:formula1>
          <xm:sqref>C876</xm:sqref>
        </x14:dataValidation>
        <x14:dataValidation type="list" allowBlank="1" showInputMessage="1" showErrorMessage="1" xr:uid="{00000000-0002-0000-0300-00006B030000}">
          <x14:formula1>
            <xm:f>PriceArea!A2:A1000</xm:f>
          </x14:formula1>
          <xm:sqref>C877</xm:sqref>
        </x14:dataValidation>
        <x14:dataValidation type="list" allowBlank="1" showInputMessage="1" showErrorMessage="1" xr:uid="{00000000-0002-0000-0300-00006C030000}">
          <x14:formula1>
            <xm:f>PriceArea!A2:A1000</xm:f>
          </x14:formula1>
          <xm:sqref>C878</xm:sqref>
        </x14:dataValidation>
        <x14:dataValidation type="list" allowBlank="1" showInputMessage="1" showErrorMessage="1" xr:uid="{00000000-0002-0000-0300-00006D030000}">
          <x14:formula1>
            <xm:f>PriceArea!A2:A1000</xm:f>
          </x14:formula1>
          <xm:sqref>C879</xm:sqref>
        </x14:dataValidation>
        <x14:dataValidation type="list" allowBlank="1" showInputMessage="1" showErrorMessage="1" xr:uid="{00000000-0002-0000-0300-00006E030000}">
          <x14:formula1>
            <xm:f>PriceArea!A2:A1000</xm:f>
          </x14:formula1>
          <xm:sqref>C880</xm:sqref>
        </x14:dataValidation>
        <x14:dataValidation type="list" allowBlank="1" showInputMessage="1" showErrorMessage="1" xr:uid="{00000000-0002-0000-0300-00006F030000}">
          <x14:formula1>
            <xm:f>PriceArea!A2:A1000</xm:f>
          </x14:formula1>
          <xm:sqref>C881</xm:sqref>
        </x14:dataValidation>
        <x14:dataValidation type="list" allowBlank="1" showInputMessage="1" showErrorMessage="1" xr:uid="{00000000-0002-0000-0300-000070030000}">
          <x14:formula1>
            <xm:f>PriceArea!A2:A1000</xm:f>
          </x14:formula1>
          <xm:sqref>C882</xm:sqref>
        </x14:dataValidation>
        <x14:dataValidation type="list" allowBlank="1" showInputMessage="1" showErrorMessage="1" xr:uid="{00000000-0002-0000-0300-000071030000}">
          <x14:formula1>
            <xm:f>PriceArea!A2:A1000</xm:f>
          </x14:formula1>
          <xm:sqref>C883</xm:sqref>
        </x14:dataValidation>
        <x14:dataValidation type="list" allowBlank="1" showInputMessage="1" showErrorMessage="1" xr:uid="{00000000-0002-0000-0300-000072030000}">
          <x14:formula1>
            <xm:f>PriceArea!A2:A1000</xm:f>
          </x14:formula1>
          <xm:sqref>C884</xm:sqref>
        </x14:dataValidation>
        <x14:dataValidation type="list" allowBlank="1" showInputMessage="1" showErrorMessage="1" xr:uid="{00000000-0002-0000-0300-000073030000}">
          <x14:formula1>
            <xm:f>PriceArea!A2:A1000</xm:f>
          </x14:formula1>
          <xm:sqref>C885</xm:sqref>
        </x14:dataValidation>
        <x14:dataValidation type="list" allowBlank="1" showInputMessage="1" showErrorMessage="1" xr:uid="{00000000-0002-0000-0300-000074030000}">
          <x14:formula1>
            <xm:f>PriceArea!A2:A1000</xm:f>
          </x14:formula1>
          <xm:sqref>C886</xm:sqref>
        </x14:dataValidation>
        <x14:dataValidation type="list" allowBlank="1" showInputMessage="1" showErrorMessage="1" xr:uid="{00000000-0002-0000-0300-000075030000}">
          <x14:formula1>
            <xm:f>PriceArea!A2:A1000</xm:f>
          </x14:formula1>
          <xm:sqref>C887</xm:sqref>
        </x14:dataValidation>
        <x14:dataValidation type="list" allowBlank="1" showInputMessage="1" showErrorMessage="1" xr:uid="{00000000-0002-0000-0300-000076030000}">
          <x14:formula1>
            <xm:f>PriceArea!A2:A1000</xm:f>
          </x14:formula1>
          <xm:sqref>C888</xm:sqref>
        </x14:dataValidation>
        <x14:dataValidation type="list" allowBlank="1" showInputMessage="1" showErrorMessage="1" xr:uid="{00000000-0002-0000-0300-000077030000}">
          <x14:formula1>
            <xm:f>PriceArea!A2:A1000</xm:f>
          </x14:formula1>
          <xm:sqref>C889</xm:sqref>
        </x14:dataValidation>
        <x14:dataValidation type="list" allowBlank="1" showInputMessage="1" showErrorMessage="1" xr:uid="{00000000-0002-0000-0300-000078030000}">
          <x14:formula1>
            <xm:f>PriceArea!A2:A1000</xm:f>
          </x14:formula1>
          <xm:sqref>C890</xm:sqref>
        </x14:dataValidation>
        <x14:dataValidation type="list" allowBlank="1" showInputMessage="1" showErrorMessage="1" xr:uid="{00000000-0002-0000-0300-000079030000}">
          <x14:formula1>
            <xm:f>PriceArea!A2:A1000</xm:f>
          </x14:formula1>
          <xm:sqref>C891</xm:sqref>
        </x14:dataValidation>
        <x14:dataValidation type="list" allowBlank="1" showInputMessage="1" showErrorMessage="1" xr:uid="{00000000-0002-0000-0300-00007A030000}">
          <x14:formula1>
            <xm:f>PriceArea!A2:A1000</xm:f>
          </x14:formula1>
          <xm:sqref>C892</xm:sqref>
        </x14:dataValidation>
        <x14:dataValidation type="list" allowBlank="1" showInputMessage="1" showErrorMessage="1" xr:uid="{00000000-0002-0000-0300-00007B030000}">
          <x14:formula1>
            <xm:f>PriceArea!A2:A1000</xm:f>
          </x14:formula1>
          <xm:sqref>C893</xm:sqref>
        </x14:dataValidation>
        <x14:dataValidation type="list" allowBlank="1" showInputMessage="1" showErrorMessage="1" xr:uid="{00000000-0002-0000-0300-00007C030000}">
          <x14:formula1>
            <xm:f>PriceArea!A2:A1000</xm:f>
          </x14:formula1>
          <xm:sqref>C894</xm:sqref>
        </x14:dataValidation>
        <x14:dataValidation type="list" allowBlank="1" showInputMessage="1" showErrorMessage="1" xr:uid="{00000000-0002-0000-0300-00007D030000}">
          <x14:formula1>
            <xm:f>PriceArea!A2:A1000</xm:f>
          </x14:formula1>
          <xm:sqref>C895</xm:sqref>
        </x14:dataValidation>
        <x14:dataValidation type="list" allowBlank="1" showInputMessage="1" showErrorMessage="1" xr:uid="{00000000-0002-0000-0300-00007E030000}">
          <x14:formula1>
            <xm:f>PriceArea!A2:A1000</xm:f>
          </x14:formula1>
          <xm:sqref>C896</xm:sqref>
        </x14:dataValidation>
        <x14:dataValidation type="list" allowBlank="1" showInputMessage="1" showErrorMessage="1" xr:uid="{00000000-0002-0000-0300-00007F030000}">
          <x14:formula1>
            <xm:f>PriceArea!A2:A1000</xm:f>
          </x14:formula1>
          <xm:sqref>C897</xm:sqref>
        </x14:dataValidation>
        <x14:dataValidation type="list" allowBlank="1" showInputMessage="1" showErrorMessage="1" xr:uid="{00000000-0002-0000-0300-000080030000}">
          <x14:formula1>
            <xm:f>PriceArea!A2:A1000</xm:f>
          </x14:formula1>
          <xm:sqref>C898</xm:sqref>
        </x14:dataValidation>
        <x14:dataValidation type="list" allowBlank="1" showInputMessage="1" showErrorMessage="1" xr:uid="{00000000-0002-0000-0300-000081030000}">
          <x14:formula1>
            <xm:f>PriceArea!A2:A1000</xm:f>
          </x14:formula1>
          <xm:sqref>C899</xm:sqref>
        </x14:dataValidation>
        <x14:dataValidation type="list" allowBlank="1" showInputMessage="1" showErrorMessage="1" xr:uid="{00000000-0002-0000-0300-000082030000}">
          <x14:formula1>
            <xm:f>PriceArea!A2:A1000</xm:f>
          </x14:formula1>
          <xm:sqref>C900</xm:sqref>
        </x14:dataValidation>
        <x14:dataValidation type="list" allowBlank="1" showInputMessage="1" showErrorMessage="1" xr:uid="{00000000-0002-0000-0300-000083030000}">
          <x14:formula1>
            <xm:f>PriceArea!A2:A1000</xm:f>
          </x14:formula1>
          <xm:sqref>C901</xm:sqref>
        </x14:dataValidation>
        <x14:dataValidation type="list" allowBlank="1" showInputMessage="1" showErrorMessage="1" xr:uid="{00000000-0002-0000-0300-000084030000}">
          <x14:formula1>
            <xm:f>PriceArea!A2:A1000</xm:f>
          </x14:formula1>
          <xm:sqref>C902</xm:sqref>
        </x14:dataValidation>
        <x14:dataValidation type="list" allowBlank="1" showInputMessage="1" showErrorMessage="1" xr:uid="{00000000-0002-0000-0300-000085030000}">
          <x14:formula1>
            <xm:f>PriceArea!A2:A1000</xm:f>
          </x14:formula1>
          <xm:sqref>C903</xm:sqref>
        </x14:dataValidation>
        <x14:dataValidation type="list" allowBlank="1" showInputMessage="1" showErrorMessage="1" xr:uid="{00000000-0002-0000-0300-000086030000}">
          <x14:formula1>
            <xm:f>PriceArea!A2:A1000</xm:f>
          </x14:formula1>
          <xm:sqref>C904</xm:sqref>
        </x14:dataValidation>
        <x14:dataValidation type="list" allowBlank="1" showInputMessage="1" showErrorMessage="1" xr:uid="{00000000-0002-0000-0300-000087030000}">
          <x14:formula1>
            <xm:f>PriceArea!A2:A1000</xm:f>
          </x14:formula1>
          <xm:sqref>C905</xm:sqref>
        </x14:dataValidation>
        <x14:dataValidation type="list" allowBlank="1" showInputMessage="1" showErrorMessage="1" xr:uid="{00000000-0002-0000-0300-000088030000}">
          <x14:formula1>
            <xm:f>PriceArea!A2:A1000</xm:f>
          </x14:formula1>
          <xm:sqref>C906</xm:sqref>
        </x14:dataValidation>
        <x14:dataValidation type="list" allowBlank="1" showInputMessage="1" showErrorMessage="1" xr:uid="{00000000-0002-0000-0300-000089030000}">
          <x14:formula1>
            <xm:f>PriceArea!A2:A1000</xm:f>
          </x14:formula1>
          <xm:sqref>C907</xm:sqref>
        </x14:dataValidation>
        <x14:dataValidation type="list" allowBlank="1" showInputMessage="1" showErrorMessage="1" xr:uid="{00000000-0002-0000-0300-00008A030000}">
          <x14:formula1>
            <xm:f>PriceArea!A2:A1000</xm:f>
          </x14:formula1>
          <xm:sqref>C908</xm:sqref>
        </x14:dataValidation>
        <x14:dataValidation type="list" allowBlank="1" showInputMessage="1" showErrorMessage="1" xr:uid="{00000000-0002-0000-0300-00008B030000}">
          <x14:formula1>
            <xm:f>PriceArea!A2:A1000</xm:f>
          </x14:formula1>
          <xm:sqref>C909</xm:sqref>
        </x14:dataValidation>
        <x14:dataValidation type="list" allowBlank="1" showInputMessage="1" showErrorMessage="1" xr:uid="{00000000-0002-0000-0300-00008C030000}">
          <x14:formula1>
            <xm:f>PriceArea!A2:A1000</xm:f>
          </x14:formula1>
          <xm:sqref>C910</xm:sqref>
        </x14:dataValidation>
        <x14:dataValidation type="list" allowBlank="1" showInputMessage="1" showErrorMessage="1" xr:uid="{00000000-0002-0000-0300-00008D030000}">
          <x14:formula1>
            <xm:f>PriceArea!A2:A1000</xm:f>
          </x14:formula1>
          <xm:sqref>C911</xm:sqref>
        </x14:dataValidation>
        <x14:dataValidation type="list" allowBlank="1" showInputMessage="1" showErrorMessage="1" xr:uid="{00000000-0002-0000-0300-00008E030000}">
          <x14:formula1>
            <xm:f>PriceArea!A2:A1000</xm:f>
          </x14:formula1>
          <xm:sqref>C912</xm:sqref>
        </x14:dataValidation>
        <x14:dataValidation type="list" allowBlank="1" showInputMessage="1" showErrorMessage="1" xr:uid="{00000000-0002-0000-0300-00008F030000}">
          <x14:formula1>
            <xm:f>PriceArea!A2:A1000</xm:f>
          </x14:formula1>
          <xm:sqref>C913</xm:sqref>
        </x14:dataValidation>
        <x14:dataValidation type="list" allowBlank="1" showInputMessage="1" showErrorMessage="1" xr:uid="{00000000-0002-0000-0300-000090030000}">
          <x14:formula1>
            <xm:f>PriceArea!A2:A1000</xm:f>
          </x14:formula1>
          <xm:sqref>C914</xm:sqref>
        </x14:dataValidation>
        <x14:dataValidation type="list" allowBlank="1" showInputMessage="1" showErrorMessage="1" xr:uid="{00000000-0002-0000-0300-000091030000}">
          <x14:formula1>
            <xm:f>PriceArea!A2:A1000</xm:f>
          </x14:formula1>
          <xm:sqref>C915</xm:sqref>
        </x14:dataValidation>
        <x14:dataValidation type="list" allowBlank="1" showInputMessage="1" showErrorMessage="1" xr:uid="{00000000-0002-0000-0300-000092030000}">
          <x14:formula1>
            <xm:f>PriceArea!A2:A1000</xm:f>
          </x14:formula1>
          <xm:sqref>C916</xm:sqref>
        </x14:dataValidation>
        <x14:dataValidation type="list" allowBlank="1" showInputMessage="1" showErrorMessage="1" xr:uid="{00000000-0002-0000-0300-000093030000}">
          <x14:formula1>
            <xm:f>PriceArea!A2:A1000</xm:f>
          </x14:formula1>
          <xm:sqref>C917</xm:sqref>
        </x14:dataValidation>
        <x14:dataValidation type="list" allowBlank="1" showInputMessage="1" showErrorMessage="1" xr:uid="{00000000-0002-0000-0300-000094030000}">
          <x14:formula1>
            <xm:f>PriceArea!A2:A1000</xm:f>
          </x14:formula1>
          <xm:sqref>C918</xm:sqref>
        </x14:dataValidation>
        <x14:dataValidation type="list" allowBlank="1" showInputMessage="1" showErrorMessage="1" xr:uid="{00000000-0002-0000-0300-000095030000}">
          <x14:formula1>
            <xm:f>PriceArea!A2:A1000</xm:f>
          </x14:formula1>
          <xm:sqref>C919</xm:sqref>
        </x14:dataValidation>
        <x14:dataValidation type="list" allowBlank="1" showInputMessage="1" showErrorMessage="1" xr:uid="{00000000-0002-0000-0300-000096030000}">
          <x14:formula1>
            <xm:f>PriceArea!A2:A1000</xm:f>
          </x14:formula1>
          <xm:sqref>C920</xm:sqref>
        </x14:dataValidation>
        <x14:dataValidation type="list" allowBlank="1" showInputMessage="1" showErrorMessage="1" xr:uid="{00000000-0002-0000-0300-000097030000}">
          <x14:formula1>
            <xm:f>PriceArea!A2:A1000</xm:f>
          </x14:formula1>
          <xm:sqref>C921</xm:sqref>
        </x14:dataValidation>
        <x14:dataValidation type="list" allowBlank="1" showInputMessage="1" showErrorMessage="1" xr:uid="{00000000-0002-0000-0300-000098030000}">
          <x14:formula1>
            <xm:f>PriceArea!A2:A1000</xm:f>
          </x14:formula1>
          <xm:sqref>C922</xm:sqref>
        </x14:dataValidation>
        <x14:dataValidation type="list" allowBlank="1" showInputMessage="1" showErrorMessage="1" xr:uid="{00000000-0002-0000-0300-000099030000}">
          <x14:formula1>
            <xm:f>PriceArea!A2:A1000</xm:f>
          </x14:formula1>
          <xm:sqref>C923</xm:sqref>
        </x14:dataValidation>
        <x14:dataValidation type="list" allowBlank="1" showInputMessage="1" showErrorMessage="1" xr:uid="{00000000-0002-0000-0300-00009A030000}">
          <x14:formula1>
            <xm:f>PriceArea!A2:A1000</xm:f>
          </x14:formula1>
          <xm:sqref>C924</xm:sqref>
        </x14:dataValidation>
        <x14:dataValidation type="list" allowBlank="1" showInputMessage="1" showErrorMessage="1" xr:uid="{00000000-0002-0000-0300-00009B030000}">
          <x14:formula1>
            <xm:f>PriceArea!A2:A1000</xm:f>
          </x14:formula1>
          <xm:sqref>C925</xm:sqref>
        </x14:dataValidation>
        <x14:dataValidation type="list" allowBlank="1" showInputMessage="1" showErrorMessage="1" xr:uid="{00000000-0002-0000-0300-00009C030000}">
          <x14:formula1>
            <xm:f>PriceArea!A2:A1000</xm:f>
          </x14:formula1>
          <xm:sqref>C926</xm:sqref>
        </x14:dataValidation>
        <x14:dataValidation type="list" allowBlank="1" showInputMessage="1" showErrorMessage="1" xr:uid="{00000000-0002-0000-0300-00009D030000}">
          <x14:formula1>
            <xm:f>PriceArea!A2:A1000</xm:f>
          </x14:formula1>
          <xm:sqref>C927</xm:sqref>
        </x14:dataValidation>
        <x14:dataValidation type="list" allowBlank="1" showInputMessage="1" showErrorMessage="1" xr:uid="{00000000-0002-0000-0300-00009E030000}">
          <x14:formula1>
            <xm:f>PriceArea!A2:A1000</xm:f>
          </x14:formula1>
          <xm:sqref>C928</xm:sqref>
        </x14:dataValidation>
        <x14:dataValidation type="list" allowBlank="1" showInputMessage="1" showErrorMessage="1" xr:uid="{00000000-0002-0000-0300-00009F030000}">
          <x14:formula1>
            <xm:f>PriceArea!A2:A1000</xm:f>
          </x14:formula1>
          <xm:sqref>C929</xm:sqref>
        </x14:dataValidation>
        <x14:dataValidation type="list" allowBlank="1" showInputMessage="1" showErrorMessage="1" xr:uid="{00000000-0002-0000-0300-0000A0030000}">
          <x14:formula1>
            <xm:f>PriceArea!A2:A1000</xm:f>
          </x14:formula1>
          <xm:sqref>C930</xm:sqref>
        </x14:dataValidation>
        <x14:dataValidation type="list" allowBlank="1" showInputMessage="1" showErrorMessage="1" xr:uid="{00000000-0002-0000-0300-0000A1030000}">
          <x14:formula1>
            <xm:f>PriceArea!A2:A1000</xm:f>
          </x14:formula1>
          <xm:sqref>C931</xm:sqref>
        </x14:dataValidation>
        <x14:dataValidation type="list" allowBlank="1" showInputMessage="1" showErrorMessage="1" xr:uid="{00000000-0002-0000-0300-0000A2030000}">
          <x14:formula1>
            <xm:f>PriceArea!A2:A1000</xm:f>
          </x14:formula1>
          <xm:sqref>C932</xm:sqref>
        </x14:dataValidation>
        <x14:dataValidation type="list" allowBlank="1" showInputMessage="1" showErrorMessage="1" xr:uid="{00000000-0002-0000-0300-0000A3030000}">
          <x14:formula1>
            <xm:f>PriceArea!A2:A1000</xm:f>
          </x14:formula1>
          <xm:sqref>C933</xm:sqref>
        </x14:dataValidation>
        <x14:dataValidation type="list" allowBlank="1" showInputMessage="1" showErrorMessage="1" xr:uid="{00000000-0002-0000-0300-0000A4030000}">
          <x14:formula1>
            <xm:f>PriceArea!A2:A1000</xm:f>
          </x14:formula1>
          <xm:sqref>C934</xm:sqref>
        </x14:dataValidation>
        <x14:dataValidation type="list" allowBlank="1" showInputMessage="1" showErrorMessage="1" xr:uid="{00000000-0002-0000-0300-0000A5030000}">
          <x14:formula1>
            <xm:f>PriceArea!A2:A1000</xm:f>
          </x14:formula1>
          <xm:sqref>C935</xm:sqref>
        </x14:dataValidation>
        <x14:dataValidation type="list" allowBlank="1" showInputMessage="1" showErrorMessage="1" xr:uid="{00000000-0002-0000-0300-0000A6030000}">
          <x14:formula1>
            <xm:f>PriceArea!A2:A1000</xm:f>
          </x14:formula1>
          <xm:sqref>C936</xm:sqref>
        </x14:dataValidation>
        <x14:dataValidation type="list" allowBlank="1" showInputMessage="1" showErrorMessage="1" xr:uid="{00000000-0002-0000-0300-0000A7030000}">
          <x14:formula1>
            <xm:f>PriceArea!A2:A1000</xm:f>
          </x14:formula1>
          <xm:sqref>C937</xm:sqref>
        </x14:dataValidation>
        <x14:dataValidation type="list" allowBlank="1" showInputMessage="1" showErrorMessage="1" xr:uid="{00000000-0002-0000-0300-0000A8030000}">
          <x14:formula1>
            <xm:f>PriceArea!A2:A1000</xm:f>
          </x14:formula1>
          <xm:sqref>C938</xm:sqref>
        </x14:dataValidation>
        <x14:dataValidation type="list" allowBlank="1" showInputMessage="1" showErrorMessage="1" xr:uid="{00000000-0002-0000-0300-0000A9030000}">
          <x14:formula1>
            <xm:f>PriceArea!A2:A1000</xm:f>
          </x14:formula1>
          <xm:sqref>C939</xm:sqref>
        </x14:dataValidation>
        <x14:dataValidation type="list" allowBlank="1" showInputMessage="1" showErrorMessage="1" xr:uid="{00000000-0002-0000-0300-0000AA030000}">
          <x14:formula1>
            <xm:f>PriceArea!A2:A1000</xm:f>
          </x14:formula1>
          <xm:sqref>C940</xm:sqref>
        </x14:dataValidation>
        <x14:dataValidation type="list" allowBlank="1" showInputMessage="1" showErrorMessage="1" xr:uid="{00000000-0002-0000-0300-0000AB030000}">
          <x14:formula1>
            <xm:f>PriceArea!A2:A1000</xm:f>
          </x14:formula1>
          <xm:sqref>C941</xm:sqref>
        </x14:dataValidation>
        <x14:dataValidation type="list" allowBlank="1" showInputMessage="1" showErrorMessage="1" xr:uid="{00000000-0002-0000-0300-0000AC030000}">
          <x14:formula1>
            <xm:f>PriceArea!A2:A1000</xm:f>
          </x14:formula1>
          <xm:sqref>C942</xm:sqref>
        </x14:dataValidation>
        <x14:dataValidation type="list" allowBlank="1" showInputMessage="1" showErrorMessage="1" xr:uid="{00000000-0002-0000-0300-0000AD030000}">
          <x14:formula1>
            <xm:f>PriceArea!A2:A1000</xm:f>
          </x14:formula1>
          <xm:sqref>C943</xm:sqref>
        </x14:dataValidation>
        <x14:dataValidation type="list" allowBlank="1" showInputMessage="1" showErrorMessage="1" xr:uid="{00000000-0002-0000-0300-0000AE030000}">
          <x14:formula1>
            <xm:f>PriceArea!A2:A1000</xm:f>
          </x14:formula1>
          <xm:sqref>C944</xm:sqref>
        </x14:dataValidation>
        <x14:dataValidation type="list" allowBlank="1" showInputMessage="1" showErrorMessage="1" xr:uid="{00000000-0002-0000-0300-0000AF030000}">
          <x14:formula1>
            <xm:f>PriceArea!A2:A1000</xm:f>
          </x14:formula1>
          <xm:sqref>C945</xm:sqref>
        </x14:dataValidation>
        <x14:dataValidation type="list" allowBlank="1" showInputMessage="1" showErrorMessage="1" xr:uid="{00000000-0002-0000-0300-0000B0030000}">
          <x14:formula1>
            <xm:f>PriceArea!A2:A1000</xm:f>
          </x14:formula1>
          <xm:sqref>C946</xm:sqref>
        </x14:dataValidation>
        <x14:dataValidation type="list" allowBlank="1" showInputMessage="1" showErrorMessage="1" xr:uid="{00000000-0002-0000-0300-0000B1030000}">
          <x14:formula1>
            <xm:f>PriceArea!A2:A1000</xm:f>
          </x14:formula1>
          <xm:sqref>C947</xm:sqref>
        </x14:dataValidation>
        <x14:dataValidation type="list" allowBlank="1" showInputMessage="1" showErrorMessage="1" xr:uid="{00000000-0002-0000-0300-0000B2030000}">
          <x14:formula1>
            <xm:f>PriceArea!A2:A1000</xm:f>
          </x14:formula1>
          <xm:sqref>C948</xm:sqref>
        </x14:dataValidation>
        <x14:dataValidation type="list" allowBlank="1" showInputMessage="1" showErrorMessage="1" xr:uid="{00000000-0002-0000-0300-0000B3030000}">
          <x14:formula1>
            <xm:f>PriceArea!A2:A1000</xm:f>
          </x14:formula1>
          <xm:sqref>C949</xm:sqref>
        </x14:dataValidation>
        <x14:dataValidation type="list" allowBlank="1" showInputMessage="1" showErrorMessage="1" xr:uid="{00000000-0002-0000-0300-0000B4030000}">
          <x14:formula1>
            <xm:f>PriceArea!A2:A1000</xm:f>
          </x14:formula1>
          <xm:sqref>C950</xm:sqref>
        </x14:dataValidation>
        <x14:dataValidation type="list" allowBlank="1" showInputMessage="1" showErrorMessage="1" xr:uid="{00000000-0002-0000-0300-0000B5030000}">
          <x14:formula1>
            <xm:f>PriceArea!A2:A1000</xm:f>
          </x14:formula1>
          <xm:sqref>C951</xm:sqref>
        </x14:dataValidation>
        <x14:dataValidation type="list" allowBlank="1" showInputMessage="1" showErrorMessage="1" xr:uid="{00000000-0002-0000-0300-0000B6030000}">
          <x14:formula1>
            <xm:f>PriceArea!A2:A1000</xm:f>
          </x14:formula1>
          <xm:sqref>C952</xm:sqref>
        </x14:dataValidation>
        <x14:dataValidation type="list" allowBlank="1" showInputMessage="1" showErrorMessage="1" xr:uid="{00000000-0002-0000-0300-0000B7030000}">
          <x14:formula1>
            <xm:f>PriceArea!A2:A1000</xm:f>
          </x14:formula1>
          <xm:sqref>C953</xm:sqref>
        </x14:dataValidation>
        <x14:dataValidation type="list" allowBlank="1" showInputMessage="1" showErrorMessage="1" xr:uid="{00000000-0002-0000-0300-0000B8030000}">
          <x14:formula1>
            <xm:f>PriceArea!A2:A1000</xm:f>
          </x14:formula1>
          <xm:sqref>C954</xm:sqref>
        </x14:dataValidation>
        <x14:dataValidation type="list" allowBlank="1" showInputMessage="1" showErrorMessage="1" xr:uid="{00000000-0002-0000-0300-0000B9030000}">
          <x14:formula1>
            <xm:f>PriceArea!A2:A1000</xm:f>
          </x14:formula1>
          <xm:sqref>C955</xm:sqref>
        </x14:dataValidation>
        <x14:dataValidation type="list" allowBlank="1" showInputMessage="1" showErrorMessage="1" xr:uid="{00000000-0002-0000-0300-0000BA030000}">
          <x14:formula1>
            <xm:f>PriceArea!A2:A1000</xm:f>
          </x14:formula1>
          <xm:sqref>C956</xm:sqref>
        </x14:dataValidation>
        <x14:dataValidation type="list" allowBlank="1" showInputMessage="1" showErrorMessage="1" xr:uid="{00000000-0002-0000-0300-0000BB030000}">
          <x14:formula1>
            <xm:f>PriceArea!A2:A1000</xm:f>
          </x14:formula1>
          <xm:sqref>C957</xm:sqref>
        </x14:dataValidation>
        <x14:dataValidation type="list" allowBlank="1" showInputMessage="1" showErrorMessage="1" xr:uid="{00000000-0002-0000-0300-0000BC030000}">
          <x14:formula1>
            <xm:f>PriceArea!A2:A1000</xm:f>
          </x14:formula1>
          <xm:sqref>C958</xm:sqref>
        </x14:dataValidation>
        <x14:dataValidation type="list" allowBlank="1" showInputMessage="1" showErrorMessage="1" xr:uid="{00000000-0002-0000-0300-0000BD030000}">
          <x14:formula1>
            <xm:f>PriceArea!A2:A1000</xm:f>
          </x14:formula1>
          <xm:sqref>C959</xm:sqref>
        </x14:dataValidation>
        <x14:dataValidation type="list" allowBlank="1" showInputMessage="1" showErrorMessage="1" xr:uid="{00000000-0002-0000-0300-0000BE030000}">
          <x14:formula1>
            <xm:f>PriceArea!A2:A1000</xm:f>
          </x14:formula1>
          <xm:sqref>C960</xm:sqref>
        </x14:dataValidation>
        <x14:dataValidation type="list" allowBlank="1" showInputMessage="1" showErrorMessage="1" xr:uid="{00000000-0002-0000-0300-0000BF030000}">
          <x14:formula1>
            <xm:f>PriceArea!A2:A1000</xm:f>
          </x14:formula1>
          <xm:sqref>C961</xm:sqref>
        </x14:dataValidation>
        <x14:dataValidation type="list" allowBlank="1" showInputMessage="1" showErrorMessage="1" xr:uid="{00000000-0002-0000-0300-0000C0030000}">
          <x14:formula1>
            <xm:f>PriceArea!A2:A1000</xm:f>
          </x14:formula1>
          <xm:sqref>C962</xm:sqref>
        </x14:dataValidation>
        <x14:dataValidation type="list" allowBlank="1" showInputMessage="1" showErrorMessage="1" xr:uid="{00000000-0002-0000-0300-0000C1030000}">
          <x14:formula1>
            <xm:f>PriceArea!A2:A1000</xm:f>
          </x14:formula1>
          <xm:sqref>C963</xm:sqref>
        </x14:dataValidation>
        <x14:dataValidation type="list" allowBlank="1" showInputMessage="1" showErrorMessage="1" xr:uid="{00000000-0002-0000-0300-0000C2030000}">
          <x14:formula1>
            <xm:f>PriceArea!A2:A1000</xm:f>
          </x14:formula1>
          <xm:sqref>C964</xm:sqref>
        </x14:dataValidation>
        <x14:dataValidation type="list" allowBlank="1" showInputMessage="1" showErrorMessage="1" xr:uid="{00000000-0002-0000-0300-0000C3030000}">
          <x14:formula1>
            <xm:f>PriceArea!A2:A1000</xm:f>
          </x14:formula1>
          <xm:sqref>C965</xm:sqref>
        </x14:dataValidation>
        <x14:dataValidation type="list" allowBlank="1" showInputMessage="1" showErrorMessage="1" xr:uid="{00000000-0002-0000-0300-0000C4030000}">
          <x14:formula1>
            <xm:f>PriceArea!A2:A1000</xm:f>
          </x14:formula1>
          <xm:sqref>C966</xm:sqref>
        </x14:dataValidation>
        <x14:dataValidation type="list" allowBlank="1" showInputMessage="1" showErrorMessage="1" xr:uid="{00000000-0002-0000-0300-0000C5030000}">
          <x14:formula1>
            <xm:f>PriceArea!A2:A1000</xm:f>
          </x14:formula1>
          <xm:sqref>C967</xm:sqref>
        </x14:dataValidation>
        <x14:dataValidation type="list" allowBlank="1" showInputMessage="1" showErrorMessage="1" xr:uid="{00000000-0002-0000-0300-0000C6030000}">
          <x14:formula1>
            <xm:f>PriceArea!A2:A1000</xm:f>
          </x14:formula1>
          <xm:sqref>C968</xm:sqref>
        </x14:dataValidation>
        <x14:dataValidation type="list" allowBlank="1" showInputMessage="1" showErrorMessage="1" xr:uid="{00000000-0002-0000-0300-0000C7030000}">
          <x14:formula1>
            <xm:f>PriceArea!A2:A1000</xm:f>
          </x14:formula1>
          <xm:sqref>C969</xm:sqref>
        </x14:dataValidation>
        <x14:dataValidation type="list" allowBlank="1" showInputMessage="1" showErrorMessage="1" xr:uid="{00000000-0002-0000-0300-0000C8030000}">
          <x14:formula1>
            <xm:f>PriceArea!A2:A1000</xm:f>
          </x14:formula1>
          <xm:sqref>C970</xm:sqref>
        </x14:dataValidation>
        <x14:dataValidation type="list" allowBlank="1" showInputMessage="1" showErrorMessage="1" xr:uid="{00000000-0002-0000-0300-0000C9030000}">
          <x14:formula1>
            <xm:f>PriceArea!A2:A1000</xm:f>
          </x14:formula1>
          <xm:sqref>C971</xm:sqref>
        </x14:dataValidation>
        <x14:dataValidation type="list" allowBlank="1" showInputMessage="1" showErrorMessage="1" xr:uid="{00000000-0002-0000-0300-0000CA030000}">
          <x14:formula1>
            <xm:f>PriceArea!A2:A1000</xm:f>
          </x14:formula1>
          <xm:sqref>C972</xm:sqref>
        </x14:dataValidation>
        <x14:dataValidation type="list" allowBlank="1" showInputMessage="1" showErrorMessage="1" xr:uid="{00000000-0002-0000-0300-0000CB030000}">
          <x14:formula1>
            <xm:f>PriceArea!A2:A1000</xm:f>
          </x14:formula1>
          <xm:sqref>C973</xm:sqref>
        </x14:dataValidation>
        <x14:dataValidation type="list" allowBlank="1" showInputMessage="1" showErrorMessage="1" xr:uid="{00000000-0002-0000-0300-0000CC030000}">
          <x14:formula1>
            <xm:f>PriceArea!A2:A1000</xm:f>
          </x14:formula1>
          <xm:sqref>C974</xm:sqref>
        </x14:dataValidation>
        <x14:dataValidation type="list" allowBlank="1" showInputMessage="1" showErrorMessage="1" xr:uid="{00000000-0002-0000-0300-0000CD030000}">
          <x14:formula1>
            <xm:f>PriceArea!A2:A1000</xm:f>
          </x14:formula1>
          <xm:sqref>C975</xm:sqref>
        </x14:dataValidation>
        <x14:dataValidation type="list" allowBlank="1" showInputMessage="1" showErrorMessage="1" xr:uid="{00000000-0002-0000-0300-0000CE030000}">
          <x14:formula1>
            <xm:f>PriceArea!A2:A1000</xm:f>
          </x14:formula1>
          <xm:sqref>C976</xm:sqref>
        </x14:dataValidation>
        <x14:dataValidation type="list" allowBlank="1" showInputMessage="1" showErrorMessage="1" xr:uid="{00000000-0002-0000-0300-0000CF030000}">
          <x14:formula1>
            <xm:f>PriceArea!A2:A1000</xm:f>
          </x14:formula1>
          <xm:sqref>C977</xm:sqref>
        </x14:dataValidation>
        <x14:dataValidation type="list" allowBlank="1" showInputMessage="1" showErrorMessage="1" xr:uid="{00000000-0002-0000-0300-0000D0030000}">
          <x14:formula1>
            <xm:f>PriceArea!A2:A1000</xm:f>
          </x14:formula1>
          <xm:sqref>C978</xm:sqref>
        </x14:dataValidation>
        <x14:dataValidation type="list" allowBlank="1" showInputMessage="1" showErrorMessage="1" xr:uid="{00000000-0002-0000-0300-0000D1030000}">
          <x14:formula1>
            <xm:f>PriceArea!A2:A1000</xm:f>
          </x14:formula1>
          <xm:sqref>C979</xm:sqref>
        </x14:dataValidation>
        <x14:dataValidation type="list" allowBlank="1" showInputMessage="1" showErrorMessage="1" xr:uid="{00000000-0002-0000-0300-0000D2030000}">
          <x14:formula1>
            <xm:f>PriceArea!A2:A1000</xm:f>
          </x14:formula1>
          <xm:sqref>C980</xm:sqref>
        </x14:dataValidation>
        <x14:dataValidation type="list" allowBlank="1" showInputMessage="1" showErrorMessage="1" xr:uid="{00000000-0002-0000-0300-0000D3030000}">
          <x14:formula1>
            <xm:f>PriceArea!A2:A1000</xm:f>
          </x14:formula1>
          <xm:sqref>C981</xm:sqref>
        </x14:dataValidation>
        <x14:dataValidation type="list" allowBlank="1" showInputMessage="1" showErrorMessage="1" xr:uid="{00000000-0002-0000-0300-0000D4030000}">
          <x14:formula1>
            <xm:f>PriceArea!A2:A1000</xm:f>
          </x14:formula1>
          <xm:sqref>C982</xm:sqref>
        </x14:dataValidation>
        <x14:dataValidation type="list" allowBlank="1" showInputMessage="1" showErrorMessage="1" xr:uid="{00000000-0002-0000-0300-0000D5030000}">
          <x14:formula1>
            <xm:f>PriceArea!A2:A1000</xm:f>
          </x14:formula1>
          <xm:sqref>C983</xm:sqref>
        </x14:dataValidation>
        <x14:dataValidation type="list" allowBlank="1" showInputMessage="1" showErrorMessage="1" xr:uid="{00000000-0002-0000-0300-0000D6030000}">
          <x14:formula1>
            <xm:f>PriceArea!A2:A1000</xm:f>
          </x14:formula1>
          <xm:sqref>C984</xm:sqref>
        </x14:dataValidation>
        <x14:dataValidation type="list" allowBlank="1" showInputMessage="1" showErrorMessage="1" xr:uid="{00000000-0002-0000-0300-0000D7030000}">
          <x14:formula1>
            <xm:f>PriceArea!A2:A1000</xm:f>
          </x14:formula1>
          <xm:sqref>C985</xm:sqref>
        </x14:dataValidation>
        <x14:dataValidation type="list" allowBlank="1" showInputMessage="1" showErrorMessage="1" xr:uid="{00000000-0002-0000-0300-0000D8030000}">
          <x14:formula1>
            <xm:f>PriceArea!A2:A1000</xm:f>
          </x14:formula1>
          <xm:sqref>C986</xm:sqref>
        </x14:dataValidation>
        <x14:dataValidation type="list" allowBlank="1" showInputMessage="1" showErrorMessage="1" xr:uid="{00000000-0002-0000-0300-0000D9030000}">
          <x14:formula1>
            <xm:f>PriceArea!A2:A1000</xm:f>
          </x14:formula1>
          <xm:sqref>C987</xm:sqref>
        </x14:dataValidation>
        <x14:dataValidation type="list" allowBlank="1" showInputMessage="1" showErrorMessage="1" xr:uid="{00000000-0002-0000-0300-0000DA030000}">
          <x14:formula1>
            <xm:f>PriceArea!A2:A1000</xm:f>
          </x14:formula1>
          <xm:sqref>C988</xm:sqref>
        </x14:dataValidation>
        <x14:dataValidation type="list" allowBlank="1" showInputMessage="1" showErrorMessage="1" xr:uid="{00000000-0002-0000-0300-0000DB030000}">
          <x14:formula1>
            <xm:f>PriceArea!A2:A1000</xm:f>
          </x14:formula1>
          <xm:sqref>C989</xm:sqref>
        </x14:dataValidation>
        <x14:dataValidation type="list" allowBlank="1" showInputMessage="1" showErrorMessage="1" xr:uid="{00000000-0002-0000-0300-0000DC030000}">
          <x14:formula1>
            <xm:f>PriceArea!A2:A1000</xm:f>
          </x14:formula1>
          <xm:sqref>C990</xm:sqref>
        </x14:dataValidation>
        <x14:dataValidation type="list" allowBlank="1" showInputMessage="1" showErrorMessage="1" xr:uid="{00000000-0002-0000-0300-0000DD030000}">
          <x14:formula1>
            <xm:f>PriceArea!A2:A1000</xm:f>
          </x14:formula1>
          <xm:sqref>C991</xm:sqref>
        </x14:dataValidation>
        <x14:dataValidation type="list" allowBlank="1" showInputMessage="1" showErrorMessage="1" xr:uid="{00000000-0002-0000-0300-0000DE030000}">
          <x14:formula1>
            <xm:f>PriceArea!A2:A1000</xm:f>
          </x14:formula1>
          <xm:sqref>C992</xm:sqref>
        </x14:dataValidation>
        <x14:dataValidation type="list" allowBlank="1" showInputMessage="1" showErrorMessage="1" xr:uid="{00000000-0002-0000-0300-0000DF030000}">
          <x14:formula1>
            <xm:f>PriceArea!A2:A1000</xm:f>
          </x14:formula1>
          <xm:sqref>C993</xm:sqref>
        </x14:dataValidation>
        <x14:dataValidation type="list" allowBlank="1" showInputMessage="1" showErrorMessage="1" xr:uid="{00000000-0002-0000-0300-0000E0030000}">
          <x14:formula1>
            <xm:f>PriceArea!A2:A1000</xm:f>
          </x14:formula1>
          <xm:sqref>C994</xm:sqref>
        </x14:dataValidation>
        <x14:dataValidation type="list" allowBlank="1" showInputMessage="1" showErrorMessage="1" xr:uid="{00000000-0002-0000-0300-0000E1030000}">
          <x14:formula1>
            <xm:f>PriceArea!A2:A1000</xm:f>
          </x14:formula1>
          <xm:sqref>C995</xm:sqref>
        </x14:dataValidation>
        <x14:dataValidation type="list" allowBlank="1" showInputMessage="1" showErrorMessage="1" xr:uid="{00000000-0002-0000-0300-0000E2030000}">
          <x14:formula1>
            <xm:f>PriceArea!A2:A1000</xm:f>
          </x14:formula1>
          <xm:sqref>C996</xm:sqref>
        </x14:dataValidation>
        <x14:dataValidation type="list" allowBlank="1" showInputMessage="1" showErrorMessage="1" xr:uid="{00000000-0002-0000-0300-0000E3030000}">
          <x14:formula1>
            <xm:f>PriceArea!A2:A1000</xm:f>
          </x14:formula1>
          <xm:sqref>C997</xm:sqref>
        </x14:dataValidation>
        <x14:dataValidation type="list" allowBlank="1" showInputMessage="1" showErrorMessage="1" xr:uid="{00000000-0002-0000-0300-0000E4030000}">
          <x14:formula1>
            <xm:f>PriceArea!A2:A1000</xm:f>
          </x14:formula1>
          <xm:sqref>C998</xm:sqref>
        </x14:dataValidation>
        <x14:dataValidation type="list" allowBlank="1" showInputMessage="1" showErrorMessage="1" xr:uid="{00000000-0002-0000-0300-0000E5030000}">
          <x14:formula1>
            <xm:f>PriceArea!A2:A1000</xm:f>
          </x14:formula1>
          <xm:sqref>C999</xm:sqref>
        </x14:dataValidation>
        <x14:dataValidation type="list" allowBlank="1" showInputMessage="1" showErrorMessage="1" xr:uid="{00000000-0002-0000-0300-0000E6030000}">
          <x14:formula1>
            <xm:f>PriceArea!A2:A1000</xm:f>
          </x14:formula1>
          <xm:sqref>C1000</xm:sqref>
        </x14:dataValidation>
        <x14:dataValidation type="list" allowBlank="1" showInputMessage="1" showErrorMessage="1" xr:uid="{00000000-0002-0000-0300-0000E7030000}">
          <x14:formula1>
            <xm:f>PriceArea!A2:A1000</xm:f>
          </x14:formula1>
          <xm:sqref>C1001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CountryGroup</vt:lpstr>
      <vt:lpstr>Country</vt:lpstr>
      <vt:lpstr>PriceArea</vt:lpstr>
      <vt:lpstr>PriceAreaConnection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  Vasiljevic</cp:lastModifiedBy>
  <dcterms:created xsi:type="dcterms:W3CDTF">2023-05-25T10:50:38Z</dcterms:created>
  <dcterms:modified xsi:type="dcterms:W3CDTF">2023-05-25T14:13:42Z</dcterms:modified>
</cp:coreProperties>
</file>