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yGroup" sheetId="1" r:id="rId1"/>
    <sheet name="Country" sheetId="2" r:id="rId2"/>
    <sheet name="PriceArea" sheetId="3" r:id="rId3"/>
    <sheet name="PriceAreaConnection" sheetId="4" r:id="rId4"/>
  </sheets>
  <calcPr calcId="124519" fullCalcOnLoad="1"/>
</workbook>
</file>

<file path=xl/sharedStrings.xml><?xml version="1.0" encoding="utf-8"?>
<sst xmlns="http://schemas.openxmlformats.org/spreadsheetml/2006/main" count="13" uniqueCount="7">
  <si>
    <t>identifier</t>
  </si>
  <si>
    <t>name</t>
  </si>
  <si>
    <t>countryGroup</t>
  </si>
  <si>
    <t>TSO</t>
  </si>
  <si>
    <t>country</t>
  </si>
  <si>
    <t>priceAreaConnection</t>
  </si>
  <si>
    <t>priceArea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</si>
</sst>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6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B202"/>
        <bgColor indexed="64"/>
      </patternFill>
    </fill>
    <fill>
      <patternFill patternType="solid">
        <fgColor rgb="FF2FB5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01"/>
  <sheetViews>
    <sheetView tabSelected="1" workbookViewId="0"/>
  </sheetViews>
  <sheetFormatPr defaultRowHeight="15"/>
  <cols>
    <col min="1" max="2" width="30.7109375" customWidth="1"/>
  </cols>
  <sheetData>
    <row r="1" spans="1:2">
      <c r="A1" s="1" t="s">
        <v>0</v>
      </c>
      <c r="B1" s="2" t="s">
        <v>1</v>
      </c>
    </row>
    <row r="2" spans="1:2">
      <c r="A2">
        <f>IF(ISBLANK(B2), "","CountryGroup-1")</f>
        <v>0</v>
      </c>
    </row>
    <row r="3" spans="1:2">
      <c r="A3">
        <f>IF(ISBLANK(B3), "","CountryGroup-2")</f>
        <v>0</v>
      </c>
    </row>
    <row r="4" spans="1:2">
      <c r="A4">
        <f>IF(ISBLANK(B4), "","CountryGroup-3")</f>
        <v>0</v>
      </c>
    </row>
    <row r="5" spans="1:2">
      <c r="A5">
        <f>IF(ISBLANK(B5), "","CountryGroup-4")</f>
        <v>0</v>
      </c>
    </row>
    <row r="6" spans="1:2">
      <c r="A6">
        <f>IF(ISBLANK(B6), "","CountryGroup-5")</f>
        <v>0</v>
      </c>
    </row>
    <row r="7" spans="1:2">
      <c r="A7">
        <f>IF(ISBLANK(B7), "","CountryGroup-6")</f>
        <v>0</v>
      </c>
    </row>
    <row r="8" spans="1:2">
      <c r="A8">
        <f>IF(ISBLANK(B8), "","CountryGroup-7")</f>
        <v>0</v>
      </c>
    </row>
    <row r="9" spans="1:2">
      <c r="A9">
        <f>IF(ISBLANK(B9), "","CountryGroup-8")</f>
        <v>0</v>
      </c>
    </row>
    <row r="10" spans="1:2">
      <c r="A10">
        <f>IF(ISBLANK(B10), "","CountryGroup-9")</f>
        <v>0</v>
      </c>
    </row>
    <row r="11" spans="1:2">
      <c r="A11">
        <f>IF(ISBLANK(B11), "","CountryGroup-10")</f>
        <v>0</v>
      </c>
    </row>
    <row r="12" spans="1:2">
      <c r="A12">
        <f>IF(ISBLANK(B12), "","CountryGroup-11")</f>
        <v>0</v>
      </c>
    </row>
    <row r="13" spans="1:2">
      <c r="A13">
        <f>IF(ISBLANK(B13), "","CountryGroup-12")</f>
        <v>0</v>
      </c>
    </row>
    <row r="14" spans="1:2">
      <c r="A14">
        <f>IF(ISBLANK(B14), "","CountryGroup-13")</f>
        <v>0</v>
      </c>
    </row>
    <row r="15" spans="1:2">
      <c r="A15">
        <f>IF(ISBLANK(B15), "","CountryGroup-14")</f>
        <v>0</v>
      </c>
    </row>
    <row r="16" spans="1:2">
      <c r="A16">
        <f>IF(ISBLANK(B16), "","CountryGroup-15")</f>
        <v>0</v>
      </c>
    </row>
    <row r="17" spans="1:1">
      <c r="A17">
        <f>IF(ISBLANK(B17), "","CountryGroup-16")</f>
        <v>0</v>
      </c>
    </row>
    <row r="18" spans="1:1">
      <c r="A18">
        <f>IF(ISBLANK(B18), "","CountryGroup-17")</f>
        <v>0</v>
      </c>
    </row>
    <row r="19" spans="1:1">
      <c r="A19">
        <f>IF(ISBLANK(B19), "","CountryGroup-18")</f>
        <v>0</v>
      </c>
    </row>
    <row r="20" spans="1:1">
      <c r="A20">
        <f>IF(ISBLANK(B20), "","CountryGroup-19")</f>
        <v>0</v>
      </c>
    </row>
    <row r="21" spans="1:1">
      <c r="A21">
        <f>IF(ISBLANK(B21), "","CountryGroup-20")</f>
        <v>0</v>
      </c>
    </row>
    <row r="22" spans="1:1">
      <c r="A22">
        <f>IF(ISBLANK(B22), "","CountryGroup-21")</f>
        <v>0</v>
      </c>
    </row>
    <row r="23" spans="1:1">
      <c r="A23">
        <f>IF(ISBLANK(B23), "","CountryGroup-22")</f>
        <v>0</v>
      </c>
    </row>
    <row r="24" spans="1:1">
      <c r="A24">
        <f>IF(ISBLANK(B24), "","CountryGroup-23")</f>
        <v>0</v>
      </c>
    </row>
    <row r="25" spans="1:1">
      <c r="A25">
        <f>IF(ISBLANK(B25), "","CountryGroup-24")</f>
        <v>0</v>
      </c>
    </row>
    <row r="26" spans="1:1">
      <c r="A26">
        <f>IF(ISBLANK(B26), "","CountryGroup-25")</f>
        <v>0</v>
      </c>
    </row>
    <row r="27" spans="1:1">
      <c r="A27">
        <f>IF(ISBLANK(B27), "","CountryGroup-26")</f>
        <v>0</v>
      </c>
    </row>
    <row r="28" spans="1:1">
      <c r="A28">
        <f>IF(ISBLANK(B28), "","CountryGroup-27")</f>
        <v>0</v>
      </c>
    </row>
    <row r="29" spans="1:1">
      <c r="A29">
        <f>IF(ISBLANK(B29), "","CountryGroup-28")</f>
        <v>0</v>
      </c>
    </row>
    <row r="30" spans="1:1">
      <c r="A30">
        <f>IF(ISBLANK(B30), "","CountryGroup-29")</f>
        <v>0</v>
      </c>
    </row>
    <row r="31" spans="1:1">
      <c r="A31">
        <f>IF(ISBLANK(B31), "","CountryGroup-30")</f>
        <v>0</v>
      </c>
    </row>
    <row r="32" spans="1:1">
      <c r="A32">
        <f>IF(ISBLANK(B32), "","CountryGroup-31")</f>
        <v>0</v>
      </c>
    </row>
    <row r="33" spans="1:1">
      <c r="A33">
        <f>IF(ISBLANK(B33), "","CountryGroup-32")</f>
        <v>0</v>
      </c>
    </row>
    <row r="34" spans="1:1">
      <c r="A34">
        <f>IF(ISBLANK(B34), "","CountryGroup-33")</f>
        <v>0</v>
      </c>
    </row>
    <row r="35" spans="1:1">
      <c r="A35">
        <f>IF(ISBLANK(B35), "","CountryGroup-34")</f>
        <v>0</v>
      </c>
    </row>
    <row r="36" spans="1:1">
      <c r="A36">
        <f>IF(ISBLANK(B36), "","CountryGroup-35")</f>
        <v>0</v>
      </c>
    </row>
    <row r="37" spans="1:1">
      <c r="A37">
        <f>IF(ISBLANK(B37), "","CountryGroup-36")</f>
        <v>0</v>
      </c>
    </row>
    <row r="38" spans="1:1">
      <c r="A38">
        <f>IF(ISBLANK(B38), "","CountryGroup-37")</f>
        <v>0</v>
      </c>
    </row>
    <row r="39" spans="1:1">
      <c r="A39">
        <f>IF(ISBLANK(B39), "","CountryGroup-38")</f>
        <v>0</v>
      </c>
    </row>
    <row r="40" spans="1:1">
      <c r="A40">
        <f>IF(ISBLANK(B40), "","CountryGroup-39")</f>
        <v>0</v>
      </c>
    </row>
    <row r="41" spans="1:1">
      <c r="A41">
        <f>IF(ISBLANK(B41), "","CountryGroup-40")</f>
        <v>0</v>
      </c>
    </row>
    <row r="42" spans="1:1">
      <c r="A42">
        <f>IF(ISBLANK(B42), "","CountryGroup-41")</f>
        <v>0</v>
      </c>
    </row>
    <row r="43" spans="1:1">
      <c r="A43">
        <f>IF(ISBLANK(B43), "","CountryGroup-42")</f>
        <v>0</v>
      </c>
    </row>
    <row r="44" spans="1:1">
      <c r="A44">
        <f>IF(ISBLANK(B44), "","CountryGroup-43")</f>
        <v>0</v>
      </c>
    </row>
    <row r="45" spans="1:1">
      <c r="A45">
        <f>IF(ISBLANK(B45), "","CountryGroup-44")</f>
        <v>0</v>
      </c>
    </row>
    <row r="46" spans="1:1">
      <c r="A46">
        <f>IF(ISBLANK(B46), "","CountryGroup-45")</f>
        <v>0</v>
      </c>
    </row>
    <row r="47" spans="1:1">
      <c r="A47">
        <f>IF(ISBLANK(B47), "","CountryGroup-46")</f>
        <v>0</v>
      </c>
    </row>
    <row r="48" spans="1:1">
      <c r="A48">
        <f>IF(ISBLANK(B48), "","CountryGroup-47")</f>
        <v>0</v>
      </c>
    </row>
    <row r="49" spans="1:1">
      <c r="A49">
        <f>IF(ISBLANK(B49), "","CountryGroup-48")</f>
        <v>0</v>
      </c>
    </row>
    <row r="50" spans="1:1">
      <c r="A50">
        <f>IF(ISBLANK(B50), "","CountryGroup-49")</f>
        <v>0</v>
      </c>
    </row>
    <row r="51" spans="1:1">
      <c r="A51">
        <f>IF(ISBLANK(B51), "","CountryGroup-50")</f>
        <v>0</v>
      </c>
    </row>
    <row r="52" spans="1:1">
      <c r="A52">
        <f>IF(ISBLANK(B52), "","CountryGroup-51")</f>
        <v>0</v>
      </c>
    </row>
    <row r="53" spans="1:1">
      <c r="A53">
        <f>IF(ISBLANK(B53), "","CountryGroup-52")</f>
        <v>0</v>
      </c>
    </row>
    <row r="54" spans="1:1">
      <c r="A54">
        <f>IF(ISBLANK(B54), "","CountryGroup-53")</f>
        <v>0</v>
      </c>
    </row>
    <row r="55" spans="1:1">
      <c r="A55">
        <f>IF(ISBLANK(B55), "","CountryGroup-54")</f>
        <v>0</v>
      </c>
    </row>
    <row r="56" spans="1:1">
      <c r="A56">
        <f>IF(ISBLANK(B56), "","CountryGroup-55")</f>
        <v>0</v>
      </c>
    </row>
    <row r="57" spans="1:1">
      <c r="A57">
        <f>IF(ISBLANK(B57), "","CountryGroup-56")</f>
        <v>0</v>
      </c>
    </row>
    <row r="58" spans="1:1">
      <c r="A58">
        <f>IF(ISBLANK(B58), "","CountryGroup-57")</f>
        <v>0</v>
      </c>
    </row>
    <row r="59" spans="1:1">
      <c r="A59">
        <f>IF(ISBLANK(B59), "","CountryGroup-58")</f>
        <v>0</v>
      </c>
    </row>
    <row r="60" spans="1:1">
      <c r="A60">
        <f>IF(ISBLANK(B60), "","CountryGroup-59")</f>
        <v>0</v>
      </c>
    </row>
    <row r="61" spans="1:1">
      <c r="A61">
        <f>IF(ISBLANK(B61), "","CountryGroup-60")</f>
        <v>0</v>
      </c>
    </row>
    <row r="62" spans="1:1">
      <c r="A62">
        <f>IF(ISBLANK(B62), "","CountryGroup-61")</f>
        <v>0</v>
      </c>
    </row>
    <row r="63" spans="1:1">
      <c r="A63">
        <f>IF(ISBLANK(B63), "","CountryGroup-62")</f>
        <v>0</v>
      </c>
    </row>
    <row r="64" spans="1:1">
      <c r="A64">
        <f>IF(ISBLANK(B64), "","CountryGroup-63")</f>
        <v>0</v>
      </c>
    </row>
    <row r="65" spans="1:1">
      <c r="A65">
        <f>IF(ISBLANK(B65), "","CountryGroup-64")</f>
        <v>0</v>
      </c>
    </row>
    <row r="66" spans="1:1">
      <c r="A66">
        <f>IF(ISBLANK(B66), "","CountryGroup-65")</f>
        <v>0</v>
      </c>
    </row>
    <row r="67" spans="1:1">
      <c r="A67">
        <f>IF(ISBLANK(B67), "","CountryGroup-66")</f>
        <v>0</v>
      </c>
    </row>
    <row r="68" spans="1:1">
      <c r="A68">
        <f>IF(ISBLANK(B68), "","CountryGroup-67")</f>
        <v>0</v>
      </c>
    </row>
    <row r="69" spans="1:1">
      <c r="A69">
        <f>IF(ISBLANK(B69), "","CountryGroup-68")</f>
        <v>0</v>
      </c>
    </row>
    <row r="70" spans="1:1">
      <c r="A70">
        <f>IF(ISBLANK(B70), "","CountryGroup-69")</f>
        <v>0</v>
      </c>
    </row>
    <row r="71" spans="1:1">
      <c r="A71">
        <f>IF(ISBLANK(B71), "","CountryGroup-70")</f>
        <v>0</v>
      </c>
    </row>
    <row r="72" spans="1:1">
      <c r="A72">
        <f>IF(ISBLANK(B72), "","CountryGroup-71")</f>
        <v>0</v>
      </c>
    </row>
    <row r="73" spans="1:1">
      <c r="A73">
        <f>IF(ISBLANK(B73), "","CountryGroup-72")</f>
        <v>0</v>
      </c>
    </row>
    <row r="74" spans="1:1">
      <c r="A74">
        <f>IF(ISBLANK(B74), "","CountryGroup-73")</f>
        <v>0</v>
      </c>
    </row>
    <row r="75" spans="1:1">
      <c r="A75">
        <f>IF(ISBLANK(B75), "","CountryGroup-74")</f>
        <v>0</v>
      </c>
    </row>
    <row r="76" spans="1:1">
      <c r="A76">
        <f>IF(ISBLANK(B76), "","CountryGroup-75")</f>
        <v>0</v>
      </c>
    </row>
    <row r="77" spans="1:1">
      <c r="A77">
        <f>IF(ISBLANK(B77), "","CountryGroup-76")</f>
        <v>0</v>
      </c>
    </row>
    <row r="78" spans="1:1">
      <c r="A78">
        <f>IF(ISBLANK(B78), "","CountryGroup-77")</f>
        <v>0</v>
      </c>
    </row>
    <row r="79" spans="1:1">
      <c r="A79">
        <f>IF(ISBLANK(B79), "","CountryGroup-78")</f>
        <v>0</v>
      </c>
    </row>
    <row r="80" spans="1:1">
      <c r="A80">
        <f>IF(ISBLANK(B80), "","CountryGroup-79")</f>
        <v>0</v>
      </c>
    </row>
    <row r="81" spans="1:1">
      <c r="A81">
        <f>IF(ISBLANK(B81), "","CountryGroup-80")</f>
        <v>0</v>
      </c>
    </row>
    <row r="82" spans="1:1">
      <c r="A82">
        <f>IF(ISBLANK(B82), "","CountryGroup-81")</f>
        <v>0</v>
      </c>
    </row>
    <row r="83" spans="1:1">
      <c r="A83">
        <f>IF(ISBLANK(B83), "","CountryGroup-82")</f>
        <v>0</v>
      </c>
    </row>
    <row r="84" spans="1:1">
      <c r="A84">
        <f>IF(ISBLANK(B84), "","CountryGroup-83")</f>
        <v>0</v>
      </c>
    </row>
    <row r="85" spans="1:1">
      <c r="A85">
        <f>IF(ISBLANK(B85), "","CountryGroup-84")</f>
        <v>0</v>
      </c>
    </row>
    <row r="86" spans="1:1">
      <c r="A86">
        <f>IF(ISBLANK(B86), "","CountryGroup-85")</f>
        <v>0</v>
      </c>
    </row>
    <row r="87" spans="1:1">
      <c r="A87">
        <f>IF(ISBLANK(B87), "","CountryGroup-86")</f>
        <v>0</v>
      </c>
    </row>
    <row r="88" spans="1:1">
      <c r="A88">
        <f>IF(ISBLANK(B88), "","CountryGroup-87")</f>
        <v>0</v>
      </c>
    </row>
    <row r="89" spans="1:1">
      <c r="A89">
        <f>IF(ISBLANK(B89), "","CountryGroup-88")</f>
        <v>0</v>
      </c>
    </row>
    <row r="90" spans="1:1">
      <c r="A90">
        <f>IF(ISBLANK(B90), "","CountryGroup-89")</f>
        <v>0</v>
      </c>
    </row>
    <row r="91" spans="1:1">
      <c r="A91">
        <f>IF(ISBLANK(B91), "","CountryGroup-90")</f>
        <v>0</v>
      </c>
    </row>
    <row r="92" spans="1:1">
      <c r="A92">
        <f>IF(ISBLANK(B92), "","CountryGroup-91")</f>
        <v>0</v>
      </c>
    </row>
    <row r="93" spans="1:1">
      <c r="A93">
        <f>IF(ISBLANK(B93), "","CountryGroup-92")</f>
        <v>0</v>
      </c>
    </row>
    <row r="94" spans="1:1">
      <c r="A94">
        <f>IF(ISBLANK(B94), "","CountryGroup-93")</f>
        <v>0</v>
      </c>
    </row>
    <row r="95" spans="1:1">
      <c r="A95">
        <f>IF(ISBLANK(B95), "","CountryGroup-94")</f>
        <v>0</v>
      </c>
    </row>
    <row r="96" spans="1:1">
      <c r="A96">
        <f>IF(ISBLANK(B96), "","CountryGroup-95")</f>
        <v>0</v>
      </c>
    </row>
    <row r="97" spans="1:1">
      <c r="A97">
        <f>IF(ISBLANK(B97), "","CountryGroup-96")</f>
        <v>0</v>
      </c>
    </row>
    <row r="98" spans="1:1">
      <c r="A98">
        <f>IF(ISBLANK(B98), "","CountryGroup-97")</f>
        <v>0</v>
      </c>
    </row>
    <row r="99" spans="1:1">
      <c r="A99">
        <f>IF(ISBLANK(B99), "","CountryGroup-98")</f>
        <v>0</v>
      </c>
    </row>
    <row r="100" spans="1:1">
      <c r="A100">
        <f>IF(ISBLANK(B100), "","CountryGroup-99")</f>
        <v>0</v>
      </c>
    </row>
    <row r="101" spans="1:1">
      <c r="A101">
        <f>IF(ISBLANK(B101), "","CountryGroup-100")</f>
        <v>0</v>
      </c>
    </row>
    <row r="102" spans="1:1">
      <c r="A102">
        <f>IF(ISBLANK(B102), "","CountryGroup-101")</f>
        <v>0</v>
      </c>
    </row>
    <row r="103" spans="1:1">
      <c r="A103">
        <f>IF(ISBLANK(B103), "","CountryGroup-102")</f>
        <v>0</v>
      </c>
    </row>
    <row r="104" spans="1:1">
      <c r="A104">
        <f>IF(ISBLANK(B104), "","CountryGroup-103")</f>
        <v>0</v>
      </c>
    </row>
    <row r="105" spans="1:1">
      <c r="A105">
        <f>IF(ISBLANK(B105), "","CountryGroup-104")</f>
        <v>0</v>
      </c>
    </row>
    <row r="106" spans="1:1">
      <c r="A106">
        <f>IF(ISBLANK(B106), "","CountryGroup-105")</f>
        <v>0</v>
      </c>
    </row>
    <row r="107" spans="1:1">
      <c r="A107">
        <f>IF(ISBLANK(B107), "","CountryGroup-106")</f>
        <v>0</v>
      </c>
    </row>
    <row r="108" spans="1:1">
      <c r="A108">
        <f>IF(ISBLANK(B108), "","CountryGroup-107")</f>
        <v>0</v>
      </c>
    </row>
    <row r="109" spans="1:1">
      <c r="A109">
        <f>IF(ISBLANK(B109), "","CountryGroup-108")</f>
        <v>0</v>
      </c>
    </row>
    <row r="110" spans="1:1">
      <c r="A110">
        <f>IF(ISBLANK(B110), "","CountryGroup-109")</f>
        <v>0</v>
      </c>
    </row>
    <row r="111" spans="1:1">
      <c r="A111">
        <f>IF(ISBLANK(B111), "","CountryGroup-110")</f>
        <v>0</v>
      </c>
    </row>
    <row r="112" spans="1:1">
      <c r="A112">
        <f>IF(ISBLANK(B112), "","CountryGroup-111")</f>
        <v>0</v>
      </c>
    </row>
    <row r="113" spans="1:1">
      <c r="A113">
        <f>IF(ISBLANK(B113), "","CountryGroup-112")</f>
        <v>0</v>
      </c>
    </row>
    <row r="114" spans="1:1">
      <c r="A114">
        <f>IF(ISBLANK(B114), "","CountryGroup-113")</f>
        <v>0</v>
      </c>
    </row>
    <row r="115" spans="1:1">
      <c r="A115">
        <f>IF(ISBLANK(B115), "","CountryGroup-114")</f>
        <v>0</v>
      </c>
    </row>
    <row r="116" spans="1:1">
      <c r="A116">
        <f>IF(ISBLANK(B116), "","CountryGroup-115")</f>
        <v>0</v>
      </c>
    </row>
    <row r="117" spans="1:1">
      <c r="A117">
        <f>IF(ISBLANK(B117), "","CountryGroup-116")</f>
        <v>0</v>
      </c>
    </row>
    <row r="118" spans="1:1">
      <c r="A118">
        <f>IF(ISBLANK(B118), "","CountryGroup-117")</f>
        <v>0</v>
      </c>
    </row>
    <row r="119" spans="1:1">
      <c r="A119">
        <f>IF(ISBLANK(B119), "","CountryGroup-118")</f>
        <v>0</v>
      </c>
    </row>
    <row r="120" spans="1:1">
      <c r="A120">
        <f>IF(ISBLANK(B120), "","CountryGroup-119")</f>
        <v>0</v>
      </c>
    </row>
    <row r="121" spans="1:1">
      <c r="A121">
        <f>IF(ISBLANK(B121), "","CountryGroup-120")</f>
        <v>0</v>
      </c>
    </row>
    <row r="122" spans="1:1">
      <c r="A122">
        <f>IF(ISBLANK(B122), "","CountryGroup-121")</f>
        <v>0</v>
      </c>
    </row>
    <row r="123" spans="1:1">
      <c r="A123">
        <f>IF(ISBLANK(B123), "","CountryGroup-122")</f>
        <v>0</v>
      </c>
    </row>
    <row r="124" spans="1:1">
      <c r="A124">
        <f>IF(ISBLANK(B124), "","CountryGroup-123")</f>
        <v>0</v>
      </c>
    </row>
    <row r="125" spans="1:1">
      <c r="A125">
        <f>IF(ISBLANK(B125), "","CountryGroup-124")</f>
        <v>0</v>
      </c>
    </row>
    <row r="126" spans="1:1">
      <c r="A126">
        <f>IF(ISBLANK(B126), "","CountryGroup-125")</f>
        <v>0</v>
      </c>
    </row>
    <row r="127" spans="1:1">
      <c r="A127">
        <f>IF(ISBLANK(B127), "","CountryGroup-126")</f>
        <v>0</v>
      </c>
    </row>
    <row r="128" spans="1:1">
      <c r="A128">
        <f>IF(ISBLANK(B128), "","CountryGroup-127")</f>
        <v>0</v>
      </c>
    </row>
    <row r="129" spans="1:1">
      <c r="A129">
        <f>IF(ISBLANK(B129), "","CountryGroup-128")</f>
        <v>0</v>
      </c>
    </row>
    <row r="130" spans="1:1">
      <c r="A130">
        <f>IF(ISBLANK(B130), "","CountryGroup-129")</f>
        <v>0</v>
      </c>
    </row>
    <row r="131" spans="1:1">
      <c r="A131">
        <f>IF(ISBLANK(B131), "","CountryGroup-130")</f>
        <v>0</v>
      </c>
    </row>
    <row r="132" spans="1:1">
      <c r="A132">
        <f>IF(ISBLANK(B132), "","CountryGroup-131")</f>
        <v>0</v>
      </c>
    </row>
    <row r="133" spans="1:1">
      <c r="A133">
        <f>IF(ISBLANK(B133), "","CountryGroup-132")</f>
        <v>0</v>
      </c>
    </row>
    <row r="134" spans="1:1">
      <c r="A134">
        <f>IF(ISBLANK(B134), "","CountryGroup-133")</f>
        <v>0</v>
      </c>
    </row>
    <row r="135" spans="1:1">
      <c r="A135">
        <f>IF(ISBLANK(B135), "","CountryGroup-134")</f>
        <v>0</v>
      </c>
    </row>
    <row r="136" spans="1:1">
      <c r="A136">
        <f>IF(ISBLANK(B136), "","CountryGroup-135")</f>
        <v>0</v>
      </c>
    </row>
    <row r="137" spans="1:1">
      <c r="A137">
        <f>IF(ISBLANK(B137), "","CountryGroup-136")</f>
        <v>0</v>
      </c>
    </row>
    <row r="138" spans="1:1">
      <c r="A138">
        <f>IF(ISBLANK(B138), "","CountryGroup-137")</f>
        <v>0</v>
      </c>
    </row>
    <row r="139" spans="1:1">
      <c r="A139">
        <f>IF(ISBLANK(B139), "","CountryGroup-138")</f>
        <v>0</v>
      </c>
    </row>
    <row r="140" spans="1:1">
      <c r="A140">
        <f>IF(ISBLANK(B140), "","CountryGroup-139")</f>
        <v>0</v>
      </c>
    </row>
    <row r="141" spans="1:1">
      <c r="A141">
        <f>IF(ISBLANK(B141), "","CountryGroup-140")</f>
        <v>0</v>
      </c>
    </row>
    <row r="142" spans="1:1">
      <c r="A142">
        <f>IF(ISBLANK(B142), "","CountryGroup-141")</f>
        <v>0</v>
      </c>
    </row>
    <row r="143" spans="1:1">
      <c r="A143">
        <f>IF(ISBLANK(B143), "","CountryGroup-142")</f>
        <v>0</v>
      </c>
    </row>
    <row r="144" spans="1:1">
      <c r="A144">
        <f>IF(ISBLANK(B144), "","CountryGroup-143")</f>
        <v>0</v>
      </c>
    </row>
    <row r="145" spans="1:1">
      <c r="A145">
        <f>IF(ISBLANK(B145), "","CountryGroup-144")</f>
        <v>0</v>
      </c>
    </row>
    <row r="146" spans="1:1">
      <c r="A146">
        <f>IF(ISBLANK(B146), "","CountryGroup-145")</f>
        <v>0</v>
      </c>
    </row>
    <row r="147" spans="1:1">
      <c r="A147">
        <f>IF(ISBLANK(B147), "","CountryGroup-146")</f>
        <v>0</v>
      </c>
    </row>
    <row r="148" spans="1:1">
      <c r="A148">
        <f>IF(ISBLANK(B148), "","CountryGroup-147")</f>
        <v>0</v>
      </c>
    </row>
    <row r="149" spans="1:1">
      <c r="A149">
        <f>IF(ISBLANK(B149), "","CountryGroup-148")</f>
        <v>0</v>
      </c>
    </row>
    <row r="150" spans="1:1">
      <c r="A150">
        <f>IF(ISBLANK(B150), "","CountryGroup-149")</f>
        <v>0</v>
      </c>
    </row>
    <row r="151" spans="1:1">
      <c r="A151">
        <f>IF(ISBLANK(B151), "","CountryGroup-150")</f>
        <v>0</v>
      </c>
    </row>
    <row r="152" spans="1:1">
      <c r="A152">
        <f>IF(ISBLANK(B152), "","CountryGroup-151")</f>
        <v>0</v>
      </c>
    </row>
    <row r="153" spans="1:1">
      <c r="A153">
        <f>IF(ISBLANK(B153), "","CountryGroup-152")</f>
        <v>0</v>
      </c>
    </row>
    <row r="154" spans="1:1">
      <c r="A154">
        <f>IF(ISBLANK(B154), "","CountryGroup-153")</f>
        <v>0</v>
      </c>
    </row>
    <row r="155" spans="1:1">
      <c r="A155">
        <f>IF(ISBLANK(B155), "","CountryGroup-154")</f>
        <v>0</v>
      </c>
    </row>
    <row r="156" spans="1:1">
      <c r="A156">
        <f>IF(ISBLANK(B156), "","CountryGroup-155")</f>
        <v>0</v>
      </c>
    </row>
    <row r="157" spans="1:1">
      <c r="A157">
        <f>IF(ISBLANK(B157), "","CountryGroup-156")</f>
        <v>0</v>
      </c>
    </row>
    <row r="158" spans="1:1">
      <c r="A158">
        <f>IF(ISBLANK(B158), "","CountryGroup-157")</f>
        <v>0</v>
      </c>
    </row>
    <row r="159" spans="1:1">
      <c r="A159">
        <f>IF(ISBLANK(B159), "","CountryGroup-158")</f>
        <v>0</v>
      </c>
    </row>
    <row r="160" spans="1:1">
      <c r="A160">
        <f>IF(ISBLANK(B160), "","CountryGroup-159")</f>
        <v>0</v>
      </c>
    </row>
    <row r="161" spans="1:1">
      <c r="A161">
        <f>IF(ISBLANK(B161), "","CountryGroup-160")</f>
        <v>0</v>
      </c>
    </row>
    <row r="162" spans="1:1">
      <c r="A162">
        <f>IF(ISBLANK(B162), "","CountryGroup-161")</f>
        <v>0</v>
      </c>
    </row>
    <row r="163" spans="1:1">
      <c r="A163">
        <f>IF(ISBLANK(B163), "","CountryGroup-162")</f>
        <v>0</v>
      </c>
    </row>
    <row r="164" spans="1:1">
      <c r="A164">
        <f>IF(ISBLANK(B164), "","CountryGroup-163")</f>
        <v>0</v>
      </c>
    </row>
    <row r="165" spans="1:1">
      <c r="A165">
        <f>IF(ISBLANK(B165), "","CountryGroup-164")</f>
        <v>0</v>
      </c>
    </row>
    <row r="166" spans="1:1">
      <c r="A166">
        <f>IF(ISBLANK(B166), "","CountryGroup-165")</f>
        <v>0</v>
      </c>
    </row>
    <row r="167" spans="1:1">
      <c r="A167">
        <f>IF(ISBLANK(B167), "","CountryGroup-166")</f>
        <v>0</v>
      </c>
    </row>
    <row r="168" spans="1:1">
      <c r="A168">
        <f>IF(ISBLANK(B168), "","CountryGroup-167")</f>
        <v>0</v>
      </c>
    </row>
    <row r="169" spans="1:1">
      <c r="A169">
        <f>IF(ISBLANK(B169), "","CountryGroup-168")</f>
        <v>0</v>
      </c>
    </row>
    <row r="170" spans="1:1">
      <c r="A170">
        <f>IF(ISBLANK(B170), "","CountryGroup-169")</f>
        <v>0</v>
      </c>
    </row>
    <row r="171" spans="1:1">
      <c r="A171">
        <f>IF(ISBLANK(B171), "","CountryGroup-170")</f>
        <v>0</v>
      </c>
    </row>
    <row r="172" spans="1:1">
      <c r="A172">
        <f>IF(ISBLANK(B172), "","CountryGroup-171")</f>
        <v>0</v>
      </c>
    </row>
    <row r="173" spans="1:1">
      <c r="A173">
        <f>IF(ISBLANK(B173), "","CountryGroup-172")</f>
        <v>0</v>
      </c>
    </row>
    <row r="174" spans="1:1">
      <c r="A174">
        <f>IF(ISBLANK(B174), "","CountryGroup-173")</f>
        <v>0</v>
      </c>
    </row>
    <row r="175" spans="1:1">
      <c r="A175">
        <f>IF(ISBLANK(B175), "","CountryGroup-174")</f>
        <v>0</v>
      </c>
    </row>
    <row r="176" spans="1:1">
      <c r="A176">
        <f>IF(ISBLANK(B176), "","CountryGroup-175")</f>
        <v>0</v>
      </c>
    </row>
    <row r="177" spans="1:1">
      <c r="A177">
        <f>IF(ISBLANK(B177), "","CountryGroup-176")</f>
        <v>0</v>
      </c>
    </row>
    <row r="178" spans="1:1">
      <c r="A178">
        <f>IF(ISBLANK(B178), "","CountryGroup-177")</f>
        <v>0</v>
      </c>
    </row>
    <row r="179" spans="1:1">
      <c r="A179">
        <f>IF(ISBLANK(B179), "","CountryGroup-178")</f>
        <v>0</v>
      </c>
    </row>
    <row r="180" spans="1:1">
      <c r="A180">
        <f>IF(ISBLANK(B180), "","CountryGroup-179")</f>
        <v>0</v>
      </c>
    </row>
    <row r="181" spans="1:1">
      <c r="A181">
        <f>IF(ISBLANK(B181), "","CountryGroup-180")</f>
        <v>0</v>
      </c>
    </row>
    <row r="182" spans="1:1">
      <c r="A182">
        <f>IF(ISBLANK(B182), "","CountryGroup-181")</f>
        <v>0</v>
      </c>
    </row>
    <row r="183" spans="1:1">
      <c r="A183">
        <f>IF(ISBLANK(B183), "","CountryGroup-182")</f>
        <v>0</v>
      </c>
    </row>
    <row r="184" spans="1:1">
      <c r="A184">
        <f>IF(ISBLANK(B184), "","CountryGroup-183")</f>
        <v>0</v>
      </c>
    </row>
    <row r="185" spans="1:1">
      <c r="A185">
        <f>IF(ISBLANK(B185), "","CountryGroup-184")</f>
        <v>0</v>
      </c>
    </row>
    <row r="186" spans="1:1">
      <c r="A186">
        <f>IF(ISBLANK(B186), "","CountryGroup-185")</f>
        <v>0</v>
      </c>
    </row>
    <row r="187" spans="1:1">
      <c r="A187">
        <f>IF(ISBLANK(B187), "","CountryGroup-186")</f>
        <v>0</v>
      </c>
    </row>
    <row r="188" spans="1:1">
      <c r="A188">
        <f>IF(ISBLANK(B188), "","CountryGroup-187")</f>
        <v>0</v>
      </c>
    </row>
    <row r="189" spans="1:1">
      <c r="A189">
        <f>IF(ISBLANK(B189), "","CountryGroup-188")</f>
        <v>0</v>
      </c>
    </row>
    <row r="190" spans="1:1">
      <c r="A190">
        <f>IF(ISBLANK(B190), "","CountryGroup-189")</f>
        <v>0</v>
      </c>
    </row>
    <row r="191" spans="1:1">
      <c r="A191">
        <f>IF(ISBLANK(B191), "","CountryGroup-190")</f>
        <v>0</v>
      </c>
    </row>
    <row r="192" spans="1:1">
      <c r="A192">
        <f>IF(ISBLANK(B192), "","CountryGroup-191")</f>
        <v>0</v>
      </c>
    </row>
    <row r="193" spans="1:1">
      <c r="A193">
        <f>IF(ISBLANK(B193), "","CountryGroup-192")</f>
        <v>0</v>
      </c>
    </row>
    <row r="194" spans="1:1">
      <c r="A194">
        <f>IF(ISBLANK(B194), "","CountryGroup-193")</f>
        <v>0</v>
      </c>
    </row>
    <row r="195" spans="1:1">
      <c r="A195">
        <f>IF(ISBLANK(B195), "","CountryGroup-194")</f>
        <v>0</v>
      </c>
    </row>
    <row r="196" spans="1:1">
      <c r="A196">
        <f>IF(ISBLANK(B196), "","CountryGroup-195")</f>
        <v>0</v>
      </c>
    </row>
    <row r="197" spans="1:1">
      <c r="A197">
        <f>IF(ISBLANK(B197), "","CountryGroup-196")</f>
        <v>0</v>
      </c>
    </row>
    <row r="198" spans="1:1">
      <c r="A198">
        <f>IF(ISBLANK(B198), "","CountryGroup-197")</f>
        <v>0</v>
      </c>
    </row>
    <row r="199" spans="1:1">
      <c r="A199">
        <f>IF(ISBLANK(B199), "","CountryGroup-198")</f>
        <v>0</v>
      </c>
    </row>
    <row r="200" spans="1:1">
      <c r="A200">
        <f>IF(ISBLANK(B200), "","CountryGroup-199")</f>
        <v>0</v>
      </c>
    </row>
    <row r="201" spans="1:1">
      <c r="A201">
        <f>IF(ISBLANK(B201), "","CountryGroup-200")</f>
        <v>0</v>
      </c>
    </row>
    <row r="202" spans="1:1">
      <c r="A202">
        <f>IF(ISBLANK(B202), "","CountryGroup-201")</f>
        <v>0</v>
      </c>
    </row>
    <row r="203" spans="1:1">
      <c r="A203">
        <f>IF(ISBLANK(B203), "","CountryGroup-202")</f>
        <v>0</v>
      </c>
    </row>
    <row r="204" spans="1:1">
      <c r="A204">
        <f>IF(ISBLANK(B204), "","CountryGroup-203")</f>
        <v>0</v>
      </c>
    </row>
    <row r="205" spans="1:1">
      <c r="A205">
        <f>IF(ISBLANK(B205), "","CountryGroup-204")</f>
        <v>0</v>
      </c>
    </row>
    <row r="206" spans="1:1">
      <c r="A206">
        <f>IF(ISBLANK(B206), "","CountryGroup-205")</f>
        <v>0</v>
      </c>
    </row>
    <row r="207" spans="1:1">
      <c r="A207">
        <f>IF(ISBLANK(B207), "","CountryGroup-206")</f>
        <v>0</v>
      </c>
    </row>
    <row r="208" spans="1:1">
      <c r="A208">
        <f>IF(ISBLANK(B208), "","CountryGroup-207")</f>
        <v>0</v>
      </c>
    </row>
    <row r="209" spans="1:1">
      <c r="A209">
        <f>IF(ISBLANK(B209), "","CountryGroup-208")</f>
        <v>0</v>
      </c>
    </row>
    <row r="210" spans="1:1">
      <c r="A210">
        <f>IF(ISBLANK(B210), "","CountryGroup-209")</f>
        <v>0</v>
      </c>
    </row>
    <row r="211" spans="1:1">
      <c r="A211">
        <f>IF(ISBLANK(B211), "","CountryGroup-210")</f>
        <v>0</v>
      </c>
    </row>
    <row r="212" spans="1:1">
      <c r="A212">
        <f>IF(ISBLANK(B212), "","CountryGroup-211")</f>
        <v>0</v>
      </c>
    </row>
    <row r="213" spans="1:1">
      <c r="A213">
        <f>IF(ISBLANK(B213), "","CountryGroup-212")</f>
        <v>0</v>
      </c>
    </row>
    <row r="214" spans="1:1">
      <c r="A214">
        <f>IF(ISBLANK(B214), "","CountryGroup-213")</f>
        <v>0</v>
      </c>
    </row>
    <row r="215" spans="1:1">
      <c r="A215">
        <f>IF(ISBLANK(B215), "","CountryGroup-214")</f>
        <v>0</v>
      </c>
    </row>
    <row r="216" spans="1:1">
      <c r="A216">
        <f>IF(ISBLANK(B216), "","CountryGroup-215")</f>
        <v>0</v>
      </c>
    </row>
    <row r="217" spans="1:1">
      <c r="A217">
        <f>IF(ISBLANK(B217), "","CountryGroup-216")</f>
        <v>0</v>
      </c>
    </row>
    <row r="218" spans="1:1">
      <c r="A218">
        <f>IF(ISBLANK(B218), "","CountryGroup-217")</f>
        <v>0</v>
      </c>
    </row>
    <row r="219" spans="1:1">
      <c r="A219">
        <f>IF(ISBLANK(B219), "","CountryGroup-218")</f>
        <v>0</v>
      </c>
    </row>
    <row r="220" spans="1:1">
      <c r="A220">
        <f>IF(ISBLANK(B220), "","CountryGroup-219")</f>
        <v>0</v>
      </c>
    </row>
    <row r="221" spans="1:1">
      <c r="A221">
        <f>IF(ISBLANK(B221), "","CountryGroup-220")</f>
        <v>0</v>
      </c>
    </row>
    <row r="222" spans="1:1">
      <c r="A222">
        <f>IF(ISBLANK(B222), "","CountryGroup-221")</f>
        <v>0</v>
      </c>
    </row>
    <row r="223" spans="1:1">
      <c r="A223">
        <f>IF(ISBLANK(B223), "","CountryGroup-222")</f>
        <v>0</v>
      </c>
    </row>
    <row r="224" spans="1:1">
      <c r="A224">
        <f>IF(ISBLANK(B224), "","CountryGroup-223")</f>
        <v>0</v>
      </c>
    </row>
    <row r="225" spans="1:1">
      <c r="A225">
        <f>IF(ISBLANK(B225), "","CountryGroup-224")</f>
        <v>0</v>
      </c>
    </row>
    <row r="226" spans="1:1">
      <c r="A226">
        <f>IF(ISBLANK(B226), "","CountryGroup-225")</f>
        <v>0</v>
      </c>
    </row>
    <row r="227" spans="1:1">
      <c r="A227">
        <f>IF(ISBLANK(B227), "","CountryGroup-226")</f>
        <v>0</v>
      </c>
    </row>
    <row r="228" spans="1:1">
      <c r="A228">
        <f>IF(ISBLANK(B228), "","CountryGroup-227")</f>
        <v>0</v>
      </c>
    </row>
    <row r="229" spans="1:1">
      <c r="A229">
        <f>IF(ISBLANK(B229), "","CountryGroup-228")</f>
        <v>0</v>
      </c>
    </row>
    <row r="230" spans="1:1">
      <c r="A230">
        <f>IF(ISBLANK(B230), "","CountryGroup-229")</f>
        <v>0</v>
      </c>
    </row>
    <row r="231" spans="1:1">
      <c r="A231">
        <f>IF(ISBLANK(B231), "","CountryGroup-230")</f>
        <v>0</v>
      </c>
    </row>
    <row r="232" spans="1:1">
      <c r="A232">
        <f>IF(ISBLANK(B232), "","CountryGroup-231")</f>
        <v>0</v>
      </c>
    </row>
    <row r="233" spans="1:1">
      <c r="A233">
        <f>IF(ISBLANK(B233), "","CountryGroup-232")</f>
        <v>0</v>
      </c>
    </row>
    <row r="234" spans="1:1">
      <c r="A234">
        <f>IF(ISBLANK(B234), "","CountryGroup-233")</f>
        <v>0</v>
      </c>
    </row>
    <row r="235" spans="1:1">
      <c r="A235">
        <f>IF(ISBLANK(B235), "","CountryGroup-234")</f>
        <v>0</v>
      </c>
    </row>
    <row r="236" spans="1:1">
      <c r="A236">
        <f>IF(ISBLANK(B236), "","CountryGroup-235")</f>
        <v>0</v>
      </c>
    </row>
    <row r="237" spans="1:1">
      <c r="A237">
        <f>IF(ISBLANK(B237), "","CountryGroup-236")</f>
        <v>0</v>
      </c>
    </row>
    <row r="238" spans="1:1">
      <c r="A238">
        <f>IF(ISBLANK(B238), "","CountryGroup-237")</f>
        <v>0</v>
      </c>
    </row>
    <row r="239" spans="1:1">
      <c r="A239">
        <f>IF(ISBLANK(B239), "","CountryGroup-238")</f>
        <v>0</v>
      </c>
    </row>
    <row r="240" spans="1:1">
      <c r="A240">
        <f>IF(ISBLANK(B240), "","CountryGroup-239")</f>
        <v>0</v>
      </c>
    </row>
    <row r="241" spans="1:1">
      <c r="A241">
        <f>IF(ISBLANK(B241), "","CountryGroup-240")</f>
        <v>0</v>
      </c>
    </row>
    <row r="242" spans="1:1">
      <c r="A242">
        <f>IF(ISBLANK(B242), "","CountryGroup-241")</f>
        <v>0</v>
      </c>
    </row>
    <row r="243" spans="1:1">
      <c r="A243">
        <f>IF(ISBLANK(B243), "","CountryGroup-242")</f>
        <v>0</v>
      </c>
    </row>
    <row r="244" spans="1:1">
      <c r="A244">
        <f>IF(ISBLANK(B244), "","CountryGroup-243")</f>
        <v>0</v>
      </c>
    </row>
    <row r="245" spans="1:1">
      <c r="A245">
        <f>IF(ISBLANK(B245), "","CountryGroup-244")</f>
        <v>0</v>
      </c>
    </row>
    <row r="246" spans="1:1">
      <c r="A246">
        <f>IF(ISBLANK(B246), "","CountryGroup-245")</f>
        <v>0</v>
      </c>
    </row>
    <row r="247" spans="1:1">
      <c r="A247">
        <f>IF(ISBLANK(B247), "","CountryGroup-246")</f>
        <v>0</v>
      </c>
    </row>
    <row r="248" spans="1:1">
      <c r="A248">
        <f>IF(ISBLANK(B248), "","CountryGroup-247")</f>
        <v>0</v>
      </c>
    </row>
    <row r="249" spans="1:1">
      <c r="A249">
        <f>IF(ISBLANK(B249), "","CountryGroup-248")</f>
        <v>0</v>
      </c>
    </row>
    <row r="250" spans="1:1">
      <c r="A250">
        <f>IF(ISBLANK(B250), "","CountryGroup-249")</f>
        <v>0</v>
      </c>
    </row>
    <row r="251" spans="1:1">
      <c r="A251">
        <f>IF(ISBLANK(B251), "","CountryGroup-250")</f>
        <v>0</v>
      </c>
    </row>
    <row r="252" spans="1:1">
      <c r="A252">
        <f>IF(ISBLANK(B252), "","CountryGroup-251")</f>
        <v>0</v>
      </c>
    </row>
    <row r="253" spans="1:1">
      <c r="A253">
        <f>IF(ISBLANK(B253), "","CountryGroup-252")</f>
        <v>0</v>
      </c>
    </row>
    <row r="254" spans="1:1">
      <c r="A254">
        <f>IF(ISBLANK(B254), "","CountryGroup-253")</f>
        <v>0</v>
      </c>
    </row>
    <row r="255" spans="1:1">
      <c r="A255">
        <f>IF(ISBLANK(B255), "","CountryGroup-254")</f>
        <v>0</v>
      </c>
    </row>
    <row r="256" spans="1:1">
      <c r="A256">
        <f>IF(ISBLANK(B256), "","CountryGroup-255")</f>
        <v>0</v>
      </c>
    </row>
    <row r="257" spans="1:1">
      <c r="A257">
        <f>IF(ISBLANK(B257), "","CountryGroup-256")</f>
        <v>0</v>
      </c>
    </row>
    <row r="258" spans="1:1">
      <c r="A258">
        <f>IF(ISBLANK(B258), "","CountryGroup-257")</f>
        <v>0</v>
      </c>
    </row>
    <row r="259" spans="1:1">
      <c r="A259">
        <f>IF(ISBLANK(B259), "","CountryGroup-258")</f>
        <v>0</v>
      </c>
    </row>
    <row r="260" spans="1:1">
      <c r="A260">
        <f>IF(ISBLANK(B260), "","CountryGroup-259")</f>
        <v>0</v>
      </c>
    </row>
    <row r="261" spans="1:1">
      <c r="A261">
        <f>IF(ISBLANK(B261), "","CountryGroup-260")</f>
        <v>0</v>
      </c>
    </row>
    <row r="262" spans="1:1">
      <c r="A262">
        <f>IF(ISBLANK(B262), "","CountryGroup-261")</f>
        <v>0</v>
      </c>
    </row>
    <row r="263" spans="1:1">
      <c r="A263">
        <f>IF(ISBLANK(B263), "","CountryGroup-262")</f>
        <v>0</v>
      </c>
    </row>
    <row r="264" spans="1:1">
      <c r="A264">
        <f>IF(ISBLANK(B264), "","CountryGroup-263")</f>
        <v>0</v>
      </c>
    </row>
    <row r="265" spans="1:1">
      <c r="A265">
        <f>IF(ISBLANK(B265), "","CountryGroup-264")</f>
        <v>0</v>
      </c>
    </row>
    <row r="266" spans="1:1">
      <c r="A266">
        <f>IF(ISBLANK(B266), "","CountryGroup-265")</f>
        <v>0</v>
      </c>
    </row>
    <row r="267" spans="1:1">
      <c r="A267">
        <f>IF(ISBLANK(B267), "","CountryGroup-266")</f>
        <v>0</v>
      </c>
    </row>
    <row r="268" spans="1:1">
      <c r="A268">
        <f>IF(ISBLANK(B268), "","CountryGroup-267")</f>
        <v>0</v>
      </c>
    </row>
    <row r="269" spans="1:1">
      <c r="A269">
        <f>IF(ISBLANK(B269), "","CountryGroup-268")</f>
        <v>0</v>
      </c>
    </row>
    <row r="270" spans="1:1">
      <c r="A270">
        <f>IF(ISBLANK(B270), "","CountryGroup-269")</f>
        <v>0</v>
      </c>
    </row>
    <row r="271" spans="1:1">
      <c r="A271">
        <f>IF(ISBLANK(B271), "","CountryGroup-270")</f>
        <v>0</v>
      </c>
    </row>
    <row r="272" spans="1:1">
      <c r="A272">
        <f>IF(ISBLANK(B272), "","CountryGroup-271")</f>
        <v>0</v>
      </c>
    </row>
    <row r="273" spans="1:1">
      <c r="A273">
        <f>IF(ISBLANK(B273), "","CountryGroup-272")</f>
        <v>0</v>
      </c>
    </row>
    <row r="274" spans="1:1">
      <c r="A274">
        <f>IF(ISBLANK(B274), "","CountryGroup-273")</f>
        <v>0</v>
      </c>
    </row>
    <row r="275" spans="1:1">
      <c r="A275">
        <f>IF(ISBLANK(B275), "","CountryGroup-274")</f>
        <v>0</v>
      </c>
    </row>
    <row r="276" spans="1:1">
      <c r="A276">
        <f>IF(ISBLANK(B276), "","CountryGroup-275")</f>
        <v>0</v>
      </c>
    </row>
    <row r="277" spans="1:1">
      <c r="A277">
        <f>IF(ISBLANK(B277), "","CountryGroup-276")</f>
        <v>0</v>
      </c>
    </row>
    <row r="278" spans="1:1">
      <c r="A278">
        <f>IF(ISBLANK(B278), "","CountryGroup-277")</f>
        <v>0</v>
      </c>
    </row>
    <row r="279" spans="1:1">
      <c r="A279">
        <f>IF(ISBLANK(B279), "","CountryGroup-278")</f>
        <v>0</v>
      </c>
    </row>
    <row r="280" spans="1:1">
      <c r="A280">
        <f>IF(ISBLANK(B280), "","CountryGroup-279")</f>
        <v>0</v>
      </c>
    </row>
    <row r="281" spans="1:1">
      <c r="A281">
        <f>IF(ISBLANK(B281), "","CountryGroup-280")</f>
        <v>0</v>
      </c>
    </row>
    <row r="282" spans="1:1">
      <c r="A282">
        <f>IF(ISBLANK(B282), "","CountryGroup-281")</f>
        <v>0</v>
      </c>
    </row>
    <row r="283" spans="1:1">
      <c r="A283">
        <f>IF(ISBLANK(B283), "","CountryGroup-282")</f>
        <v>0</v>
      </c>
    </row>
    <row r="284" spans="1:1">
      <c r="A284">
        <f>IF(ISBLANK(B284), "","CountryGroup-283")</f>
        <v>0</v>
      </c>
    </row>
    <row r="285" spans="1:1">
      <c r="A285">
        <f>IF(ISBLANK(B285), "","CountryGroup-284")</f>
        <v>0</v>
      </c>
    </row>
    <row r="286" spans="1:1">
      <c r="A286">
        <f>IF(ISBLANK(B286), "","CountryGroup-285")</f>
        <v>0</v>
      </c>
    </row>
    <row r="287" spans="1:1">
      <c r="A287">
        <f>IF(ISBLANK(B287), "","CountryGroup-286")</f>
        <v>0</v>
      </c>
    </row>
    <row r="288" spans="1:1">
      <c r="A288">
        <f>IF(ISBLANK(B288), "","CountryGroup-287")</f>
        <v>0</v>
      </c>
    </row>
    <row r="289" spans="1:1">
      <c r="A289">
        <f>IF(ISBLANK(B289), "","CountryGroup-288")</f>
        <v>0</v>
      </c>
    </row>
    <row r="290" spans="1:1">
      <c r="A290">
        <f>IF(ISBLANK(B290), "","CountryGroup-289")</f>
        <v>0</v>
      </c>
    </row>
    <row r="291" spans="1:1">
      <c r="A291">
        <f>IF(ISBLANK(B291), "","CountryGroup-290")</f>
        <v>0</v>
      </c>
    </row>
    <row r="292" spans="1:1">
      <c r="A292">
        <f>IF(ISBLANK(B292), "","CountryGroup-291")</f>
        <v>0</v>
      </c>
    </row>
    <row r="293" spans="1:1">
      <c r="A293">
        <f>IF(ISBLANK(B293), "","CountryGroup-292")</f>
        <v>0</v>
      </c>
    </row>
    <row r="294" spans="1:1">
      <c r="A294">
        <f>IF(ISBLANK(B294), "","CountryGroup-293")</f>
        <v>0</v>
      </c>
    </row>
    <row r="295" spans="1:1">
      <c r="A295">
        <f>IF(ISBLANK(B295), "","CountryGroup-294")</f>
        <v>0</v>
      </c>
    </row>
    <row r="296" spans="1:1">
      <c r="A296">
        <f>IF(ISBLANK(B296), "","CountryGroup-295")</f>
        <v>0</v>
      </c>
    </row>
    <row r="297" spans="1:1">
      <c r="A297">
        <f>IF(ISBLANK(B297), "","CountryGroup-296")</f>
        <v>0</v>
      </c>
    </row>
    <row r="298" spans="1:1">
      <c r="A298">
        <f>IF(ISBLANK(B298), "","CountryGroup-297")</f>
        <v>0</v>
      </c>
    </row>
    <row r="299" spans="1:1">
      <c r="A299">
        <f>IF(ISBLANK(B299), "","CountryGroup-298")</f>
        <v>0</v>
      </c>
    </row>
    <row r="300" spans="1:1">
      <c r="A300">
        <f>IF(ISBLANK(B300), "","CountryGroup-299")</f>
        <v>0</v>
      </c>
    </row>
    <row r="301" spans="1:1">
      <c r="A301">
        <f>IF(ISBLANK(B301), "","CountryGroup-300")</f>
        <v>0</v>
      </c>
    </row>
    <row r="302" spans="1:1">
      <c r="A302">
        <f>IF(ISBLANK(B302), "","CountryGroup-301")</f>
        <v>0</v>
      </c>
    </row>
    <row r="303" spans="1:1">
      <c r="A303">
        <f>IF(ISBLANK(B303), "","CountryGroup-302")</f>
        <v>0</v>
      </c>
    </row>
    <row r="304" spans="1:1">
      <c r="A304">
        <f>IF(ISBLANK(B304), "","CountryGroup-303")</f>
        <v>0</v>
      </c>
    </row>
    <row r="305" spans="1:1">
      <c r="A305">
        <f>IF(ISBLANK(B305), "","CountryGroup-304")</f>
        <v>0</v>
      </c>
    </row>
    <row r="306" spans="1:1">
      <c r="A306">
        <f>IF(ISBLANK(B306), "","CountryGroup-305")</f>
        <v>0</v>
      </c>
    </row>
    <row r="307" spans="1:1">
      <c r="A307">
        <f>IF(ISBLANK(B307), "","CountryGroup-306")</f>
        <v>0</v>
      </c>
    </row>
    <row r="308" spans="1:1">
      <c r="A308">
        <f>IF(ISBLANK(B308), "","CountryGroup-307")</f>
        <v>0</v>
      </c>
    </row>
    <row r="309" spans="1:1">
      <c r="A309">
        <f>IF(ISBLANK(B309), "","CountryGroup-308")</f>
        <v>0</v>
      </c>
    </row>
    <row r="310" spans="1:1">
      <c r="A310">
        <f>IF(ISBLANK(B310), "","CountryGroup-309")</f>
        <v>0</v>
      </c>
    </row>
    <row r="311" spans="1:1">
      <c r="A311">
        <f>IF(ISBLANK(B311), "","CountryGroup-310")</f>
        <v>0</v>
      </c>
    </row>
    <row r="312" spans="1:1">
      <c r="A312">
        <f>IF(ISBLANK(B312), "","CountryGroup-311")</f>
        <v>0</v>
      </c>
    </row>
    <row r="313" spans="1:1">
      <c r="A313">
        <f>IF(ISBLANK(B313), "","CountryGroup-312")</f>
        <v>0</v>
      </c>
    </row>
    <row r="314" spans="1:1">
      <c r="A314">
        <f>IF(ISBLANK(B314), "","CountryGroup-313")</f>
        <v>0</v>
      </c>
    </row>
    <row r="315" spans="1:1">
      <c r="A315">
        <f>IF(ISBLANK(B315), "","CountryGroup-314")</f>
        <v>0</v>
      </c>
    </row>
    <row r="316" spans="1:1">
      <c r="A316">
        <f>IF(ISBLANK(B316), "","CountryGroup-315")</f>
        <v>0</v>
      </c>
    </row>
    <row r="317" spans="1:1">
      <c r="A317">
        <f>IF(ISBLANK(B317), "","CountryGroup-316")</f>
        <v>0</v>
      </c>
    </row>
    <row r="318" spans="1:1">
      <c r="A318">
        <f>IF(ISBLANK(B318), "","CountryGroup-317")</f>
        <v>0</v>
      </c>
    </row>
    <row r="319" spans="1:1">
      <c r="A319">
        <f>IF(ISBLANK(B319), "","CountryGroup-318")</f>
        <v>0</v>
      </c>
    </row>
    <row r="320" spans="1:1">
      <c r="A320">
        <f>IF(ISBLANK(B320), "","CountryGroup-319")</f>
        <v>0</v>
      </c>
    </row>
    <row r="321" spans="1:1">
      <c r="A321">
        <f>IF(ISBLANK(B321), "","CountryGroup-320")</f>
        <v>0</v>
      </c>
    </row>
    <row r="322" spans="1:1">
      <c r="A322">
        <f>IF(ISBLANK(B322), "","CountryGroup-321")</f>
        <v>0</v>
      </c>
    </row>
    <row r="323" spans="1:1">
      <c r="A323">
        <f>IF(ISBLANK(B323), "","CountryGroup-322")</f>
        <v>0</v>
      </c>
    </row>
    <row r="324" spans="1:1">
      <c r="A324">
        <f>IF(ISBLANK(B324), "","CountryGroup-323")</f>
        <v>0</v>
      </c>
    </row>
    <row r="325" spans="1:1">
      <c r="A325">
        <f>IF(ISBLANK(B325), "","CountryGroup-324")</f>
        <v>0</v>
      </c>
    </row>
    <row r="326" spans="1:1">
      <c r="A326">
        <f>IF(ISBLANK(B326), "","CountryGroup-325")</f>
        <v>0</v>
      </c>
    </row>
    <row r="327" spans="1:1">
      <c r="A327">
        <f>IF(ISBLANK(B327), "","CountryGroup-326")</f>
        <v>0</v>
      </c>
    </row>
    <row r="328" spans="1:1">
      <c r="A328">
        <f>IF(ISBLANK(B328), "","CountryGroup-327")</f>
        <v>0</v>
      </c>
    </row>
    <row r="329" spans="1:1">
      <c r="A329">
        <f>IF(ISBLANK(B329), "","CountryGroup-328")</f>
        <v>0</v>
      </c>
    </row>
    <row r="330" spans="1:1">
      <c r="A330">
        <f>IF(ISBLANK(B330), "","CountryGroup-329")</f>
        <v>0</v>
      </c>
    </row>
    <row r="331" spans="1:1">
      <c r="A331">
        <f>IF(ISBLANK(B331), "","CountryGroup-330")</f>
        <v>0</v>
      </c>
    </row>
    <row r="332" spans="1:1">
      <c r="A332">
        <f>IF(ISBLANK(B332), "","CountryGroup-331")</f>
        <v>0</v>
      </c>
    </row>
    <row r="333" spans="1:1">
      <c r="A333">
        <f>IF(ISBLANK(B333), "","CountryGroup-332")</f>
        <v>0</v>
      </c>
    </row>
    <row r="334" spans="1:1">
      <c r="A334">
        <f>IF(ISBLANK(B334), "","CountryGroup-333")</f>
        <v>0</v>
      </c>
    </row>
    <row r="335" spans="1:1">
      <c r="A335">
        <f>IF(ISBLANK(B335), "","CountryGroup-334")</f>
        <v>0</v>
      </c>
    </row>
    <row r="336" spans="1:1">
      <c r="A336">
        <f>IF(ISBLANK(B336), "","CountryGroup-335")</f>
        <v>0</v>
      </c>
    </row>
    <row r="337" spans="1:1">
      <c r="A337">
        <f>IF(ISBLANK(B337), "","CountryGroup-336")</f>
        <v>0</v>
      </c>
    </row>
    <row r="338" spans="1:1">
      <c r="A338">
        <f>IF(ISBLANK(B338), "","CountryGroup-337")</f>
        <v>0</v>
      </c>
    </row>
    <row r="339" spans="1:1">
      <c r="A339">
        <f>IF(ISBLANK(B339), "","CountryGroup-338")</f>
        <v>0</v>
      </c>
    </row>
    <row r="340" spans="1:1">
      <c r="A340">
        <f>IF(ISBLANK(B340), "","CountryGroup-339")</f>
        <v>0</v>
      </c>
    </row>
    <row r="341" spans="1:1">
      <c r="A341">
        <f>IF(ISBLANK(B341), "","CountryGroup-340")</f>
        <v>0</v>
      </c>
    </row>
    <row r="342" spans="1:1">
      <c r="A342">
        <f>IF(ISBLANK(B342), "","CountryGroup-341")</f>
        <v>0</v>
      </c>
    </row>
    <row r="343" spans="1:1">
      <c r="A343">
        <f>IF(ISBLANK(B343), "","CountryGroup-342")</f>
        <v>0</v>
      </c>
    </row>
    <row r="344" spans="1:1">
      <c r="A344">
        <f>IF(ISBLANK(B344), "","CountryGroup-343")</f>
        <v>0</v>
      </c>
    </row>
    <row r="345" spans="1:1">
      <c r="A345">
        <f>IF(ISBLANK(B345), "","CountryGroup-344")</f>
        <v>0</v>
      </c>
    </row>
    <row r="346" spans="1:1">
      <c r="A346">
        <f>IF(ISBLANK(B346), "","CountryGroup-345")</f>
        <v>0</v>
      </c>
    </row>
    <row r="347" spans="1:1">
      <c r="A347">
        <f>IF(ISBLANK(B347), "","CountryGroup-346")</f>
        <v>0</v>
      </c>
    </row>
    <row r="348" spans="1:1">
      <c r="A348">
        <f>IF(ISBLANK(B348), "","CountryGroup-347")</f>
        <v>0</v>
      </c>
    </row>
    <row r="349" spans="1:1">
      <c r="A349">
        <f>IF(ISBLANK(B349), "","CountryGroup-348")</f>
        <v>0</v>
      </c>
    </row>
    <row r="350" spans="1:1">
      <c r="A350">
        <f>IF(ISBLANK(B350), "","CountryGroup-349")</f>
        <v>0</v>
      </c>
    </row>
    <row r="351" spans="1:1">
      <c r="A351">
        <f>IF(ISBLANK(B351), "","CountryGroup-350")</f>
        <v>0</v>
      </c>
    </row>
    <row r="352" spans="1:1">
      <c r="A352">
        <f>IF(ISBLANK(B352), "","CountryGroup-351")</f>
        <v>0</v>
      </c>
    </row>
    <row r="353" spans="1:1">
      <c r="A353">
        <f>IF(ISBLANK(B353), "","CountryGroup-352")</f>
        <v>0</v>
      </c>
    </row>
    <row r="354" spans="1:1">
      <c r="A354">
        <f>IF(ISBLANK(B354), "","CountryGroup-353")</f>
        <v>0</v>
      </c>
    </row>
    <row r="355" spans="1:1">
      <c r="A355">
        <f>IF(ISBLANK(B355), "","CountryGroup-354")</f>
        <v>0</v>
      </c>
    </row>
    <row r="356" spans="1:1">
      <c r="A356">
        <f>IF(ISBLANK(B356), "","CountryGroup-355")</f>
        <v>0</v>
      </c>
    </row>
    <row r="357" spans="1:1">
      <c r="A357">
        <f>IF(ISBLANK(B357), "","CountryGroup-356")</f>
        <v>0</v>
      </c>
    </row>
    <row r="358" spans="1:1">
      <c r="A358">
        <f>IF(ISBLANK(B358), "","CountryGroup-357")</f>
        <v>0</v>
      </c>
    </row>
    <row r="359" spans="1:1">
      <c r="A359">
        <f>IF(ISBLANK(B359), "","CountryGroup-358")</f>
        <v>0</v>
      </c>
    </row>
    <row r="360" spans="1:1">
      <c r="A360">
        <f>IF(ISBLANK(B360), "","CountryGroup-359")</f>
        <v>0</v>
      </c>
    </row>
    <row r="361" spans="1:1">
      <c r="A361">
        <f>IF(ISBLANK(B361), "","CountryGroup-360")</f>
        <v>0</v>
      </c>
    </row>
    <row r="362" spans="1:1">
      <c r="A362">
        <f>IF(ISBLANK(B362), "","CountryGroup-361")</f>
        <v>0</v>
      </c>
    </row>
    <row r="363" spans="1:1">
      <c r="A363">
        <f>IF(ISBLANK(B363), "","CountryGroup-362")</f>
        <v>0</v>
      </c>
    </row>
    <row r="364" spans="1:1">
      <c r="A364">
        <f>IF(ISBLANK(B364), "","CountryGroup-363")</f>
        <v>0</v>
      </c>
    </row>
    <row r="365" spans="1:1">
      <c r="A365">
        <f>IF(ISBLANK(B365), "","CountryGroup-364")</f>
        <v>0</v>
      </c>
    </row>
    <row r="366" spans="1:1">
      <c r="A366">
        <f>IF(ISBLANK(B366), "","CountryGroup-365")</f>
        <v>0</v>
      </c>
    </row>
    <row r="367" spans="1:1">
      <c r="A367">
        <f>IF(ISBLANK(B367), "","CountryGroup-366")</f>
        <v>0</v>
      </c>
    </row>
    <row r="368" spans="1:1">
      <c r="A368">
        <f>IF(ISBLANK(B368), "","CountryGroup-367")</f>
        <v>0</v>
      </c>
    </row>
    <row r="369" spans="1:1">
      <c r="A369">
        <f>IF(ISBLANK(B369), "","CountryGroup-368")</f>
        <v>0</v>
      </c>
    </row>
    <row r="370" spans="1:1">
      <c r="A370">
        <f>IF(ISBLANK(B370), "","CountryGroup-369")</f>
        <v>0</v>
      </c>
    </row>
    <row r="371" spans="1:1">
      <c r="A371">
        <f>IF(ISBLANK(B371), "","CountryGroup-370")</f>
        <v>0</v>
      </c>
    </row>
    <row r="372" spans="1:1">
      <c r="A372">
        <f>IF(ISBLANK(B372), "","CountryGroup-371")</f>
        <v>0</v>
      </c>
    </row>
    <row r="373" spans="1:1">
      <c r="A373">
        <f>IF(ISBLANK(B373), "","CountryGroup-372")</f>
        <v>0</v>
      </c>
    </row>
    <row r="374" spans="1:1">
      <c r="A374">
        <f>IF(ISBLANK(B374), "","CountryGroup-373")</f>
        <v>0</v>
      </c>
    </row>
    <row r="375" spans="1:1">
      <c r="A375">
        <f>IF(ISBLANK(B375), "","CountryGroup-374")</f>
        <v>0</v>
      </c>
    </row>
    <row r="376" spans="1:1">
      <c r="A376">
        <f>IF(ISBLANK(B376), "","CountryGroup-375")</f>
        <v>0</v>
      </c>
    </row>
    <row r="377" spans="1:1">
      <c r="A377">
        <f>IF(ISBLANK(B377), "","CountryGroup-376")</f>
        <v>0</v>
      </c>
    </row>
    <row r="378" spans="1:1">
      <c r="A378">
        <f>IF(ISBLANK(B378), "","CountryGroup-377")</f>
        <v>0</v>
      </c>
    </row>
    <row r="379" spans="1:1">
      <c r="A379">
        <f>IF(ISBLANK(B379), "","CountryGroup-378")</f>
        <v>0</v>
      </c>
    </row>
    <row r="380" spans="1:1">
      <c r="A380">
        <f>IF(ISBLANK(B380), "","CountryGroup-379")</f>
        <v>0</v>
      </c>
    </row>
    <row r="381" spans="1:1">
      <c r="A381">
        <f>IF(ISBLANK(B381), "","CountryGroup-380")</f>
        <v>0</v>
      </c>
    </row>
    <row r="382" spans="1:1">
      <c r="A382">
        <f>IF(ISBLANK(B382), "","CountryGroup-381")</f>
        <v>0</v>
      </c>
    </row>
    <row r="383" spans="1:1">
      <c r="A383">
        <f>IF(ISBLANK(B383), "","CountryGroup-382")</f>
        <v>0</v>
      </c>
    </row>
    <row r="384" spans="1:1">
      <c r="A384">
        <f>IF(ISBLANK(B384), "","CountryGroup-383")</f>
        <v>0</v>
      </c>
    </row>
    <row r="385" spans="1:1">
      <c r="A385">
        <f>IF(ISBLANK(B385), "","CountryGroup-384")</f>
        <v>0</v>
      </c>
    </row>
    <row r="386" spans="1:1">
      <c r="A386">
        <f>IF(ISBLANK(B386), "","CountryGroup-385")</f>
        <v>0</v>
      </c>
    </row>
    <row r="387" spans="1:1">
      <c r="A387">
        <f>IF(ISBLANK(B387), "","CountryGroup-386")</f>
        <v>0</v>
      </c>
    </row>
    <row r="388" spans="1:1">
      <c r="A388">
        <f>IF(ISBLANK(B388), "","CountryGroup-387")</f>
        <v>0</v>
      </c>
    </row>
    <row r="389" spans="1:1">
      <c r="A389">
        <f>IF(ISBLANK(B389), "","CountryGroup-388")</f>
        <v>0</v>
      </c>
    </row>
    <row r="390" spans="1:1">
      <c r="A390">
        <f>IF(ISBLANK(B390), "","CountryGroup-389")</f>
        <v>0</v>
      </c>
    </row>
    <row r="391" spans="1:1">
      <c r="A391">
        <f>IF(ISBLANK(B391), "","CountryGroup-390")</f>
        <v>0</v>
      </c>
    </row>
    <row r="392" spans="1:1">
      <c r="A392">
        <f>IF(ISBLANK(B392), "","CountryGroup-391")</f>
        <v>0</v>
      </c>
    </row>
    <row r="393" spans="1:1">
      <c r="A393">
        <f>IF(ISBLANK(B393), "","CountryGroup-392")</f>
        <v>0</v>
      </c>
    </row>
    <row r="394" spans="1:1">
      <c r="A394">
        <f>IF(ISBLANK(B394), "","CountryGroup-393")</f>
        <v>0</v>
      </c>
    </row>
    <row r="395" spans="1:1">
      <c r="A395">
        <f>IF(ISBLANK(B395), "","CountryGroup-394")</f>
        <v>0</v>
      </c>
    </row>
    <row r="396" spans="1:1">
      <c r="A396">
        <f>IF(ISBLANK(B396), "","CountryGroup-395")</f>
        <v>0</v>
      </c>
    </row>
    <row r="397" spans="1:1">
      <c r="A397">
        <f>IF(ISBLANK(B397), "","CountryGroup-396")</f>
        <v>0</v>
      </c>
    </row>
    <row r="398" spans="1:1">
      <c r="A398">
        <f>IF(ISBLANK(B398), "","CountryGroup-397")</f>
        <v>0</v>
      </c>
    </row>
    <row r="399" spans="1:1">
      <c r="A399">
        <f>IF(ISBLANK(B399), "","CountryGroup-398")</f>
        <v>0</v>
      </c>
    </row>
    <row r="400" spans="1:1">
      <c r="A400">
        <f>IF(ISBLANK(B400), "","CountryGroup-399")</f>
        <v>0</v>
      </c>
    </row>
    <row r="401" spans="1:1">
      <c r="A401">
        <f>IF(ISBLANK(B401), "","CountryGroup-400")</f>
        <v>0</v>
      </c>
    </row>
    <row r="402" spans="1:1">
      <c r="A402">
        <f>IF(ISBLANK(B402), "","CountryGroup-401")</f>
        <v>0</v>
      </c>
    </row>
    <row r="403" spans="1:1">
      <c r="A403">
        <f>IF(ISBLANK(B403), "","CountryGroup-402")</f>
        <v>0</v>
      </c>
    </row>
    <row r="404" spans="1:1">
      <c r="A404">
        <f>IF(ISBLANK(B404), "","CountryGroup-403")</f>
        <v>0</v>
      </c>
    </row>
    <row r="405" spans="1:1">
      <c r="A405">
        <f>IF(ISBLANK(B405), "","CountryGroup-404")</f>
        <v>0</v>
      </c>
    </row>
    <row r="406" spans="1:1">
      <c r="A406">
        <f>IF(ISBLANK(B406), "","CountryGroup-405")</f>
        <v>0</v>
      </c>
    </row>
    <row r="407" spans="1:1">
      <c r="A407">
        <f>IF(ISBLANK(B407), "","CountryGroup-406")</f>
        <v>0</v>
      </c>
    </row>
    <row r="408" spans="1:1">
      <c r="A408">
        <f>IF(ISBLANK(B408), "","CountryGroup-407")</f>
        <v>0</v>
      </c>
    </row>
    <row r="409" spans="1:1">
      <c r="A409">
        <f>IF(ISBLANK(B409), "","CountryGroup-408")</f>
        <v>0</v>
      </c>
    </row>
    <row r="410" spans="1:1">
      <c r="A410">
        <f>IF(ISBLANK(B410), "","CountryGroup-409")</f>
        <v>0</v>
      </c>
    </row>
    <row r="411" spans="1:1">
      <c r="A411">
        <f>IF(ISBLANK(B411), "","CountryGroup-410")</f>
        <v>0</v>
      </c>
    </row>
    <row r="412" spans="1:1">
      <c r="A412">
        <f>IF(ISBLANK(B412), "","CountryGroup-411")</f>
        <v>0</v>
      </c>
    </row>
    <row r="413" spans="1:1">
      <c r="A413">
        <f>IF(ISBLANK(B413), "","CountryGroup-412")</f>
        <v>0</v>
      </c>
    </row>
    <row r="414" spans="1:1">
      <c r="A414">
        <f>IF(ISBLANK(B414), "","CountryGroup-413")</f>
        <v>0</v>
      </c>
    </row>
    <row r="415" spans="1:1">
      <c r="A415">
        <f>IF(ISBLANK(B415), "","CountryGroup-414")</f>
        <v>0</v>
      </c>
    </row>
    <row r="416" spans="1:1">
      <c r="A416">
        <f>IF(ISBLANK(B416), "","CountryGroup-415")</f>
        <v>0</v>
      </c>
    </row>
    <row r="417" spans="1:1">
      <c r="A417">
        <f>IF(ISBLANK(B417), "","CountryGroup-416")</f>
        <v>0</v>
      </c>
    </row>
    <row r="418" spans="1:1">
      <c r="A418">
        <f>IF(ISBLANK(B418), "","CountryGroup-417")</f>
        <v>0</v>
      </c>
    </row>
    <row r="419" spans="1:1">
      <c r="A419">
        <f>IF(ISBLANK(B419), "","CountryGroup-418")</f>
        <v>0</v>
      </c>
    </row>
    <row r="420" spans="1:1">
      <c r="A420">
        <f>IF(ISBLANK(B420), "","CountryGroup-419")</f>
        <v>0</v>
      </c>
    </row>
    <row r="421" spans="1:1">
      <c r="A421">
        <f>IF(ISBLANK(B421), "","CountryGroup-420")</f>
        <v>0</v>
      </c>
    </row>
    <row r="422" spans="1:1">
      <c r="A422">
        <f>IF(ISBLANK(B422), "","CountryGroup-421")</f>
        <v>0</v>
      </c>
    </row>
    <row r="423" spans="1:1">
      <c r="A423">
        <f>IF(ISBLANK(B423), "","CountryGroup-422")</f>
        <v>0</v>
      </c>
    </row>
    <row r="424" spans="1:1">
      <c r="A424">
        <f>IF(ISBLANK(B424), "","CountryGroup-423")</f>
        <v>0</v>
      </c>
    </row>
    <row r="425" spans="1:1">
      <c r="A425">
        <f>IF(ISBLANK(B425), "","CountryGroup-424")</f>
        <v>0</v>
      </c>
    </row>
    <row r="426" spans="1:1">
      <c r="A426">
        <f>IF(ISBLANK(B426), "","CountryGroup-425")</f>
        <v>0</v>
      </c>
    </row>
    <row r="427" spans="1:1">
      <c r="A427">
        <f>IF(ISBLANK(B427), "","CountryGroup-426")</f>
        <v>0</v>
      </c>
    </row>
    <row r="428" spans="1:1">
      <c r="A428">
        <f>IF(ISBLANK(B428), "","CountryGroup-427")</f>
        <v>0</v>
      </c>
    </row>
    <row r="429" spans="1:1">
      <c r="A429">
        <f>IF(ISBLANK(B429), "","CountryGroup-428")</f>
        <v>0</v>
      </c>
    </row>
    <row r="430" spans="1:1">
      <c r="A430">
        <f>IF(ISBLANK(B430), "","CountryGroup-429")</f>
        <v>0</v>
      </c>
    </row>
    <row r="431" spans="1:1">
      <c r="A431">
        <f>IF(ISBLANK(B431), "","CountryGroup-430")</f>
        <v>0</v>
      </c>
    </row>
    <row r="432" spans="1:1">
      <c r="A432">
        <f>IF(ISBLANK(B432), "","CountryGroup-431")</f>
        <v>0</v>
      </c>
    </row>
    <row r="433" spans="1:1">
      <c r="A433">
        <f>IF(ISBLANK(B433), "","CountryGroup-432")</f>
        <v>0</v>
      </c>
    </row>
    <row r="434" spans="1:1">
      <c r="A434">
        <f>IF(ISBLANK(B434), "","CountryGroup-433")</f>
        <v>0</v>
      </c>
    </row>
    <row r="435" spans="1:1">
      <c r="A435">
        <f>IF(ISBLANK(B435), "","CountryGroup-434")</f>
        <v>0</v>
      </c>
    </row>
    <row r="436" spans="1:1">
      <c r="A436">
        <f>IF(ISBLANK(B436), "","CountryGroup-435")</f>
        <v>0</v>
      </c>
    </row>
    <row r="437" spans="1:1">
      <c r="A437">
        <f>IF(ISBLANK(B437), "","CountryGroup-436")</f>
        <v>0</v>
      </c>
    </row>
    <row r="438" spans="1:1">
      <c r="A438">
        <f>IF(ISBLANK(B438), "","CountryGroup-437")</f>
        <v>0</v>
      </c>
    </row>
    <row r="439" spans="1:1">
      <c r="A439">
        <f>IF(ISBLANK(B439), "","CountryGroup-438")</f>
        <v>0</v>
      </c>
    </row>
    <row r="440" spans="1:1">
      <c r="A440">
        <f>IF(ISBLANK(B440), "","CountryGroup-439")</f>
        <v>0</v>
      </c>
    </row>
    <row r="441" spans="1:1">
      <c r="A441">
        <f>IF(ISBLANK(B441), "","CountryGroup-440")</f>
        <v>0</v>
      </c>
    </row>
    <row r="442" spans="1:1">
      <c r="A442">
        <f>IF(ISBLANK(B442), "","CountryGroup-441")</f>
        <v>0</v>
      </c>
    </row>
    <row r="443" spans="1:1">
      <c r="A443">
        <f>IF(ISBLANK(B443), "","CountryGroup-442")</f>
        <v>0</v>
      </c>
    </row>
    <row r="444" spans="1:1">
      <c r="A444">
        <f>IF(ISBLANK(B444), "","CountryGroup-443")</f>
        <v>0</v>
      </c>
    </row>
    <row r="445" spans="1:1">
      <c r="A445">
        <f>IF(ISBLANK(B445), "","CountryGroup-444")</f>
        <v>0</v>
      </c>
    </row>
    <row r="446" spans="1:1">
      <c r="A446">
        <f>IF(ISBLANK(B446), "","CountryGroup-445")</f>
        <v>0</v>
      </c>
    </row>
    <row r="447" spans="1:1">
      <c r="A447">
        <f>IF(ISBLANK(B447), "","CountryGroup-446")</f>
        <v>0</v>
      </c>
    </row>
    <row r="448" spans="1:1">
      <c r="A448">
        <f>IF(ISBLANK(B448), "","CountryGroup-447")</f>
        <v>0</v>
      </c>
    </row>
    <row r="449" spans="1:1">
      <c r="A449">
        <f>IF(ISBLANK(B449), "","CountryGroup-448")</f>
        <v>0</v>
      </c>
    </row>
    <row r="450" spans="1:1">
      <c r="A450">
        <f>IF(ISBLANK(B450), "","CountryGroup-449")</f>
        <v>0</v>
      </c>
    </row>
    <row r="451" spans="1:1">
      <c r="A451">
        <f>IF(ISBLANK(B451), "","CountryGroup-450")</f>
        <v>0</v>
      </c>
    </row>
    <row r="452" spans="1:1">
      <c r="A452">
        <f>IF(ISBLANK(B452), "","CountryGroup-451")</f>
        <v>0</v>
      </c>
    </row>
    <row r="453" spans="1:1">
      <c r="A453">
        <f>IF(ISBLANK(B453), "","CountryGroup-452")</f>
        <v>0</v>
      </c>
    </row>
    <row r="454" spans="1:1">
      <c r="A454">
        <f>IF(ISBLANK(B454), "","CountryGroup-453")</f>
        <v>0</v>
      </c>
    </row>
    <row r="455" spans="1:1">
      <c r="A455">
        <f>IF(ISBLANK(B455), "","CountryGroup-454")</f>
        <v>0</v>
      </c>
    </row>
    <row r="456" spans="1:1">
      <c r="A456">
        <f>IF(ISBLANK(B456), "","CountryGroup-455")</f>
        <v>0</v>
      </c>
    </row>
    <row r="457" spans="1:1">
      <c r="A457">
        <f>IF(ISBLANK(B457), "","CountryGroup-456")</f>
        <v>0</v>
      </c>
    </row>
    <row r="458" spans="1:1">
      <c r="A458">
        <f>IF(ISBLANK(B458), "","CountryGroup-457")</f>
        <v>0</v>
      </c>
    </row>
    <row r="459" spans="1:1">
      <c r="A459">
        <f>IF(ISBLANK(B459), "","CountryGroup-458")</f>
        <v>0</v>
      </c>
    </row>
    <row r="460" spans="1:1">
      <c r="A460">
        <f>IF(ISBLANK(B460), "","CountryGroup-459")</f>
        <v>0</v>
      </c>
    </row>
    <row r="461" spans="1:1">
      <c r="A461">
        <f>IF(ISBLANK(B461), "","CountryGroup-460")</f>
        <v>0</v>
      </c>
    </row>
    <row r="462" spans="1:1">
      <c r="A462">
        <f>IF(ISBLANK(B462), "","CountryGroup-461")</f>
        <v>0</v>
      </c>
    </row>
    <row r="463" spans="1:1">
      <c r="A463">
        <f>IF(ISBLANK(B463), "","CountryGroup-462")</f>
        <v>0</v>
      </c>
    </row>
    <row r="464" spans="1:1">
      <c r="A464">
        <f>IF(ISBLANK(B464), "","CountryGroup-463")</f>
        <v>0</v>
      </c>
    </row>
    <row r="465" spans="1:1">
      <c r="A465">
        <f>IF(ISBLANK(B465), "","CountryGroup-464")</f>
        <v>0</v>
      </c>
    </row>
    <row r="466" spans="1:1">
      <c r="A466">
        <f>IF(ISBLANK(B466), "","CountryGroup-465")</f>
        <v>0</v>
      </c>
    </row>
    <row r="467" spans="1:1">
      <c r="A467">
        <f>IF(ISBLANK(B467), "","CountryGroup-466")</f>
        <v>0</v>
      </c>
    </row>
    <row r="468" spans="1:1">
      <c r="A468">
        <f>IF(ISBLANK(B468), "","CountryGroup-467")</f>
        <v>0</v>
      </c>
    </row>
    <row r="469" spans="1:1">
      <c r="A469">
        <f>IF(ISBLANK(B469), "","CountryGroup-468")</f>
        <v>0</v>
      </c>
    </row>
    <row r="470" spans="1:1">
      <c r="A470">
        <f>IF(ISBLANK(B470), "","CountryGroup-469")</f>
        <v>0</v>
      </c>
    </row>
    <row r="471" spans="1:1">
      <c r="A471">
        <f>IF(ISBLANK(B471), "","CountryGroup-470")</f>
        <v>0</v>
      </c>
    </row>
    <row r="472" spans="1:1">
      <c r="A472">
        <f>IF(ISBLANK(B472), "","CountryGroup-471")</f>
        <v>0</v>
      </c>
    </row>
    <row r="473" spans="1:1">
      <c r="A473">
        <f>IF(ISBLANK(B473), "","CountryGroup-472")</f>
        <v>0</v>
      </c>
    </row>
    <row r="474" spans="1:1">
      <c r="A474">
        <f>IF(ISBLANK(B474), "","CountryGroup-473")</f>
        <v>0</v>
      </c>
    </row>
    <row r="475" spans="1:1">
      <c r="A475">
        <f>IF(ISBLANK(B475), "","CountryGroup-474")</f>
        <v>0</v>
      </c>
    </row>
    <row r="476" spans="1:1">
      <c r="A476">
        <f>IF(ISBLANK(B476), "","CountryGroup-475")</f>
        <v>0</v>
      </c>
    </row>
    <row r="477" spans="1:1">
      <c r="A477">
        <f>IF(ISBLANK(B477), "","CountryGroup-476")</f>
        <v>0</v>
      </c>
    </row>
    <row r="478" spans="1:1">
      <c r="A478">
        <f>IF(ISBLANK(B478), "","CountryGroup-477")</f>
        <v>0</v>
      </c>
    </row>
    <row r="479" spans="1:1">
      <c r="A479">
        <f>IF(ISBLANK(B479), "","CountryGroup-478")</f>
        <v>0</v>
      </c>
    </row>
    <row r="480" spans="1:1">
      <c r="A480">
        <f>IF(ISBLANK(B480), "","CountryGroup-479")</f>
        <v>0</v>
      </c>
    </row>
    <row r="481" spans="1:1">
      <c r="A481">
        <f>IF(ISBLANK(B481), "","CountryGroup-480")</f>
        <v>0</v>
      </c>
    </row>
    <row r="482" spans="1:1">
      <c r="A482">
        <f>IF(ISBLANK(B482), "","CountryGroup-481")</f>
        <v>0</v>
      </c>
    </row>
    <row r="483" spans="1:1">
      <c r="A483">
        <f>IF(ISBLANK(B483), "","CountryGroup-482")</f>
        <v>0</v>
      </c>
    </row>
    <row r="484" spans="1:1">
      <c r="A484">
        <f>IF(ISBLANK(B484), "","CountryGroup-483")</f>
        <v>0</v>
      </c>
    </row>
    <row r="485" spans="1:1">
      <c r="A485">
        <f>IF(ISBLANK(B485), "","CountryGroup-484")</f>
        <v>0</v>
      </c>
    </row>
    <row r="486" spans="1:1">
      <c r="A486">
        <f>IF(ISBLANK(B486), "","CountryGroup-485")</f>
        <v>0</v>
      </c>
    </row>
    <row r="487" spans="1:1">
      <c r="A487">
        <f>IF(ISBLANK(B487), "","CountryGroup-486")</f>
        <v>0</v>
      </c>
    </row>
    <row r="488" spans="1:1">
      <c r="A488">
        <f>IF(ISBLANK(B488), "","CountryGroup-487")</f>
        <v>0</v>
      </c>
    </row>
    <row r="489" spans="1:1">
      <c r="A489">
        <f>IF(ISBLANK(B489), "","CountryGroup-488")</f>
        <v>0</v>
      </c>
    </row>
    <row r="490" spans="1:1">
      <c r="A490">
        <f>IF(ISBLANK(B490), "","CountryGroup-489")</f>
        <v>0</v>
      </c>
    </row>
    <row r="491" spans="1:1">
      <c r="A491">
        <f>IF(ISBLANK(B491), "","CountryGroup-490")</f>
        <v>0</v>
      </c>
    </row>
    <row r="492" spans="1:1">
      <c r="A492">
        <f>IF(ISBLANK(B492), "","CountryGroup-491")</f>
        <v>0</v>
      </c>
    </row>
    <row r="493" spans="1:1">
      <c r="A493">
        <f>IF(ISBLANK(B493), "","CountryGroup-492")</f>
        <v>0</v>
      </c>
    </row>
    <row r="494" spans="1:1">
      <c r="A494">
        <f>IF(ISBLANK(B494), "","CountryGroup-493")</f>
        <v>0</v>
      </c>
    </row>
    <row r="495" spans="1:1">
      <c r="A495">
        <f>IF(ISBLANK(B495), "","CountryGroup-494")</f>
        <v>0</v>
      </c>
    </row>
    <row r="496" spans="1:1">
      <c r="A496">
        <f>IF(ISBLANK(B496), "","CountryGroup-495")</f>
        <v>0</v>
      </c>
    </row>
    <row r="497" spans="1:1">
      <c r="A497">
        <f>IF(ISBLANK(B497), "","CountryGroup-496")</f>
        <v>0</v>
      </c>
    </row>
    <row r="498" spans="1:1">
      <c r="A498">
        <f>IF(ISBLANK(B498), "","CountryGroup-497")</f>
        <v>0</v>
      </c>
    </row>
    <row r="499" spans="1:1">
      <c r="A499">
        <f>IF(ISBLANK(B499), "","CountryGroup-498")</f>
        <v>0</v>
      </c>
    </row>
    <row r="500" spans="1:1">
      <c r="A500">
        <f>IF(ISBLANK(B500), "","CountryGroup-499")</f>
        <v>0</v>
      </c>
    </row>
    <row r="501" spans="1:1">
      <c r="A501">
        <f>IF(ISBLANK(B501), "","CountryGroup-500")</f>
        <v>0</v>
      </c>
    </row>
    <row r="502" spans="1:1">
      <c r="A502">
        <f>IF(ISBLANK(B502), "","CountryGroup-501")</f>
        <v>0</v>
      </c>
    </row>
    <row r="503" spans="1:1">
      <c r="A503">
        <f>IF(ISBLANK(B503), "","CountryGroup-502")</f>
        <v>0</v>
      </c>
    </row>
    <row r="504" spans="1:1">
      <c r="A504">
        <f>IF(ISBLANK(B504), "","CountryGroup-503")</f>
        <v>0</v>
      </c>
    </row>
    <row r="505" spans="1:1">
      <c r="A505">
        <f>IF(ISBLANK(B505), "","CountryGroup-504")</f>
        <v>0</v>
      </c>
    </row>
    <row r="506" spans="1:1">
      <c r="A506">
        <f>IF(ISBLANK(B506), "","CountryGroup-505")</f>
        <v>0</v>
      </c>
    </row>
    <row r="507" spans="1:1">
      <c r="A507">
        <f>IF(ISBLANK(B507), "","CountryGroup-506")</f>
        <v>0</v>
      </c>
    </row>
    <row r="508" spans="1:1">
      <c r="A508">
        <f>IF(ISBLANK(B508), "","CountryGroup-507")</f>
        <v>0</v>
      </c>
    </row>
    <row r="509" spans="1:1">
      <c r="A509">
        <f>IF(ISBLANK(B509), "","CountryGroup-508")</f>
        <v>0</v>
      </c>
    </row>
    <row r="510" spans="1:1">
      <c r="A510">
        <f>IF(ISBLANK(B510), "","CountryGroup-509")</f>
        <v>0</v>
      </c>
    </row>
    <row r="511" spans="1:1">
      <c r="A511">
        <f>IF(ISBLANK(B511), "","CountryGroup-510")</f>
        <v>0</v>
      </c>
    </row>
    <row r="512" spans="1:1">
      <c r="A512">
        <f>IF(ISBLANK(B512), "","CountryGroup-511")</f>
        <v>0</v>
      </c>
    </row>
    <row r="513" spans="1:1">
      <c r="A513">
        <f>IF(ISBLANK(B513), "","CountryGroup-512")</f>
        <v>0</v>
      </c>
    </row>
    <row r="514" spans="1:1">
      <c r="A514">
        <f>IF(ISBLANK(B514), "","CountryGroup-513")</f>
        <v>0</v>
      </c>
    </row>
    <row r="515" spans="1:1">
      <c r="A515">
        <f>IF(ISBLANK(B515), "","CountryGroup-514")</f>
        <v>0</v>
      </c>
    </row>
    <row r="516" spans="1:1">
      <c r="A516">
        <f>IF(ISBLANK(B516), "","CountryGroup-515")</f>
        <v>0</v>
      </c>
    </row>
    <row r="517" spans="1:1">
      <c r="A517">
        <f>IF(ISBLANK(B517), "","CountryGroup-516")</f>
        <v>0</v>
      </c>
    </row>
    <row r="518" spans="1:1">
      <c r="A518">
        <f>IF(ISBLANK(B518), "","CountryGroup-517")</f>
        <v>0</v>
      </c>
    </row>
    <row r="519" spans="1:1">
      <c r="A519">
        <f>IF(ISBLANK(B519), "","CountryGroup-518")</f>
        <v>0</v>
      </c>
    </row>
    <row r="520" spans="1:1">
      <c r="A520">
        <f>IF(ISBLANK(B520), "","CountryGroup-519")</f>
        <v>0</v>
      </c>
    </row>
    <row r="521" spans="1:1">
      <c r="A521">
        <f>IF(ISBLANK(B521), "","CountryGroup-520")</f>
        <v>0</v>
      </c>
    </row>
    <row r="522" spans="1:1">
      <c r="A522">
        <f>IF(ISBLANK(B522), "","CountryGroup-521")</f>
        <v>0</v>
      </c>
    </row>
    <row r="523" spans="1:1">
      <c r="A523">
        <f>IF(ISBLANK(B523), "","CountryGroup-522")</f>
        <v>0</v>
      </c>
    </row>
    <row r="524" spans="1:1">
      <c r="A524">
        <f>IF(ISBLANK(B524), "","CountryGroup-523")</f>
        <v>0</v>
      </c>
    </row>
    <row r="525" spans="1:1">
      <c r="A525">
        <f>IF(ISBLANK(B525), "","CountryGroup-524")</f>
        <v>0</v>
      </c>
    </row>
    <row r="526" spans="1:1">
      <c r="A526">
        <f>IF(ISBLANK(B526), "","CountryGroup-525")</f>
        <v>0</v>
      </c>
    </row>
    <row r="527" spans="1:1">
      <c r="A527">
        <f>IF(ISBLANK(B527), "","CountryGroup-526")</f>
        <v>0</v>
      </c>
    </row>
    <row r="528" spans="1:1">
      <c r="A528">
        <f>IF(ISBLANK(B528), "","CountryGroup-527")</f>
        <v>0</v>
      </c>
    </row>
    <row r="529" spans="1:1">
      <c r="A529">
        <f>IF(ISBLANK(B529), "","CountryGroup-528")</f>
        <v>0</v>
      </c>
    </row>
    <row r="530" spans="1:1">
      <c r="A530">
        <f>IF(ISBLANK(B530), "","CountryGroup-529")</f>
        <v>0</v>
      </c>
    </row>
    <row r="531" spans="1:1">
      <c r="A531">
        <f>IF(ISBLANK(B531), "","CountryGroup-530")</f>
        <v>0</v>
      </c>
    </row>
    <row r="532" spans="1:1">
      <c r="A532">
        <f>IF(ISBLANK(B532), "","CountryGroup-531")</f>
        <v>0</v>
      </c>
    </row>
    <row r="533" spans="1:1">
      <c r="A533">
        <f>IF(ISBLANK(B533), "","CountryGroup-532")</f>
        <v>0</v>
      </c>
    </row>
    <row r="534" spans="1:1">
      <c r="A534">
        <f>IF(ISBLANK(B534), "","CountryGroup-533")</f>
        <v>0</v>
      </c>
    </row>
    <row r="535" spans="1:1">
      <c r="A535">
        <f>IF(ISBLANK(B535), "","CountryGroup-534")</f>
        <v>0</v>
      </c>
    </row>
    <row r="536" spans="1:1">
      <c r="A536">
        <f>IF(ISBLANK(B536), "","CountryGroup-535")</f>
        <v>0</v>
      </c>
    </row>
    <row r="537" spans="1:1">
      <c r="A537">
        <f>IF(ISBLANK(B537), "","CountryGroup-536")</f>
        <v>0</v>
      </c>
    </row>
    <row r="538" spans="1:1">
      <c r="A538">
        <f>IF(ISBLANK(B538), "","CountryGroup-537")</f>
        <v>0</v>
      </c>
    </row>
    <row r="539" spans="1:1">
      <c r="A539">
        <f>IF(ISBLANK(B539), "","CountryGroup-538")</f>
        <v>0</v>
      </c>
    </row>
    <row r="540" spans="1:1">
      <c r="A540">
        <f>IF(ISBLANK(B540), "","CountryGroup-539")</f>
        <v>0</v>
      </c>
    </row>
    <row r="541" spans="1:1">
      <c r="A541">
        <f>IF(ISBLANK(B541), "","CountryGroup-540")</f>
        <v>0</v>
      </c>
    </row>
    <row r="542" spans="1:1">
      <c r="A542">
        <f>IF(ISBLANK(B542), "","CountryGroup-541")</f>
        <v>0</v>
      </c>
    </row>
    <row r="543" spans="1:1">
      <c r="A543">
        <f>IF(ISBLANK(B543), "","CountryGroup-542")</f>
        <v>0</v>
      </c>
    </row>
    <row r="544" spans="1:1">
      <c r="A544">
        <f>IF(ISBLANK(B544), "","CountryGroup-543")</f>
        <v>0</v>
      </c>
    </row>
    <row r="545" spans="1:1">
      <c r="A545">
        <f>IF(ISBLANK(B545), "","CountryGroup-544")</f>
        <v>0</v>
      </c>
    </row>
    <row r="546" spans="1:1">
      <c r="A546">
        <f>IF(ISBLANK(B546), "","CountryGroup-545")</f>
        <v>0</v>
      </c>
    </row>
    <row r="547" spans="1:1">
      <c r="A547">
        <f>IF(ISBLANK(B547), "","CountryGroup-546")</f>
        <v>0</v>
      </c>
    </row>
    <row r="548" spans="1:1">
      <c r="A548">
        <f>IF(ISBLANK(B548), "","CountryGroup-547")</f>
        <v>0</v>
      </c>
    </row>
    <row r="549" spans="1:1">
      <c r="A549">
        <f>IF(ISBLANK(B549), "","CountryGroup-548")</f>
        <v>0</v>
      </c>
    </row>
    <row r="550" spans="1:1">
      <c r="A550">
        <f>IF(ISBLANK(B550), "","CountryGroup-549")</f>
        <v>0</v>
      </c>
    </row>
    <row r="551" spans="1:1">
      <c r="A551">
        <f>IF(ISBLANK(B551), "","CountryGroup-550")</f>
        <v>0</v>
      </c>
    </row>
    <row r="552" spans="1:1">
      <c r="A552">
        <f>IF(ISBLANK(B552), "","CountryGroup-551")</f>
        <v>0</v>
      </c>
    </row>
    <row r="553" spans="1:1">
      <c r="A553">
        <f>IF(ISBLANK(B553), "","CountryGroup-552")</f>
        <v>0</v>
      </c>
    </row>
    <row r="554" spans="1:1">
      <c r="A554">
        <f>IF(ISBLANK(B554), "","CountryGroup-553")</f>
        <v>0</v>
      </c>
    </row>
    <row r="555" spans="1:1">
      <c r="A555">
        <f>IF(ISBLANK(B555), "","CountryGroup-554")</f>
        <v>0</v>
      </c>
    </row>
    <row r="556" spans="1:1">
      <c r="A556">
        <f>IF(ISBLANK(B556), "","CountryGroup-555")</f>
        <v>0</v>
      </c>
    </row>
    <row r="557" spans="1:1">
      <c r="A557">
        <f>IF(ISBLANK(B557), "","CountryGroup-556")</f>
        <v>0</v>
      </c>
    </row>
    <row r="558" spans="1:1">
      <c r="A558">
        <f>IF(ISBLANK(B558), "","CountryGroup-557")</f>
        <v>0</v>
      </c>
    </row>
    <row r="559" spans="1:1">
      <c r="A559">
        <f>IF(ISBLANK(B559), "","CountryGroup-558")</f>
        <v>0</v>
      </c>
    </row>
    <row r="560" spans="1:1">
      <c r="A560">
        <f>IF(ISBLANK(B560), "","CountryGroup-559")</f>
        <v>0</v>
      </c>
    </row>
    <row r="561" spans="1:1">
      <c r="A561">
        <f>IF(ISBLANK(B561), "","CountryGroup-560")</f>
        <v>0</v>
      </c>
    </row>
    <row r="562" spans="1:1">
      <c r="A562">
        <f>IF(ISBLANK(B562), "","CountryGroup-561")</f>
        <v>0</v>
      </c>
    </row>
    <row r="563" spans="1:1">
      <c r="A563">
        <f>IF(ISBLANK(B563), "","CountryGroup-562")</f>
        <v>0</v>
      </c>
    </row>
    <row r="564" spans="1:1">
      <c r="A564">
        <f>IF(ISBLANK(B564), "","CountryGroup-563")</f>
        <v>0</v>
      </c>
    </row>
    <row r="565" spans="1:1">
      <c r="A565">
        <f>IF(ISBLANK(B565), "","CountryGroup-564")</f>
        <v>0</v>
      </c>
    </row>
    <row r="566" spans="1:1">
      <c r="A566">
        <f>IF(ISBLANK(B566), "","CountryGroup-565")</f>
        <v>0</v>
      </c>
    </row>
    <row r="567" spans="1:1">
      <c r="A567">
        <f>IF(ISBLANK(B567), "","CountryGroup-566")</f>
        <v>0</v>
      </c>
    </row>
    <row r="568" spans="1:1">
      <c r="A568">
        <f>IF(ISBLANK(B568), "","CountryGroup-567")</f>
        <v>0</v>
      </c>
    </row>
    <row r="569" spans="1:1">
      <c r="A569">
        <f>IF(ISBLANK(B569), "","CountryGroup-568")</f>
        <v>0</v>
      </c>
    </row>
    <row r="570" spans="1:1">
      <c r="A570">
        <f>IF(ISBLANK(B570), "","CountryGroup-569")</f>
        <v>0</v>
      </c>
    </row>
    <row r="571" spans="1:1">
      <c r="A571">
        <f>IF(ISBLANK(B571), "","CountryGroup-570")</f>
        <v>0</v>
      </c>
    </row>
    <row r="572" spans="1:1">
      <c r="A572">
        <f>IF(ISBLANK(B572), "","CountryGroup-571")</f>
        <v>0</v>
      </c>
    </row>
    <row r="573" spans="1:1">
      <c r="A573">
        <f>IF(ISBLANK(B573), "","CountryGroup-572")</f>
        <v>0</v>
      </c>
    </row>
    <row r="574" spans="1:1">
      <c r="A574">
        <f>IF(ISBLANK(B574), "","CountryGroup-573")</f>
        <v>0</v>
      </c>
    </row>
    <row r="575" spans="1:1">
      <c r="A575">
        <f>IF(ISBLANK(B575), "","CountryGroup-574")</f>
        <v>0</v>
      </c>
    </row>
    <row r="576" spans="1:1">
      <c r="A576">
        <f>IF(ISBLANK(B576), "","CountryGroup-575")</f>
        <v>0</v>
      </c>
    </row>
    <row r="577" spans="1:1">
      <c r="A577">
        <f>IF(ISBLANK(B577), "","CountryGroup-576")</f>
        <v>0</v>
      </c>
    </row>
    <row r="578" spans="1:1">
      <c r="A578">
        <f>IF(ISBLANK(B578), "","CountryGroup-577")</f>
        <v>0</v>
      </c>
    </row>
    <row r="579" spans="1:1">
      <c r="A579">
        <f>IF(ISBLANK(B579), "","CountryGroup-578")</f>
        <v>0</v>
      </c>
    </row>
    <row r="580" spans="1:1">
      <c r="A580">
        <f>IF(ISBLANK(B580), "","CountryGroup-579")</f>
        <v>0</v>
      </c>
    </row>
    <row r="581" spans="1:1">
      <c r="A581">
        <f>IF(ISBLANK(B581), "","CountryGroup-580")</f>
        <v>0</v>
      </c>
    </row>
    <row r="582" spans="1:1">
      <c r="A582">
        <f>IF(ISBLANK(B582), "","CountryGroup-581")</f>
        <v>0</v>
      </c>
    </row>
    <row r="583" spans="1:1">
      <c r="A583">
        <f>IF(ISBLANK(B583), "","CountryGroup-582")</f>
        <v>0</v>
      </c>
    </row>
    <row r="584" spans="1:1">
      <c r="A584">
        <f>IF(ISBLANK(B584), "","CountryGroup-583")</f>
        <v>0</v>
      </c>
    </row>
    <row r="585" spans="1:1">
      <c r="A585">
        <f>IF(ISBLANK(B585), "","CountryGroup-584")</f>
        <v>0</v>
      </c>
    </row>
    <row r="586" spans="1:1">
      <c r="A586">
        <f>IF(ISBLANK(B586), "","CountryGroup-585")</f>
        <v>0</v>
      </c>
    </row>
    <row r="587" spans="1:1">
      <c r="A587">
        <f>IF(ISBLANK(B587), "","CountryGroup-586")</f>
        <v>0</v>
      </c>
    </row>
    <row r="588" spans="1:1">
      <c r="A588">
        <f>IF(ISBLANK(B588), "","CountryGroup-587")</f>
        <v>0</v>
      </c>
    </row>
    <row r="589" spans="1:1">
      <c r="A589">
        <f>IF(ISBLANK(B589), "","CountryGroup-588")</f>
        <v>0</v>
      </c>
    </row>
    <row r="590" spans="1:1">
      <c r="A590">
        <f>IF(ISBLANK(B590), "","CountryGroup-589")</f>
        <v>0</v>
      </c>
    </row>
    <row r="591" spans="1:1">
      <c r="A591">
        <f>IF(ISBLANK(B591), "","CountryGroup-590")</f>
        <v>0</v>
      </c>
    </row>
    <row r="592" spans="1:1">
      <c r="A592">
        <f>IF(ISBLANK(B592), "","CountryGroup-591")</f>
        <v>0</v>
      </c>
    </row>
    <row r="593" spans="1:1">
      <c r="A593">
        <f>IF(ISBLANK(B593), "","CountryGroup-592")</f>
        <v>0</v>
      </c>
    </row>
    <row r="594" spans="1:1">
      <c r="A594">
        <f>IF(ISBLANK(B594), "","CountryGroup-593")</f>
        <v>0</v>
      </c>
    </row>
    <row r="595" spans="1:1">
      <c r="A595">
        <f>IF(ISBLANK(B595), "","CountryGroup-594")</f>
        <v>0</v>
      </c>
    </row>
    <row r="596" spans="1:1">
      <c r="A596">
        <f>IF(ISBLANK(B596), "","CountryGroup-595")</f>
        <v>0</v>
      </c>
    </row>
    <row r="597" spans="1:1">
      <c r="A597">
        <f>IF(ISBLANK(B597), "","CountryGroup-596")</f>
        <v>0</v>
      </c>
    </row>
    <row r="598" spans="1:1">
      <c r="A598">
        <f>IF(ISBLANK(B598), "","CountryGroup-597")</f>
        <v>0</v>
      </c>
    </row>
    <row r="599" spans="1:1">
      <c r="A599">
        <f>IF(ISBLANK(B599), "","CountryGroup-598")</f>
        <v>0</v>
      </c>
    </row>
    <row r="600" spans="1:1">
      <c r="A600">
        <f>IF(ISBLANK(B600), "","CountryGroup-599")</f>
        <v>0</v>
      </c>
    </row>
    <row r="601" spans="1:1">
      <c r="A601">
        <f>IF(ISBLANK(B601), "","CountryGroup-600")</f>
        <v>0</v>
      </c>
    </row>
    <row r="602" spans="1:1">
      <c r="A602">
        <f>IF(ISBLANK(B602), "","CountryGroup-601")</f>
        <v>0</v>
      </c>
    </row>
    <row r="603" spans="1:1">
      <c r="A603">
        <f>IF(ISBLANK(B603), "","CountryGroup-602")</f>
        <v>0</v>
      </c>
    </row>
    <row r="604" spans="1:1">
      <c r="A604">
        <f>IF(ISBLANK(B604), "","CountryGroup-603")</f>
        <v>0</v>
      </c>
    </row>
    <row r="605" spans="1:1">
      <c r="A605">
        <f>IF(ISBLANK(B605), "","CountryGroup-604")</f>
        <v>0</v>
      </c>
    </row>
    <row r="606" spans="1:1">
      <c r="A606">
        <f>IF(ISBLANK(B606), "","CountryGroup-605")</f>
        <v>0</v>
      </c>
    </row>
    <row r="607" spans="1:1">
      <c r="A607">
        <f>IF(ISBLANK(B607), "","CountryGroup-606")</f>
        <v>0</v>
      </c>
    </row>
    <row r="608" spans="1:1">
      <c r="A608">
        <f>IF(ISBLANK(B608), "","CountryGroup-607")</f>
        <v>0</v>
      </c>
    </row>
    <row r="609" spans="1:1">
      <c r="A609">
        <f>IF(ISBLANK(B609), "","CountryGroup-608")</f>
        <v>0</v>
      </c>
    </row>
    <row r="610" spans="1:1">
      <c r="A610">
        <f>IF(ISBLANK(B610), "","CountryGroup-609")</f>
        <v>0</v>
      </c>
    </row>
    <row r="611" spans="1:1">
      <c r="A611">
        <f>IF(ISBLANK(B611), "","CountryGroup-610")</f>
        <v>0</v>
      </c>
    </row>
    <row r="612" spans="1:1">
      <c r="A612">
        <f>IF(ISBLANK(B612), "","CountryGroup-611")</f>
        <v>0</v>
      </c>
    </row>
    <row r="613" spans="1:1">
      <c r="A613">
        <f>IF(ISBLANK(B613), "","CountryGroup-612")</f>
        <v>0</v>
      </c>
    </row>
    <row r="614" spans="1:1">
      <c r="A614">
        <f>IF(ISBLANK(B614), "","CountryGroup-613")</f>
        <v>0</v>
      </c>
    </row>
    <row r="615" spans="1:1">
      <c r="A615">
        <f>IF(ISBLANK(B615), "","CountryGroup-614")</f>
        <v>0</v>
      </c>
    </row>
    <row r="616" spans="1:1">
      <c r="A616">
        <f>IF(ISBLANK(B616), "","CountryGroup-615")</f>
        <v>0</v>
      </c>
    </row>
    <row r="617" spans="1:1">
      <c r="A617">
        <f>IF(ISBLANK(B617), "","CountryGroup-616")</f>
        <v>0</v>
      </c>
    </row>
    <row r="618" spans="1:1">
      <c r="A618">
        <f>IF(ISBLANK(B618), "","CountryGroup-617")</f>
        <v>0</v>
      </c>
    </row>
    <row r="619" spans="1:1">
      <c r="A619">
        <f>IF(ISBLANK(B619), "","CountryGroup-618")</f>
        <v>0</v>
      </c>
    </row>
    <row r="620" spans="1:1">
      <c r="A620">
        <f>IF(ISBLANK(B620), "","CountryGroup-619")</f>
        <v>0</v>
      </c>
    </row>
    <row r="621" spans="1:1">
      <c r="A621">
        <f>IF(ISBLANK(B621), "","CountryGroup-620")</f>
        <v>0</v>
      </c>
    </row>
    <row r="622" spans="1:1">
      <c r="A622">
        <f>IF(ISBLANK(B622), "","CountryGroup-621")</f>
        <v>0</v>
      </c>
    </row>
    <row r="623" spans="1:1">
      <c r="A623">
        <f>IF(ISBLANK(B623), "","CountryGroup-622")</f>
        <v>0</v>
      </c>
    </row>
    <row r="624" spans="1:1">
      <c r="A624">
        <f>IF(ISBLANK(B624), "","CountryGroup-623")</f>
        <v>0</v>
      </c>
    </row>
    <row r="625" spans="1:1">
      <c r="A625">
        <f>IF(ISBLANK(B625), "","CountryGroup-624")</f>
        <v>0</v>
      </c>
    </row>
    <row r="626" spans="1:1">
      <c r="A626">
        <f>IF(ISBLANK(B626), "","CountryGroup-625")</f>
        <v>0</v>
      </c>
    </row>
    <row r="627" spans="1:1">
      <c r="A627">
        <f>IF(ISBLANK(B627), "","CountryGroup-626")</f>
        <v>0</v>
      </c>
    </row>
    <row r="628" spans="1:1">
      <c r="A628">
        <f>IF(ISBLANK(B628), "","CountryGroup-627")</f>
        <v>0</v>
      </c>
    </row>
    <row r="629" spans="1:1">
      <c r="A629">
        <f>IF(ISBLANK(B629), "","CountryGroup-628")</f>
        <v>0</v>
      </c>
    </row>
    <row r="630" spans="1:1">
      <c r="A630">
        <f>IF(ISBLANK(B630), "","CountryGroup-629")</f>
        <v>0</v>
      </c>
    </row>
    <row r="631" spans="1:1">
      <c r="A631">
        <f>IF(ISBLANK(B631), "","CountryGroup-630")</f>
        <v>0</v>
      </c>
    </row>
    <row r="632" spans="1:1">
      <c r="A632">
        <f>IF(ISBLANK(B632), "","CountryGroup-631")</f>
        <v>0</v>
      </c>
    </row>
    <row r="633" spans="1:1">
      <c r="A633">
        <f>IF(ISBLANK(B633), "","CountryGroup-632")</f>
        <v>0</v>
      </c>
    </row>
    <row r="634" spans="1:1">
      <c r="A634">
        <f>IF(ISBLANK(B634), "","CountryGroup-633")</f>
        <v>0</v>
      </c>
    </row>
    <row r="635" spans="1:1">
      <c r="A635">
        <f>IF(ISBLANK(B635), "","CountryGroup-634")</f>
        <v>0</v>
      </c>
    </row>
    <row r="636" spans="1:1">
      <c r="A636">
        <f>IF(ISBLANK(B636), "","CountryGroup-635")</f>
        <v>0</v>
      </c>
    </row>
    <row r="637" spans="1:1">
      <c r="A637">
        <f>IF(ISBLANK(B637), "","CountryGroup-636")</f>
        <v>0</v>
      </c>
    </row>
    <row r="638" spans="1:1">
      <c r="A638">
        <f>IF(ISBLANK(B638), "","CountryGroup-637")</f>
        <v>0</v>
      </c>
    </row>
    <row r="639" spans="1:1">
      <c r="A639">
        <f>IF(ISBLANK(B639), "","CountryGroup-638")</f>
        <v>0</v>
      </c>
    </row>
    <row r="640" spans="1:1">
      <c r="A640">
        <f>IF(ISBLANK(B640), "","CountryGroup-639")</f>
        <v>0</v>
      </c>
    </row>
    <row r="641" spans="1:1">
      <c r="A641">
        <f>IF(ISBLANK(B641), "","CountryGroup-640")</f>
        <v>0</v>
      </c>
    </row>
    <row r="642" spans="1:1">
      <c r="A642">
        <f>IF(ISBLANK(B642), "","CountryGroup-641")</f>
        <v>0</v>
      </c>
    </row>
    <row r="643" spans="1:1">
      <c r="A643">
        <f>IF(ISBLANK(B643), "","CountryGroup-642")</f>
        <v>0</v>
      </c>
    </row>
    <row r="644" spans="1:1">
      <c r="A644">
        <f>IF(ISBLANK(B644), "","CountryGroup-643")</f>
        <v>0</v>
      </c>
    </row>
    <row r="645" spans="1:1">
      <c r="A645">
        <f>IF(ISBLANK(B645), "","CountryGroup-644")</f>
        <v>0</v>
      </c>
    </row>
    <row r="646" spans="1:1">
      <c r="A646">
        <f>IF(ISBLANK(B646), "","CountryGroup-645")</f>
        <v>0</v>
      </c>
    </row>
    <row r="647" spans="1:1">
      <c r="A647">
        <f>IF(ISBLANK(B647), "","CountryGroup-646")</f>
        <v>0</v>
      </c>
    </row>
    <row r="648" spans="1:1">
      <c r="A648">
        <f>IF(ISBLANK(B648), "","CountryGroup-647")</f>
        <v>0</v>
      </c>
    </row>
    <row r="649" spans="1:1">
      <c r="A649">
        <f>IF(ISBLANK(B649), "","CountryGroup-648")</f>
        <v>0</v>
      </c>
    </row>
    <row r="650" spans="1:1">
      <c r="A650">
        <f>IF(ISBLANK(B650), "","CountryGroup-649")</f>
        <v>0</v>
      </c>
    </row>
    <row r="651" spans="1:1">
      <c r="A651">
        <f>IF(ISBLANK(B651), "","CountryGroup-650")</f>
        <v>0</v>
      </c>
    </row>
    <row r="652" spans="1:1">
      <c r="A652">
        <f>IF(ISBLANK(B652), "","CountryGroup-651")</f>
        <v>0</v>
      </c>
    </row>
    <row r="653" spans="1:1">
      <c r="A653">
        <f>IF(ISBLANK(B653), "","CountryGroup-652")</f>
        <v>0</v>
      </c>
    </row>
    <row r="654" spans="1:1">
      <c r="A654">
        <f>IF(ISBLANK(B654), "","CountryGroup-653")</f>
        <v>0</v>
      </c>
    </row>
    <row r="655" spans="1:1">
      <c r="A655">
        <f>IF(ISBLANK(B655), "","CountryGroup-654")</f>
        <v>0</v>
      </c>
    </row>
    <row r="656" spans="1:1">
      <c r="A656">
        <f>IF(ISBLANK(B656), "","CountryGroup-655")</f>
        <v>0</v>
      </c>
    </row>
    <row r="657" spans="1:1">
      <c r="A657">
        <f>IF(ISBLANK(B657), "","CountryGroup-656")</f>
        <v>0</v>
      </c>
    </row>
    <row r="658" spans="1:1">
      <c r="A658">
        <f>IF(ISBLANK(B658), "","CountryGroup-657")</f>
        <v>0</v>
      </c>
    </row>
    <row r="659" spans="1:1">
      <c r="A659">
        <f>IF(ISBLANK(B659), "","CountryGroup-658")</f>
        <v>0</v>
      </c>
    </row>
    <row r="660" spans="1:1">
      <c r="A660">
        <f>IF(ISBLANK(B660), "","CountryGroup-659")</f>
        <v>0</v>
      </c>
    </row>
    <row r="661" spans="1:1">
      <c r="A661">
        <f>IF(ISBLANK(B661), "","CountryGroup-660")</f>
        <v>0</v>
      </c>
    </row>
    <row r="662" spans="1:1">
      <c r="A662">
        <f>IF(ISBLANK(B662), "","CountryGroup-661")</f>
        <v>0</v>
      </c>
    </row>
    <row r="663" spans="1:1">
      <c r="A663">
        <f>IF(ISBLANK(B663), "","CountryGroup-662")</f>
        <v>0</v>
      </c>
    </row>
    <row r="664" spans="1:1">
      <c r="A664">
        <f>IF(ISBLANK(B664), "","CountryGroup-663")</f>
        <v>0</v>
      </c>
    </row>
    <row r="665" spans="1:1">
      <c r="A665">
        <f>IF(ISBLANK(B665), "","CountryGroup-664")</f>
        <v>0</v>
      </c>
    </row>
    <row r="666" spans="1:1">
      <c r="A666">
        <f>IF(ISBLANK(B666), "","CountryGroup-665")</f>
        <v>0</v>
      </c>
    </row>
    <row r="667" spans="1:1">
      <c r="A667">
        <f>IF(ISBLANK(B667), "","CountryGroup-666")</f>
        <v>0</v>
      </c>
    </row>
    <row r="668" spans="1:1">
      <c r="A668">
        <f>IF(ISBLANK(B668), "","CountryGroup-667")</f>
        <v>0</v>
      </c>
    </row>
    <row r="669" spans="1:1">
      <c r="A669">
        <f>IF(ISBLANK(B669), "","CountryGroup-668")</f>
        <v>0</v>
      </c>
    </row>
    <row r="670" spans="1:1">
      <c r="A670">
        <f>IF(ISBLANK(B670), "","CountryGroup-669")</f>
        <v>0</v>
      </c>
    </row>
    <row r="671" spans="1:1">
      <c r="A671">
        <f>IF(ISBLANK(B671), "","CountryGroup-670")</f>
        <v>0</v>
      </c>
    </row>
    <row r="672" spans="1:1">
      <c r="A672">
        <f>IF(ISBLANK(B672), "","CountryGroup-671")</f>
        <v>0</v>
      </c>
    </row>
    <row r="673" spans="1:1">
      <c r="A673">
        <f>IF(ISBLANK(B673), "","CountryGroup-672")</f>
        <v>0</v>
      </c>
    </row>
    <row r="674" spans="1:1">
      <c r="A674">
        <f>IF(ISBLANK(B674), "","CountryGroup-673")</f>
        <v>0</v>
      </c>
    </row>
    <row r="675" spans="1:1">
      <c r="A675">
        <f>IF(ISBLANK(B675), "","CountryGroup-674")</f>
        <v>0</v>
      </c>
    </row>
    <row r="676" spans="1:1">
      <c r="A676">
        <f>IF(ISBLANK(B676), "","CountryGroup-675")</f>
        <v>0</v>
      </c>
    </row>
    <row r="677" spans="1:1">
      <c r="A677">
        <f>IF(ISBLANK(B677), "","CountryGroup-676")</f>
        <v>0</v>
      </c>
    </row>
    <row r="678" spans="1:1">
      <c r="A678">
        <f>IF(ISBLANK(B678), "","CountryGroup-677")</f>
        <v>0</v>
      </c>
    </row>
    <row r="679" spans="1:1">
      <c r="A679">
        <f>IF(ISBLANK(B679), "","CountryGroup-678")</f>
        <v>0</v>
      </c>
    </row>
    <row r="680" spans="1:1">
      <c r="A680">
        <f>IF(ISBLANK(B680), "","CountryGroup-679")</f>
        <v>0</v>
      </c>
    </row>
    <row r="681" spans="1:1">
      <c r="A681">
        <f>IF(ISBLANK(B681), "","CountryGroup-680")</f>
        <v>0</v>
      </c>
    </row>
    <row r="682" spans="1:1">
      <c r="A682">
        <f>IF(ISBLANK(B682), "","CountryGroup-681")</f>
        <v>0</v>
      </c>
    </row>
    <row r="683" spans="1:1">
      <c r="A683">
        <f>IF(ISBLANK(B683), "","CountryGroup-682")</f>
        <v>0</v>
      </c>
    </row>
    <row r="684" spans="1:1">
      <c r="A684">
        <f>IF(ISBLANK(B684), "","CountryGroup-683")</f>
        <v>0</v>
      </c>
    </row>
    <row r="685" spans="1:1">
      <c r="A685">
        <f>IF(ISBLANK(B685), "","CountryGroup-684")</f>
        <v>0</v>
      </c>
    </row>
    <row r="686" spans="1:1">
      <c r="A686">
        <f>IF(ISBLANK(B686), "","CountryGroup-685")</f>
        <v>0</v>
      </c>
    </row>
    <row r="687" spans="1:1">
      <c r="A687">
        <f>IF(ISBLANK(B687), "","CountryGroup-686")</f>
        <v>0</v>
      </c>
    </row>
    <row r="688" spans="1:1">
      <c r="A688">
        <f>IF(ISBLANK(B688), "","CountryGroup-687")</f>
        <v>0</v>
      </c>
    </row>
    <row r="689" spans="1:1">
      <c r="A689">
        <f>IF(ISBLANK(B689), "","CountryGroup-688")</f>
        <v>0</v>
      </c>
    </row>
    <row r="690" spans="1:1">
      <c r="A690">
        <f>IF(ISBLANK(B690), "","CountryGroup-689")</f>
        <v>0</v>
      </c>
    </row>
    <row r="691" spans="1:1">
      <c r="A691">
        <f>IF(ISBLANK(B691), "","CountryGroup-690")</f>
        <v>0</v>
      </c>
    </row>
    <row r="692" spans="1:1">
      <c r="A692">
        <f>IF(ISBLANK(B692), "","CountryGroup-691")</f>
        <v>0</v>
      </c>
    </row>
    <row r="693" spans="1:1">
      <c r="A693">
        <f>IF(ISBLANK(B693), "","CountryGroup-692")</f>
        <v>0</v>
      </c>
    </row>
    <row r="694" spans="1:1">
      <c r="A694">
        <f>IF(ISBLANK(B694), "","CountryGroup-693")</f>
        <v>0</v>
      </c>
    </row>
    <row r="695" spans="1:1">
      <c r="A695">
        <f>IF(ISBLANK(B695), "","CountryGroup-694")</f>
        <v>0</v>
      </c>
    </row>
    <row r="696" spans="1:1">
      <c r="A696">
        <f>IF(ISBLANK(B696), "","CountryGroup-695")</f>
        <v>0</v>
      </c>
    </row>
    <row r="697" spans="1:1">
      <c r="A697">
        <f>IF(ISBLANK(B697), "","CountryGroup-696")</f>
        <v>0</v>
      </c>
    </row>
    <row r="698" spans="1:1">
      <c r="A698">
        <f>IF(ISBLANK(B698), "","CountryGroup-697")</f>
        <v>0</v>
      </c>
    </row>
    <row r="699" spans="1:1">
      <c r="A699">
        <f>IF(ISBLANK(B699), "","CountryGroup-698")</f>
        <v>0</v>
      </c>
    </row>
    <row r="700" spans="1:1">
      <c r="A700">
        <f>IF(ISBLANK(B700), "","CountryGroup-699")</f>
        <v>0</v>
      </c>
    </row>
    <row r="701" spans="1:1">
      <c r="A701">
        <f>IF(ISBLANK(B701), "","CountryGroup-700")</f>
        <v>0</v>
      </c>
    </row>
    <row r="702" spans="1:1">
      <c r="A702">
        <f>IF(ISBLANK(B702), "","CountryGroup-701")</f>
        <v>0</v>
      </c>
    </row>
    <row r="703" spans="1:1">
      <c r="A703">
        <f>IF(ISBLANK(B703), "","CountryGroup-702")</f>
        <v>0</v>
      </c>
    </row>
    <row r="704" spans="1:1">
      <c r="A704">
        <f>IF(ISBLANK(B704), "","CountryGroup-703")</f>
        <v>0</v>
      </c>
    </row>
    <row r="705" spans="1:1">
      <c r="A705">
        <f>IF(ISBLANK(B705), "","CountryGroup-704")</f>
        <v>0</v>
      </c>
    </row>
    <row r="706" spans="1:1">
      <c r="A706">
        <f>IF(ISBLANK(B706), "","CountryGroup-705")</f>
        <v>0</v>
      </c>
    </row>
    <row r="707" spans="1:1">
      <c r="A707">
        <f>IF(ISBLANK(B707), "","CountryGroup-706")</f>
        <v>0</v>
      </c>
    </row>
    <row r="708" spans="1:1">
      <c r="A708">
        <f>IF(ISBLANK(B708), "","CountryGroup-707")</f>
        <v>0</v>
      </c>
    </row>
    <row r="709" spans="1:1">
      <c r="A709">
        <f>IF(ISBLANK(B709), "","CountryGroup-708")</f>
        <v>0</v>
      </c>
    </row>
    <row r="710" spans="1:1">
      <c r="A710">
        <f>IF(ISBLANK(B710), "","CountryGroup-709")</f>
        <v>0</v>
      </c>
    </row>
    <row r="711" spans="1:1">
      <c r="A711">
        <f>IF(ISBLANK(B711), "","CountryGroup-710")</f>
        <v>0</v>
      </c>
    </row>
    <row r="712" spans="1:1">
      <c r="A712">
        <f>IF(ISBLANK(B712), "","CountryGroup-711")</f>
        <v>0</v>
      </c>
    </row>
    <row r="713" spans="1:1">
      <c r="A713">
        <f>IF(ISBLANK(B713), "","CountryGroup-712")</f>
        <v>0</v>
      </c>
    </row>
    <row r="714" spans="1:1">
      <c r="A714">
        <f>IF(ISBLANK(B714), "","CountryGroup-713")</f>
        <v>0</v>
      </c>
    </row>
    <row r="715" spans="1:1">
      <c r="A715">
        <f>IF(ISBLANK(B715), "","CountryGroup-714")</f>
        <v>0</v>
      </c>
    </row>
    <row r="716" spans="1:1">
      <c r="A716">
        <f>IF(ISBLANK(B716), "","CountryGroup-715")</f>
        <v>0</v>
      </c>
    </row>
    <row r="717" spans="1:1">
      <c r="A717">
        <f>IF(ISBLANK(B717), "","CountryGroup-716")</f>
        <v>0</v>
      </c>
    </row>
    <row r="718" spans="1:1">
      <c r="A718">
        <f>IF(ISBLANK(B718), "","CountryGroup-717")</f>
        <v>0</v>
      </c>
    </row>
    <row r="719" spans="1:1">
      <c r="A719">
        <f>IF(ISBLANK(B719), "","CountryGroup-718")</f>
        <v>0</v>
      </c>
    </row>
    <row r="720" spans="1:1">
      <c r="A720">
        <f>IF(ISBLANK(B720), "","CountryGroup-719")</f>
        <v>0</v>
      </c>
    </row>
    <row r="721" spans="1:1">
      <c r="A721">
        <f>IF(ISBLANK(B721), "","CountryGroup-720")</f>
        <v>0</v>
      </c>
    </row>
    <row r="722" spans="1:1">
      <c r="A722">
        <f>IF(ISBLANK(B722), "","CountryGroup-721")</f>
        <v>0</v>
      </c>
    </row>
    <row r="723" spans="1:1">
      <c r="A723">
        <f>IF(ISBLANK(B723), "","CountryGroup-722")</f>
        <v>0</v>
      </c>
    </row>
    <row r="724" spans="1:1">
      <c r="A724">
        <f>IF(ISBLANK(B724), "","CountryGroup-723")</f>
        <v>0</v>
      </c>
    </row>
    <row r="725" spans="1:1">
      <c r="A725">
        <f>IF(ISBLANK(B725), "","CountryGroup-724")</f>
        <v>0</v>
      </c>
    </row>
    <row r="726" spans="1:1">
      <c r="A726">
        <f>IF(ISBLANK(B726), "","CountryGroup-725")</f>
        <v>0</v>
      </c>
    </row>
    <row r="727" spans="1:1">
      <c r="A727">
        <f>IF(ISBLANK(B727), "","CountryGroup-726")</f>
        <v>0</v>
      </c>
    </row>
    <row r="728" spans="1:1">
      <c r="A728">
        <f>IF(ISBLANK(B728), "","CountryGroup-727")</f>
        <v>0</v>
      </c>
    </row>
    <row r="729" spans="1:1">
      <c r="A729">
        <f>IF(ISBLANK(B729), "","CountryGroup-728")</f>
        <v>0</v>
      </c>
    </row>
    <row r="730" spans="1:1">
      <c r="A730">
        <f>IF(ISBLANK(B730), "","CountryGroup-729")</f>
        <v>0</v>
      </c>
    </row>
    <row r="731" spans="1:1">
      <c r="A731">
        <f>IF(ISBLANK(B731), "","CountryGroup-730")</f>
        <v>0</v>
      </c>
    </row>
    <row r="732" spans="1:1">
      <c r="A732">
        <f>IF(ISBLANK(B732), "","CountryGroup-731")</f>
        <v>0</v>
      </c>
    </row>
    <row r="733" spans="1:1">
      <c r="A733">
        <f>IF(ISBLANK(B733), "","CountryGroup-732")</f>
        <v>0</v>
      </c>
    </row>
    <row r="734" spans="1:1">
      <c r="A734">
        <f>IF(ISBLANK(B734), "","CountryGroup-733")</f>
        <v>0</v>
      </c>
    </row>
    <row r="735" spans="1:1">
      <c r="A735">
        <f>IF(ISBLANK(B735), "","CountryGroup-734")</f>
        <v>0</v>
      </c>
    </row>
    <row r="736" spans="1:1">
      <c r="A736">
        <f>IF(ISBLANK(B736), "","CountryGroup-735")</f>
        <v>0</v>
      </c>
    </row>
    <row r="737" spans="1:1">
      <c r="A737">
        <f>IF(ISBLANK(B737), "","CountryGroup-736")</f>
        <v>0</v>
      </c>
    </row>
    <row r="738" spans="1:1">
      <c r="A738">
        <f>IF(ISBLANK(B738), "","CountryGroup-737")</f>
        <v>0</v>
      </c>
    </row>
    <row r="739" spans="1:1">
      <c r="A739">
        <f>IF(ISBLANK(B739), "","CountryGroup-738")</f>
        <v>0</v>
      </c>
    </row>
    <row r="740" spans="1:1">
      <c r="A740">
        <f>IF(ISBLANK(B740), "","CountryGroup-739")</f>
        <v>0</v>
      </c>
    </row>
    <row r="741" spans="1:1">
      <c r="A741">
        <f>IF(ISBLANK(B741), "","CountryGroup-740")</f>
        <v>0</v>
      </c>
    </row>
    <row r="742" spans="1:1">
      <c r="A742">
        <f>IF(ISBLANK(B742), "","CountryGroup-741")</f>
        <v>0</v>
      </c>
    </row>
    <row r="743" spans="1:1">
      <c r="A743">
        <f>IF(ISBLANK(B743), "","CountryGroup-742")</f>
        <v>0</v>
      </c>
    </row>
    <row r="744" spans="1:1">
      <c r="A744">
        <f>IF(ISBLANK(B744), "","CountryGroup-743")</f>
        <v>0</v>
      </c>
    </row>
    <row r="745" spans="1:1">
      <c r="A745">
        <f>IF(ISBLANK(B745), "","CountryGroup-744")</f>
        <v>0</v>
      </c>
    </row>
    <row r="746" spans="1:1">
      <c r="A746">
        <f>IF(ISBLANK(B746), "","CountryGroup-745")</f>
        <v>0</v>
      </c>
    </row>
    <row r="747" spans="1:1">
      <c r="A747">
        <f>IF(ISBLANK(B747), "","CountryGroup-746")</f>
        <v>0</v>
      </c>
    </row>
    <row r="748" spans="1:1">
      <c r="A748">
        <f>IF(ISBLANK(B748), "","CountryGroup-747")</f>
        <v>0</v>
      </c>
    </row>
    <row r="749" spans="1:1">
      <c r="A749">
        <f>IF(ISBLANK(B749), "","CountryGroup-748")</f>
        <v>0</v>
      </c>
    </row>
    <row r="750" spans="1:1">
      <c r="A750">
        <f>IF(ISBLANK(B750), "","CountryGroup-749")</f>
        <v>0</v>
      </c>
    </row>
    <row r="751" spans="1:1">
      <c r="A751">
        <f>IF(ISBLANK(B751), "","CountryGroup-750")</f>
        <v>0</v>
      </c>
    </row>
    <row r="752" spans="1:1">
      <c r="A752">
        <f>IF(ISBLANK(B752), "","CountryGroup-751")</f>
        <v>0</v>
      </c>
    </row>
    <row r="753" spans="1:1">
      <c r="A753">
        <f>IF(ISBLANK(B753), "","CountryGroup-752")</f>
        <v>0</v>
      </c>
    </row>
    <row r="754" spans="1:1">
      <c r="A754">
        <f>IF(ISBLANK(B754), "","CountryGroup-753")</f>
        <v>0</v>
      </c>
    </row>
    <row r="755" spans="1:1">
      <c r="A755">
        <f>IF(ISBLANK(B755), "","CountryGroup-754")</f>
        <v>0</v>
      </c>
    </row>
    <row r="756" spans="1:1">
      <c r="A756">
        <f>IF(ISBLANK(B756), "","CountryGroup-755")</f>
        <v>0</v>
      </c>
    </row>
    <row r="757" spans="1:1">
      <c r="A757">
        <f>IF(ISBLANK(B757), "","CountryGroup-756")</f>
        <v>0</v>
      </c>
    </row>
    <row r="758" spans="1:1">
      <c r="A758">
        <f>IF(ISBLANK(B758), "","CountryGroup-757")</f>
        <v>0</v>
      </c>
    </row>
    <row r="759" spans="1:1">
      <c r="A759">
        <f>IF(ISBLANK(B759), "","CountryGroup-758")</f>
        <v>0</v>
      </c>
    </row>
    <row r="760" spans="1:1">
      <c r="A760">
        <f>IF(ISBLANK(B760), "","CountryGroup-759")</f>
        <v>0</v>
      </c>
    </row>
    <row r="761" spans="1:1">
      <c r="A761">
        <f>IF(ISBLANK(B761), "","CountryGroup-760")</f>
        <v>0</v>
      </c>
    </row>
    <row r="762" spans="1:1">
      <c r="A762">
        <f>IF(ISBLANK(B762), "","CountryGroup-761")</f>
        <v>0</v>
      </c>
    </row>
    <row r="763" spans="1:1">
      <c r="A763">
        <f>IF(ISBLANK(B763), "","CountryGroup-762")</f>
        <v>0</v>
      </c>
    </row>
    <row r="764" spans="1:1">
      <c r="A764">
        <f>IF(ISBLANK(B764), "","CountryGroup-763")</f>
        <v>0</v>
      </c>
    </row>
    <row r="765" spans="1:1">
      <c r="A765">
        <f>IF(ISBLANK(B765), "","CountryGroup-764")</f>
        <v>0</v>
      </c>
    </row>
    <row r="766" spans="1:1">
      <c r="A766">
        <f>IF(ISBLANK(B766), "","CountryGroup-765")</f>
        <v>0</v>
      </c>
    </row>
    <row r="767" spans="1:1">
      <c r="A767">
        <f>IF(ISBLANK(B767), "","CountryGroup-766")</f>
        <v>0</v>
      </c>
    </row>
    <row r="768" spans="1:1">
      <c r="A768">
        <f>IF(ISBLANK(B768), "","CountryGroup-767")</f>
        <v>0</v>
      </c>
    </row>
    <row r="769" spans="1:1">
      <c r="A769">
        <f>IF(ISBLANK(B769), "","CountryGroup-768")</f>
        <v>0</v>
      </c>
    </row>
    <row r="770" spans="1:1">
      <c r="A770">
        <f>IF(ISBLANK(B770), "","CountryGroup-769")</f>
        <v>0</v>
      </c>
    </row>
    <row r="771" spans="1:1">
      <c r="A771">
        <f>IF(ISBLANK(B771), "","CountryGroup-770")</f>
        <v>0</v>
      </c>
    </row>
    <row r="772" spans="1:1">
      <c r="A772">
        <f>IF(ISBLANK(B772), "","CountryGroup-771")</f>
        <v>0</v>
      </c>
    </row>
    <row r="773" spans="1:1">
      <c r="A773">
        <f>IF(ISBLANK(B773), "","CountryGroup-772")</f>
        <v>0</v>
      </c>
    </row>
    <row r="774" spans="1:1">
      <c r="A774">
        <f>IF(ISBLANK(B774), "","CountryGroup-773")</f>
        <v>0</v>
      </c>
    </row>
    <row r="775" spans="1:1">
      <c r="A775">
        <f>IF(ISBLANK(B775), "","CountryGroup-774")</f>
        <v>0</v>
      </c>
    </row>
    <row r="776" spans="1:1">
      <c r="A776">
        <f>IF(ISBLANK(B776), "","CountryGroup-775")</f>
        <v>0</v>
      </c>
    </row>
    <row r="777" spans="1:1">
      <c r="A777">
        <f>IF(ISBLANK(B777), "","CountryGroup-776")</f>
        <v>0</v>
      </c>
    </row>
    <row r="778" spans="1:1">
      <c r="A778">
        <f>IF(ISBLANK(B778), "","CountryGroup-777")</f>
        <v>0</v>
      </c>
    </row>
    <row r="779" spans="1:1">
      <c r="A779">
        <f>IF(ISBLANK(B779), "","CountryGroup-778")</f>
        <v>0</v>
      </c>
    </row>
    <row r="780" spans="1:1">
      <c r="A780">
        <f>IF(ISBLANK(B780), "","CountryGroup-779")</f>
        <v>0</v>
      </c>
    </row>
    <row r="781" spans="1:1">
      <c r="A781">
        <f>IF(ISBLANK(B781), "","CountryGroup-780")</f>
        <v>0</v>
      </c>
    </row>
    <row r="782" spans="1:1">
      <c r="A782">
        <f>IF(ISBLANK(B782), "","CountryGroup-781")</f>
        <v>0</v>
      </c>
    </row>
    <row r="783" spans="1:1">
      <c r="A783">
        <f>IF(ISBLANK(B783), "","CountryGroup-782")</f>
        <v>0</v>
      </c>
    </row>
    <row r="784" spans="1:1">
      <c r="A784">
        <f>IF(ISBLANK(B784), "","CountryGroup-783")</f>
        <v>0</v>
      </c>
    </row>
    <row r="785" spans="1:1">
      <c r="A785">
        <f>IF(ISBLANK(B785), "","CountryGroup-784")</f>
        <v>0</v>
      </c>
    </row>
    <row r="786" spans="1:1">
      <c r="A786">
        <f>IF(ISBLANK(B786), "","CountryGroup-785")</f>
        <v>0</v>
      </c>
    </row>
    <row r="787" spans="1:1">
      <c r="A787">
        <f>IF(ISBLANK(B787), "","CountryGroup-786")</f>
        <v>0</v>
      </c>
    </row>
    <row r="788" spans="1:1">
      <c r="A788">
        <f>IF(ISBLANK(B788), "","CountryGroup-787")</f>
        <v>0</v>
      </c>
    </row>
    <row r="789" spans="1:1">
      <c r="A789">
        <f>IF(ISBLANK(B789), "","CountryGroup-788")</f>
        <v>0</v>
      </c>
    </row>
    <row r="790" spans="1:1">
      <c r="A790">
        <f>IF(ISBLANK(B790), "","CountryGroup-789")</f>
        <v>0</v>
      </c>
    </row>
    <row r="791" spans="1:1">
      <c r="A791">
        <f>IF(ISBLANK(B791), "","CountryGroup-790")</f>
        <v>0</v>
      </c>
    </row>
    <row r="792" spans="1:1">
      <c r="A792">
        <f>IF(ISBLANK(B792), "","CountryGroup-791")</f>
        <v>0</v>
      </c>
    </row>
    <row r="793" spans="1:1">
      <c r="A793">
        <f>IF(ISBLANK(B793), "","CountryGroup-792")</f>
        <v>0</v>
      </c>
    </row>
    <row r="794" spans="1:1">
      <c r="A794">
        <f>IF(ISBLANK(B794), "","CountryGroup-793")</f>
        <v>0</v>
      </c>
    </row>
    <row r="795" spans="1:1">
      <c r="A795">
        <f>IF(ISBLANK(B795), "","CountryGroup-794")</f>
        <v>0</v>
      </c>
    </row>
    <row r="796" spans="1:1">
      <c r="A796">
        <f>IF(ISBLANK(B796), "","CountryGroup-795")</f>
        <v>0</v>
      </c>
    </row>
    <row r="797" spans="1:1">
      <c r="A797">
        <f>IF(ISBLANK(B797), "","CountryGroup-796")</f>
        <v>0</v>
      </c>
    </row>
    <row r="798" spans="1:1">
      <c r="A798">
        <f>IF(ISBLANK(B798), "","CountryGroup-797")</f>
        <v>0</v>
      </c>
    </row>
    <row r="799" spans="1:1">
      <c r="A799">
        <f>IF(ISBLANK(B799), "","CountryGroup-798")</f>
        <v>0</v>
      </c>
    </row>
    <row r="800" spans="1:1">
      <c r="A800">
        <f>IF(ISBLANK(B800), "","CountryGroup-799")</f>
        <v>0</v>
      </c>
    </row>
    <row r="801" spans="1:1">
      <c r="A801">
        <f>IF(ISBLANK(B801), "","CountryGroup-800")</f>
        <v>0</v>
      </c>
    </row>
    <row r="802" spans="1:1">
      <c r="A802">
        <f>IF(ISBLANK(B802), "","CountryGroup-801")</f>
        <v>0</v>
      </c>
    </row>
    <row r="803" spans="1:1">
      <c r="A803">
        <f>IF(ISBLANK(B803), "","CountryGroup-802")</f>
        <v>0</v>
      </c>
    </row>
    <row r="804" spans="1:1">
      <c r="A804">
        <f>IF(ISBLANK(B804), "","CountryGroup-803")</f>
        <v>0</v>
      </c>
    </row>
    <row r="805" spans="1:1">
      <c r="A805">
        <f>IF(ISBLANK(B805), "","CountryGroup-804")</f>
        <v>0</v>
      </c>
    </row>
    <row r="806" spans="1:1">
      <c r="A806">
        <f>IF(ISBLANK(B806), "","CountryGroup-805")</f>
        <v>0</v>
      </c>
    </row>
    <row r="807" spans="1:1">
      <c r="A807">
        <f>IF(ISBLANK(B807), "","CountryGroup-806")</f>
        <v>0</v>
      </c>
    </row>
    <row r="808" spans="1:1">
      <c r="A808">
        <f>IF(ISBLANK(B808), "","CountryGroup-807")</f>
        <v>0</v>
      </c>
    </row>
    <row r="809" spans="1:1">
      <c r="A809">
        <f>IF(ISBLANK(B809), "","CountryGroup-808")</f>
        <v>0</v>
      </c>
    </row>
    <row r="810" spans="1:1">
      <c r="A810">
        <f>IF(ISBLANK(B810), "","CountryGroup-809")</f>
        <v>0</v>
      </c>
    </row>
    <row r="811" spans="1:1">
      <c r="A811">
        <f>IF(ISBLANK(B811), "","CountryGroup-810")</f>
        <v>0</v>
      </c>
    </row>
    <row r="812" spans="1:1">
      <c r="A812">
        <f>IF(ISBLANK(B812), "","CountryGroup-811")</f>
        <v>0</v>
      </c>
    </row>
    <row r="813" spans="1:1">
      <c r="A813">
        <f>IF(ISBLANK(B813), "","CountryGroup-812")</f>
        <v>0</v>
      </c>
    </row>
    <row r="814" spans="1:1">
      <c r="A814">
        <f>IF(ISBLANK(B814), "","CountryGroup-813")</f>
        <v>0</v>
      </c>
    </row>
    <row r="815" spans="1:1">
      <c r="A815">
        <f>IF(ISBLANK(B815), "","CountryGroup-814")</f>
        <v>0</v>
      </c>
    </row>
    <row r="816" spans="1:1">
      <c r="A816">
        <f>IF(ISBLANK(B816), "","CountryGroup-815")</f>
        <v>0</v>
      </c>
    </row>
    <row r="817" spans="1:1">
      <c r="A817">
        <f>IF(ISBLANK(B817), "","CountryGroup-816")</f>
        <v>0</v>
      </c>
    </row>
    <row r="818" spans="1:1">
      <c r="A818">
        <f>IF(ISBLANK(B818), "","CountryGroup-817")</f>
        <v>0</v>
      </c>
    </row>
    <row r="819" spans="1:1">
      <c r="A819">
        <f>IF(ISBLANK(B819), "","CountryGroup-818")</f>
        <v>0</v>
      </c>
    </row>
    <row r="820" spans="1:1">
      <c r="A820">
        <f>IF(ISBLANK(B820), "","CountryGroup-819")</f>
        <v>0</v>
      </c>
    </row>
    <row r="821" spans="1:1">
      <c r="A821">
        <f>IF(ISBLANK(B821), "","CountryGroup-820")</f>
        <v>0</v>
      </c>
    </row>
    <row r="822" spans="1:1">
      <c r="A822">
        <f>IF(ISBLANK(B822), "","CountryGroup-821")</f>
        <v>0</v>
      </c>
    </row>
    <row r="823" spans="1:1">
      <c r="A823">
        <f>IF(ISBLANK(B823), "","CountryGroup-822")</f>
        <v>0</v>
      </c>
    </row>
    <row r="824" spans="1:1">
      <c r="A824">
        <f>IF(ISBLANK(B824), "","CountryGroup-823")</f>
        <v>0</v>
      </c>
    </row>
    <row r="825" spans="1:1">
      <c r="A825">
        <f>IF(ISBLANK(B825), "","CountryGroup-824")</f>
        <v>0</v>
      </c>
    </row>
    <row r="826" spans="1:1">
      <c r="A826">
        <f>IF(ISBLANK(B826), "","CountryGroup-825")</f>
        <v>0</v>
      </c>
    </row>
    <row r="827" spans="1:1">
      <c r="A827">
        <f>IF(ISBLANK(B827), "","CountryGroup-826")</f>
        <v>0</v>
      </c>
    </row>
    <row r="828" spans="1:1">
      <c r="A828">
        <f>IF(ISBLANK(B828), "","CountryGroup-827")</f>
        <v>0</v>
      </c>
    </row>
    <row r="829" spans="1:1">
      <c r="A829">
        <f>IF(ISBLANK(B829), "","CountryGroup-828")</f>
        <v>0</v>
      </c>
    </row>
    <row r="830" spans="1:1">
      <c r="A830">
        <f>IF(ISBLANK(B830), "","CountryGroup-829")</f>
        <v>0</v>
      </c>
    </row>
    <row r="831" spans="1:1">
      <c r="A831">
        <f>IF(ISBLANK(B831), "","CountryGroup-830")</f>
        <v>0</v>
      </c>
    </row>
    <row r="832" spans="1:1">
      <c r="A832">
        <f>IF(ISBLANK(B832), "","CountryGroup-831")</f>
        <v>0</v>
      </c>
    </row>
    <row r="833" spans="1:1">
      <c r="A833">
        <f>IF(ISBLANK(B833), "","CountryGroup-832")</f>
        <v>0</v>
      </c>
    </row>
    <row r="834" spans="1:1">
      <c r="A834">
        <f>IF(ISBLANK(B834), "","CountryGroup-833")</f>
        <v>0</v>
      </c>
    </row>
    <row r="835" spans="1:1">
      <c r="A835">
        <f>IF(ISBLANK(B835), "","CountryGroup-834")</f>
        <v>0</v>
      </c>
    </row>
    <row r="836" spans="1:1">
      <c r="A836">
        <f>IF(ISBLANK(B836), "","CountryGroup-835")</f>
        <v>0</v>
      </c>
    </row>
    <row r="837" spans="1:1">
      <c r="A837">
        <f>IF(ISBLANK(B837), "","CountryGroup-836")</f>
        <v>0</v>
      </c>
    </row>
    <row r="838" spans="1:1">
      <c r="A838">
        <f>IF(ISBLANK(B838), "","CountryGroup-837")</f>
        <v>0</v>
      </c>
    </row>
    <row r="839" spans="1:1">
      <c r="A839">
        <f>IF(ISBLANK(B839), "","CountryGroup-838")</f>
        <v>0</v>
      </c>
    </row>
    <row r="840" spans="1:1">
      <c r="A840">
        <f>IF(ISBLANK(B840), "","CountryGroup-839")</f>
        <v>0</v>
      </c>
    </row>
    <row r="841" spans="1:1">
      <c r="A841">
        <f>IF(ISBLANK(B841), "","CountryGroup-840")</f>
        <v>0</v>
      </c>
    </row>
    <row r="842" spans="1:1">
      <c r="A842">
        <f>IF(ISBLANK(B842), "","CountryGroup-841")</f>
        <v>0</v>
      </c>
    </row>
    <row r="843" spans="1:1">
      <c r="A843">
        <f>IF(ISBLANK(B843), "","CountryGroup-842")</f>
        <v>0</v>
      </c>
    </row>
    <row r="844" spans="1:1">
      <c r="A844">
        <f>IF(ISBLANK(B844), "","CountryGroup-843")</f>
        <v>0</v>
      </c>
    </row>
    <row r="845" spans="1:1">
      <c r="A845">
        <f>IF(ISBLANK(B845), "","CountryGroup-844")</f>
        <v>0</v>
      </c>
    </row>
    <row r="846" spans="1:1">
      <c r="A846">
        <f>IF(ISBLANK(B846), "","CountryGroup-845")</f>
        <v>0</v>
      </c>
    </row>
    <row r="847" spans="1:1">
      <c r="A847">
        <f>IF(ISBLANK(B847), "","CountryGroup-846")</f>
        <v>0</v>
      </c>
    </row>
    <row r="848" spans="1:1">
      <c r="A848">
        <f>IF(ISBLANK(B848), "","CountryGroup-847")</f>
        <v>0</v>
      </c>
    </row>
    <row r="849" spans="1:1">
      <c r="A849">
        <f>IF(ISBLANK(B849), "","CountryGroup-848")</f>
        <v>0</v>
      </c>
    </row>
    <row r="850" spans="1:1">
      <c r="A850">
        <f>IF(ISBLANK(B850), "","CountryGroup-849")</f>
        <v>0</v>
      </c>
    </row>
    <row r="851" spans="1:1">
      <c r="A851">
        <f>IF(ISBLANK(B851), "","CountryGroup-850")</f>
        <v>0</v>
      </c>
    </row>
    <row r="852" spans="1:1">
      <c r="A852">
        <f>IF(ISBLANK(B852), "","CountryGroup-851")</f>
        <v>0</v>
      </c>
    </row>
    <row r="853" spans="1:1">
      <c r="A853">
        <f>IF(ISBLANK(B853), "","CountryGroup-852")</f>
        <v>0</v>
      </c>
    </row>
    <row r="854" spans="1:1">
      <c r="A854">
        <f>IF(ISBLANK(B854), "","CountryGroup-853")</f>
        <v>0</v>
      </c>
    </row>
    <row r="855" spans="1:1">
      <c r="A855">
        <f>IF(ISBLANK(B855), "","CountryGroup-854")</f>
        <v>0</v>
      </c>
    </row>
    <row r="856" spans="1:1">
      <c r="A856">
        <f>IF(ISBLANK(B856), "","CountryGroup-855")</f>
        <v>0</v>
      </c>
    </row>
    <row r="857" spans="1:1">
      <c r="A857">
        <f>IF(ISBLANK(B857), "","CountryGroup-856")</f>
        <v>0</v>
      </c>
    </row>
    <row r="858" spans="1:1">
      <c r="A858">
        <f>IF(ISBLANK(B858), "","CountryGroup-857")</f>
        <v>0</v>
      </c>
    </row>
    <row r="859" spans="1:1">
      <c r="A859">
        <f>IF(ISBLANK(B859), "","CountryGroup-858")</f>
        <v>0</v>
      </c>
    </row>
    <row r="860" spans="1:1">
      <c r="A860">
        <f>IF(ISBLANK(B860), "","CountryGroup-859")</f>
        <v>0</v>
      </c>
    </row>
    <row r="861" spans="1:1">
      <c r="A861">
        <f>IF(ISBLANK(B861), "","CountryGroup-860")</f>
        <v>0</v>
      </c>
    </row>
    <row r="862" spans="1:1">
      <c r="A862">
        <f>IF(ISBLANK(B862), "","CountryGroup-861")</f>
        <v>0</v>
      </c>
    </row>
    <row r="863" spans="1:1">
      <c r="A863">
        <f>IF(ISBLANK(B863), "","CountryGroup-862")</f>
        <v>0</v>
      </c>
    </row>
    <row r="864" spans="1:1">
      <c r="A864">
        <f>IF(ISBLANK(B864), "","CountryGroup-863")</f>
        <v>0</v>
      </c>
    </row>
    <row r="865" spans="1:1">
      <c r="A865">
        <f>IF(ISBLANK(B865), "","CountryGroup-864")</f>
        <v>0</v>
      </c>
    </row>
    <row r="866" spans="1:1">
      <c r="A866">
        <f>IF(ISBLANK(B866), "","CountryGroup-865")</f>
        <v>0</v>
      </c>
    </row>
    <row r="867" spans="1:1">
      <c r="A867">
        <f>IF(ISBLANK(B867), "","CountryGroup-866")</f>
        <v>0</v>
      </c>
    </row>
    <row r="868" spans="1:1">
      <c r="A868">
        <f>IF(ISBLANK(B868), "","CountryGroup-867")</f>
        <v>0</v>
      </c>
    </row>
    <row r="869" spans="1:1">
      <c r="A869">
        <f>IF(ISBLANK(B869), "","CountryGroup-868")</f>
        <v>0</v>
      </c>
    </row>
    <row r="870" spans="1:1">
      <c r="A870">
        <f>IF(ISBLANK(B870), "","CountryGroup-869")</f>
        <v>0</v>
      </c>
    </row>
    <row r="871" spans="1:1">
      <c r="A871">
        <f>IF(ISBLANK(B871), "","CountryGroup-870")</f>
        <v>0</v>
      </c>
    </row>
    <row r="872" spans="1:1">
      <c r="A872">
        <f>IF(ISBLANK(B872), "","CountryGroup-871")</f>
        <v>0</v>
      </c>
    </row>
    <row r="873" spans="1:1">
      <c r="A873">
        <f>IF(ISBLANK(B873), "","CountryGroup-872")</f>
        <v>0</v>
      </c>
    </row>
    <row r="874" spans="1:1">
      <c r="A874">
        <f>IF(ISBLANK(B874), "","CountryGroup-873")</f>
        <v>0</v>
      </c>
    </row>
    <row r="875" spans="1:1">
      <c r="A875">
        <f>IF(ISBLANK(B875), "","CountryGroup-874")</f>
        <v>0</v>
      </c>
    </row>
    <row r="876" spans="1:1">
      <c r="A876">
        <f>IF(ISBLANK(B876), "","CountryGroup-875")</f>
        <v>0</v>
      </c>
    </row>
    <row r="877" spans="1:1">
      <c r="A877">
        <f>IF(ISBLANK(B877), "","CountryGroup-876")</f>
        <v>0</v>
      </c>
    </row>
    <row r="878" spans="1:1">
      <c r="A878">
        <f>IF(ISBLANK(B878), "","CountryGroup-877")</f>
        <v>0</v>
      </c>
    </row>
    <row r="879" spans="1:1">
      <c r="A879">
        <f>IF(ISBLANK(B879), "","CountryGroup-878")</f>
        <v>0</v>
      </c>
    </row>
    <row r="880" spans="1:1">
      <c r="A880">
        <f>IF(ISBLANK(B880), "","CountryGroup-879")</f>
        <v>0</v>
      </c>
    </row>
    <row r="881" spans="1:1">
      <c r="A881">
        <f>IF(ISBLANK(B881), "","CountryGroup-880")</f>
        <v>0</v>
      </c>
    </row>
    <row r="882" spans="1:1">
      <c r="A882">
        <f>IF(ISBLANK(B882), "","CountryGroup-881")</f>
        <v>0</v>
      </c>
    </row>
    <row r="883" spans="1:1">
      <c r="A883">
        <f>IF(ISBLANK(B883), "","CountryGroup-882")</f>
        <v>0</v>
      </c>
    </row>
    <row r="884" spans="1:1">
      <c r="A884">
        <f>IF(ISBLANK(B884), "","CountryGroup-883")</f>
        <v>0</v>
      </c>
    </row>
    <row r="885" spans="1:1">
      <c r="A885">
        <f>IF(ISBLANK(B885), "","CountryGroup-884")</f>
        <v>0</v>
      </c>
    </row>
    <row r="886" spans="1:1">
      <c r="A886">
        <f>IF(ISBLANK(B886), "","CountryGroup-885")</f>
        <v>0</v>
      </c>
    </row>
    <row r="887" spans="1:1">
      <c r="A887">
        <f>IF(ISBLANK(B887), "","CountryGroup-886")</f>
        <v>0</v>
      </c>
    </row>
    <row r="888" spans="1:1">
      <c r="A888">
        <f>IF(ISBLANK(B888), "","CountryGroup-887")</f>
        <v>0</v>
      </c>
    </row>
    <row r="889" spans="1:1">
      <c r="A889">
        <f>IF(ISBLANK(B889), "","CountryGroup-888")</f>
        <v>0</v>
      </c>
    </row>
    <row r="890" spans="1:1">
      <c r="A890">
        <f>IF(ISBLANK(B890), "","CountryGroup-889")</f>
        <v>0</v>
      </c>
    </row>
    <row r="891" spans="1:1">
      <c r="A891">
        <f>IF(ISBLANK(B891), "","CountryGroup-890")</f>
        <v>0</v>
      </c>
    </row>
    <row r="892" spans="1:1">
      <c r="A892">
        <f>IF(ISBLANK(B892), "","CountryGroup-891")</f>
        <v>0</v>
      </c>
    </row>
    <row r="893" spans="1:1">
      <c r="A893">
        <f>IF(ISBLANK(B893), "","CountryGroup-892")</f>
        <v>0</v>
      </c>
    </row>
    <row r="894" spans="1:1">
      <c r="A894">
        <f>IF(ISBLANK(B894), "","CountryGroup-893")</f>
        <v>0</v>
      </c>
    </row>
    <row r="895" spans="1:1">
      <c r="A895">
        <f>IF(ISBLANK(B895), "","CountryGroup-894")</f>
        <v>0</v>
      </c>
    </row>
    <row r="896" spans="1:1">
      <c r="A896">
        <f>IF(ISBLANK(B896), "","CountryGroup-895")</f>
        <v>0</v>
      </c>
    </row>
    <row r="897" spans="1:1">
      <c r="A897">
        <f>IF(ISBLANK(B897), "","CountryGroup-896")</f>
        <v>0</v>
      </c>
    </row>
    <row r="898" spans="1:1">
      <c r="A898">
        <f>IF(ISBLANK(B898), "","CountryGroup-897")</f>
        <v>0</v>
      </c>
    </row>
    <row r="899" spans="1:1">
      <c r="A899">
        <f>IF(ISBLANK(B899), "","CountryGroup-898")</f>
        <v>0</v>
      </c>
    </row>
    <row r="900" spans="1:1">
      <c r="A900">
        <f>IF(ISBLANK(B900), "","CountryGroup-899")</f>
        <v>0</v>
      </c>
    </row>
    <row r="901" spans="1:1">
      <c r="A901">
        <f>IF(ISBLANK(B901), "","CountryGroup-900")</f>
        <v>0</v>
      </c>
    </row>
    <row r="902" spans="1:1">
      <c r="A902">
        <f>IF(ISBLANK(B902), "","CountryGroup-901")</f>
        <v>0</v>
      </c>
    </row>
    <row r="903" spans="1:1">
      <c r="A903">
        <f>IF(ISBLANK(B903), "","CountryGroup-902")</f>
        <v>0</v>
      </c>
    </row>
    <row r="904" spans="1:1">
      <c r="A904">
        <f>IF(ISBLANK(B904), "","CountryGroup-903")</f>
        <v>0</v>
      </c>
    </row>
    <row r="905" spans="1:1">
      <c r="A905">
        <f>IF(ISBLANK(B905), "","CountryGroup-904")</f>
        <v>0</v>
      </c>
    </row>
    <row r="906" spans="1:1">
      <c r="A906">
        <f>IF(ISBLANK(B906), "","CountryGroup-905")</f>
        <v>0</v>
      </c>
    </row>
    <row r="907" spans="1:1">
      <c r="A907">
        <f>IF(ISBLANK(B907), "","CountryGroup-906")</f>
        <v>0</v>
      </c>
    </row>
    <row r="908" spans="1:1">
      <c r="A908">
        <f>IF(ISBLANK(B908), "","CountryGroup-907")</f>
        <v>0</v>
      </c>
    </row>
    <row r="909" spans="1:1">
      <c r="A909">
        <f>IF(ISBLANK(B909), "","CountryGroup-908")</f>
        <v>0</v>
      </c>
    </row>
    <row r="910" spans="1:1">
      <c r="A910">
        <f>IF(ISBLANK(B910), "","CountryGroup-909")</f>
        <v>0</v>
      </c>
    </row>
    <row r="911" spans="1:1">
      <c r="A911">
        <f>IF(ISBLANK(B911), "","CountryGroup-910")</f>
        <v>0</v>
      </c>
    </row>
    <row r="912" spans="1:1">
      <c r="A912">
        <f>IF(ISBLANK(B912), "","CountryGroup-911")</f>
        <v>0</v>
      </c>
    </row>
    <row r="913" spans="1:1">
      <c r="A913">
        <f>IF(ISBLANK(B913), "","CountryGroup-912")</f>
        <v>0</v>
      </c>
    </row>
    <row r="914" spans="1:1">
      <c r="A914">
        <f>IF(ISBLANK(B914), "","CountryGroup-913")</f>
        <v>0</v>
      </c>
    </row>
    <row r="915" spans="1:1">
      <c r="A915">
        <f>IF(ISBLANK(B915), "","CountryGroup-914")</f>
        <v>0</v>
      </c>
    </row>
    <row r="916" spans="1:1">
      <c r="A916">
        <f>IF(ISBLANK(B916), "","CountryGroup-915")</f>
        <v>0</v>
      </c>
    </row>
    <row r="917" spans="1:1">
      <c r="A917">
        <f>IF(ISBLANK(B917), "","CountryGroup-916")</f>
        <v>0</v>
      </c>
    </row>
    <row r="918" spans="1:1">
      <c r="A918">
        <f>IF(ISBLANK(B918), "","CountryGroup-917")</f>
        <v>0</v>
      </c>
    </row>
    <row r="919" spans="1:1">
      <c r="A919">
        <f>IF(ISBLANK(B919), "","CountryGroup-918")</f>
        <v>0</v>
      </c>
    </row>
    <row r="920" spans="1:1">
      <c r="A920">
        <f>IF(ISBLANK(B920), "","CountryGroup-919")</f>
        <v>0</v>
      </c>
    </row>
    <row r="921" spans="1:1">
      <c r="A921">
        <f>IF(ISBLANK(B921), "","CountryGroup-920")</f>
        <v>0</v>
      </c>
    </row>
    <row r="922" spans="1:1">
      <c r="A922">
        <f>IF(ISBLANK(B922), "","CountryGroup-921")</f>
        <v>0</v>
      </c>
    </row>
    <row r="923" spans="1:1">
      <c r="A923">
        <f>IF(ISBLANK(B923), "","CountryGroup-922")</f>
        <v>0</v>
      </c>
    </row>
    <row r="924" spans="1:1">
      <c r="A924">
        <f>IF(ISBLANK(B924), "","CountryGroup-923")</f>
        <v>0</v>
      </c>
    </row>
    <row r="925" spans="1:1">
      <c r="A925">
        <f>IF(ISBLANK(B925), "","CountryGroup-924")</f>
        <v>0</v>
      </c>
    </row>
    <row r="926" spans="1:1">
      <c r="A926">
        <f>IF(ISBLANK(B926), "","CountryGroup-925")</f>
        <v>0</v>
      </c>
    </row>
    <row r="927" spans="1:1">
      <c r="A927">
        <f>IF(ISBLANK(B927), "","CountryGroup-926")</f>
        <v>0</v>
      </c>
    </row>
    <row r="928" spans="1:1">
      <c r="A928">
        <f>IF(ISBLANK(B928), "","CountryGroup-927")</f>
        <v>0</v>
      </c>
    </row>
    <row r="929" spans="1:1">
      <c r="A929">
        <f>IF(ISBLANK(B929), "","CountryGroup-928")</f>
        <v>0</v>
      </c>
    </row>
    <row r="930" spans="1:1">
      <c r="A930">
        <f>IF(ISBLANK(B930), "","CountryGroup-929")</f>
        <v>0</v>
      </c>
    </row>
    <row r="931" spans="1:1">
      <c r="A931">
        <f>IF(ISBLANK(B931), "","CountryGroup-930")</f>
        <v>0</v>
      </c>
    </row>
    <row r="932" spans="1:1">
      <c r="A932">
        <f>IF(ISBLANK(B932), "","CountryGroup-931")</f>
        <v>0</v>
      </c>
    </row>
    <row r="933" spans="1:1">
      <c r="A933">
        <f>IF(ISBLANK(B933), "","CountryGroup-932")</f>
        <v>0</v>
      </c>
    </row>
    <row r="934" spans="1:1">
      <c r="A934">
        <f>IF(ISBLANK(B934), "","CountryGroup-933")</f>
        <v>0</v>
      </c>
    </row>
    <row r="935" spans="1:1">
      <c r="A935">
        <f>IF(ISBLANK(B935), "","CountryGroup-934")</f>
        <v>0</v>
      </c>
    </row>
    <row r="936" spans="1:1">
      <c r="A936">
        <f>IF(ISBLANK(B936), "","CountryGroup-935")</f>
        <v>0</v>
      </c>
    </row>
    <row r="937" spans="1:1">
      <c r="A937">
        <f>IF(ISBLANK(B937), "","CountryGroup-936")</f>
        <v>0</v>
      </c>
    </row>
    <row r="938" spans="1:1">
      <c r="A938">
        <f>IF(ISBLANK(B938), "","CountryGroup-937")</f>
        <v>0</v>
      </c>
    </row>
    <row r="939" spans="1:1">
      <c r="A939">
        <f>IF(ISBLANK(B939), "","CountryGroup-938")</f>
        <v>0</v>
      </c>
    </row>
    <row r="940" spans="1:1">
      <c r="A940">
        <f>IF(ISBLANK(B940), "","CountryGroup-939")</f>
        <v>0</v>
      </c>
    </row>
    <row r="941" spans="1:1">
      <c r="A941">
        <f>IF(ISBLANK(B941), "","CountryGroup-940")</f>
        <v>0</v>
      </c>
    </row>
    <row r="942" spans="1:1">
      <c r="A942">
        <f>IF(ISBLANK(B942), "","CountryGroup-941")</f>
        <v>0</v>
      </c>
    </row>
    <row r="943" spans="1:1">
      <c r="A943">
        <f>IF(ISBLANK(B943), "","CountryGroup-942")</f>
        <v>0</v>
      </c>
    </row>
    <row r="944" spans="1:1">
      <c r="A944">
        <f>IF(ISBLANK(B944), "","CountryGroup-943")</f>
        <v>0</v>
      </c>
    </row>
    <row r="945" spans="1:1">
      <c r="A945">
        <f>IF(ISBLANK(B945), "","CountryGroup-944")</f>
        <v>0</v>
      </c>
    </row>
    <row r="946" spans="1:1">
      <c r="A946">
        <f>IF(ISBLANK(B946), "","CountryGroup-945")</f>
        <v>0</v>
      </c>
    </row>
    <row r="947" spans="1:1">
      <c r="A947">
        <f>IF(ISBLANK(B947), "","CountryGroup-946")</f>
        <v>0</v>
      </c>
    </row>
    <row r="948" spans="1:1">
      <c r="A948">
        <f>IF(ISBLANK(B948), "","CountryGroup-947")</f>
        <v>0</v>
      </c>
    </row>
    <row r="949" spans="1:1">
      <c r="A949">
        <f>IF(ISBLANK(B949), "","CountryGroup-948")</f>
        <v>0</v>
      </c>
    </row>
    <row r="950" spans="1:1">
      <c r="A950">
        <f>IF(ISBLANK(B950), "","CountryGroup-949")</f>
        <v>0</v>
      </c>
    </row>
    <row r="951" spans="1:1">
      <c r="A951">
        <f>IF(ISBLANK(B951), "","CountryGroup-950")</f>
        <v>0</v>
      </c>
    </row>
    <row r="952" spans="1:1">
      <c r="A952">
        <f>IF(ISBLANK(B952), "","CountryGroup-951")</f>
        <v>0</v>
      </c>
    </row>
    <row r="953" spans="1:1">
      <c r="A953">
        <f>IF(ISBLANK(B953), "","CountryGroup-952")</f>
        <v>0</v>
      </c>
    </row>
    <row r="954" spans="1:1">
      <c r="A954">
        <f>IF(ISBLANK(B954), "","CountryGroup-953")</f>
        <v>0</v>
      </c>
    </row>
    <row r="955" spans="1:1">
      <c r="A955">
        <f>IF(ISBLANK(B955), "","CountryGroup-954")</f>
        <v>0</v>
      </c>
    </row>
    <row r="956" spans="1:1">
      <c r="A956">
        <f>IF(ISBLANK(B956), "","CountryGroup-955")</f>
        <v>0</v>
      </c>
    </row>
    <row r="957" spans="1:1">
      <c r="A957">
        <f>IF(ISBLANK(B957), "","CountryGroup-956")</f>
        <v>0</v>
      </c>
    </row>
    <row r="958" spans="1:1">
      <c r="A958">
        <f>IF(ISBLANK(B958), "","CountryGroup-957")</f>
        <v>0</v>
      </c>
    </row>
    <row r="959" spans="1:1">
      <c r="A959">
        <f>IF(ISBLANK(B959), "","CountryGroup-958")</f>
        <v>0</v>
      </c>
    </row>
    <row r="960" spans="1:1">
      <c r="A960">
        <f>IF(ISBLANK(B960), "","CountryGroup-959")</f>
        <v>0</v>
      </c>
    </row>
    <row r="961" spans="1:1">
      <c r="A961">
        <f>IF(ISBLANK(B961), "","CountryGroup-960")</f>
        <v>0</v>
      </c>
    </row>
    <row r="962" spans="1:1">
      <c r="A962">
        <f>IF(ISBLANK(B962), "","CountryGroup-961")</f>
        <v>0</v>
      </c>
    </row>
    <row r="963" spans="1:1">
      <c r="A963">
        <f>IF(ISBLANK(B963), "","CountryGroup-962")</f>
        <v>0</v>
      </c>
    </row>
    <row r="964" spans="1:1">
      <c r="A964">
        <f>IF(ISBLANK(B964), "","CountryGroup-963")</f>
        <v>0</v>
      </c>
    </row>
    <row r="965" spans="1:1">
      <c r="A965">
        <f>IF(ISBLANK(B965), "","CountryGroup-964")</f>
        <v>0</v>
      </c>
    </row>
    <row r="966" spans="1:1">
      <c r="A966">
        <f>IF(ISBLANK(B966), "","CountryGroup-965")</f>
        <v>0</v>
      </c>
    </row>
    <row r="967" spans="1:1">
      <c r="A967">
        <f>IF(ISBLANK(B967), "","CountryGroup-966")</f>
        <v>0</v>
      </c>
    </row>
    <row r="968" spans="1:1">
      <c r="A968">
        <f>IF(ISBLANK(B968), "","CountryGroup-967")</f>
        <v>0</v>
      </c>
    </row>
    <row r="969" spans="1:1">
      <c r="A969">
        <f>IF(ISBLANK(B969), "","CountryGroup-968")</f>
        <v>0</v>
      </c>
    </row>
    <row r="970" spans="1:1">
      <c r="A970">
        <f>IF(ISBLANK(B970), "","CountryGroup-969")</f>
        <v>0</v>
      </c>
    </row>
    <row r="971" spans="1:1">
      <c r="A971">
        <f>IF(ISBLANK(B971), "","CountryGroup-970")</f>
        <v>0</v>
      </c>
    </row>
    <row r="972" spans="1:1">
      <c r="A972">
        <f>IF(ISBLANK(B972), "","CountryGroup-971")</f>
        <v>0</v>
      </c>
    </row>
    <row r="973" spans="1:1">
      <c r="A973">
        <f>IF(ISBLANK(B973), "","CountryGroup-972")</f>
        <v>0</v>
      </c>
    </row>
    <row r="974" spans="1:1">
      <c r="A974">
        <f>IF(ISBLANK(B974), "","CountryGroup-973")</f>
        <v>0</v>
      </c>
    </row>
    <row r="975" spans="1:1">
      <c r="A975">
        <f>IF(ISBLANK(B975), "","CountryGroup-974")</f>
        <v>0</v>
      </c>
    </row>
    <row r="976" spans="1:1">
      <c r="A976">
        <f>IF(ISBLANK(B976), "","CountryGroup-975")</f>
        <v>0</v>
      </c>
    </row>
    <row r="977" spans="1:1">
      <c r="A977">
        <f>IF(ISBLANK(B977), "","CountryGroup-976")</f>
        <v>0</v>
      </c>
    </row>
    <row r="978" spans="1:1">
      <c r="A978">
        <f>IF(ISBLANK(B978), "","CountryGroup-977")</f>
        <v>0</v>
      </c>
    </row>
    <row r="979" spans="1:1">
      <c r="A979">
        <f>IF(ISBLANK(B979), "","CountryGroup-978")</f>
        <v>0</v>
      </c>
    </row>
    <row r="980" spans="1:1">
      <c r="A980">
        <f>IF(ISBLANK(B980), "","CountryGroup-979")</f>
        <v>0</v>
      </c>
    </row>
    <row r="981" spans="1:1">
      <c r="A981">
        <f>IF(ISBLANK(B981), "","CountryGroup-980")</f>
        <v>0</v>
      </c>
    </row>
    <row r="982" spans="1:1">
      <c r="A982">
        <f>IF(ISBLANK(B982), "","CountryGroup-981")</f>
        <v>0</v>
      </c>
    </row>
    <row r="983" spans="1:1">
      <c r="A983">
        <f>IF(ISBLANK(B983), "","CountryGroup-982")</f>
        <v>0</v>
      </c>
    </row>
    <row r="984" spans="1:1">
      <c r="A984">
        <f>IF(ISBLANK(B984), "","CountryGroup-983")</f>
        <v>0</v>
      </c>
    </row>
    <row r="985" spans="1:1">
      <c r="A985">
        <f>IF(ISBLANK(B985), "","CountryGroup-984")</f>
        <v>0</v>
      </c>
    </row>
    <row r="986" spans="1:1">
      <c r="A986">
        <f>IF(ISBLANK(B986), "","CountryGroup-985")</f>
        <v>0</v>
      </c>
    </row>
    <row r="987" spans="1:1">
      <c r="A987">
        <f>IF(ISBLANK(B987), "","CountryGroup-986")</f>
        <v>0</v>
      </c>
    </row>
    <row r="988" spans="1:1">
      <c r="A988">
        <f>IF(ISBLANK(B988), "","CountryGroup-987")</f>
        <v>0</v>
      </c>
    </row>
    <row r="989" spans="1:1">
      <c r="A989">
        <f>IF(ISBLANK(B989), "","CountryGroup-988")</f>
        <v>0</v>
      </c>
    </row>
    <row r="990" spans="1:1">
      <c r="A990">
        <f>IF(ISBLANK(B990), "","CountryGroup-989")</f>
        <v>0</v>
      </c>
    </row>
    <row r="991" spans="1:1">
      <c r="A991">
        <f>IF(ISBLANK(B991), "","CountryGroup-990")</f>
        <v>0</v>
      </c>
    </row>
    <row r="992" spans="1:1">
      <c r="A992">
        <f>IF(ISBLANK(B992), "","CountryGroup-991")</f>
        <v>0</v>
      </c>
    </row>
    <row r="993" spans="1:1">
      <c r="A993">
        <f>IF(ISBLANK(B993), "","CountryGroup-992")</f>
        <v>0</v>
      </c>
    </row>
    <row r="994" spans="1:1">
      <c r="A994">
        <f>IF(ISBLANK(B994), "","CountryGroup-993")</f>
        <v>0</v>
      </c>
    </row>
    <row r="995" spans="1:1">
      <c r="A995">
        <f>IF(ISBLANK(B995), "","CountryGroup-994")</f>
        <v>0</v>
      </c>
    </row>
    <row r="996" spans="1:1">
      <c r="A996">
        <f>IF(ISBLANK(B996), "","CountryGroup-995")</f>
        <v>0</v>
      </c>
    </row>
    <row r="997" spans="1:1">
      <c r="A997">
        <f>IF(ISBLANK(B997), "","CountryGroup-996")</f>
        <v>0</v>
      </c>
    </row>
    <row r="998" spans="1:1">
      <c r="A998">
        <f>IF(ISBLANK(B998), "","CountryGroup-997")</f>
        <v>0</v>
      </c>
    </row>
    <row r="999" spans="1:1">
      <c r="A999">
        <f>IF(ISBLANK(B999), "","CountryGroup-998")</f>
        <v>0</v>
      </c>
    </row>
    <row r="1000" spans="1:1">
      <c r="A1000">
        <f>IF(ISBLANK(B1000), "","CountryGroup-999")</f>
        <v>0</v>
      </c>
    </row>
    <row r="1001" spans="1:1">
      <c r="A1001">
        <f>IF(ISBLANK(B1001), "","CountryGroup-1000")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1"/>
  <sheetViews>
    <sheetView workbookViewId="0"/>
  </sheetViews>
  <sheetFormatPr defaultRowHeight="15"/>
  <cols>
    <col min="1" max="4" width="30.7109375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>
        <f>IF(ISBLANK(B2), "","Country-1")</f>
        <v>0</v>
      </c>
    </row>
    <row r="3" spans="1:4">
      <c r="A3">
        <f>IF(ISBLANK(B3), "","Country-2")</f>
        <v>0</v>
      </c>
    </row>
    <row r="4" spans="1:4">
      <c r="A4">
        <f>IF(ISBLANK(B4), "","Country-3")</f>
        <v>0</v>
      </c>
    </row>
    <row r="5" spans="1:4">
      <c r="A5">
        <f>IF(ISBLANK(B5), "","Country-4")</f>
        <v>0</v>
      </c>
    </row>
    <row r="6" spans="1:4">
      <c r="A6">
        <f>IF(ISBLANK(B6), "","Country-5")</f>
        <v>0</v>
      </c>
    </row>
    <row r="7" spans="1:4">
      <c r="A7">
        <f>IF(ISBLANK(B7), "","Country-6")</f>
        <v>0</v>
      </c>
    </row>
    <row r="8" spans="1:4">
      <c r="A8">
        <f>IF(ISBLANK(B8), "","Country-7")</f>
        <v>0</v>
      </c>
    </row>
    <row r="9" spans="1:4">
      <c r="A9">
        <f>IF(ISBLANK(B9), "","Country-8")</f>
        <v>0</v>
      </c>
    </row>
    <row r="10" spans="1:4">
      <c r="A10">
        <f>IF(ISBLANK(B10), "","Country-9")</f>
        <v>0</v>
      </c>
    </row>
    <row r="11" spans="1:4">
      <c r="A11">
        <f>IF(ISBLANK(B11), "","Country-10")</f>
        <v>0</v>
      </c>
    </row>
    <row r="12" spans="1:4">
      <c r="A12">
        <f>IF(ISBLANK(B12), "","Country-11")</f>
        <v>0</v>
      </c>
    </row>
    <row r="13" spans="1:4">
      <c r="A13">
        <f>IF(ISBLANK(B13), "","Country-12")</f>
        <v>0</v>
      </c>
    </row>
    <row r="14" spans="1:4">
      <c r="A14">
        <f>IF(ISBLANK(B14), "","Country-13")</f>
        <v>0</v>
      </c>
    </row>
    <row r="15" spans="1:4">
      <c r="A15">
        <f>IF(ISBLANK(B15), "","Country-14")</f>
        <v>0</v>
      </c>
    </row>
    <row r="16" spans="1:4">
      <c r="A16">
        <f>IF(ISBLANK(B16), "","Country-15")</f>
        <v>0</v>
      </c>
    </row>
    <row r="17" spans="1:1">
      <c r="A17">
        <f>IF(ISBLANK(B17), "","Country-16")</f>
        <v>0</v>
      </c>
    </row>
    <row r="18" spans="1:1">
      <c r="A18">
        <f>IF(ISBLANK(B18), "","Country-17")</f>
        <v>0</v>
      </c>
    </row>
    <row r="19" spans="1:1">
      <c r="A19">
        <f>IF(ISBLANK(B19), "","Country-18")</f>
        <v>0</v>
      </c>
    </row>
    <row r="20" spans="1:1">
      <c r="A20">
        <f>IF(ISBLANK(B20), "","Country-19")</f>
        <v>0</v>
      </c>
    </row>
    <row r="21" spans="1:1">
      <c r="A21">
        <f>IF(ISBLANK(B21), "","Country-20")</f>
        <v>0</v>
      </c>
    </row>
    <row r="22" spans="1:1">
      <c r="A22">
        <f>IF(ISBLANK(B22), "","Country-21")</f>
        <v>0</v>
      </c>
    </row>
    <row r="23" spans="1:1">
      <c r="A23">
        <f>IF(ISBLANK(B23), "","Country-22")</f>
        <v>0</v>
      </c>
    </row>
    <row r="24" spans="1:1">
      <c r="A24">
        <f>IF(ISBLANK(B24), "","Country-23")</f>
        <v>0</v>
      </c>
    </row>
    <row r="25" spans="1:1">
      <c r="A25">
        <f>IF(ISBLANK(B25), "","Country-24")</f>
        <v>0</v>
      </c>
    </row>
    <row r="26" spans="1:1">
      <c r="A26">
        <f>IF(ISBLANK(B26), "","Country-25")</f>
        <v>0</v>
      </c>
    </row>
    <row r="27" spans="1:1">
      <c r="A27">
        <f>IF(ISBLANK(B27), "","Country-26")</f>
        <v>0</v>
      </c>
    </row>
    <row r="28" spans="1:1">
      <c r="A28">
        <f>IF(ISBLANK(B28), "","Country-27")</f>
        <v>0</v>
      </c>
    </row>
    <row r="29" spans="1:1">
      <c r="A29">
        <f>IF(ISBLANK(B29), "","Country-28")</f>
        <v>0</v>
      </c>
    </row>
    <row r="30" spans="1:1">
      <c r="A30">
        <f>IF(ISBLANK(B30), "","Country-29")</f>
        <v>0</v>
      </c>
    </row>
    <row r="31" spans="1:1">
      <c r="A31">
        <f>IF(ISBLANK(B31), "","Country-30")</f>
        <v>0</v>
      </c>
    </row>
    <row r="32" spans="1:1">
      <c r="A32">
        <f>IF(ISBLANK(B32), "","Country-31")</f>
        <v>0</v>
      </c>
    </row>
    <row r="33" spans="1:1">
      <c r="A33">
        <f>IF(ISBLANK(B33), "","Country-32")</f>
        <v>0</v>
      </c>
    </row>
    <row r="34" spans="1:1">
      <c r="A34">
        <f>IF(ISBLANK(B34), "","Country-33")</f>
        <v>0</v>
      </c>
    </row>
    <row r="35" spans="1:1">
      <c r="A35">
        <f>IF(ISBLANK(B35), "","Country-34")</f>
        <v>0</v>
      </c>
    </row>
    <row r="36" spans="1:1">
      <c r="A36">
        <f>IF(ISBLANK(B36), "","Country-35")</f>
        <v>0</v>
      </c>
    </row>
    <row r="37" spans="1:1">
      <c r="A37">
        <f>IF(ISBLANK(B37), "","Country-36")</f>
        <v>0</v>
      </c>
    </row>
    <row r="38" spans="1:1">
      <c r="A38">
        <f>IF(ISBLANK(B38), "","Country-37")</f>
        <v>0</v>
      </c>
    </row>
    <row r="39" spans="1:1">
      <c r="A39">
        <f>IF(ISBLANK(B39), "","Country-38")</f>
        <v>0</v>
      </c>
    </row>
    <row r="40" spans="1:1">
      <c r="A40">
        <f>IF(ISBLANK(B40), "","Country-39")</f>
        <v>0</v>
      </c>
    </row>
    <row r="41" spans="1:1">
      <c r="A41">
        <f>IF(ISBLANK(B41), "","Country-40")</f>
        <v>0</v>
      </c>
    </row>
    <row r="42" spans="1:1">
      <c r="A42">
        <f>IF(ISBLANK(B42), "","Country-41")</f>
        <v>0</v>
      </c>
    </row>
    <row r="43" spans="1:1">
      <c r="A43">
        <f>IF(ISBLANK(B43), "","Country-42")</f>
        <v>0</v>
      </c>
    </row>
    <row r="44" spans="1:1">
      <c r="A44">
        <f>IF(ISBLANK(B44), "","Country-43")</f>
        <v>0</v>
      </c>
    </row>
    <row r="45" spans="1:1">
      <c r="A45">
        <f>IF(ISBLANK(B45), "","Country-44")</f>
        <v>0</v>
      </c>
    </row>
    <row r="46" spans="1:1">
      <c r="A46">
        <f>IF(ISBLANK(B46), "","Country-45")</f>
        <v>0</v>
      </c>
    </row>
    <row r="47" spans="1:1">
      <c r="A47">
        <f>IF(ISBLANK(B47), "","Country-46")</f>
        <v>0</v>
      </c>
    </row>
    <row r="48" spans="1:1">
      <c r="A48">
        <f>IF(ISBLANK(B48), "","Country-47")</f>
        <v>0</v>
      </c>
    </row>
    <row r="49" spans="1:1">
      <c r="A49">
        <f>IF(ISBLANK(B49), "","Country-48")</f>
        <v>0</v>
      </c>
    </row>
    <row r="50" spans="1:1">
      <c r="A50">
        <f>IF(ISBLANK(B50), "","Country-49")</f>
        <v>0</v>
      </c>
    </row>
    <row r="51" spans="1:1">
      <c r="A51">
        <f>IF(ISBLANK(B51), "","Country-50")</f>
        <v>0</v>
      </c>
    </row>
    <row r="52" spans="1:1">
      <c r="A52">
        <f>IF(ISBLANK(B52), "","Country-51")</f>
        <v>0</v>
      </c>
    </row>
    <row r="53" spans="1:1">
      <c r="A53">
        <f>IF(ISBLANK(B53), "","Country-52")</f>
        <v>0</v>
      </c>
    </row>
    <row r="54" spans="1:1">
      <c r="A54">
        <f>IF(ISBLANK(B54), "","Country-53")</f>
        <v>0</v>
      </c>
    </row>
    <row r="55" spans="1:1">
      <c r="A55">
        <f>IF(ISBLANK(B55), "","Country-54")</f>
        <v>0</v>
      </c>
    </row>
    <row r="56" spans="1:1">
      <c r="A56">
        <f>IF(ISBLANK(B56), "","Country-55")</f>
        <v>0</v>
      </c>
    </row>
    <row r="57" spans="1:1">
      <c r="A57">
        <f>IF(ISBLANK(B57), "","Country-56")</f>
        <v>0</v>
      </c>
    </row>
    <row r="58" spans="1:1">
      <c r="A58">
        <f>IF(ISBLANK(B58), "","Country-57")</f>
        <v>0</v>
      </c>
    </row>
    <row r="59" spans="1:1">
      <c r="A59">
        <f>IF(ISBLANK(B59), "","Country-58")</f>
        <v>0</v>
      </c>
    </row>
    <row r="60" spans="1:1">
      <c r="A60">
        <f>IF(ISBLANK(B60), "","Country-59")</f>
        <v>0</v>
      </c>
    </row>
    <row r="61" spans="1:1">
      <c r="A61">
        <f>IF(ISBLANK(B61), "","Country-60")</f>
        <v>0</v>
      </c>
    </row>
    <row r="62" spans="1:1">
      <c r="A62">
        <f>IF(ISBLANK(B62), "","Country-61")</f>
        <v>0</v>
      </c>
    </row>
    <row r="63" spans="1:1">
      <c r="A63">
        <f>IF(ISBLANK(B63), "","Country-62")</f>
        <v>0</v>
      </c>
    </row>
    <row r="64" spans="1:1">
      <c r="A64">
        <f>IF(ISBLANK(B64), "","Country-63")</f>
        <v>0</v>
      </c>
    </row>
    <row r="65" spans="1:1">
      <c r="A65">
        <f>IF(ISBLANK(B65), "","Country-64")</f>
        <v>0</v>
      </c>
    </row>
    <row r="66" spans="1:1">
      <c r="A66">
        <f>IF(ISBLANK(B66), "","Country-65")</f>
        <v>0</v>
      </c>
    </row>
    <row r="67" spans="1:1">
      <c r="A67">
        <f>IF(ISBLANK(B67), "","Country-66")</f>
        <v>0</v>
      </c>
    </row>
    <row r="68" spans="1:1">
      <c r="A68">
        <f>IF(ISBLANK(B68), "","Country-67")</f>
        <v>0</v>
      </c>
    </row>
    <row r="69" spans="1:1">
      <c r="A69">
        <f>IF(ISBLANK(B69), "","Country-68")</f>
        <v>0</v>
      </c>
    </row>
    <row r="70" spans="1:1">
      <c r="A70">
        <f>IF(ISBLANK(B70), "","Country-69")</f>
        <v>0</v>
      </c>
    </row>
    <row r="71" spans="1:1">
      <c r="A71">
        <f>IF(ISBLANK(B71), "","Country-70")</f>
        <v>0</v>
      </c>
    </row>
    <row r="72" spans="1:1">
      <c r="A72">
        <f>IF(ISBLANK(B72), "","Country-71")</f>
        <v>0</v>
      </c>
    </row>
    <row r="73" spans="1:1">
      <c r="A73">
        <f>IF(ISBLANK(B73), "","Country-72")</f>
        <v>0</v>
      </c>
    </row>
    <row r="74" spans="1:1">
      <c r="A74">
        <f>IF(ISBLANK(B74), "","Country-73")</f>
        <v>0</v>
      </c>
    </row>
    <row r="75" spans="1:1">
      <c r="A75">
        <f>IF(ISBLANK(B75), "","Country-74")</f>
        <v>0</v>
      </c>
    </row>
    <row r="76" spans="1:1">
      <c r="A76">
        <f>IF(ISBLANK(B76), "","Country-75")</f>
        <v>0</v>
      </c>
    </row>
    <row r="77" spans="1:1">
      <c r="A77">
        <f>IF(ISBLANK(B77), "","Country-76")</f>
        <v>0</v>
      </c>
    </row>
    <row r="78" spans="1:1">
      <c r="A78">
        <f>IF(ISBLANK(B78), "","Country-77")</f>
        <v>0</v>
      </c>
    </row>
    <row r="79" spans="1:1">
      <c r="A79">
        <f>IF(ISBLANK(B79), "","Country-78")</f>
        <v>0</v>
      </c>
    </row>
    <row r="80" spans="1:1">
      <c r="A80">
        <f>IF(ISBLANK(B80), "","Country-79")</f>
        <v>0</v>
      </c>
    </row>
    <row r="81" spans="1:1">
      <c r="A81">
        <f>IF(ISBLANK(B81), "","Country-80")</f>
        <v>0</v>
      </c>
    </row>
    <row r="82" spans="1:1">
      <c r="A82">
        <f>IF(ISBLANK(B82), "","Country-81")</f>
        <v>0</v>
      </c>
    </row>
    <row r="83" spans="1:1">
      <c r="A83">
        <f>IF(ISBLANK(B83), "","Country-82")</f>
        <v>0</v>
      </c>
    </row>
    <row r="84" spans="1:1">
      <c r="A84">
        <f>IF(ISBLANK(B84), "","Country-83")</f>
        <v>0</v>
      </c>
    </row>
    <row r="85" spans="1:1">
      <c r="A85">
        <f>IF(ISBLANK(B85), "","Country-84")</f>
        <v>0</v>
      </c>
    </row>
    <row r="86" spans="1:1">
      <c r="A86">
        <f>IF(ISBLANK(B86), "","Country-85")</f>
        <v>0</v>
      </c>
    </row>
    <row r="87" spans="1:1">
      <c r="A87">
        <f>IF(ISBLANK(B87), "","Country-86")</f>
        <v>0</v>
      </c>
    </row>
    <row r="88" spans="1:1">
      <c r="A88">
        <f>IF(ISBLANK(B88), "","Country-87")</f>
        <v>0</v>
      </c>
    </row>
    <row r="89" spans="1:1">
      <c r="A89">
        <f>IF(ISBLANK(B89), "","Country-88")</f>
        <v>0</v>
      </c>
    </row>
    <row r="90" spans="1:1">
      <c r="A90">
        <f>IF(ISBLANK(B90), "","Country-89")</f>
        <v>0</v>
      </c>
    </row>
    <row r="91" spans="1:1">
      <c r="A91">
        <f>IF(ISBLANK(B91), "","Country-90")</f>
        <v>0</v>
      </c>
    </row>
    <row r="92" spans="1:1">
      <c r="A92">
        <f>IF(ISBLANK(B92), "","Country-91")</f>
        <v>0</v>
      </c>
    </row>
    <row r="93" spans="1:1">
      <c r="A93">
        <f>IF(ISBLANK(B93), "","Country-92")</f>
        <v>0</v>
      </c>
    </row>
    <row r="94" spans="1:1">
      <c r="A94">
        <f>IF(ISBLANK(B94), "","Country-93")</f>
        <v>0</v>
      </c>
    </row>
    <row r="95" spans="1:1">
      <c r="A95">
        <f>IF(ISBLANK(B95), "","Country-94")</f>
        <v>0</v>
      </c>
    </row>
    <row r="96" spans="1:1">
      <c r="A96">
        <f>IF(ISBLANK(B96), "","Country-95")</f>
        <v>0</v>
      </c>
    </row>
    <row r="97" spans="1:1">
      <c r="A97">
        <f>IF(ISBLANK(B97), "","Country-96")</f>
        <v>0</v>
      </c>
    </row>
    <row r="98" spans="1:1">
      <c r="A98">
        <f>IF(ISBLANK(B98), "","Country-97")</f>
        <v>0</v>
      </c>
    </row>
    <row r="99" spans="1:1">
      <c r="A99">
        <f>IF(ISBLANK(B99), "","Country-98")</f>
        <v>0</v>
      </c>
    </row>
    <row r="100" spans="1:1">
      <c r="A100">
        <f>IF(ISBLANK(B100), "","Country-99")</f>
        <v>0</v>
      </c>
    </row>
    <row r="101" spans="1:1">
      <c r="A101">
        <f>IF(ISBLANK(B101), "","Country-100")</f>
        <v>0</v>
      </c>
    </row>
    <row r="102" spans="1:1">
      <c r="A102">
        <f>IF(ISBLANK(B102), "","Country-101")</f>
        <v>0</v>
      </c>
    </row>
    <row r="103" spans="1:1">
      <c r="A103">
        <f>IF(ISBLANK(B103), "","Country-102")</f>
        <v>0</v>
      </c>
    </row>
    <row r="104" spans="1:1">
      <c r="A104">
        <f>IF(ISBLANK(B104), "","Country-103")</f>
        <v>0</v>
      </c>
    </row>
    <row r="105" spans="1:1">
      <c r="A105">
        <f>IF(ISBLANK(B105), "","Country-104")</f>
        <v>0</v>
      </c>
    </row>
    <row r="106" spans="1:1">
      <c r="A106">
        <f>IF(ISBLANK(B106), "","Country-105")</f>
        <v>0</v>
      </c>
    </row>
    <row r="107" spans="1:1">
      <c r="A107">
        <f>IF(ISBLANK(B107), "","Country-106")</f>
        <v>0</v>
      </c>
    </row>
    <row r="108" spans="1:1">
      <c r="A108">
        <f>IF(ISBLANK(B108), "","Country-107")</f>
        <v>0</v>
      </c>
    </row>
    <row r="109" spans="1:1">
      <c r="A109">
        <f>IF(ISBLANK(B109), "","Country-108")</f>
        <v>0</v>
      </c>
    </row>
    <row r="110" spans="1:1">
      <c r="A110">
        <f>IF(ISBLANK(B110), "","Country-109")</f>
        <v>0</v>
      </c>
    </row>
    <row r="111" spans="1:1">
      <c r="A111">
        <f>IF(ISBLANK(B111), "","Country-110")</f>
        <v>0</v>
      </c>
    </row>
    <row r="112" spans="1:1">
      <c r="A112">
        <f>IF(ISBLANK(B112), "","Country-111")</f>
        <v>0</v>
      </c>
    </row>
    <row r="113" spans="1:1">
      <c r="A113">
        <f>IF(ISBLANK(B113), "","Country-112")</f>
        <v>0</v>
      </c>
    </row>
    <row r="114" spans="1:1">
      <c r="A114">
        <f>IF(ISBLANK(B114), "","Country-113")</f>
        <v>0</v>
      </c>
    </row>
    <row r="115" spans="1:1">
      <c r="A115">
        <f>IF(ISBLANK(B115), "","Country-114")</f>
        <v>0</v>
      </c>
    </row>
    <row r="116" spans="1:1">
      <c r="A116">
        <f>IF(ISBLANK(B116), "","Country-115")</f>
        <v>0</v>
      </c>
    </row>
    <row r="117" spans="1:1">
      <c r="A117">
        <f>IF(ISBLANK(B117), "","Country-116")</f>
        <v>0</v>
      </c>
    </row>
    <row r="118" spans="1:1">
      <c r="A118">
        <f>IF(ISBLANK(B118), "","Country-117")</f>
        <v>0</v>
      </c>
    </row>
    <row r="119" spans="1:1">
      <c r="A119">
        <f>IF(ISBLANK(B119), "","Country-118")</f>
        <v>0</v>
      </c>
    </row>
    <row r="120" spans="1:1">
      <c r="A120">
        <f>IF(ISBLANK(B120), "","Country-119")</f>
        <v>0</v>
      </c>
    </row>
    <row r="121" spans="1:1">
      <c r="A121">
        <f>IF(ISBLANK(B121), "","Country-120")</f>
        <v>0</v>
      </c>
    </row>
    <row r="122" spans="1:1">
      <c r="A122">
        <f>IF(ISBLANK(B122), "","Country-121")</f>
        <v>0</v>
      </c>
    </row>
    <row r="123" spans="1:1">
      <c r="A123">
        <f>IF(ISBLANK(B123), "","Country-122")</f>
        <v>0</v>
      </c>
    </row>
    <row r="124" spans="1:1">
      <c r="A124">
        <f>IF(ISBLANK(B124), "","Country-123")</f>
        <v>0</v>
      </c>
    </row>
    <row r="125" spans="1:1">
      <c r="A125">
        <f>IF(ISBLANK(B125), "","Country-124")</f>
        <v>0</v>
      </c>
    </row>
    <row r="126" spans="1:1">
      <c r="A126">
        <f>IF(ISBLANK(B126), "","Country-125")</f>
        <v>0</v>
      </c>
    </row>
    <row r="127" spans="1:1">
      <c r="A127">
        <f>IF(ISBLANK(B127), "","Country-126")</f>
        <v>0</v>
      </c>
    </row>
    <row r="128" spans="1:1">
      <c r="A128">
        <f>IF(ISBLANK(B128), "","Country-127")</f>
        <v>0</v>
      </c>
    </row>
    <row r="129" spans="1:1">
      <c r="A129">
        <f>IF(ISBLANK(B129), "","Country-128")</f>
        <v>0</v>
      </c>
    </row>
    <row r="130" spans="1:1">
      <c r="A130">
        <f>IF(ISBLANK(B130), "","Country-129")</f>
        <v>0</v>
      </c>
    </row>
    <row r="131" spans="1:1">
      <c r="A131">
        <f>IF(ISBLANK(B131), "","Country-130")</f>
        <v>0</v>
      </c>
    </row>
    <row r="132" spans="1:1">
      <c r="A132">
        <f>IF(ISBLANK(B132), "","Country-131")</f>
        <v>0</v>
      </c>
    </row>
    <row r="133" spans="1:1">
      <c r="A133">
        <f>IF(ISBLANK(B133), "","Country-132")</f>
        <v>0</v>
      </c>
    </row>
    <row r="134" spans="1:1">
      <c r="A134">
        <f>IF(ISBLANK(B134), "","Country-133")</f>
        <v>0</v>
      </c>
    </row>
    <row r="135" spans="1:1">
      <c r="A135">
        <f>IF(ISBLANK(B135), "","Country-134")</f>
        <v>0</v>
      </c>
    </row>
    <row r="136" spans="1:1">
      <c r="A136">
        <f>IF(ISBLANK(B136), "","Country-135")</f>
        <v>0</v>
      </c>
    </row>
    <row r="137" spans="1:1">
      <c r="A137">
        <f>IF(ISBLANK(B137), "","Country-136")</f>
        <v>0</v>
      </c>
    </row>
    <row r="138" spans="1:1">
      <c r="A138">
        <f>IF(ISBLANK(B138), "","Country-137")</f>
        <v>0</v>
      </c>
    </row>
    <row r="139" spans="1:1">
      <c r="A139">
        <f>IF(ISBLANK(B139), "","Country-138")</f>
        <v>0</v>
      </c>
    </row>
    <row r="140" spans="1:1">
      <c r="A140">
        <f>IF(ISBLANK(B140), "","Country-139")</f>
        <v>0</v>
      </c>
    </row>
    <row r="141" spans="1:1">
      <c r="A141">
        <f>IF(ISBLANK(B141), "","Country-140")</f>
        <v>0</v>
      </c>
    </row>
    <row r="142" spans="1:1">
      <c r="A142">
        <f>IF(ISBLANK(B142), "","Country-141")</f>
        <v>0</v>
      </c>
    </row>
    <row r="143" spans="1:1">
      <c r="A143">
        <f>IF(ISBLANK(B143), "","Country-142")</f>
        <v>0</v>
      </c>
    </row>
    <row r="144" spans="1:1">
      <c r="A144">
        <f>IF(ISBLANK(B144), "","Country-143")</f>
        <v>0</v>
      </c>
    </row>
    <row r="145" spans="1:1">
      <c r="A145">
        <f>IF(ISBLANK(B145), "","Country-144")</f>
        <v>0</v>
      </c>
    </row>
    <row r="146" spans="1:1">
      <c r="A146">
        <f>IF(ISBLANK(B146), "","Country-145")</f>
        <v>0</v>
      </c>
    </row>
    <row r="147" spans="1:1">
      <c r="A147">
        <f>IF(ISBLANK(B147), "","Country-146")</f>
        <v>0</v>
      </c>
    </row>
    <row r="148" spans="1:1">
      <c r="A148">
        <f>IF(ISBLANK(B148), "","Country-147")</f>
        <v>0</v>
      </c>
    </row>
    <row r="149" spans="1:1">
      <c r="A149">
        <f>IF(ISBLANK(B149), "","Country-148")</f>
        <v>0</v>
      </c>
    </row>
    <row r="150" spans="1:1">
      <c r="A150">
        <f>IF(ISBLANK(B150), "","Country-149")</f>
        <v>0</v>
      </c>
    </row>
    <row r="151" spans="1:1">
      <c r="A151">
        <f>IF(ISBLANK(B151), "","Country-150")</f>
        <v>0</v>
      </c>
    </row>
    <row r="152" spans="1:1">
      <c r="A152">
        <f>IF(ISBLANK(B152), "","Country-151")</f>
        <v>0</v>
      </c>
    </row>
    <row r="153" spans="1:1">
      <c r="A153">
        <f>IF(ISBLANK(B153), "","Country-152")</f>
        <v>0</v>
      </c>
    </row>
    <row r="154" spans="1:1">
      <c r="A154">
        <f>IF(ISBLANK(B154), "","Country-153")</f>
        <v>0</v>
      </c>
    </row>
    <row r="155" spans="1:1">
      <c r="A155">
        <f>IF(ISBLANK(B155), "","Country-154")</f>
        <v>0</v>
      </c>
    </row>
    <row r="156" spans="1:1">
      <c r="A156">
        <f>IF(ISBLANK(B156), "","Country-155")</f>
        <v>0</v>
      </c>
    </row>
    <row r="157" spans="1:1">
      <c r="A157">
        <f>IF(ISBLANK(B157), "","Country-156")</f>
        <v>0</v>
      </c>
    </row>
    <row r="158" spans="1:1">
      <c r="A158">
        <f>IF(ISBLANK(B158), "","Country-157")</f>
        <v>0</v>
      </c>
    </row>
    <row r="159" spans="1:1">
      <c r="A159">
        <f>IF(ISBLANK(B159), "","Country-158")</f>
        <v>0</v>
      </c>
    </row>
    <row r="160" spans="1:1">
      <c r="A160">
        <f>IF(ISBLANK(B160), "","Country-159")</f>
        <v>0</v>
      </c>
    </row>
    <row r="161" spans="1:1">
      <c r="A161">
        <f>IF(ISBLANK(B161), "","Country-160")</f>
        <v>0</v>
      </c>
    </row>
    <row r="162" spans="1:1">
      <c r="A162">
        <f>IF(ISBLANK(B162), "","Country-161")</f>
        <v>0</v>
      </c>
    </row>
    <row r="163" spans="1:1">
      <c r="A163">
        <f>IF(ISBLANK(B163), "","Country-162")</f>
        <v>0</v>
      </c>
    </row>
    <row r="164" spans="1:1">
      <c r="A164">
        <f>IF(ISBLANK(B164), "","Country-163")</f>
        <v>0</v>
      </c>
    </row>
    <row r="165" spans="1:1">
      <c r="A165">
        <f>IF(ISBLANK(B165), "","Country-164")</f>
        <v>0</v>
      </c>
    </row>
    <row r="166" spans="1:1">
      <c r="A166">
        <f>IF(ISBLANK(B166), "","Country-165")</f>
        <v>0</v>
      </c>
    </row>
    <row r="167" spans="1:1">
      <c r="A167">
        <f>IF(ISBLANK(B167), "","Country-166")</f>
        <v>0</v>
      </c>
    </row>
    <row r="168" spans="1:1">
      <c r="A168">
        <f>IF(ISBLANK(B168), "","Country-167")</f>
        <v>0</v>
      </c>
    </row>
    <row r="169" spans="1:1">
      <c r="A169">
        <f>IF(ISBLANK(B169), "","Country-168")</f>
        <v>0</v>
      </c>
    </row>
    <row r="170" spans="1:1">
      <c r="A170">
        <f>IF(ISBLANK(B170), "","Country-169")</f>
        <v>0</v>
      </c>
    </row>
    <row r="171" spans="1:1">
      <c r="A171">
        <f>IF(ISBLANK(B171), "","Country-170")</f>
        <v>0</v>
      </c>
    </row>
    <row r="172" spans="1:1">
      <c r="A172">
        <f>IF(ISBLANK(B172), "","Country-171")</f>
        <v>0</v>
      </c>
    </row>
    <row r="173" spans="1:1">
      <c r="A173">
        <f>IF(ISBLANK(B173), "","Country-172")</f>
        <v>0</v>
      </c>
    </row>
    <row r="174" spans="1:1">
      <c r="A174">
        <f>IF(ISBLANK(B174), "","Country-173")</f>
        <v>0</v>
      </c>
    </row>
    <row r="175" spans="1:1">
      <c r="A175">
        <f>IF(ISBLANK(B175), "","Country-174")</f>
        <v>0</v>
      </c>
    </row>
    <row r="176" spans="1:1">
      <c r="A176">
        <f>IF(ISBLANK(B176), "","Country-175")</f>
        <v>0</v>
      </c>
    </row>
    <row r="177" spans="1:1">
      <c r="A177">
        <f>IF(ISBLANK(B177), "","Country-176")</f>
        <v>0</v>
      </c>
    </row>
    <row r="178" spans="1:1">
      <c r="A178">
        <f>IF(ISBLANK(B178), "","Country-177")</f>
        <v>0</v>
      </c>
    </row>
    <row r="179" spans="1:1">
      <c r="A179">
        <f>IF(ISBLANK(B179), "","Country-178")</f>
        <v>0</v>
      </c>
    </row>
    <row r="180" spans="1:1">
      <c r="A180">
        <f>IF(ISBLANK(B180), "","Country-179")</f>
        <v>0</v>
      </c>
    </row>
    <row r="181" spans="1:1">
      <c r="A181">
        <f>IF(ISBLANK(B181), "","Country-180")</f>
        <v>0</v>
      </c>
    </row>
    <row r="182" spans="1:1">
      <c r="A182">
        <f>IF(ISBLANK(B182), "","Country-181")</f>
        <v>0</v>
      </c>
    </row>
    <row r="183" spans="1:1">
      <c r="A183">
        <f>IF(ISBLANK(B183), "","Country-182")</f>
        <v>0</v>
      </c>
    </row>
    <row r="184" spans="1:1">
      <c r="A184">
        <f>IF(ISBLANK(B184), "","Country-183")</f>
        <v>0</v>
      </c>
    </row>
    <row r="185" spans="1:1">
      <c r="A185">
        <f>IF(ISBLANK(B185), "","Country-184")</f>
        <v>0</v>
      </c>
    </row>
    <row r="186" spans="1:1">
      <c r="A186">
        <f>IF(ISBLANK(B186), "","Country-185")</f>
        <v>0</v>
      </c>
    </row>
    <row r="187" spans="1:1">
      <c r="A187">
        <f>IF(ISBLANK(B187), "","Country-186")</f>
        <v>0</v>
      </c>
    </row>
    <row r="188" spans="1:1">
      <c r="A188">
        <f>IF(ISBLANK(B188), "","Country-187")</f>
        <v>0</v>
      </c>
    </row>
    <row r="189" spans="1:1">
      <c r="A189">
        <f>IF(ISBLANK(B189), "","Country-188")</f>
        <v>0</v>
      </c>
    </row>
    <row r="190" spans="1:1">
      <c r="A190">
        <f>IF(ISBLANK(B190), "","Country-189")</f>
        <v>0</v>
      </c>
    </row>
    <row r="191" spans="1:1">
      <c r="A191">
        <f>IF(ISBLANK(B191), "","Country-190")</f>
        <v>0</v>
      </c>
    </row>
    <row r="192" spans="1:1">
      <c r="A192">
        <f>IF(ISBLANK(B192), "","Country-191")</f>
        <v>0</v>
      </c>
    </row>
    <row r="193" spans="1:1">
      <c r="A193">
        <f>IF(ISBLANK(B193), "","Country-192")</f>
        <v>0</v>
      </c>
    </row>
    <row r="194" spans="1:1">
      <c r="A194">
        <f>IF(ISBLANK(B194), "","Country-193")</f>
        <v>0</v>
      </c>
    </row>
    <row r="195" spans="1:1">
      <c r="A195">
        <f>IF(ISBLANK(B195), "","Country-194")</f>
        <v>0</v>
      </c>
    </row>
    <row r="196" spans="1:1">
      <c r="A196">
        <f>IF(ISBLANK(B196), "","Country-195")</f>
        <v>0</v>
      </c>
    </row>
    <row r="197" spans="1:1">
      <c r="A197">
        <f>IF(ISBLANK(B197), "","Country-196")</f>
        <v>0</v>
      </c>
    </row>
    <row r="198" spans="1:1">
      <c r="A198">
        <f>IF(ISBLANK(B198), "","Country-197")</f>
        <v>0</v>
      </c>
    </row>
    <row r="199" spans="1:1">
      <c r="A199">
        <f>IF(ISBLANK(B199), "","Country-198")</f>
        <v>0</v>
      </c>
    </row>
    <row r="200" spans="1:1">
      <c r="A200">
        <f>IF(ISBLANK(B200), "","Country-199")</f>
        <v>0</v>
      </c>
    </row>
    <row r="201" spans="1:1">
      <c r="A201">
        <f>IF(ISBLANK(B201), "","Country-200")</f>
        <v>0</v>
      </c>
    </row>
    <row r="202" spans="1:1">
      <c r="A202">
        <f>IF(ISBLANK(B202), "","Country-201")</f>
        <v>0</v>
      </c>
    </row>
    <row r="203" spans="1:1">
      <c r="A203">
        <f>IF(ISBLANK(B203), "","Country-202")</f>
        <v>0</v>
      </c>
    </row>
    <row r="204" spans="1:1">
      <c r="A204">
        <f>IF(ISBLANK(B204), "","Country-203")</f>
        <v>0</v>
      </c>
    </row>
    <row r="205" spans="1:1">
      <c r="A205">
        <f>IF(ISBLANK(B205), "","Country-204")</f>
        <v>0</v>
      </c>
    </row>
    <row r="206" spans="1:1">
      <c r="A206">
        <f>IF(ISBLANK(B206), "","Country-205")</f>
        <v>0</v>
      </c>
    </row>
    <row r="207" spans="1:1">
      <c r="A207">
        <f>IF(ISBLANK(B207), "","Country-206")</f>
        <v>0</v>
      </c>
    </row>
    <row r="208" spans="1:1">
      <c r="A208">
        <f>IF(ISBLANK(B208), "","Country-207")</f>
        <v>0</v>
      </c>
    </row>
    <row r="209" spans="1:1">
      <c r="A209">
        <f>IF(ISBLANK(B209), "","Country-208")</f>
        <v>0</v>
      </c>
    </row>
    <row r="210" spans="1:1">
      <c r="A210">
        <f>IF(ISBLANK(B210), "","Country-209")</f>
        <v>0</v>
      </c>
    </row>
    <row r="211" spans="1:1">
      <c r="A211">
        <f>IF(ISBLANK(B211), "","Country-210")</f>
        <v>0</v>
      </c>
    </row>
    <row r="212" spans="1:1">
      <c r="A212">
        <f>IF(ISBLANK(B212), "","Country-211")</f>
        <v>0</v>
      </c>
    </row>
    <row r="213" spans="1:1">
      <c r="A213">
        <f>IF(ISBLANK(B213), "","Country-212")</f>
        <v>0</v>
      </c>
    </row>
    <row r="214" spans="1:1">
      <c r="A214">
        <f>IF(ISBLANK(B214), "","Country-213")</f>
        <v>0</v>
      </c>
    </row>
    <row r="215" spans="1:1">
      <c r="A215">
        <f>IF(ISBLANK(B215), "","Country-214")</f>
        <v>0</v>
      </c>
    </row>
    <row r="216" spans="1:1">
      <c r="A216">
        <f>IF(ISBLANK(B216), "","Country-215")</f>
        <v>0</v>
      </c>
    </row>
    <row r="217" spans="1:1">
      <c r="A217">
        <f>IF(ISBLANK(B217), "","Country-216")</f>
        <v>0</v>
      </c>
    </row>
    <row r="218" spans="1:1">
      <c r="A218">
        <f>IF(ISBLANK(B218), "","Country-217")</f>
        <v>0</v>
      </c>
    </row>
    <row r="219" spans="1:1">
      <c r="A219">
        <f>IF(ISBLANK(B219), "","Country-218")</f>
        <v>0</v>
      </c>
    </row>
    <row r="220" spans="1:1">
      <c r="A220">
        <f>IF(ISBLANK(B220), "","Country-219")</f>
        <v>0</v>
      </c>
    </row>
    <row r="221" spans="1:1">
      <c r="A221">
        <f>IF(ISBLANK(B221), "","Country-220")</f>
        <v>0</v>
      </c>
    </row>
    <row r="222" spans="1:1">
      <c r="A222">
        <f>IF(ISBLANK(B222), "","Country-221")</f>
        <v>0</v>
      </c>
    </row>
    <row r="223" spans="1:1">
      <c r="A223">
        <f>IF(ISBLANK(B223), "","Country-222")</f>
        <v>0</v>
      </c>
    </row>
    <row r="224" spans="1:1">
      <c r="A224">
        <f>IF(ISBLANK(B224), "","Country-223")</f>
        <v>0</v>
      </c>
    </row>
    <row r="225" spans="1:1">
      <c r="A225">
        <f>IF(ISBLANK(B225), "","Country-224")</f>
        <v>0</v>
      </c>
    </row>
    <row r="226" spans="1:1">
      <c r="A226">
        <f>IF(ISBLANK(B226), "","Country-225")</f>
        <v>0</v>
      </c>
    </row>
    <row r="227" spans="1:1">
      <c r="A227">
        <f>IF(ISBLANK(B227), "","Country-226")</f>
        <v>0</v>
      </c>
    </row>
    <row r="228" spans="1:1">
      <c r="A228">
        <f>IF(ISBLANK(B228), "","Country-227")</f>
        <v>0</v>
      </c>
    </row>
    <row r="229" spans="1:1">
      <c r="A229">
        <f>IF(ISBLANK(B229), "","Country-228")</f>
        <v>0</v>
      </c>
    </row>
    <row r="230" spans="1:1">
      <c r="A230">
        <f>IF(ISBLANK(B230), "","Country-229")</f>
        <v>0</v>
      </c>
    </row>
    <row r="231" spans="1:1">
      <c r="A231">
        <f>IF(ISBLANK(B231), "","Country-230")</f>
        <v>0</v>
      </c>
    </row>
    <row r="232" spans="1:1">
      <c r="A232">
        <f>IF(ISBLANK(B232), "","Country-231")</f>
        <v>0</v>
      </c>
    </row>
    <row r="233" spans="1:1">
      <c r="A233">
        <f>IF(ISBLANK(B233), "","Country-232")</f>
        <v>0</v>
      </c>
    </row>
    <row r="234" spans="1:1">
      <c r="A234">
        <f>IF(ISBLANK(B234), "","Country-233")</f>
        <v>0</v>
      </c>
    </row>
    <row r="235" spans="1:1">
      <c r="A235">
        <f>IF(ISBLANK(B235), "","Country-234")</f>
        <v>0</v>
      </c>
    </row>
    <row r="236" spans="1:1">
      <c r="A236">
        <f>IF(ISBLANK(B236), "","Country-235")</f>
        <v>0</v>
      </c>
    </row>
    <row r="237" spans="1:1">
      <c r="A237">
        <f>IF(ISBLANK(B237), "","Country-236")</f>
        <v>0</v>
      </c>
    </row>
    <row r="238" spans="1:1">
      <c r="A238">
        <f>IF(ISBLANK(B238), "","Country-237")</f>
        <v>0</v>
      </c>
    </row>
    <row r="239" spans="1:1">
      <c r="A239">
        <f>IF(ISBLANK(B239), "","Country-238")</f>
        <v>0</v>
      </c>
    </row>
    <row r="240" spans="1:1">
      <c r="A240">
        <f>IF(ISBLANK(B240), "","Country-239")</f>
        <v>0</v>
      </c>
    </row>
    <row r="241" spans="1:1">
      <c r="A241">
        <f>IF(ISBLANK(B241), "","Country-240")</f>
        <v>0</v>
      </c>
    </row>
    <row r="242" spans="1:1">
      <c r="A242">
        <f>IF(ISBLANK(B242), "","Country-241")</f>
        <v>0</v>
      </c>
    </row>
    <row r="243" spans="1:1">
      <c r="A243">
        <f>IF(ISBLANK(B243), "","Country-242")</f>
        <v>0</v>
      </c>
    </row>
    <row r="244" spans="1:1">
      <c r="A244">
        <f>IF(ISBLANK(B244), "","Country-243")</f>
        <v>0</v>
      </c>
    </row>
    <row r="245" spans="1:1">
      <c r="A245">
        <f>IF(ISBLANK(B245), "","Country-244")</f>
        <v>0</v>
      </c>
    </row>
    <row r="246" spans="1:1">
      <c r="A246">
        <f>IF(ISBLANK(B246), "","Country-245")</f>
        <v>0</v>
      </c>
    </row>
    <row r="247" spans="1:1">
      <c r="A247">
        <f>IF(ISBLANK(B247), "","Country-246")</f>
        <v>0</v>
      </c>
    </row>
    <row r="248" spans="1:1">
      <c r="A248">
        <f>IF(ISBLANK(B248), "","Country-247")</f>
        <v>0</v>
      </c>
    </row>
    <row r="249" spans="1:1">
      <c r="A249">
        <f>IF(ISBLANK(B249), "","Country-248")</f>
        <v>0</v>
      </c>
    </row>
    <row r="250" spans="1:1">
      <c r="A250">
        <f>IF(ISBLANK(B250), "","Country-249")</f>
        <v>0</v>
      </c>
    </row>
    <row r="251" spans="1:1">
      <c r="A251">
        <f>IF(ISBLANK(B251), "","Country-250")</f>
        <v>0</v>
      </c>
    </row>
    <row r="252" spans="1:1">
      <c r="A252">
        <f>IF(ISBLANK(B252), "","Country-251")</f>
        <v>0</v>
      </c>
    </row>
    <row r="253" spans="1:1">
      <c r="A253">
        <f>IF(ISBLANK(B253), "","Country-252")</f>
        <v>0</v>
      </c>
    </row>
    <row r="254" spans="1:1">
      <c r="A254">
        <f>IF(ISBLANK(B254), "","Country-253")</f>
        <v>0</v>
      </c>
    </row>
    <row r="255" spans="1:1">
      <c r="A255">
        <f>IF(ISBLANK(B255), "","Country-254")</f>
        <v>0</v>
      </c>
    </row>
    <row r="256" spans="1:1">
      <c r="A256">
        <f>IF(ISBLANK(B256), "","Country-255")</f>
        <v>0</v>
      </c>
    </row>
    <row r="257" spans="1:1">
      <c r="A257">
        <f>IF(ISBLANK(B257), "","Country-256")</f>
        <v>0</v>
      </c>
    </row>
    <row r="258" spans="1:1">
      <c r="A258">
        <f>IF(ISBLANK(B258), "","Country-257")</f>
        <v>0</v>
      </c>
    </row>
    <row r="259" spans="1:1">
      <c r="A259">
        <f>IF(ISBLANK(B259), "","Country-258")</f>
        <v>0</v>
      </c>
    </row>
    <row r="260" spans="1:1">
      <c r="A260">
        <f>IF(ISBLANK(B260), "","Country-259")</f>
        <v>0</v>
      </c>
    </row>
    <row r="261" spans="1:1">
      <c r="A261">
        <f>IF(ISBLANK(B261), "","Country-260")</f>
        <v>0</v>
      </c>
    </row>
    <row r="262" spans="1:1">
      <c r="A262">
        <f>IF(ISBLANK(B262), "","Country-261")</f>
        <v>0</v>
      </c>
    </row>
    <row r="263" spans="1:1">
      <c r="A263">
        <f>IF(ISBLANK(B263), "","Country-262")</f>
        <v>0</v>
      </c>
    </row>
    <row r="264" spans="1:1">
      <c r="A264">
        <f>IF(ISBLANK(B264), "","Country-263")</f>
        <v>0</v>
      </c>
    </row>
    <row r="265" spans="1:1">
      <c r="A265">
        <f>IF(ISBLANK(B265), "","Country-264")</f>
        <v>0</v>
      </c>
    </row>
    <row r="266" spans="1:1">
      <c r="A266">
        <f>IF(ISBLANK(B266), "","Country-265")</f>
        <v>0</v>
      </c>
    </row>
    <row r="267" spans="1:1">
      <c r="A267">
        <f>IF(ISBLANK(B267), "","Country-266")</f>
        <v>0</v>
      </c>
    </row>
    <row r="268" spans="1:1">
      <c r="A268">
        <f>IF(ISBLANK(B268), "","Country-267")</f>
        <v>0</v>
      </c>
    </row>
    <row r="269" spans="1:1">
      <c r="A269">
        <f>IF(ISBLANK(B269), "","Country-268")</f>
        <v>0</v>
      </c>
    </row>
    <row r="270" spans="1:1">
      <c r="A270">
        <f>IF(ISBLANK(B270), "","Country-269")</f>
        <v>0</v>
      </c>
    </row>
    <row r="271" spans="1:1">
      <c r="A271">
        <f>IF(ISBLANK(B271), "","Country-270")</f>
        <v>0</v>
      </c>
    </row>
    <row r="272" spans="1:1">
      <c r="A272">
        <f>IF(ISBLANK(B272), "","Country-271")</f>
        <v>0</v>
      </c>
    </row>
    <row r="273" spans="1:1">
      <c r="A273">
        <f>IF(ISBLANK(B273), "","Country-272")</f>
        <v>0</v>
      </c>
    </row>
    <row r="274" spans="1:1">
      <c r="A274">
        <f>IF(ISBLANK(B274), "","Country-273")</f>
        <v>0</v>
      </c>
    </row>
    <row r="275" spans="1:1">
      <c r="A275">
        <f>IF(ISBLANK(B275), "","Country-274")</f>
        <v>0</v>
      </c>
    </row>
    <row r="276" spans="1:1">
      <c r="A276">
        <f>IF(ISBLANK(B276), "","Country-275")</f>
        <v>0</v>
      </c>
    </row>
    <row r="277" spans="1:1">
      <c r="A277">
        <f>IF(ISBLANK(B277), "","Country-276")</f>
        <v>0</v>
      </c>
    </row>
    <row r="278" spans="1:1">
      <c r="A278">
        <f>IF(ISBLANK(B278), "","Country-277")</f>
        <v>0</v>
      </c>
    </row>
    <row r="279" spans="1:1">
      <c r="A279">
        <f>IF(ISBLANK(B279), "","Country-278")</f>
        <v>0</v>
      </c>
    </row>
    <row r="280" spans="1:1">
      <c r="A280">
        <f>IF(ISBLANK(B280), "","Country-279")</f>
        <v>0</v>
      </c>
    </row>
    <row r="281" spans="1:1">
      <c r="A281">
        <f>IF(ISBLANK(B281), "","Country-280")</f>
        <v>0</v>
      </c>
    </row>
    <row r="282" spans="1:1">
      <c r="A282">
        <f>IF(ISBLANK(B282), "","Country-281")</f>
        <v>0</v>
      </c>
    </row>
    <row r="283" spans="1:1">
      <c r="A283">
        <f>IF(ISBLANK(B283), "","Country-282")</f>
        <v>0</v>
      </c>
    </row>
    <row r="284" spans="1:1">
      <c r="A284">
        <f>IF(ISBLANK(B284), "","Country-283")</f>
        <v>0</v>
      </c>
    </row>
    <row r="285" spans="1:1">
      <c r="A285">
        <f>IF(ISBLANK(B285), "","Country-284")</f>
        <v>0</v>
      </c>
    </row>
    <row r="286" spans="1:1">
      <c r="A286">
        <f>IF(ISBLANK(B286), "","Country-285")</f>
        <v>0</v>
      </c>
    </row>
    <row r="287" spans="1:1">
      <c r="A287">
        <f>IF(ISBLANK(B287), "","Country-286")</f>
        <v>0</v>
      </c>
    </row>
    <row r="288" spans="1:1">
      <c r="A288">
        <f>IF(ISBLANK(B288), "","Country-287")</f>
        <v>0</v>
      </c>
    </row>
    <row r="289" spans="1:1">
      <c r="A289">
        <f>IF(ISBLANK(B289), "","Country-288")</f>
        <v>0</v>
      </c>
    </row>
    <row r="290" spans="1:1">
      <c r="A290">
        <f>IF(ISBLANK(B290), "","Country-289")</f>
        <v>0</v>
      </c>
    </row>
    <row r="291" spans="1:1">
      <c r="A291">
        <f>IF(ISBLANK(B291), "","Country-290")</f>
        <v>0</v>
      </c>
    </row>
    <row r="292" spans="1:1">
      <c r="A292">
        <f>IF(ISBLANK(B292), "","Country-291")</f>
        <v>0</v>
      </c>
    </row>
    <row r="293" spans="1:1">
      <c r="A293">
        <f>IF(ISBLANK(B293), "","Country-292")</f>
        <v>0</v>
      </c>
    </row>
    <row r="294" spans="1:1">
      <c r="A294">
        <f>IF(ISBLANK(B294), "","Country-293")</f>
        <v>0</v>
      </c>
    </row>
    <row r="295" spans="1:1">
      <c r="A295">
        <f>IF(ISBLANK(B295), "","Country-294")</f>
        <v>0</v>
      </c>
    </row>
    <row r="296" spans="1:1">
      <c r="A296">
        <f>IF(ISBLANK(B296), "","Country-295")</f>
        <v>0</v>
      </c>
    </row>
    <row r="297" spans="1:1">
      <c r="A297">
        <f>IF(ISBLANK(B297), "","Country-296")</f>
        <v>0</v>
      </c>
    </row>
    <row r="298" spans="1:1">
      <c r="A298">
        <f>IF(ISBLANK(B298), "","Country-297")</f>
        <v>0</v>
      </c>
    </row>
    <row r="299" spans="1:1">
      <c r="A299">
        <f>IF(ISBLANK(B299), "","Country-298")</f>
        <v>0</v>
      </c>
    </row>
    <row r="300" spans="1:1">
      <c r="A300">
        <f>IF(ISBLANK(B300), "","Country-299")</f>
        <v>0</v>
      </c>
    </row>
    <row r="301" spans="1:1">
      <c r="A301">
        <f>IF(ISBLANK(B301), "","Country-300")</f>
        <v>0</v>
      </c>
    </row>
    <row r="302" spans="1:1">
      <c r="A302">
        <f>IF(ISBLANK(B302), "","Country-301")</f>
        <v>0</v>
      </c>
    </row>
    <row r="303" spans="1:1">
      <c r="A303">
        <f>IF(ISBLANK(B303), "","Country-302")</f>
        <v>0</v>
      </c>
    </row>
    <row r="304" spans="1:1">
      <c r="A304">
        <f>IF(ISBLANK(B304), "","Country-303")</f>
        <v>0</v>
      </c>
    </row>
    <row r="305" spans="1:1">
      <c r="A305">
        <f>IF(ISBLANK(B305), "","Country-304")</f>
        <v>0</v>
      </c>
    </row>
    <row r="306" spans="1:1">
      <c r="A306">
        <f>IF(ISBLANK(B306), "","Country-305")</f>
        <v>0</v>
      </c>
    </row>
    <row r="307" spans="1:1">
      <c r="A307">
        <f>IF(ISBLANK(B307), "","Country-306")</f>
        <v>0</v>
      </c>
    </row>
    <row r="308" spans="1:1">
      <c r="A308">
        <f>IF(ISBLANK(B308), "","Country-307")</f>
        <v>0</v>
      </c>
    </row>
    <row r="309" spans="1:1">
      <c r="A309">
        <f>IF(ISBLANK(B309), "","Country-308")</f>
        <v>0</v>
      </c>
    </row>
    <row r="310" spans="1:1">
      <c r="A310">
        <f>IF(ISBLANK(B310), "","Country-309")</f>
        <v>0</v>
      </c>
    </row>
    <row r="311" spans="1:1">
      <c r="A311">
        <f>IF(ISBLANK(B311), "","Country-310")</f>
        <v>0</v>
      </c>
    </row>
    <row r="312" spans="1:1">
      <c r="A312">
        <f>IF(ISBLANK(B312), "","Country-311")</f>
        <v>0</v>
      </c>
    </row>
    <row r="313" spans="1:1">
      <c r="A313">
        <f>IF(ISBLANK(B313), "","Country-312")</f>
        <v>0</v>
      </c>
    </row>
    <row r="314" spans="1:1">
      <c r="A314">
        <f>IF(ISBLANK(B314), "","Country-313")</f>
        <v>0</v>
      </c>
    </row>
    <row r="315" spans="1:1">
      <c r="A315">
        <f>IF(ISBLANK(B315), "","Country-314")</f>
        <v>0</v>
      </c>
    </row>
    <row r="316" spans="1:1">
      <c r="A316">
        <f>IF(ISBLANK(B316), "","Country-315")</f>
        <v>0</v>
      </c>
    </row>
    <row r="317" spans="1:1">
      <c r="A317">
        <f>IF(ISBLANK(B317), "","Country-316")</f>
        <v>0</v>
      </c>
    </row>
    <row r="318" spans="1:1">
      <c r="A318">
        <f>IF(ISBLANK(B318), "","Country-317")</f>
        <v>0</v>
      </c>
    </row>
    <row r="319" spans="1:1">
      <c r="A319">
        <f>IF(ISBLANK(B319), "","Country-318")</f>
        <v>0</v>
      </c>
    </row>
    <row r="320" spans="1:1">
      <c r="A320">
        <f>IF(ISBLANK(B320), "","Country-319")</f>
        <v>0</v>
      </c>
    </row>
    <row r="321" spans="1:1">
      <c r="A321">
        <f>IF(ISBLANK(B321), "","Country-320")</f>
        <v>0</v>
      </c>
    </row>
    <row r="322" spans="1:1">
      <c r="A322">
        <f>IF(ISBLANK(B322), "","Country-321")</f>
        <v>0</v>
      </c>
    </row>
    <row r="323" spans="1:1">
      <c r="A323">
        <f>IF(ISBLANK(B323), "","Country-322")</f>
        <v>0</v>
      </c>
    </row>
    <row r="324" spans="1:1">
      <c r="A324">
        <f>IF(ISBLANK(B324), "","Country-323")</f>
        <v>0</v>
      </c>
    </row>
    <row r="325" spans="1:1">
      <c r="A325">
        <f>IF(ISBLANK(B325), "","Country-324")</f>
        <v>0</v>
      </c>
    </row>
    <row r="326" spans="1:1">
      <c r="A326">
        <f>IF(ISBLANK(B326), "","Country-325")</f>
        <v>0</v>
      </c>
    </row>
    <row r="327" spans="1:1">
      <c r="A327">
        <f>IF(ISBLANK(B327), "","Country-326")</f>
        <v>0</v>
      </c>
    </row>
    <row r="328" spans="1:1">
      <c r="A328">
        <f>IF(ISBLANK(B328), "","Country-327")</f>
        <v>0</v>
      </c>
    </row>
    <row r="329" spans="1:1">
      <c r="A329">
        <f>IF(ISBLANK(B329), "","Country-328")</f>
        <v>0</v>
      </c>
    </row>
    <row r="330" spans="1:1">
      <c r="A330">
        <f>IF(ISBLANK(B330), "","Country-329")</f>
        <v>0</v>
      </c>
    </row>
    <row r="331" spans="1:1">
      <c r="A331">
        <f>IF(ISBLANK(B331), "","Country-330")</f>
        <v>0</v>
      </c>
    </row>
    <row r="332" spans="1:1">
      <c r="A332">
        <f>IF(ISBLANK(B332), "","Country-331")</f>
        <v>0</v>
      </c>
    </row>
    <row r="333" spans="1:1">
      <c r="A333">
        <f>IF(ISBLANK(B333), "","Country-332")</f>
        <v>0</v>
      </c>
    </row>
    <row r="334" spans="1:1">
      <c r="A334">
        <f>IF(ISBLANK(B334), "","Country-333")</f>
        <v>0</v>
      </c>
    </row>
    <row r="335" spans="1:1">
      <c r="A335">
        <f>IF(ISBLANK(B335), "","Country-334")</f>
        <v>0</v>
      </c>
    </row>
    <row r="336" spans="1:1">
      <c r="A336">
        <f>IF(ISBLANK(B336), "","Country-335")</f>
        <v>0</v>
      </c>
    </row>
    <row r="337" spans="1:1">
      <c r="A337">
        <f>IF(ISBLANK(B337), "","Country-336")</f>
        <v>0</v>
      </c>
    </row>
    <row r="338" spans="1:1">
      <c r="A338">
        <f>IF(ISBLANK(B338), "","Country-337")</f>
        <v>0</v>
      </c>
    </row>
    <row r="339" spans="1:1">
      <c r="A339">
        <f>IF(ISBLANK(B339), "","Country-338")</f>
        <v>0</v>
      </c>
    </row>
    <row r="340" spans="1:1">
      <c r="A340">
        <f>IF(ISBLANK(B340), "","Country-339")</f>
        <v>0</v>
      </c>
    </row>
    <row r="341" spans="1:1">
      <c r="A341">
        <f>IF(ISBLANK(B341), "","Country-340")</f>
        <v>0</v>
      </c>
    </row>
    <row r="342" spans="1:1">
      <c r="A342">
        <f>IF(ISBLANK(B342), "","Country-341")</f>
        <v>0</v>
      </c>
    </row>
    <row r="343" spans="1:1">
      <c r="A343">
        <f>IF(ISBLANK(B343), "","Country-342")</f>
        <v>0</v>
      </c>
    </row>
    <row r="344" spans="1:1">
      <c r="A344">
        <f>IF(ISBLANK(B344), "","Country-343")</f>
        <v>0</v>
      </c>
    </row>
    <row r="345" spans="1:1">
      <c r="A345">
        <f>IF(ISBLANK(B345), "","Country-344")</f>
        <v>0</v>
      </c>
    </row>
    <row r="346" spans="1:1">
      <c r="A346">
        <f>IF(ISBLANK(B346), "","Country-345")</f>
        <v>0</v>
      </c>
    </row>
    <row r="347" spans="1:1">
      <c r="A347">
        <f>IF(ISBLANK(B347), "","Country-346")</f>
        <v>0</v>
      </c>
    </row>
    <row r="348" spans="1:1">
      <c r="A348">
        <f>IF(ISBLANK(B348), "","Country-347")</f>
        <v>0</v>
      </c>
    </row>
    <row r="349" spans="1:1">
      <c r="A349">
        <f>IF(ISBLANK(B349), "","Country-348")</f>
        <v>0</v>
      </c>
    </row>
    <row r="350" spans="1:1">
      <c r="A350">
        <f>IF(ISBLANK(B350), "","Country-349")</f>
        <v>0</v>
      </c>
    </row>
    <row r="351" spans="1:1">
      <c r="A351">
        <f>IF(ISBLANK(B351), "","Country-350")</f>
        <v>0</v>
      </c>
    </row>
    <row r="352" spans="1:1">
      <c r="A352">
        <f>IF(ISBLANK(B352), "","Country-351")</f>
        <v>0</v>
      </c>
    </row>
    <row r="353" spans="1:1">
      <c r="A353">
        <f>IF(ISBLANK(B353), "","Country-352")</f>
        <v>0</v>
      </c>
    </row>
    <row r="354" spans="1:1">
      <c r="A354">
        <f>IF(ISBLANK(B354), "","Country-353")</f>
        <v>0</v>
      </c>
    </row>
    <row r="355" spans="1:1">
      <c r="A355">
        <f>IF(ISBLANK(B355), "","Country-354")</f>
        <v>0</v>
      </c>
    </row>
    <row r="356" spans="1:1">
      <c r="A356">
        <f>IF(ISBLANK(B356), "","Country-355")</f>
        <v>0</v>
      </c>
    </row>
    <row r="357" spans="1:1">
      <c r="A357">
        <f>IF(ISBLANK(B357), "","Country-356")</f>
        <v>0</v>
      </c>
    </row>
    <row r="358" spans="1:1">
      <c r="A358">
        <f>IF(ISBLANK(B358), "","Country-357")</f>
        <v>0</v>
      </c>
    </row>
    <row r="359" spans="1:1">
      <c r="A359">
        <f>IF(ISBLANK(B359), "","Country-358")</f>
        <v>0</v>
      </c>
    </row>
    <row r="360" spans="1:1">
      <c r="A360">
        <f>IF(ISBLANK(B360), "","Country-359")</f>
        <v>0</v>
      </c>
    </row>
    <row r="361" spans="1:1">
      <c r="A361">
        <f>IF(ISBLANK(B361), "","Country-360")</f>
        <v>0</v>
      </c>
    </row>
    <row r="362" spans="1:1">
      <c r="A362">
        <f>IF(ISBLANK(B362), "","Country-361")</f>
        <v>0</v>
      </c>
    </row>
    <row r="363" spans="1:1">
      <c r="A363">
        <f>IF(ISBLANK(B363), "","Country-362")</f>
        <v>0</v>
      </c>
    </row>
    <row r="364" spans="1:1">
      <c r="A364">
        <f>IF(ISBLANK(B364), "","Country-363")</f>
        <v>0</v>
      </c>
    </row>
    <row r="365" spans="1:1">
      <c r="A365">
        <f>IF(ISBLANK(B365), "","Country-364")</f>
        <v>0</v>
      </c>
    </row>
    <row r="366" spans="1:1">
      <c r="A366">
        <f>IF(ISBLANK(B366), "","Country-365")</f>
        <v>0</v>
      </c>
    </row>
    <row r="367" spans="1:1">
      <c r="A367">
        <f>IF(ISBLANK(B367), "","Country-366")</f>
        <v>0</v>
      </c>
    </row>
    <row r="368" spans="1:1">
      <c r="A368">
        <f>IF(ISBLANK(B368), "","Country-367")</f>
        <v>0</v>
      </c>
    </row>
    <row r="369" spans="1:1">
      <c r="A369">
        <f>IF(ISBLANK(B369), "","Country-368")</f>
        <v>0</v>
      </c>
    </row>
    <row r="370" spans="1:1">
      <c r="A370">
        <f>IF(ISBLANK(B370), "","Country-369")</f>
        <v>0</v>
      </c>
    </row>
    <row r="371" spans="1:1">
      <c r="A371">
        <f>IF(ISBLANK(B371), "","Country-370")</f>
        <v>0</v>
      </c>
    </row>
    <row r="372" spans="1:1">
      <c r="A372">
        <f>IF(ISBLANK(B372), "","Country-371")</f>
        <v>0</v>
      </c>
    </row>
    <row r="373" spans="1:1">
      <c r="A373">
        <f>IF(ISBLANK(B373), "","Country-372")</f>
        <v>0</v>
      </c>
    </row>
    <row r="374" spans="1:1">
      <c r="A374">
        <f>IF(ISBLANK(B374), "","Country-373")</f>
        <v>0</v>
      </c>
    </row>
    <row r="375" spans="1:1">
      <c r="A375">
        <f>IF(ISBLANK(B375), "","Country-374")</f>
        <v>0</v>
      </c>
    </row>
    <row r="376" spans="1:1">
      <c r="A376">
        <f>IF(ISBLANK(B376), "","Country-375")</f>
        <v>0</v>
      </c>
    </row>
    <row r="377" spans="1:1">
      <c r="A377">
        <f>IF(ISBLANK(B377), "","Country-376")</f>
        <v>0</v>
      </c>
    </row>
    <row r="378" spans="1:1">
      <c r="A378">
        <f>IF(ISBLANK(B378), "","Country-377")</f>
        <v>0</v>
      </c>
    </row>
    <row r="379" spans="1:1">
      <c r="A379">
        <f>IF(ISBLANK(B379), "","Country-378")</f>
        <v>0</v>
      </c>
    </row>
    <row r="380" spans="1:1">
      <c r="A380">
        <f>IF(ISBLANK(B380), "","Country-379")</f>
        <v>0</v>
      </c>
    </row>
    <row r="381" spans="1:1">
      <c r="A381">
        <f>IF(ISBLANK(B381), "","Country-380")</f>
        <v>0</v>
      </c>
    </row>
    <row r="382" spans="1:1">
      <c r="A382">
        <f>IF(ISBLANK(B382), "","Country-381")</f>
        <v>0</v>
      </c>
    </row>
    <row r="383" spans="1:1">
      <c r="A383">
        <f>IF(ISBLANK(B383), "","Country-382")</f>
        <v>0</v>
      </c>
    </row>
    <row r="384" spans="1:1">
      <c r="A384">
        <f>IF(ISBLANK(B384), "","Country-383")</f>
        <v>0</v>
      </c>
    </row>
    <row r="385" spans="1:1">
      <c r="A385">
        <f>IF(ISBLANK(B385), "","Country-384")</f>
        <v>0</v>
      </c>
    </row>
    <row r="386" spans="1:1">
      <c r="A386">
        <f>IF(ISBLANK(B386), "","Country-385")</f>
        <v>0</v>
      </c>
    </row>
    <row r="387" spans="1:1">
      <c r="A387">
        <f>IF(ISBLANK(B387), "","Country-386")</f>
        <v>0</v>
      </c>
    </row>
    <row r="388" spans="1:1">
      <c r="A388">
        <f>IF(ISBLANK(B388), "","Country-387")</f>
        <v>0</v>
      </c>
    </row>
    <row r="389" spans="1:1">
      <c r="A389">
        <f>IF(ISBLANK(B389), "","Country-388")</f>
        <v>0</v>
      </c>
    </row>
    <row r="390" spans="1:1">
      <c r="A390">
        <f>IF(ISBLANK(B390), "","Country-389")</f>
        <v>0</v>
      </c>
    </row>
    <row r="391" spans="1:1">
      <c r="A391">
        <f>IF(ISBLANK(B391), "","Country-390")</f>
        <v>0</v>
      </c>
    </row>
    <row r="392" spans="1:1">
      <c r="A392">
        <f>IF(ISBLANK(B392), "","Country-391")</f>
        <v>0</v>
      </c>
    </row>
    <row r="393" spans="1:1">
      <c r="A393">
        <f>IF(ISBLANK(B393), "","Country-392")</f>
        <v>0</v>
      </c>
    </row>
    <row r="394" spans="1:1">
      <c r="A394">
        <f>IF(ISBLANK(B394), "","Country-393")</f>
        <v>0</v>
      </c>
    </row>
    <row r="395" spans="1:1">
      <c r="A395">
        <f>IF(ISBLANK(B395), "","Country-394")</f>
        <v>0</v>
      </c>
    </row>
    <row r="396" spans="1:1">
      <c r="A396">
        <f>IF(ISBLANK(B396), "","Country-395")</f>
        <v>0</v>
      </c>
    </row>
    <row r="397" spans="1:1">
      <c r="A397">
        <f>IF(ISBLANK(B397), "","Country-396")</f>
        <v>0</v>
      </c>
    </row>
    <row r="398" spans="1:1">
      <c r="A398">
        <f>IF(ISBLANK(B398), "","Country-397")</f>
        <v>0</v>
      </c>
    </row>
    <row r="399" spans="1:1">
      <c r="A399">
        <f>IF(ISBLANK(B399), "","Country-398")</f>
        <v>0</v>
      </c>
    </row>
    <row r="400" spans="1:1">
      <c r="A400">
        <f>IF(ISBLANK(B400), "","Country-399")</f>
        <v>0</v>
      </c>
    </row>
    <row r="401" spans="1:1">
      <c r="A401">
        <f>IF(ISBLANK(B401), "","Country-400")</f>
        <v>0</v>
      </c>
    </row>
    <row r="402" spans="1:1">
      <c r="A402">
        <f>IF(ISBLANK(B402), "","Country-401")</f>
        <v>0</v>
      </c>
    </row>
    <row r="403" spans="1:1">
      <c r="A403">
        <f>IF(ISBLANK(B403), "","Country-402")</f>
        <v>0</v>
      </c>
    </row>
    <row r="404" spans="1:1">
      <c r="A404">
        <f>IF(ISBLANK(B404), "","Country-403")</f>
        <v>0</v>
      </c>
    </row>
    <row r="405" spans="1:1">
      <c r="A405">
        <f>IF(ISBLANK(B405), "","Country-404")</f>
        <v>0</v>
      </c>
    </row>
    <row r="406" spans="1:1">
      <c r="A406">
        <f>IF(ISBLANK(B406), "","Country-405")</f>
        <v>0</v>
      </c>
    </row>
    <row r="407" spans="1:1">
      <c r="A407">
        <f>IF(ISBLANK(B407), "","Country-406")</f>
        <v>0</v>
      </c>
    </row>
    <row r="408" spans="1:1">
      <c r="A408">
        <f>IF(ISBLANK(B408), "","Country-407")</f>
        <v>0</v>
      </c>
    </row>
    <row r="409" spans="1:1">
      <c r="A409">
        <f>IF(ISBLANK(B409), "","Country-408")</f>
        <v>0</v>
      </c>
    </row>
    <row r="410" spans="1:1">
      <c r="A410">
        <f>IF(ISBLANK(B410), "","Country-409")</f>
        <v>0</v>
      </c>
    </row>
    <row r="411" spans="1:1">
      <c r="A411">
        <f>IF(ISBLANK(B411), "","Country-410")</f>
        <v>0</v>
      </c>
    </row>
    <row r="412" spans="1:1">
      <c r="A412">
        <f>IF(ISBLANK(B412), "","Country-411")</f>
        <v>0</v>
      </c>
    </row>
    <row r="413" spans="1:1">
      <c r="A413">
        <f>IF(ISBLANK(B413), "","Country-412")</f>
        <v>0</v>
      </c>
    </row>
    <row r="414" spans="1:1">
      <c r="A414">
        <f>IF(ISBLANK(B414), "","Country-413")</f>
        <v>0</v>
      </c>
    </row>
    <row r="415" spans="1:1">
      <c r="A415">
        <f>IF(ISBLANK(B415), "","Country-414")</f>
        <v>0</v>
      </c>
    </row>
    <row r="416" spans="1:1">
      <c r="A416">
        <f>IF(ISBLANK(B416), "","Country-415")</f>
        <v>0</v>
      </c>
    </row>
    <row r="417" spans="1:1">
      <c r="A417">
        <f>IF(ISBLANK(B417), "","Country-416")</f>
        <v>0</v>
      </c>
    </row>
    <row r="418" spans="1:1">
      <c r="A418">
        <f>IF(ISBLANK(B418), "","Country-417")</f>
        <v>0</v>
      </c>
    </row>
    <row r="419" spans="1:1">
      <c r="A419">
        <f>IF(ISBLANK(B419), "","Country-418")</f>
        <v>0</v>
      </c>
    </row>
    <row r="420" spans="1:1">
      <c r="A420">
        <f>IF(ISBLANK(B420), "","Country-419")</f>
        <v>0</v>
      </c>
    </row>
    <row r="421" spans="1:1">
      <c r="A421">
        <f>IF(ISBLANK(B421), "","Country-420")</f>
        <v>0</v>
      </c>
    </row>
    <row r="422" spans="1:1">
      <c r="A422">
        <f>IF(ISBLANK(B422), "","Country-421")</f>
        <v>0</v>
      </c>
    </row>
    <row r="423" spans="1:1">
      <c r="A423">
        <f>IF(ISBLANK(B423), "","Country-422")</f>
        <v>0</v>
      </c>
    </row>
    <row r="424" spans="1:1">
      <c r="A424">
        <f>IF(ISBLANK(B424), "","Country-423")</f>
        <v>0</v>
      </c>
    </row>
    <row r="425" spans="1:1">
      <c r="A425">
        <f>IF(ISBLANK(B425), "","Country-424")</f>
        <v>0</v>
      </c>
    </row>
    <row r="426" spans="1:1">
      <c r="A426">
        <f>IF(ISBLANK(B426), "","Country-425")</f>
        <v>0</v>
      </c>
    </row>
    <row r="427" spans="1:1">
      <c r="A427">
        <f>IF(ISBLANK(B427), "","Country-426")</f>
        <v>0</v>
      </c>
    </row>
    <row r="428" spans="1:1">
      <c r="A428">
        <f>IF(ISBLANK(B428), "","Country-427")</f>
        <v>0</v>
      </c>
    </row>
    <row r="429" spans="1:1">
      <c r="A429">
        <f>IF(ISBLANK(B429), "","Country-428")</f>
        <v>0</v>
      </c>
    </row>
    <row r="430" spans="1:1">
      <c r="A430">
        <f>IF(ISBLANK(B430), "","Country-429")</f>
        <v>0</v>
      </c>
    </row>
    <row r="431" spans="1:1">
      <c r="A431">
        <f>IF(ISBLANK(B431), "","Country-430")</f>
        <v>0</v>
      </c>
    </row>
    <row r="432" spans="1:1">
      <c r="A432">
        <f>IF(ISBLANK(B432), "","Country-431")</f>
        <v>0</v>
      </c>
    </row>
    <row r="433" spans="1:1">
      <c r="A433">
        <f>IF(ISBLANK(B433), "","Country-432")</f>
        <v>0</v>
      </c>
    </row>
    <row r="434" spans="1:1">
      <c r="A434">
        <f>IF(ISBLANK(B434), "","Country-433")</f>
        <v>0</v>
      </c>
    </row>
    <row r="435" spans="1:1">
      <c r="A435">
        <f>IF(ISBLANK(B435), "","Country-434")</f>
        <v>0</v>
      </c>
    </row>
    <row r="436" spans="1:1">
      <c r="A436">
        <f>IF(ISBLANK(B436), "","Country-435")</f>
        <v>0</v>
      </c>
    </row>
    <row r="437" spans="1:1">
      <c r="A437">
        <f>IF(ISBLANK(B437), "","Country-436")</f>
        <v>0</v>
      </c>
    </row>
    <row r="438" spans="1:1">
      <c r="A438">
        <f>IF(ISBLANK(B438), "","Country-437")</f>
        <v>0</v>
      </c>
    </row>
    <row r="439" spans="1:1">
      <c r="A439">
        <f>IF(ISBLANK(B439), "","Country-438")</f>
        <v>0</v>
      </c>
    </row>
    <row r="440" spans="1:1">
      <c r="A440">
        <f>IF(ISBLANK(B440), "","Country-439")</f>
        <v>0</v>
      </c>
    </row>
    <row r="441" spans="1:1">
      <c r="A441">
        <f>IF(ISBLANK(B441), "","Country-440")</f>
        <v>0</v>
      </c>
    </row>
    <row r="442" spans="1:1">
      <c r="A442">
        <f>IF(ISBLANK(B442), "","Country-441")</f>
        <v>0</v>
      </c>
    </row>
    <row r="443" spans="1:1">
      <c r="A443">
        <f>IF(ISBLANK(B443), "","Country-442")</f>
        <v>0</v>
      </c>
    </row>
    <row r="444" spans="1:1">
      <c r="A444">
        <f>IF(ISBLANK(B444), "","Country-443")</f>
        <v>0</v>
      </c>
    </row>
    <row r="445" spans="1:1">
      <c r="A445">
        <f>IF(ISBLANK(B445), "","Country-444")</f>
        <v>0</v>
      </c>
    </row>
    <row r="446" spans="1:1">
      <c r="A446">
        <f>IF(ISBLANK(B446), "","Country-445")</f>
        <v>0</v>
      </c>
    </row>
    <row r="447" spans="1:1">
      <c r="A447">
        <f>IF(ISBLANK(B447), "","Country-446")</f>
        <v>0</v>
      </c>
    </row>
    <row r="448" spans="1:1">
      <c r="A448">
        <f>IF(ISBLANK(B448), "","Country-447")</f>
        <v>0</v>
      </c>
    </row>
    <row r="449" spans="1:1">
      <c r="A449">
        <f>IF(ISBLANK(B449), "","Country-448")</f>
        <v>0</v>
      </c>
    </row>
    <row r="450" spans="1:1">
      <c r="A450">
        <f>IF(ISBLANK(B450), "","Country-449")</f>
        <v>0</v>
      </c>
    </row>
    <row r="451" spans="1:1">
      <c r="A451">
        <f>IF(ISBLANK(B451), "","Country-450")</f>
        <v>0</v>
      </c>
    </row>
    <row r="452" spans="1:1">
      <c r="A452">
        <f>IF(ISBLANK(B452), "","Country-451")</f>
        <v>0</v>
      </c>
    </row>
    <row r="453" spans="1:1">
      <c r="A453">
        <f>IF(ISBLANK(B453), "","Country-452")</f>
        <v>0</v>
      </c>
    </row>
    <row r="454" spans="1:1">
      <c r="A454">
        <f>IF(ISBLANK(B454), "","Country-453")</f>
        <v>0</v>
      </c>
    </row>
    <row r="455" spans="1:1">
      <c r="A455">
        <f>IF(ISBLANK(B455), "","Country-454")</f>
        <v>0</v>
      </c>
    </row>
    <row r="456" spans="1:1">
      <c r="A456">
        <f>IF(ISBLANK(B456), "","Country-455")</f>
        <v>0</v>
      </c>
    </row>
    <row r="457" spans="1:1">
      <c r="A457">
        <f>IF(ISBLANK(B457), "","Country-456")</f>
        <v>0</v>
      </c>
    </row>
    <row r="458" spans="1:1">
      <c r="A458">
        <f>IF(ISBLANK(B458), "","Country-457")</f>
        <v>0</v>
      </c>
    </row>
    <row r="459" spans="1:1">
      <c r="A459">
        <f>IF(ISBLANK(B459), "","Country-458")</f>
        <v>0</v>
      </c>
    </row>
    <row r="460" spans="1:1">
      <c r="A460">
        <f>IF(ISBLANK(B460), "","Country-459")</f>
        <v>0</v>
      </c>
    </row>
    <row r="461" spans="1:1">
      <c r="A461">
        <f>IF(ISBLANK(B461), "","Country-460")</f>
        <v>0</v>
      </c>
    </row>
    <row r="462" spans="1:1">
      <c r="A462">
        <f>IF(ISBLANK(B462), "","Country-461")</f>
        <v>0</v>
      </c>
    </row>
    <row r="463" spans="1:1">
      <c r="A463">
        <f>IF(ISBLANK(B463), "","Country-462")</f>
        <v>0</v>
      </c>
    </row>
    <row r="464" spans="1:1">
      <c r="A464">
        <f>IF(ISBLANK(B464), "","Country-463")</f>
        <v>0</v>
      </c>
    </row>
    <row r="465" spans="1:1">
      <c r="A465">
        <f>IF(ISBLANK(B465), "","Country-464")</f>
        <v>0</v>
      </c>
    </row>
    <row r="466" spans="1:1">
      <c r="A466">
        <f>IF(ISBLANK(B466), "","Country-465")</f>
        <v>0</v>
      </c>
    </row>
    <row r="467" spans="1:1">
      <c r="A467">
        <f>IF(ISBLANK(B467), "","Country-466")</f>
        <v>0</v>
      </c>
    </row>
    <row r="468" spans="1:1">
      <c r="A468">
        <f>IF(ISBLANK(B468), "","Country-467")</f>
        <v>0</v>
      </c>
    </row>
    <row r="469" spans="1:1">
      <c r="A469">
        <f>IF(ISBLANK(B469), "","Country-468")</f>
        <v>0</v>
      </c>
    </row>
    <row r="470" spans="1:1">
      <c r="A470">
        <f>IF(ISBLANK(B470), "","Country-469")</f>
        <v>0</v>
      </c>
    </row>
    <row r="471" spans="1:1">
      <c r="A471">
        <f>IF(ISBLANK(B471), "","Country-470")</f>
        <v>0</v>
      </c>
    </row>
    <row r="472" spans="1:1">
      <c r="A472">
        <f>IF(ISBLANK(B472), "","Country-471")</f>
        <v>0</v>
      </c>
    </row>
    <row r="473" spans="1:1">
      <c r="A473">
        <f>IF(ISBLANK(B473), "","Country-472")</f>
        <v>0</v>
      </c>
    </row>
    <row r="474" spans="1:1">
      <c r="A474">
        <f>IF(ISBLANK(B474), "","Country-473")</f>
        <v>0</v>
      </c>
    </row>
    <row r="475" spans="1:1">
      <c r="A475">
        <f>IF(ISBLANK(B475), "","Country-474")</f>
        <v>0</v>
      </c>
    </row>
    <row r="476" spans="1:1">
      <c r="A476">
        <f>IF(ISBLANK(B476), "","Country-475")</f>
        <v>0</v>
      </c>
    </row>
    <row r="477" spans="1:1">
      <c r="A477">
        <f>IF(ISBLANK(B477), "","Country-476")</f>
        <v>0</v>
      </c>
    </row>
    <row r="478" spans="1:1">
      <c r="A478">
        <f>IF(ISBLANK(B478), "","Country-477")</f>
        <v>0</v>
      </c>
    </row>
    <row r="479" spans="1:1">
      <c r="A479">
        <f>IF(ISBLANK(B479), "","Country-478")</f>
        <v>0</v>
      </c>
    </row>
    <row r="480" spans="1:1">
      <c r="A480">
        <f>IF(ISBLANK(B480), "","Country-479")</f>
        <v>0</v>
      </c>
    </row>
    <row r="481" spans="1:1">
      <c r="A481">
        <f>IF(ISBLANK(B481), "","Country-480")</f>
        <v>0</v>
      </c>
    </row>
    <row r="482" spans="1:1">
      <c r="A482">
        <f>IF(ISBLANK(B482), "","Country-481")</f>
        <v>0</v>
      </c>
    </row>
    <row r="483" spans="1:1">
      <c r="A483">
        <f>IF(ISBLANK(B483), "","Country-482")</f>
        <v>0</v>
      </c>
    </row>
    <row r="484" spans="1:1">
      <c r="A484">
        <f>IF(ISBLANK(B484), "","Country-483")</f>
        <v>0</v>
      </c>
    </row>
    <row r="485" spans="1:1">
      <c r="A485">
        <f>IF(ISBLANK(B485), "","Country-484")</f>
        <v>0</v>
      </c>
    </row>
    <row r="486" spans="1:1">
      <c r="A486">
        <f>IF(ISBLANK(B486), "","Country-485")</f>
        <v>0</v>
      </c>
    </row>
    <row r="487" spans="1:1">
      <c r="A487">
        <f>IF(ISBLANK(B487), "","Country-486")</f>
        <v>0</v>
      </c>
    </row>
    <row r="488" spans="1:1">
      <c r="A488">
        <f>IF(ISBLANK(B488), "","Country-487")</f>
        <v>0</v>
      </c>
    </row>
    <row r="489" spans="1:1">
      <c r="A489">
        <f>IF(ISBLANK(B489), "","Country-488")</f>
        <v>0</v>
      </c>
    </row>
    <row r="490" spans="1:1">
      <c r="A490">
        <f>IF(ISBLANK(B490), "","Country-489")</f>
        <v>0</v>
      </c>
    </row>
    <row r="491" spans="1:1">
      <c r="A491">
        <f>IF(ISBLANK(B491), "","Country-490")</f>
        <v>0</v>
      </c>
    </row>
    <row r="492" spans="1:1">
      <c r="A492">
        <f>IF(ISBLANK(B492), "","Country-491")</f>
        <v>0</v>
      </c>
    </row>
    <row r="493" spans="1:1">
      <c r="A493">
        <f>IF(ISBLANK(B493), "","Country-492")</f>
        <v>0</v>
      </c>
    </row>
    <row r="494" spans="1:1">
      <c r="A494">
        <f>IF(ISBLANK(B494), "","Country-493")</f>
        <v>0</v>
      </c>
    </row>
    <row r="495" spans="1:1">
      <c r="A495">
        <f>IF(ISBLANK(B495), "","Country-494")</f>
        <v>0</v>
      </c>
    </row>
    <row r="496" spans="1:1">
      <c r="A496">
        <f>IF(ISBLANK(B496), "","Country-495")</f>
        <v>0</v>
      </c>
    </row>
    <row r="497" spans="1:1">
      <c r="A497">
        <f>IF(ISBLANK(B497), "","Country-496")</f>
        <v>0</v>
      </c>
    </row>
    <row r="498" spans="1:1">
      <c r="A498">
        <f>IF(ISBLANK(B498), "","Country-497")</f>
        <v>0</v>
      </c>
    </row>
    <row r="499" spans="1:1">
      <c r="A499">
        <f>IF(ISBLANK(B499), "","Country-498")</f>
        <v>0</v>
      </c>
    </row>
    <row r="500" spans="1:1">
      <c r="A500">
        <f>IF(ISBLANK(B500), "","Country-499")</f>
        <v>0</v>
      </c>
    </row>
    <row r="501" spans="1:1">
      <c r="A501">
        <f>IF(ISBLANK(B501), "","Country-500")</f>
        <v>0</v>
      </c>
    </row>
    <row r="502" spans="1:1">
      <c r="A502">
        <f>IF(ISBLANK(B502), "","Country-501")</f>
        <v>0</v>
      </c>
    </row>
    <row r="503" spans="1:1">
      <c r="A503">
        <f>IF(ISBLANK(B503), "","Country-502")</f>
        <v>0</v>
      </c>
    </row>
    <row r="504" spans="1:1">
      <c r="A504">
        <f>IF(ISBLANK(B504), "","Country-503")</f>
        <v>0</v>
      </c>
    </row>
    <row r="505" spans="1:1">
      <c r="A505">
        <f>IF(ISBLANK(B505), "","Country-504")</f>
        <v>0</v>
      </c>
    </row>
    <row r="506" spans="1:1">
      <c r="A506">
        <f>IF(ISBLANK(B506), "","Country-505")</f>
        <v>0</v>
      </c>
    </row>
    <row r="507" spans="1:1">
      <c r="A507">
        <f>IF(ISBLANK(B507), "","Country-506")</f>
        <v>0</v>
      </c>
    </row>
    <row r="508" spans="1:1">
      <c r="A508">
        <f>IF(ISBLANK(B508), "","Country-507")</f>
        <v>0</v>
      </c>
    </row>
    <row r="509" spans="1:1">
      <c r="A509">
        <f>IF(ISBLANK(B509), "","Country-508")</f>
        <v>0</v>
      </c>
    </row>
    <row r="510" spans="1:1">
      <c r="A510">
        <f>IF(ISBLANK(B510), "","Country-509")</f>
        <v>0</v>
      </c>
    </row>
    <row r="511" spans="1:1">
      <c r="A511">
        <f>IF(ISBLANK(B511), "","Country-510")</f>
        <v>0</v>
      </c>
    </row>
    <row r="512" spans="1:1">
      <c r="A512">
        <f>IF(ISBLANK(B512), "","Country-511")</f>
        <v>0</v>
      </c>
    </row>
    <row r="513" spans="1:1">
      <c r="A513">
        <f>IF(ISBLANK(B513), "","Country-512")</f>
        <v>0</v>
      </c>
    </row>
    <row r="514" spans="1:1">
      <c r="A514">
        <f>IF(ISBLANK(B514), "","Country-513")</f>
        <v>0</v>
      </c>
    </row>
    <row r="515" spans="1:1">
      <c r="A515">
        <f>IF(ISBLANK(B515), "","Country-514")</f>
        <v>0</v>
      </c>
    </row>
    <row r="516" spans="1:1">
      <c r="A516">
        <f>IF(ISBLANK(B516), "","Country-515")</f>
        <v>0</v>
      </c>
    </row>
    <row r="517" spans="1:1">
      <c r="A517">
        <f>IF(ISBLANK(B517), "","Country-516")</f>
        <v>0</v>
      </c>
    </row>
    <row r="518" spans="1:1">
      <c r="A518">
        <f>IF(ISBLANK(B518), "","Country-517")</f>
        <v>0</v>
      </c>
    </row>
    <row r="519" spans="1:1">
      <c r="A519">
        <f>IF(ISBLANK(B519), "","Country-518")</f>
        <v>0</v>
      </c>
    </row>
    <row r="520" spans="1:1">
      <c r="A520">
        <f>IF(ISBLANK(B520), "","Country-519")</f>
        <v>0</v>
      </c>
    </row>
    <row r="521" spans="1:1">
      <c r="A521">
        <f>IF(ISBLANK(B521), "","Country-520")</f>
        <v>0</v>
      </c>
    </row>
    <row r="522" spans="1:1">
      <c r="A522">
        <f>IF(ISBLANK(B522), "","Country-521")</f>
        <v>0</v>
      </c>
    </row>
    <row r="523" spans="1:1">
      <c r="A523">
        <f>IF(ISBLANK(B523), "","Country-522")</f>
        <v>0</v>
      </c>
    </row>
    <row r="524" spans="1:1">
      <c r="A524">
        <f>IF(ISBLANK(B524), "","Country-523")</f>
        <v>0</v>
      </c>
    </row>
    <row r="525" spans="1:1">
      <c r="A525">
        <f>IF(ISBLANK(B525), "","Country-524")</f>
        <v>0</v>
      </c>
    </row>
    <row r="526" spans="1:1">
      <c r="A526">
        <f>IF(ISBLANK(B526), "","Country-525")</f>
        <v>0</v>
      </c>
    </row>
    <row r="527" spans="1:1">
      <c r="A527">
        <f>IF(ISBLANK(B527), "","Country-526")</f>
        <v>0</v>
      </c>
    </row>
    <row r="528" spans="1:1">
      <c r="A528">
        <f>IF(ISBLANK(B528), "","Country-527")</f>
        <v>0</v>
      </c>
    </row>
    <row r="529" spans="1:1">
      <c r="A529">
        <f>IF(ISBLANK(B529), "","Country-528")</f>
        <v>0</v>
      </c>
    </row>
    <row r="530" spans="1:1">
      <c r="A530">
        <f>IF(ISBLANK(B530), "","Country-529")</f>
        <v>0</v>
      </c>
    </row>
    <row r="531" spans="1:1">
      <c r="A531">
        <f>IF(ISBLANK(B531), "","Country-530")</f>
        <v>0</v>
      </c>
    </row>
    <row r="532" spans="1:1">
      <c r="A532">
        <f>IF(ISBLANK(B532), "","Country-531")</f>
        <v>0</v>
      </c>
    </row>
    <row r="533" spans="1:1">
      <c r="A533">
        <f>IF(ISBLANK(B533), "","Country-532")</f>
        <v>0</v>
      </c>
    </row>
    <row r="534" spans="1:1">
      <c r="A534">
        <f>IF(ISBLANK(B534), "","Country-533")</f>
        <v>0</v>
      </c>
    </row>
    <row r="535" spans="1:1">
      <c r="A535">
        <f>IF(ISBLANK(B535), "","Country-534")</f>
        <v>0</v>
      </c>
    </row>
    <row r="536" spans="1:1">
      <c r="A536">
        <f>IF(ISBLANK(B536), "","Country-535")</f>
        <v>0</v>
      </c>
    </row>
    <row r="537" spans="1:1">
      <c r="A537">
        <f>IF(ISBLANK(B537), "","Country-536")</f>
        <v>0</v>
      </c>
    </row>
    <row r="538" spans="1:1">
      <c r="A538">
        <f>IF(ISBLANK(B538), "","Country-537")</f>
        <v>0</v>
      </c>
    </row>
    <row r="539" spans="1:1">
      <c r="A539">
        <f>IF(ISBLANK(B539), "","Country-538")</f>
        <v>0</v>
      </c>
    </row>
    <row r="540" spans="1:1">
      <c r="A540">
        <f>IF(ISBLANK(B540), "","Country-539")</f>
        <v>0</v>
      </c>
    </row>
    <row r="541" spans="1:1">
      <c r="A541">
        <f>IF(ISBLANK(B541), "","Country-540")</f>
        <v>0</v>
      </c>
    </row>
    <row r="542" spans="1:1">
      <c r="A542">
        <f>IF(ISBLANK(B542), "","Country-541")</f>
        <v>0</v>
      </c>
    </row>
    <row r="543" spans="1:1">
      <c r="A543">
        <f>IF(ISBLANK(B543), "","Country-542")</f>
        <v>0</v>
      </c>
    </row>
    <row r="544" spans="1:1">
      <c r="A544">
        <f>IF(ISBLANK(B544), "","Country-543")</f>
        <v>0</v>
      </c>
    </row>
    <row r="545" spans="1:1">
      <c r="A545">
        <f>IF(ISBLANK(B545), "","Country-544")</f>
        <v>0</v>
      </c>
    </row>
    <row r="546" spans="1:1">
      <c r="A546">
        <f>IF(ISBLANK(B546), "","Country-545")</f>
        <v>0</v>
      </c>
    </row>
    <row r="547" spans="1:1">
      <c r="A547">
        <f>IF(ISBLANK(B547), "","Country-546")</f>
        <v>0</v>
      </c>
    </row>
    <row r="548" spans="1:1">
      <c r="A548">
        <f>IF(ISBLANK(B548), "","Country-547")</f>
        <v>0</v>
      </c>
    </row>
    <row r="549" spans="1:1">
      <c r="A549">
        <f>IF(ISBLANK(B549), "","Country-548")</f>
        <v>0</v>
      </c>
    </row>
    <row r="550" spans="1:1">
      <c r="A550">
        <f>IF(ISBLANK(B550), "","Country-549")</f>
        <v>0</v>
      </c>
    </row>
    <row r="551" spans="1:1">
      <c r="A551">
        <f>IF(ISBLANK(B551), "","Country-550")</f>
        <v>0</v>
      </c>
    </row>
    <row r="552" spans="1:1">
      <c r="A552">
        <f>IF(ISBLANK(B552), "","Country-551")</f>
        <v>0</v>
      </c>
    </row>
    <row r="553" spans="1:1">
      <c r="A553">
        <f>IF(ISBLANK(B553), "","Country-552")</f>
        <v>0</v>
      </c>
    </row>
    <row r="554" spans="1:1">
      <c r="A554">
        <f>IF(ISBLANK(B554), "","Country-553")</f>
        <v>0</v>
      </c>
    </row>
    <row r="555" spans="1:1">
      <c r="A555">
        <f>IF(ISBLANK(B555), "","Country-554")</f>
        <v>0</v>
      </c>
    </row>
    <row r="556" spans="1:1">
      <c r="A556">
        <f>IF(ISBLANK(B556), "","Country-555")</f>
        <v>0</v>
      </c>
    </row>
    <row r="557" spans="1:1">
      <c r="A557">
        <f>IF(ISBLANK(B557), "","Country-556")</f>
        <v>0</v>
      </c>
    </row>
    <row r="558" spans="1:1">
      <c r="A558">
        <f>IF(ISBLANK(B558), "","Country-557")</f>
        <v>0</v>
      </c>
    </row>
    <row r="559" spans="1:1">
      <c r="A559">
        <f>IF(ISBLANK(B559), "","Country-558")</f>
        <v>0</v>
      </c>
    </row>
    <row r="560" spans="1:1">
      <c r="A560">
        <f>IF(ISBLANK(B560), "","Country-559")</f>
        <v>0</v>
      </c>
    </row>
    <row r="561" spans="1:1">
      <c r="A561">
        <f>IF(ISBLANK(B561), "","Country-560")</f>
        <v>0</v>
      </c>
    </row>
    <row r="562" spans="1:1">
      <c r="A562">
        <f>IF(ISBLANK(B562), "","Country-561")</f>
        <v>0</v>
      </c>
    </row>
    <row r="563" spans="1:1">
      <c r="A563">
        <f>IF(ISBLANK(B563), "","Country-562")</f>
        <v>0</v>
      </c>
    </row>
    <row r="564" spans="1:1">
      <c r="A564">
        <f>IF(ISBLANK(B564), "","Country-563")</f>
        <v>0</v>
      </c>
    </row>
    <row r="565" spans="1:1">
      <c r="A565">
        <f>IF(ISBLANK(B565), "","Country-564")</f>
        <v>0</v>
      </c>
    </row>
    <row r="566" spans="1:1">
      <c r="A566">
        <f>IF(ISBLANK(B566), "","Country-565")</f>
        <v>0</v>
      </c>
    </row>
    <row r="567" spans="1:1">
      <c r="A567">
        <f>IF(ISBLANK(B567), "","Country-566")</f>
        <v>0</v>
      </c>
    </row>
    <row r="568" spans="1:1">
      <c r="A568">
        <f>IF(ISBLANK(B568), "","Country-567")</f>
        <v>0</v>
      </c>
    </row>
    <row r="569" spans="1:1">
      <c r="A569">
        <f>IF(ISBLANK(B569), "","Country-568")</f>
        <v>0</v>
      </c>
    </row>
    <row r="570" spans="1:1">
      <c r="A570">
        <f>IF(ISBLANK(B570), "","Country-569")</f>
        <v>0</v>
      </c>
    </row>
    <row r="571" spans="1:1">
      <c r="A571">
        <f>IF(ISBLANK(B571), "","Country-570")</f>
        <v>0</v>
      </c>
    </row>
    <row r="572" spans="1:1">
      <c r="A572">
        <f>IF(ISBLANK(B572), "","Country-571")</f>
        <v>0</v>
      </c>
    </row>
    <row r="573" spans="1:1">
      <c r="A573">
        <f>IF(ISBLANK(B573), "","Country-572")</f>
        <v>0</v>
      </c>
    </row>
    <row r="574" spans="1:1">
      <c r="A574">
        <f>IF(ISBLANK(B574), "","Country-573")</f>
        <v>0</v>
      </c>
    </row>
    <row r="575" spans="1:1">
      <c r="A575">
        <f>IF(ISBLANK(B575), "","Country-574")</f>
        <v>0</v>
      </c>
    </row>
    <row r="576" spans="1:1">
      <c r="A576">
        <f>IF(ISBLANK(B576), "","Country-575")</f>
        <v>0</v>
      </c>
    </row>
    <row r="577" spans="1:1">
      <c r="A577">
        <f>IF(ISBLANK(B577), "","Country-576")</f>
        <v>0</v>
      </c>
    </row>
    <row r="578" spans="1:1">
      <c r="A578">
        <f>IF(ISBLANK(B578), "","Country-577")</f>
        <v>0</v>
      </c>
    </row>
    <row r="579" spans="1:1">
      <c r="A579">
        <f>IF(ISBLANK(B579), "","Country-578")</f>
        <v>0</v>
      </c>
    </row>
    <row r="580" spans="1:1">
      <c r="A580">
        <f>IF(ISBLANK(B580), "","Country-579")</f>
        <v>0</v>
      </c>
    </row>
    <row r="581" spans="1:1">
      <c r="A581">
        <f>IF(ISBLANK(B581), "","Country-580")</f>
        <v>0</v>
      </c>
    </row>
    <row r="582" spans="1:1">
      <c r="A582">
        <f>IF(ISBLANK(B582), "","Country-581")</f>
        <v>0</v>
      </c>
    </row>
    <row r="583" spans="1:1">
      <c r="A583">
        <f>IF(ISBLANK(B583), "","Country-582")</f>
        <v>0</v>
      </c>
    </row>
    <row r="584" spans="1:1">
      <c r="A584">
        <f>IF(ISBLANK(B584), "","Country-583")</f>
        <v>0</v>
      </c>
    </row>
    <row r="585" spans="1:1">
      <c r="A585">
        <f>IF(ISBLANK(B585), "","Country-584")</f>
        <v>0</v>
      </c>
    </row>
    <row r="586" spans="1:1">
      <c r="A586">
        <f>IF(ISBLANK(B586), "","Country-585")</f>
        <v>0</v>
      </c>
    </row>
    <row r="587" spans="1:1">
      <c r="A587">
        <f>IF(ISBLANK(B587), "","Country-586")</f>
        <v>0</v>
      </c>
    </row>
    <row r="588" spans="1:1">
      <c r="A588">
        <f>IF(ISBLANK(B588), "","Country-587")</f>
        <v>0</v>
      </c>
    </row>
    <row r="589" spans="1:1">
      <c r="A589">
        <f>IF(ISBLANK(B589), "","Country-588")</f>
        <v>0</v>
      </c>
    </row>
    <row r="590" spans="1:1">
      <c r="A590">
        <f>IF(ISBLANK(B590), "","Country-589")</f>
        <v>0</v>
      </c>
    </row>
    <row r="591" spans="1:1">
      <c r="A591">
        <f>IF(ISBLANK(B591), "","Country-590")</f>
        <v>0</v>
      </c>
    </row>
    <row r="592" spans="1:1">
      <c r="A592">
        <f>IF(ISBLANK(B592), "","Country-591")</f>
        <v>0</v>
      </c>
    </row>
    <row r="593" spans="1:1">
      <c r="A593">
        <f>IF(ISBLANK(B593), "","Country-592")</f>
        <v>0</v>
      </c>
    </row>
    <row r="594" spans="1:1">
      <c r="A594">
        <f>IF(ISBLANK(B594), "","Country-593")</f>
        <v>0</v>
      </c>
    </row>
    <row r="595" spans="1:1">
      <c r="A595">
        <f>IF(ISBLANK(B595), "","Country-594")</f>
        <v>0</v>
      </c>
    </row>
    <row r="596" spans="1:1">
      <c r="A596">
        <f>IF(ISBLANK(B596), "","Country-595")</f>
        <v>0</v>
      </c>
    </row>
    <row r="597" spans="1:1">
      <c r="A597">
        <f>IF(ISBLANK(B597), "","Country-596")</f>
        <v>0</v>
      </c>
    </row>
    <row r="598" spans="1:1">
      <c r="A598">
        <f>IF(ISBLANK(B598), "","Country-597")</f>
        <v>0</v>
      </c>
    </row>
    <row r="599" spans="1:1">
      <c r="A599">
        <f>IF(ISBLANK(B599), "","Country-598")</f>
        <v>0</v>
      </c>
    </row>
    <row r="600" spans="1:1">
      <c r="A600">
        <f>IF(ISBLANK(B600), "","Country-599")</f>
        <v>0</v>
      </c>
    </row>
    <row r="601" spans="1:1">
      <c r="A601">
        <f>IF(ISBLANK(B601), "","Country-600")</f>
        <v>0</v>
      </c>
    </row>
    <row r="602" spans="1:1">
      <c r="A602">
        <f>IF(ISBLANK(B602), "","Country-601")</f>
        <v>0</v>
      </c>
    </row>
    <row r="603" spans="1:1">
      <c r="A603">
        <f>IF(ISBLANK(B603), "","Country-602")</f>
        <v>0</v>
      </c>
    </row>
    <row r="604" spans="1:1">
      <c r="A604">
        <f>IF(ISBLANK(B604), "","Country-603")</f>
        <v>0</v>
      </c>
    </row>
    <row r="605" spans="1:1">
      <c r="A605">
        <f>IF(ISBLANK(B605), "","Country-604")</f>
        <v>0</v>
      </c>
    </row>
    <row r="606" spans="1:1">
      <c r="A606">
        <f>IF(ISBLANK(B606), "","Country-605")</f>
        <v>0</v>
      </c>
    </row>
    <row r="607" spans="1:1">
      <c r="A607">
        <f>IF(ISBLANK(B607), "","Country-606")</f>
        <v>0</v>
      </c>
    </row>
    <row r="608" spans="1:1">
      <c r="A608">
        <f>IF(ISBLANK(B608), "","Country-607")</f>
        <v>0</v>
      </c>
    </row>
    <row r="609" spans="1:1">
      <c r="A609">
        <f>IF(ISBLANK(B609), "","Country-608")</f>
        <v>0</v>
      </c>
    </row>
    <row r="610" spans="1:1">
      <c r="A610">
        <f>IF(ISBLANK(B610), "","Country-609")</f>
        <v>0</v>
      </c>
    </row>
    <row r="611" spans="1:1">
      <c r="A611">
        <f>IF(ISBLANK(B611), "","Country-610")</f>
        <v>0</v>
      </c>
    </row>
    <row r="612" spans="1:1">
      <c r="A612">
        <f>IF(ISBLANK(B612), "","Country-611")</f>
        <v>0</v>
      </c>
    </row>
    <row r="613" spans="1:1">
      <c r="A613">
        <f>IF(ISBLANK(B613), "","Country-612")</f>
        <v>0</v>
      </c>
    </row>
    <row r="614" spans="1:1">
      <c r="A614">
        <f>IF(ISBLANK(B614), "","Country-613")</f>
        <v>0</v>
      </c>
    </row>
    <row r="615" spans="1:1">
      <c r="A615">
        <f>IF(ISBLANK(B615), "","Country-614")</f>
        <v>0</v>
      </c>
    </row>
    <row r="616" spans="1:1">
      <c r="A616">
        <f>IF(ISBLANK(B616), "","Country-615")</f>
        <v>0</v>
      </c>
    </row>
    <row r="617" spans="1:1">
      <c r="A617">
        <f>IF(ISBLANK(B617), "","Country-616")</f>
        <v>0</v>
      </c>
    </row>
    <row r="618" spans="1:1">
      <c r="A618">
        <f>IF(ISBLANK(B618), "","Country-617")</f>
        <v>0</v>
      </c>
    </row>
    <row r="619" spans="1:1">
      <c r="A619">
        <f>IF(ISBLANK(B619), "","Country-618")</f>
        <v>0</v>
      </c>
    </row>
    <row r="620" spans="1:1">
      <c r="A620">
        <f>IF(ISBLANK(B620), "","Country-619")</f>
        <v>0</v>
      </c>
    </row>
    <row r="621" spans="1:1">
      <c r="A621">
        <f>IF(ISBLANK(B621), "","Country-620")</f>
        <v>0</v>
      </c>
    </row>
    <row r="622" spans="1:1">
      <c r="A622">
        <f>IF(ISBLANK(B622), "","Country-621")</f>
        <v>0</v>
      </c>
    </row>
    <row r="623" spans="1:1">
      <c r="A623">
        <f>IF(ISBLANK(B623), "","Country-622")</f>
        <v>0</v>
      </c>
    </row>
    <row r="624" spans="1:1">
      <c r="A624">
        <f>IF(ISBLANK(B624), "","Country-623")</f>
        <v>0</v>
      </c>
    </row>
    <row r="625" spans="1:1">
      <c r="A625">
        <f>IF(ISBLANK(B625), "","Country-624")</f>
        <v>0</v>
      </c>
    </row>
    <row r="626" spans="1:1">
      <c r="A626">
        <f>IF(ISBLANK(B626), "","Country-625")</f>
        <v>0</v>
      </c>
    </row>
    <row r="627" spans="1:1">
      <c r="A627">
        <f>IF(ISBLANK(B627), "","Country-626")</f>
        <v>0</v>
      </c>
    </row>
    <row r="628" spans="1:1">
      <c r="A628">
        <f>IF(ISBLANK(B628), "","Country-627")</f>
        <v>0</v>
      </c>
    </row>
    <row r="629" spans="1:1">
      <c r="A629">
        <f>IF(ISBLANK(B629), "","Country-628")</f>
        <v>0</v>
      </c>
    </row>
    <row r="630" spans="1:1">
      <c r="A630">
        <f>IF(ISBLANK(B630), "","Country-629")</f>
        <v>0</v>
      </c>
    </row>
    <row r="631" spans="1:1">
      <c r="A631">
        <f>IF(ISBLANK(B631), "","Country-630")</f>
        <v>0</v>
      </c>
    </row>
    <row r="632" spans="1:1">
      <c r="A632">
        <f>IF(ISBLANK(B632), "","Country-631")</f>
        <v>0</v>
      </c>
    </row>
    <row r="633" spans="1:1">
      <c r="A633">
        <f>IF(ISBLANK(B633), "","Country-632")</f>
        <v>0</v>
      </c>
    </row>
    <row r="634" spans="1:1">
      <c r="A634">
        <f>IF(ISBLANK(B634), "","Country-633")</f>
        <v>0</v>
      </c>
    </row>
    <row r="635" spans="1:1">
      <c r="A635">
        <f>IF(ISBLANK(B635), "","Country-634")</f>
        <v>0</v>
      </c>
    </row>
    <row r="636" spans="1:1">
      <c r="A636">
        <f>IF(ISBLANK(B636), "","Country-635")</f>
        <v>0</v>
      </c>
    </row>
    <row r="637" spans="1:1">
      <c r="A637">
        <f>IF(ISBLANK(B637), "","Country-636")</f>
        <v>0</v>
      </c>
    </row>
    <row r="638" spans="1:1">
      <c r="A638">
        <f>IF(ISBLANK(B638), "","Country-637")</f>
        <v>0</v>
      </c>
    </row>
    <row r="639" spans="1:1">
      <c r="A639">
        <f>IF(ISBLANK(B639), "","Country-638")</f>
        <v>0</v>
      </c>
    </row>
    <row r="640" spans="1:1">
      <c r="A640">
        <f>IF(ISBLANK(B640), "","Country-639")</f>
        <v>0</v>
      </c>
    </row>
    <row r="641" spans="1:1">
      <c r="A641">
        <f>IF(ISBLANK(B641), "","Country-640")</f>
        <v>0</v>
      </c>
    </row>
    <row r="642" spans="1:1">
      <c r="A642">
        <f>IF(ISBLANK(B642), "","Country-641")</f>
        <v>0</v>
      </c>
    </row>
    <row r="643" spans="1:1">
      <c r="A643">
        <f>IF(ISBLANK(B643), "","Country-642")</f>
        <v>0</v>
      </c>
    </row>
    <row r="644" spans="1:1">
      <c r="A644">
        <f>IF(ISBLANK(B644), "","Country-643")</f>
        <v>0</v>
      </c>
    </row>
    <row r="645" spans="1:1">
      <c r="A645">
        <f>IF(ISBLANK(B645), "","Country-644")</f>
        <v>0</v>
      </c>
    </row>
    <row r="646" spans="1:1">
      <c r="A646">
        <f>IF(ISBLANK(B646), "","Country-645")</f>
        <v>0</v>
      </c>
    </row>
    <row r="647" spans="1:1">
      <c r="A647">
        <f>IF(ISBLANK(B647), "","Country-646")</f>
        <v>0</v>
      </c>
    </row>
    <row r="648" spans="1:1">
      <c r="A648">
        <f>IF(ISBLANK(B648), "","Country-647")</f>
        <v>0</v>
      </c>
    </row>
    <row r="649" spans="1:1">
      <c r="A649">
        <f>IF(ISBLANK(B649), "","Country-648")</f>
        <v>0</v>
      </c>
    </row>
    <row r="650" spans="1:1">
      <c r="A650">
        <f>IF(ISBLANK(B650), "","Country-649")</f>
        <v>0</v>
      </c>
    </row>
    <row r="651" spans="1:1">
      <c r="A651">
        <f>IF(ISBLANK(B651), "","Country-650")</f>
        <v>0</v>
      </c>
    </row>
    <row r="652" spans="1:1">
      <c r="A652">
        <f>IF(ISBLANK(B652), "","Country-651")</f>
        <v>0</v>
      </c>
    </row>
    <row r="653" spans="1:1">
      <c r="A653">
        <f>IF(ISBLANK(B653), "","Country-652")</f>
        <v>0</v>
      </c>
    </row>
    <row r="654" spans="1:1">
      <c r="A654">
        <f>IF(ISBLANK(B654), "","Country-653")</f>
        <v>0</v>
      </c>
    </row>
    <row r="655" spans="1:1">
      <c r="A655">
        <f>IF(ISBLANK(B655), "","Country-654")</f>
        <v>0</v>
      </c>
    </row>
    <row r="656" spans="1:1">
      <c r="A656">
        <f>IF(ISBLANK(B656), "","Country-655")</f>
        <v>0</v>
      </c>
    </row>
    <row r="657" spans="1:1">
      <c r="A657">
        <f>IF(ISBLANK(B657), "","Country-656")</f>
        <v>0</v>
      </c>
    </row>
    <row r="658" spans="1:1">
      <c r="A658">
        <f>IF(ISBLANK(B658), "","Country-657")</f>
        <v>0</v>
      </c>
    </row>
    <row r="659" spans="1:1">
      <c r="A659">
        <f>IF(ISBLANK(B659), "","Country-658")</f>
        <v>0</v>
      </c>
    </row>
    <row r="660" spans="1:1">
      <c r="A660">
        <f>IF(ISBLANK(B660), "","Country-659")</f>
        <v>0</v>
      </c>
    </row>
    <row r="661" spans="1:1">
      <c r="A661">
        <f>IF(ISBLANK(B661), "","Country-660")</f>
        <v>0</v>
      </c>
    </row>
    <row r="662" spans="1:1">
      <c r="A662">
        <f>IF(ISBLANK(B662), "","Country-661")</f>
        <v>0</v>
      </c>
    </row>
    <row r="663" spans="1:1">
      <c r="A663">
        <f>IF(ISBLANK(B663), "","Country-662")</f>
        <v>0</v>
      </c>
    </row>
    <row r="664" spans="1:1">
      <c r="A664">
        <f>IF(ISBLANK(B664), "","Country-663")</f>
        <v>0</v>
      </c>
    </row>
    <row r="665" spans="1:1">
      <c r="A665">
        <f>IF(ISBLANK(B665), "","Country-664")</f>
        <v>0</v>
      </c>
    </row>
    <row r="666" spans="1:1">
      <c r="A666">
        <f>IF(ISBLANK(B666), "","Country-665")</f>
        <v>0</v>
      </c>
    </row>
    <row r="667" spans="1:1">
      <c r="A667">
        <f>IF(ISBLANK(B667), "","Country-666")</f>
        <v>0</v>
      </c>
    </row>
    <row r="668" spans="1:1">
      <c r="A668">
        <f>IF(ISBLANK(B668), "","Country-667")</f>
        <v>0</v>
      </c>
    </row>
    <row r="669" spans="1:1">
      <c r="A669">
        <f>IF(ISBLANK(B669), "","Country-668")</f>
        <v>0</v>
      </c>
    </row>
    <row r="670" spans="1:1">
      <c r="A670">
        <f>IF(ISBLANK(B670), "","Country-669")</f>
        <v>0</v>
      </c>
    </row>
    <row r="671" spans="1:1">
      <c r="A671">
        <f>IF(ISBLANK(B671), "","Country-670")</f>
        <v>0</v>
      </c>
    </row>
    <row r="672" spans="1:1">
      <c r="A672">
        <f>IF(ISBLANK(B672), "","Country-671")</f>
        <v>0</v>
      </c>
    </row>
    <row r="673" spans="1:1">
      <c r="A673">
        <f>IF(ISBLANK(B673), "","Country-672")</f>
        <v>0</v>
      </c>
    </row>
    <row r="674" spans="1:1">
      <c r="A674">
        <f>IF(ISBLANK(B674), "","Country-673")</f>
        <v>0</v>
      </c>
    </row>
    <row r="675" spans="1:1">
      <c r="A675">
        <f>IF(ISBLANK(B675), "","Country-674")</f>
        <v>0</v>
      </c>
    </row>
    <row r="676" spans="1:1">
      <c r="A676">
        <f>IF(ISBLANK(B676), "","Country-675")</f>
        <v>0</v>
      </c>
    </row>
    <row r="677" spans="1:1">
      <c r="A677">
        <f>IF(ISBLANK(B677), "","Country-676")</f>
        <v>0</v>
      </c>
    </row>
    <row r="678" spans="1:1">
      <c r="A678">
        <f>IF(ISBLANK(B678), "","Country-677")</f>
        <v>0</v>
      </c>
    </row>
    <row r="679" spans="1:1">
      <c r="A679">
        <f>IF(ISBLANK(B679), "","Country-678")</f>
        <v>0</v>
      </c>
    </row>
    <row r="680" spans="1:1">
      <c r="A680">
        <f>IF(ISBLANK(B680), "","Country-679")</f>
        <v>0</v>
      </c>
    </row>
    <row r="681" spans="1:1">
      <c r="A681">
        <f>IF(ISBLANK(B681), "","Country-680")</f>
        <v>0</v>
      </c>
    </row>
    <row r="682" spans="1:1">
      <c r="A682">
        <f>IF(ISBLANK(B682), "","Country-681")</f>
        <v>0</v>
      </c>
    </row>
    <row r="683" spans="1:1">
      <c r="A683">
        <f>IF(ISBLANK(B683), "","Country-682")</f>
        <v>0</v>
      </c>
    </row>
    <row r="684" spans="1:1">
      <c r="A684">
        <f>IF(ISBLANK(B684), "","Country-683")</f>
        <v>0</v>
      </c>
    </row>
    <row r="685" spans="1:1">
      <c r="A685">
        <f>IF(ISBLANK(B685), "","Country-684")</f>
        <v>0</v>
      </c>
    </row>
    <row r="686" spans="1:1">
      <c r="A686">
        <f>IF(ISBLANK(B686), "","Country-685")</f>
        <v>0</v>
      </c>
    </row>
    <row r="687" spans="1:1">
      <c r="A687">
        <f>IF(ISBLANK(B687), "","Country-686")</f>
        <v>0</v>
      </c>
    </row>
    <row r="688" spans="1:1">
      <c r="A688">
        <f>IF(ISBLANK(B688), "","Country-687")</f>
        <v>0</v>
      </c>
    </row>
    <row r="689" spans="1:1">
      <c r="A689">
        <f>IF(ISBLANK(B689), "","Country-688")</f>
        <v>0</v>
      </c>
    </row>
    <row r="690" spans="1:1">
      <c r="A690">
        <f>IF(ISBLANK(B690), "","Country-689")</f>
        <v>0</v>
      </c>
    </row>
    <row r="691" spans="1:1">
      <c r="A691">
        <f>IF(ISBLANK(B691), "","Country-690")</f>
        <v>0</v>
      </c>
    </row>
    <row r="692" spans="1:1">
      <c r="A692">
        <f>IF(ISBLANK(B692), "","Country-691")</f>
        <v>0</v>
      </c>
    </row>
    <row r="693" spans="1:1">
      <c r="A693">
        <f>IF(ISBLANK(B693), "","Country-692")</f>
        <v>0</v>
      </c>
    </row>
    <row r="694" spans="1:1">
      <c r="A694">
        <f>IF(ISBLANK(B694), "","Country-693")</f>
        <v>0</v>
      </c>
    </row>
    <row r="695" spans="1:1">
      <c r="A695">
        <f>IF(ISBLANK(B695), "","Country-694")</f>
        <v>0</v>
      </c>
    </row>
    <row r="696" spans="1:1">
      <c r="A696">
        <f>IF(ISBLANK(B696), "","Country-695")</f>
        <v>0</v>
      </c>
    </row>
    <row r="697" spans="1:1">
      <c r="A697">
        <f>IF(ISBLANK(B697), "","Country-696")</f>
        <v>0</v>
      </c>
    </row>
    <row r="698" spans="1:1">
      <c r="A698">
        <f>IF(ISBLANK(B698), "","Country-697")</f>
        <v>0</v>
      </c>
    </row>
    <row r="699" spans="1:1">
      <c r="A699">
        <f>IF(ISBLANK(B699), "","Country-698")</f>
        <v>0</v>
      </c>
    </row>
    <row r="700" spans="1:1">
      <c r="A700">
        <f>IF(ISBLANK(B700), "","Country-699")</f>
        <v>0</v>
      </c>
    </row>
    <row r="701" spans="1:1">
      <c r="A701">
        <f>IF(ISBLANK(B701), "","Country-700")</f>
        <v>0</v>
      </c>
    </row>
    <row r="702" spans="1:1">
      <c r="A702">
        <f>IF(ISBLANK(B702), "","Country-701")</f>
        <v>0</v>
      </c>
    </row>
    <row r="703" spans="1:1">
      <c r="A703">
        <f>IF(ISBLANK(B703), "","Country-702")</f>
        <v>0</v>
      </c>
    </row>
    <row r="704" spans="1:1">
      <c r="A704">
        <f>IF(ISBLANK(B704), "","Country-703")</f>
        <v>0</v>
      </c>
    </row>
    <row r="705" spans="1:1">
      <c r="A705">
        <f>IF(ISBLANK(B705), "","Country-704")</f>
        <v>0</v>
      </c>
    </row>
    <row r="706" spans="1:1">
      <c r="A706">
        <f>IF(ISBLANK(B706), "","Country-705")</f>
        <v>0</v>
      </c>
    </row>
    <row r="707" spans="1:1">
      <c r="A707">
        <f>IF(ISBLANK(B707), "","Country-706")</f>
        <v>0</v>
      </c>
    </row>
    <row r="708" spans="1:1">
      <c r="A708">
        <f>IF(ISBLANK(B708), "","Country-707")</f>
        <v>0</v>
      </c>
    </row>
    <row r="709" spans="1:1">
      <c r="A709">
        <f>IF(ISBLANK(B709), "","Country-708")</f>
        <v>0</v>
      </c>
    </row>
    <row r="710" spans="1:1">
      <c r="A710">
        <f>IF(ISBLANK(B710), "","Country-709")</f>
        <v>0</v>
      </c>
    </row>
    <row r="711" spans="1:1">
      <c r="A711">
        <f>IF(ISBLANK(B711), "","Country-710")</f>
        <v>0</v>
      </c>
    </row>
    <row r="712" spans="1:1">
      <c r="A712">
        <f>IF(ISBLANK(B712), "","Country-711")</f>
        <v>0</v>
      </c>
    </row>
    <row r="713" spans="1:1">
      <c r="A713">
        <f>IF(ISBLANK(B713), "","Country-712")</f>
        <v>0</v>
      </c>
    </row>
    <row r="714" spans="1:1">
      <c r="A714">
        <f>IF(ISBLANK(B714), "","Country-713")</f>
        <v>0</v>
      </c>
    </row>
    <row r="715" spans="1:1">
      <c r="A715">
        <f>IF(ISBLANK(B715), "","Country-714")</f>
        <v>0</v>
      </c>
    </row>
    <row r="716" spans="1:1">
      <c r="A716">
        <f>IF(ISBLANK(B716), "","Country-715")</f>
        <v>0</v>
      </c>
    </row>
    <row r="717" spans="1:1">
      <c r="A717">
        <f>IF(ISBLANK(B717), "","Country-716")</f>
        <v>0</v>
      </c>
    </row>
    <row r="718" spans="1:1">
      <c r="A718">
        <f>IF(ISBLANK(B718), "","Country-717")</f>
        <v>0</v>
      </c>
    </row>
    <row r="719" spans="1:1">
      <c r="A719">
        <f>IF(ISBLANK(B719), "","Country-718")</f>
        <v>0</v>
      </c>
    </row>
    <row r="720" spans="1:1">
      <c r="A720">
        <f>IF(ISBLANK(B720), "","Country-719")</f>
        <v>0</v>
      </c>
    </row>
    <row r="721" spans="1:1">
      <c r="A721">
        <f>IF(ISBLANK(B721), "","Country-720")</f>
        <v>0</v>
      </c>
    </row>
    <row r="722" spans="1:1">
      <c r="A722">
        <f>IF(ISBLANK(B722), "","Country-721")</f>
        <v>0</v>
      </c>
    </row>
    <row r="723" spans="1:1">
      <c r="A723">
        <f>IF(ISBLANK(B723), "","Country-722")</f>
        <v>0</v>
      </c>
    </row>
    <row r="724" spans="1:1">
      <c r="A724">
        <f>IF(ISBLANK(B724), "","Country-723")</f>
        <v>0</v>
      </c>
    </row>
    <row r="725" spans="1:1">
      <c r="A725">
        <f>IF(ISBLANK(B725), "","Country-724")</f>
        <v>0</v>
      </c>
    </row>
    <row r="726" spans="1:1">
      <c r="A726">
        <f>IF(ISBLANK(B726), "","Country-725")</f>
        <v>0</v>
      </c>
    </row>
    <row r="727" spans="1:1">
      <c r="A727">
        <f>IF(ISBLANK(B727), "","Country-726")</f>
        <v>0</v>
      </c>
    </row>
    <row r="728" spans="1:1">
      <c r="A728">
        <f>IF(ISBLANK(B728), "","Country-727")</f>
        <v>0</v>
      </c>
    </row>
    <row r="729" spans="1:1">
      <c r="A729">
        <f>IF(ISBLANK(B729), "","Country-728")</f>
        <v>0</v>
      </c>
    </row>
    <row r="730" spans="1:1">
      <c r="A730">
        <f>IF(ISBLANK(B730), "","Country-729")</f>
        <v>0</v>
      </c>
    </row>
    <row r="731" spans="1:1">
      <c r="A731">
        <f>IF(ISBLANK(B731), "","Country-730")</f>
        <v>0</v>
      </c>
    </row>
    <row r="732" spans="1:1">
      <c r="A732">
        <f>IF(ISBLANK(B732), "","Country-731")</f>
        <v>0</v>
      </c>
    </row>
    <row r="733" spans="1:1">
      <c r="A733">
        <f>IF(ISBLANK(B733), "","Country-732")</f>
        <v>0</v>
      </c>
    </row>
    <row r="734" spans="1:1">
      <c r="A734">
        <f>IF(ISBLANK(B734), "","Country-733")</f>
        <v>0</v>
      </c>
    </row>
    <row r="735" spans="1:1">
      <c r="A735">
        <f>IF(ISBLANK(B735), "","Country-734")</f>
        <v>0</v>
      </c>
    </row>
    <row r="736" spans="1:1">
      <c r="A736">
        <f>IF(ISBLANK(B736), "","Country-735")</f>
        <v>0</v>
      </c>
    </row>
    <row r="737" spans="1:1">
      <c r="A737">
        <f>IF(ISBLANK(B737), "","Country-736")</f>
        <v>0</v>
      </c>
    </row>
    <row r="738" spans="1:1">
      <c r="A738">
        <f>IF(ISBLANK(B738), "","Country-737")</f>
        <v>0</v>
      </c>
    </row>
    <row r="739" spans="1:1">
      <c r="A739">
        <f>IF(ISBLANK(B739), "","Country-738")</f>
        <v>0</v>
      </c>
    </row>
    <row r="740" spans="1:1">
      <c r="A740">
        <f>IF(ISBLANK(B740), "","Country-739")</f>
        <v>0</v>
      </c>
    </row>
    <row r="741" spans="1:1">
      <c r="A741">
        <f>IF(ISBLANK(B741), "","Country-740")</f>
        <v>0</v>
      </c>
    </row>
    <row r="742" spans="1:1">
      <c r="A742">
        <f>IF(ISBLANK(B742), "","Country-741")</f>
        <v>0</v>
      </c>
    </row>
    <row r="743" spans="1:1">
      <c r="A743">
        <f>IF(ISBLANK(B743), "","Country-742")</f>
        <v>0</v>
      </c>
    </row>
    <row r="744" spans="1:1">
      <c r="A744">
        <f>IF(ISBLANK(B744), "","Country-743")</f>
        <v>0</v>
      </c>
    </row>
    <row r="745" spans="1:1">
      <c r="A745">
        <f>IF(ISBLANK(B745), "","Country-744")</f>
        <v>0</v>
      </c>
    </row>
    <row r="746" spans="1:1">
      <c r="A746">
        <f>IF(ISBLANK(B746), "","Country-745")</f>
        <v>0</v>
      </c>
    </row>
    <row r="747" spans="1:1">
      <c r="A747">
        <f>IF(ISBLANK(B747), "","Country-746")</f>
        <v>0</v>
      </c>
    </row>
    <row r="748" spans="1:1">
      <c r="A748">
        <f>IF(ISBLANK(B748), "","Country-747")</f>
        <v>0</v>
      </c>
    </row>
    <row r="749" spans="1:1">
      <c r="A749">
        <f>IF(ISBLANK(B749), "","Country-748")</f>
        <v>0</v>
      </c>
    </row>
    <row r="750" spans="1:1">
      <c r="A750">
        <f>IF(ISBLANK(B750), "","Country-749")</f>
        <v>0</v>
      </c>
    </row>
    <row r="751" spans="1:1">
      <c r="A751">
        <f>IF(ISBLANK(B751), "","Country-750")</f>
        <v>0</v>
      </c>
    </row>
    <row r="752" spans="1:1">
      <c r="A752">
        <f>IF(ISBLANK(B752), "","Country-751")</f>
        <v>0</v>
      </c>
    </row>
    <row r="753" spans="1:1">
      <c r="A753">
        <f>IF(ISBLANK(B753), "","Country-752")</f>
        <v>0</v>
      </c>
    </row>
    <row r="754" spans="1:1">
      <c r="A754">
        <f>IF(ISBLANK(B754), "","Country-753")</f>
        <v>0</v>
      </c>
    </row>
    <row r="755" spans="1:1">
      <c r="A755">
        <f>IF(ISBLANK(B755), "","Country-754")</f>
        <v>0</v>
      </c>
    </row>
    <row r="756" spans="1:1">
      <c r="A756">
        <f>IF(ISBLANK(B756), "","Country-755")</f>
        <v>0</v>
      </c>
    </row>
    <row r="757" spans="1:1">
      <c r="A757">
        <f>IF(ISBLANK(B757), "","Country-756")</f>
        <v>0</v>
      </c>
    </row>
    <row r="758" spans="1:1">
      <c r="A758">
        <f>IF(ISBLANK(B758), "","Country-757")</f>
        <v>0</v>
      </c>
    </row>
    <row r="759" spans="1:1">
      <c r="A759">
        <f>IF(ISBLANK(B759), "","Country-758")</f>
        <v>0</v>
      </c>
    </row>
    <row r="760" spans="1:1">
      <c r="A760">
        <f>IF(ISBLANK(B760), "","Country-759")</f>
        <v>0</v>
      </c>
    </row>
    <row r="761" spans="1:1">
      <c r="A761">
        <f>IF(ISBLANK(B761), "","Country-760")</f>
        <v>0</v>
      </c>
    </row>
    <row r="762" spans="1:1">
      <c r="A762">
        <f>IF(ISBLANK(B762), "","Country-761")</f>
        <v>0</v>
      </c>
    </row>
    <row r="763" spans="1:1">
      <c r="A763">
        <f>IF(ISBLANK(B763), "","Country-762")</f>
        <v>0</v>
      </c>
    </row>
    <row r="764" spans="1:1">
      <c r="A764">
        <f>IF(ISBLANK(B764), "","Country-763")</f>
        <v>0</v>
      </c>
    </row>
    <row r="765" spans="1:1">
      <c r="A765">
        <f>IF(ISBLANK(B765), "","Country-764")</f>
        <v>0</v>
      </c>
    </row>
    <row r="766" spans="1:1">
      <c r="A766">
        <f>IF(ISBLANK(B766), "","Country-765")</f>
        <v>0</v>
      </c>
    </row>
    <row r="767" spans="1:1">
      <c r="A767">
        <f>IF(ISBLANK(B767), "","Country-766")</f>
        <v>0</v>
      </c>
    </row>
    <row r="768" spans="1:1">
      <c r="A768">
        <f>IF(ISBLANK(B768), "","Country-767")</f>
        <v>0</v>
      </c>
    </row>
    <row r="769" spans="1:1">
      <c r="A769">
        <f>IF(ISBLANK(B769), "","Country-768")</f>
        <v>0</v>
      </c>
    </row>
    <row r="770" spans="1:1">
      <c r="A770">
        <f>IF(ISBLANK(B770), "","Country-769")</f>
        <v>0</v>
      </c>
    </row>
    <row r="771" spans="1:1">
      <c r="A771">
        <f>IF(ISBLANK(B771), "","Country-770")</f>
        <v>0</v>
      </c>
    </row>
    <row r="772" spans="1:1">
      <c r="A772">
        <f>IF(ISBLANK(B772), "","Country-771")</f>
        <v>0</v>
      </c>
    </row>
    <row r="773" spans="1:1">
      <c r="A773">
        <f>IF(ISBLANK(B773), "","Country-772")</f>
        <v>0</v>
      </c>
    </row>
    <row r="774" spans="1:1">
      <c r="A774">
        <f>IF(ISBLANK(B774), "","Country-773")</f>
        <v>0</v>
      </c>
    </row>
    <row r="775" spans="1:1">
      <c r="A775">
        <f>IF(ISBLANK(B775), "","Country-774")</f>
        <v>0</v>
      </c>
    </row>
    <row r="776" spans="1:1">
      <c r="A776">
        <f>IF(ISBLANK(B776), "","Country-775")</f>
        <v>0</v>
      </c>
    </row>
    <row r="777" spans="1:1">
      <c r="A777">
        <f>IF(ISBLANK(B777), "","Country-776")</f>
        <v>0</v>
      </c>
    </row>
    <row r="778" spans="1:1">
      <c r="A778">
        <f>IF(ISBLANK(B778), "","Country-777")</f>
        <v>0</v>
      </c>
    </row>
    <row r="779" spans="1:1">
      <c r="A779">
        <f>IF(ISBLANK(B779), "","Country-778")</f>
        <v>0</v>
      </c>
    </row>
    <row r="780" spans="1:1">
      <c r="A780">
        <f>IF(ISBLANK(B780), "","Country-779")</f>
        <v>0</v>
      </c>
    </row>
    <row r="781" spans="1:1">
      <c r="A781">
        <f>IF(ISBLANK(B781), "","Country-780")</f>
        <v>0</v>
      </c>
    </row>
    <row r="782" spans="1:1">
      <c r="A782">
        <f>IF(ISBLANK(B782), "","Country-781")</f>
        <v>0</v>
      </c>
    </row>
    <row r="783" spans="1:1">
      <c r="A783">
        <f>IF(ISBLANK(B783), "","Country-782")</f>
        <v>0</v>
      </c>
    </row>
    <row r="784" spans="1:1">
      <c r="A784">
        <f>IF(ISBLANK(B784), "","Country-783")</f>
        <v>0</v>
      </c>
    </row>
    <row r="785" spans="1:1">
      <c r="A785">
        <f>IF(ISBLANK(B785), "","Country-784")</f>
        <v>0</v>
      </c>
    </row>
    <row r="786" spans="1:1">
      <c r="A786">
        <f>IF(ISBLANK(B786), "","Country-785")</f>
        <v>0</v>
      </c>
    </row>
    <row r="787" spans="1:1">
      <c r="A787">
        <f>IF(ISBLANK(B787), "","Country-786")</f>
        <v>0</v>
      </c>
    </row>
    <row r="788" spans="1:1">
      <c r="A788">
        <f>IF(ISBLANK(B788), "","Country-787")</f>
        <v>0</v>
      </c>
    </row>
    <row r="789" spans="1:1">
      <c r="A789">
        <f>IF(ISBLANK(B789), "","Country-788")</f>
        <v>0</v>
      </c>
    </row>
    <row r="790" spans="1:1">
      <c r="A790">
        <f>IF(ISBLANK(B790), "","Country-789")</f>
        <v>0</v>
      </c>
    </row>
    <row r="791" spans="1:1">
      <c r="A791">
        <f>IF(ISBLANK(B791), "","Country-790")</f>
        <v>0</v>
      </c>
    </row>
    <row r="792" spans="1:1">
      <c r="A792">
        <f>IF(ISBLANK(B792), "","Country-791")</f>
        <v>0</v>
      </c>
    </row>
    <row r="793" spans="1:1">
      <c r="A793">
        <f>IF(ISBLANK(B793), "","Country-792")</f>
        <v>0</v>
      </c>
    </row>
    <row r="794" spans="1:1">
      <c r="A794">
        <f>IF(ISBLANK(B794), "","Country-793")</f>
        <v>0</v>
      </c>
    </row>
    <row r="795" spans="1:1">
      <c r="A795">
        <f>IF(ISBLANK(B795), "","Country-794")</f>
        <v>0</v>
      </c>
    </row>
    <row r="796" spans="1:1">
      <c r="A796">
        <f>IF(ISBLANK(B796), "","Country-795")</f>
        <v>0</v>
      </c>
    </row>
    <row r="797" spans="1:1">
      <c r="A797">
        <f>IF(ISBLANK(B797), "","Country-796")</f>
        <v>0</v>
      </c>
    </row>
    <row r="798" spans="1:1">
      <c r="A798">
        <f>IF(ISBLANK(B798), "","Country-797")</f>
        <v>0</v>
      </c>
    </row>
    <row r="799" spans="1:1">
      <c r="A799">
        <f>IF(ISBLANK(B799), "","Country-798")</f>
        <v>0</v>
      </c>
    </row>
    <row r="800" spans="1:1">
      <c r="A800">
        <f>IF(ISBLANK(B800), "","Country-799")</f>
        <v>0</v>
      </c>
    </row>
    <row r="801" spans="1:1">
      <c r="A801">
        <f>IF(ISBLANK(B801), "","Country-800")</f>
        <v>0</v>
      </c>
    </row>
    <row r="802" spans="1:1">
      <c r="A802">
        <f>IF(ISBLANK(B802), "","Country-801")</f>
        <v>0</v>
      </c>
    </row>
    <row r="803" spans="1:1">
      <c r="A803">
        <f>IF(ISBLANK(B803), "","Country-802")</f>
        <v>0</v>
      </c>
    </row>
    <row r="804" spans="1:1">
      <c r="A804">
        <f>IF(ISBLANK(B804), "","Country-803")</f>
        <v>0</v>
      </c>
    </row>
    <row r="805" spans="1:1">
      <c r="A805">
        <f>IF(ISBLANK(B805), "","Country-804")</f>
        <v>0</v>
      </c>
    </row>
    <row r="806" spans="1:1">
      <c r="A806">
        <f>IF(ISBLANK(B806), "","Country-805")</f>
        <v>0</v>
      </c>
    </row>
    <row r="807" spans="1:1">
      <c r="A807">
        <f>IF(ISBLANK(B807), "","Country-806")</f>
        <v>0</v>
      </c>
    </row>
    <row r="808" spans="1:1">
      <c r="A808">
        <f>IF(ISBLANK(B808), "","Country-807")</f>
        <v>0</v>
      </c>
    </row>
    <row r="809" spans="1:1">
      <c r="A809">
        <f>IF(ISBLANK(B809), "","Country-808")</f>
        <v>0</v>
      </c>
    </row>
    <row r="810" spans="1:1">
      <c r="A810">
        <f>IF(ISBLANK(B810), "","Country-809")</f>
        <v>0</v>
      </c>
    </row>
    <row r="811" spans="1:1">
      <c r="A811">
        <f>IF(ISBLANK(B811), "","Country-810")</f>
        <v>0</v>
      </c>
    </row>
    <row r="812" spans="1:1">
      <c r="A812">
        <f>IF(ISBLANK(B812), "","Country-811")</f>
        <v>0</v>
      </c>
    </row>
    <row r="813" spans="1:1">
      <c r="A813">
        <f>IF(ISBLANK(B813), "","Country-812")</f>
        <v>0</v>
      </c>
    </row>
    <row r="814" spans="1:1">
      <c r="A814">
        <f>IF(ISBLANK(B814), "","Country-813")</f>
        <v>0</v>
      </c>
    </row>
    <row r="815" spans="1:1">
      <c r="A815">
        <f>IF(ISBLANK(B815), "","Country-814")</f>
        <v>0</v>
      </c>
    </row>
    <row r="816" spans="1:1">
      <c r="A816">
        <f>IF(ISBLANK(B816), "","Country-815")</f>
        <v>0</v>
      </c>
    </row>
    <row r="817" spans="1:1">
      <c r="A817">
        <f>IF(ISBLANK(B817), "","Country-816")</f>
        <v>0</v>
      </c>
    </row>
    <row r="818" spans="1:1">
      <c r="A818">
        <f>IF(ISBLANK(B818), "","Country-817")</f>
        <v>0</v>
      </c>
    </row>
    <row r="819" spans="1:1">
      <c r="A819">
        <f>IF(ISBLANK(B819), "","Country-818")</f>
        <v>0</v>
      </c>
    </row>
    <row r="820" spans="1:1">
      <c r="A820">
        <f>IF(ISBLANK(B820), "","Country-819")</f>
        <v>0</v>
      </c>
    </row>
    <row r="821" spans="1:1">
      <c r="A821">
        <f>IF(ISBLANK(B821), "","Country-820")</f>
        <v>0</v>
      </c>
    </row>
    <row r="822" spans="1:1">
      <c r="A822">
        <f>IF(ISBLANK(B822), "","Country-821")</f>
        <v>0</v>
      </c>
    </row>
    <row r="823" spans="1:1">
      <c r="A823">
        <f>IF(ISBLANK(B823), "","Country-822")</f>
        <v>0</v>
      </c>
    </row>
    <row r="824" spans="1:1">
      <c r="A824">
        <f>IF(ISBLANK(B824), "","Country-823")</f>
        <v>0</v>
      </c>
    </row>
    <row r="825" spans="1:1">
      <c r="A825">
        <f>IF(ISBLANK(B825), "","Country-824")</f>
        <v>0</v>
      </c>
    </row>
    <row r="826" spans="1:1">
      <c r="A826">
        <f>IF(ISBLANK(B826), "","Country-825")</f>
        <v>0</v>
      </c>
    </row>
    <row r="827" spans="1:1">
      <c r="A827">
        <f>IF(ISBLANK(B827), "","Country-826")</f>
        <v>0</v>
      </c>
    </row>
    <row r="828" spans="1:1">
      <c r="A828">
        <f>IF(ISBLANK(B828), "","Country-827")</f>
        <v>0</v>
      </c>
    </row>
    <row r="829" spans="1:1">
      <c r="A829">
        <f>IF(ISBLANK(B829), "","Country-828")</f>
        <v>0</v>
      </c>
    </row>
    <row r="830" spans="1:1">
      <c r="A830">
        <f>IF(ISBLANK(B830), "","Country-829")</f>
        <v>0</v>
      </c>
    </row>
    <row r="831" spans="1:1">
      <c r="A831">
        <f>IF(ISBLANK(B831), "","Country-830")</f>
        <v>0</v>
      </c>
    </row>
    <row r="832" spans="1:1">
      <c r="A832">
        <f>IF(ISBLANK(B832), "","Country-831")</f>
        <v>0</v>
      </c>
    </row>
    <row r="833" spans="1:1">
      <c r="A833">
        <f>IF(ISBLANK(B833), "","Country-832")</f>
        <v>0</v>
      </c>
    </row>
    <row r="834" spans="1:1">
      <c r="A834">
        <f>IF(ISBLANK(B834), "","Country-833")</f>
        <v>0</v>
      </c>
    </row>
    <row r="835" spans="1:1">
      <c r="A835">
        <f>IF(ISBLANK(B835), "","Country-834")</f>
        <v>0</v>
      </c>
    </row>
    <row r="836" spans="1:1">
      <c r="A836">
        <f>IF(ISBLANK(B836), "","Country-835")</f>
        <v>0</v>
      </c>
    </row>
    <row r="837" spans="1:1">
      <c r="A837">
        <f>IF(ISBLANK(B837), "","Country-836")</f>
        <v>0</v>
      </c>
    </row>
    <row r="838" spans="1:1">
      <c r="A838">
        <f>IF(ISBLANK(B838), "","Country-837")</f>
        <v>0</v>
      </c>
    </row>
    <row r="839" spans="1:1">
      <c r="A839">
        <f>IF(ISBLANK(B839), "","Country-838")</f>
        <v>0</v>
      </c>
    </row>
    <row r="840" spans="1:1">
      <c r="A840">
        <f>IF(ISBLANK(B840), "","Country-839")</f>
        <v>0</v>
      </c>
    </row>
    <row r="841" spans="1:1">
      <c r="A841">
        <f>IF(ISBLANK(B841), "","Country-840")</f>
        <v>0</v>
      </c>
    </row>
    <row r="842" spans="1:1">
      <c r="A842">
        <f>IF(ISBLANK(B842), "","Country-841")</f>
        <v>0</v>
      </c>
    </row>
    <row r="843" spans="1:1">
      <c r="A843">
        <f>IF(ISBLANK(B843), "","Country-842")</f>
        <v>0</v>
      </c>
    </row>
    <row r="844" spans="1:1">
      <c r="A844">
        <f>IF(ISBLANK(B844), "","Country-843")</f>
        <v>0</v>
      </c>
    </row>
    <row r="845" spans="1:1">
      <c r="A845">
        <f>IF(ISBLANK(B845), "","Country-844")</f>
        <v>0</v>
      </c>
    </row>
    <row r="846" spans="1:1">
      <c r="A846">
        <f>IF(ISBLANK(B846), "","Country-845")</f>
        <v>0</v>
      </c>
    </row>
    <row r="847" spans="1:1">
      <c r="A847">
        <f>IF(ISBLANK(B847), "","Country-846")</f>
        <v>0</v>
      </c>
    </row>
    <row r="848" spans="1:1">
      <c r="A848">
        <f>IF(ISBLANK(B848), "","Country-847")</f>
        <v>0</v>
      </c>
    </row>
    <row r="849" spans="1:1">
      <c r="A849">
        <f>IF(ISBLANK(B849), "","Country-848")</f>
        <v>0</v>
      </c>
    </row>
    <row r="850" spans="1:1">
      <c r="A850">
        <f>IF(ISBLANK(B850), "","Country-849")</f>
        <v>0</v>
      </c>
    </row>
    <row r="851" spans="1:1">
      <c r="A851">
        <f>IF(ISBLANK(B851), "","Country-850")</f>
        <v>0</v>
      </c>
    </row>
    <row r="852" spans="1:1">
      <c r="A852">
        <f>IF(ISBLANK(B852), "","Country-851")</f>
        <v>0</v>
      </c>
    </row>
    <row r="853" spans="1:1">
      <c r="A853">
        <f>IF(ISBLANK(B853), "","Country-852")</f>
        <v>0</v>
      </c>
    </row>
    <row r="854" spans="1:1">
      <c r="A854">
        <f>IF(ISBLANK(B854), "","Country-853")</f>
        <v>0</v>
      </c>
    </row>
    <row r="855" spans="1:1">
      <c r="A855">
        <f>IF(ISBLANK(B855), "","Country-854")</f>
        <v>0</v>
      </c>
    </row>
    <row r="856" spans="1:1">
      <c r="A856">
        <f>IF(ISBLANK(B856), "","Country-855")</f>
        <v>0</v>
      </c>
    </row>
    <row r="857" spans="1:1">
      <c r="A857">
        <f>IF(ISBLANK(B857), "","Country-856")</f>
        <v>0</v>
      </c>
    </row>
    <row r="858" spans="1:1">
      <c r="A858">
        <f>IF(ISBLANK(B858), "","Country-857")</f>
        <v>0</v>
      </c>
    </row>
    <row r="859" spans="1:1">
      <c r="A859">
        <f>IF(ISBLANK(B859), "","Country-858")</f>
        <v>0</v>
      </c>
    </row>
    <row r="860" spans="1:1">
      <c r="A860">
        <f>IF(ISBLANK(B860), "","Country-859")</f>
        <v>0</v>
      </c>
    </row>
    <row r="861" spans="1:1">
      <c r="A861">
        <f>IF(ISBLANK(B861), "","Country-860")</f>
        <v>0</v>
      </c>
    </row>
    <row r="862" spans="1:1">
      <c r="A862">
        <f>IF(ISBLANK(B862), "","Country-861")</f>
        <v>0</v>
      </c>
    </row>
    <row r="863" spans="1:1">
      <c r="A863">
        <f>IF(ISBLANK(B863), "","Country-862")</f>
        <v>0</v>
      </c>
    </row>
    <row r="864" spans="1:1">
      <c r="A864">
        <f>IF(ISBLANK(B864), "","Country-863")</f>
        <v>0</v>
      </c>
    </row>
    <row r="865" spans="1:1">
      <c r="A865">
        <f>IF(ISBLANK(B865), "","Country-864")</f>
        <v>0</v>
      </c>
    </row>
    <row r="866" spans="1:1">
      <c r="A866">
        <f>IF(ISBLANK(B866), "","Country-865")</f>
        <v>0</v>
      </c>
    </row>
    <row r="867" spans="1:1">
      <c r="A867">
        <f>IF(ISBLANK(B867), "","Country-866")</f>
        <v>0</v>
      </c>
    </row>
    <row r="868" spans="1:1">
      <c r="A868">
        <f>IF(ISBLANK(B868), "","Country-867")</f>
        <v>0</v>
      </c>
    </row>
    <row r="869" spans="1:1">
      <c r="A869">
        <f>IF(ISBLANK(B869), "","Country-868")</f>
        <v>0</v>
      </c>
    </row>
    <row r="870" spans="1:1">
      <c r="A870">
        <f>IF(ISBLANK(B870), "","Country-869")</f>
        <v>0</v>
      </c>
    </row>
    <row r="871" spans="1:1">
      <c r="A871">
        <f>IF(ISBLANK(B871), "","Country-870")</f>
        <v>0</v>
      </c>
    </row>
    <row r="872" spans="1:1">
      <c r="A872">
        <f>IF(ISBLANK(B872), "","Country-871")</f>
        <v>0</v>
      </c>
    </row>
    <row r="873" spans="1:1">
      <c r="A873">
        <f>IF(ISBLANK(B873), "","Country-872")</f>
        <v>0</v>
      </c>
    </row>
    <row r="874" spans="1:1">
      <c r="A874">
        <f>IF(ISBLANK(B874), "","Country-873")</f>
        <v>0</v>
      </c>
    </row>
    <row r="875" spans="1:1">
      <c r="A875">
        <f>IF(ISBLANK(B875), "","Country-874")</f>
        <v>0</v>
      </c>
    </row>
    <row r="876" spans="1:1">
      <c r="A876">
        <f>IF(ISBLANK(B876), "","Country-875")</f>
        <v>0</v>
      </c>
    </row>
    <row r="877" spans="1:1">
      <c r="A877">
        <f>IF(ISBLANK(B877), "","Country-876")</f>
        <v>0</v>
      </c>
    </row>
    <row r="878" spans="1:1">
      <c r="A878">
        <f>IF(ISBLANK(B878), "","Country-877")</f>
        <v>0</v>
      </c>
    </row>
    <row r="879" spans="1:1">
      <c r="A879">
        <f>IF(ISBLANK(B879), "","Country-878")</f>
        <v>0</v>
      </c>
    </row>
    <row r="880" spans="1:1">
      <c r="A880">
        <f>IF(ISBLANK(B880), "","Country-879")</f>
        <v>0</v>
      </c>
    </row>
    <row r="881" spans="1:1">
      <c r="A881">
        <f>IF(ISBLANK(B881), "","Country-880")</f>
        <v>0</v>
      </c>
    </row>
    <row r="882" spans="1:1">
      <c r="A882">
        <f>IF(ISBLANK(B882), "","Country-881")</f>
        <v>0</v>
      </c>
    </row>
    <row r="883" spans="1:1">
      <c r="A883">
        <f>IF(ISBLANK(B883), "","Country-882")</f>
        <v>0</v>
      </c>
    </row>
    <row r="884" spans="1:1">
      <c r="A884">
        <f>IF(ISBLANK(B884), "","Country-883")</f>
        <v>0</v>
      </c>
    </row>
    <row r="885" spans="1:1">
      <c r="A885">
        <f>IF(ISBLANK(B885), "","Country-884")</f>
        <v>0</v>
      </c>
    </row>
    <row r="886" spans="1:1">
      <c r="A886">
        <f>IF(ISBLANK(B886), "","Country-885")</f>
        <v>0</v>
      </c>
    </row>
    <row r="887" spans="1:1">
      <c r="A887">
        <f>IF(ISBLANK(B887), "","Country-886")</f>
        <v>0</v>
      </c>
    </row>
    <row r="888" spans="1:1">
      <c r="A888">
        <f>IF(ISBLANK(B888), "","Country-887")</f>
        <v>0</v>
      </c>
    </row>
    <row r="889" spans="1:1">
      <c r="A889">
        <f>IF(ISBLANK(B889), "","Country-888")</f>
        <v>0</v>
      </c>
    </row>
    <row r="890" spans="1:1">
      <c r="A890">
        <f>IF(ISBLANK(B890), "","Country-889")</f>
        <v>0</v>
      </c>
    </row>
    <row r="891" spans="1:1">
      <c r="A891">
        <f>IF(ISBLANK(B891), "","Country-890")</f>
        <v>0</v>
      </c>
    </row>
    <row r="892" spans="1:1">
      <c r="A892">
        <f>IF(ISBLANK(B892), "","Country-891")</f>
        <v>0</v>
      </c>
    </row>
    <row r="893" spans="1:1">
      <c r="A893">
        <f>IF(ISBLANK(B893), "","Country-892")</f>
        <v>0</v>
      </c>
    </row>
    <row r="894" spans="1:1">
      <c r="A894">
        <f>IF(ISBLANK(B894), "","Country-893")</f>
        <v>0</v>
      </c>
    </row>
    <row r="895" spans="1:1">
      <c r="A895">
        <f>IF(ISBLANK(B895), "","Country-894")</f>
        <v>0</v>
      </c>
    </row>
    <row r="896" spans="1:1">
      <c r="A896">
        <f>IF(ISBLANK(B896), "","Country-895")</f>
        <v>0</v>
      </c>
    </row>
    <row r="897" spans="1:1">
      <c r="A897">
        <f>IF(ISBLANK(B897), "","Country-896")</f>
        <v>0</v>
      </c>
    </row>
    <row r="898" spans="1:1">
      <c r="A898">
        <f>IF(ISBLANK(B898), "","Country-897")</f>
        <v>0</v>
      </c>
    </row>
    <row r="899" spans="1:1">
      <c r="A899">
        <f>IF(ISBLANK(B899), "","Country-898")</f>
        <v>0</v>
      </c>
    </row>
    <row r="900" spans="1:1">
      <c r="A900">
        <f>IF(ISBLANK(B900), "","Country-899")</f>
        <v>0</v>
      </c>
    </row>
    <row r="901" spans="1:1">
      <c r="A901">
        <f>IF(ISBLANK(B901), "","Country-900")</f>
        <v>0</v>
      </c>
    </row>
    <row r="902" spans="1:1">
      <c r="A902">
        <f>IF(ISBLANK(B902), "","Country-901")</f>
        <v>0</v>
      </c>
    </row>
    <row r="903" spans="1:1">
      <c r="A903">
        <f>IF(ISBLANK(B903), "","Country-902")</f>
        <v>0</v>
      </c>
    </row>
    <row r="904" spans="1:1">
      <c r="A904">
        <f>IF(ISBLANK(B904), "","Country-903")</f>
        <v>0</v>
      </c>
    </row>
    <row r="905" spans="1:1">
      <c r="A905">
        <f>IF(ISBLANK(B905), "","Country-904")</f>
        <v>0</v>
      </c>
    </row>
    <row r="906" spans="1:1">
      <c r="A906">
        <f>IF(ISBLANK(B906), "","Country-905")</f>
        <v>0</v>
      </c>
    </row>
    <row r="907" spans="1:1">
      <c r="A907">
        <f>IF(ISBLANK(B907), "","Country-906")</f>
        <v>0</v>
      </c>
    </row>
    <row r="908" spans="1:1">
      <c r="A908">
        <f>IF(ISBLANK(B908), "","Country-907")</f>
        <v>0</v>
      </c>
    </row>
    <row r="909" spans="1:1">
      <c r="A909">
        <f>IF(ISBLANK(B909), "","Country-908")</f>
        <v>0</v>
      </c>
    </row>
    <row r="910" spans="1:1">
      <c r="A910">
        <f>IF(ISBLANK(B910), "","Country-909")</f>
        <v>0</v>
      </c>
    </row>
    <row r="911" spans="1:1">
      <c r="A911">
        <f>IF(ISBLANK(B911), "","Country-910")</f>
        <v>0</v>
      </c>
    </row>
    <row r="912" spans="1:1">
      <c r="A912">
        <f>IF(ISBLANK(B912), "","Country-911")</f>
        <v>0</v>
      </c>
    </row>
    <row r="913" spans="1:1">
      <c r="A913">
        <f>IF(ISBLANK(B913), "","Country-912")</f>
        <v>0</v>
      </c>
    </row>
    <row r="914" spans="1:1">
      <c r="A914">
        <f>IF(ISBLANK(B914), "","Country-913")</f>
        <v>0</v>
      </c>
    </row>
    <row r="915" spans="1:1">
      <c r="A915">
        <f>IF(ISBLANK(B915), "","Country-914")</f>
        <v>0</v>
      </c>
    </row>
    <row r="916" spans="1:1">
      <c r="A916">
        <f>IF(ISBLANK(B916), "","Country-915")</f>
        <v>0</v>
      </c>
    </row>
    <row r="917" spans="1:1">
      <c r="A917">
        <f>IF(ISBLANK(B917), "","Country-916")</f>
        <v>0</v>
      </c>
    </row>
    <row r="918" spans="1:1">
      <c r="A918">
        <f>IF(ISBLANK(B918), "","Country-917")</f>
        <v>0</v>
      </c>
    </row>
    <row r="919" spans="1:1">
      <c r="A919">
        <f>IF(ISBLANK(B919), "","Country-918")</f>
        <v>0</v>
      </c>
    </row>
    <row r="920" spans="1:1">
      <c r="A920">
        <f>IF(ISBLANK(B920), "","Country-919")</f>
        <v>0</v>
      </c>
    </row>
    <row r="921" spans="1:1">
      <c r="A921">
        <f>IF(ISBLANK(B921), "","Country-920")</f>
        <v>0</v>
      </c>
    </row>
    <row r="922" spans="1:1">
      <c r="A922">
        <f>IF(ISBLANK(B922), "","Country-921")</f>
        <v>0</v>
      </c>
    </row>
    <row r="923" spans="1:1">
      <c r="A923">
        <f>IF(ISBLANK(B923), "","Country-922")</f>
        <v>0</v>
      </c>
    </row>
    <row r="924" spans="1:1">
      <c r="A924">
        <f>IF(ISBLANK(B924), "","Country-923")</f>
        <v>0</v>
      </c>
    </row>
    <row r="925" spans="1:1">
      <c r="A925">
        <f>IF(ISBLANK(B925), "","Country-924")</f>
        <v>0</v>
      </c>
    </row>
    <row r="926" spans="1:1">
      <c r="A926">
        <f>IF(ISBLANK(B926), "","Country-925")</f>
        <v>0</v>
      </c>
    </row>
    <row r="927" spans="1:1">
      <c r="A927">
        <f>IF(ISBLANK(B927), "","Country-926")</f>
        <v>0</v>
      </c>
    </row>
    <row r="928" spans="1:1">
      <c r="A928">
        <f>IF(ISBLANK(B928), "","Country-927")</f>
        <v>0</v>
      </c>
    </row>
    <row r="929" spans="1:1">
      <c r="A929">
        <f>IF(ISBLANK(B929), "","Country-928")</f>
        <v>0</v>
      </c>
    </row>
    <row r="930" spans="1:1">
      <c r="A930">
        <f>IF(ISBLANK(B930), "","Country-929")</f>
        <v>0</v>
      </c>
    </row>
    <row r="931" spans="1:1">
      <c r="A931">
        <f>IF(ISBLANK(B931), "","Country-930")</f>
        <v>0</v>
      </c>
    </row>
    <row r="932" spans="1:1">
      <c r="A932">
        <f>IF(ISBLANK(B932), "","Country-931")</f>
        <v>0</v>
      </c>
    </row>
    <row r="933" spans="1:1">
      <c r="A933">
        <f>IF(ISBLANK(B933), "","Country-932")</f>
        <v>0</v>
      </c>
    </row>
    <row r="934" spans="1:1">
      <c r="A934">
        <f>IF(ISBLANK(B934), "","Country-933")</f>
        <v>0</v>
      </c>
    </row>
    <row r="935" spans="1:1">
      <c r="A935">
        <f>IF(ISBLANK(B935), "","Country-934")</f>
        <v>0</v>
      </c>
    </row>
    <row r="936" spans="1:1">
      <c r="A936">
        <f>IF(ISBLANK(B936), "","Country-935")</f>
        <v>0</v>
      </c>
    </row>
    <row r="937" spans="1:1">
      <c r="A937">
        <f>IF(ISBLANK(B937), "","Country-936")</f>
        <v>0</v>
      </c>
    </row>
    <row r="938" spans="1:1">
      <c r="A938">
        <f>IF(ISBLANK(B938), "","Country-937")</f>
        <v>0</v>
      </c>
    </row>
    <row r="939" spans="1:1">
      <c r="A939">
        <f>IF(ISBLANK(B939), "","Country-938")</f>
        <v>0</v>
      </c>
    </row>
    <row r="940" spans="1:1">
      <c r="A940">
        <f>IF(ISBLANK(B940), "","Country-939")</f>
        <v>0</v>
      </c>
    </row>
    <row r="941" spans="1:1">
      <c r="A941">
        <f>IF(ISBLANK(B941), "","Country-940")</f>
        <v>0</v>
      </c>
    </row>
    <row r="942" spans="1:1">
      <c r="A942">
        <f>IF(ISBLANK(B942), "","Country-941")</f>
        <v>0</v>
      </c>
    </row>
    <row r="943" spans="1:1">
      <c r="A943">
        <f>IF(ISBLANK(B943), "","Country-942")</f>
        <v>0</v>
      </c>
    </row>
    <row r="944" spans="1:1">
      <c r="A944">
        <f>IF(ISBLANK(B944), "","Country-943")</f>
        <v>0</v>
      </c>
    </row>
    <row r="945" spans="1:1">
      <c r="A945">
        <f>IF(ISBLANK(B945), "","Country-944")</f>
        <v>0</v>
      </c>
    </row>
    <row r="946" spans="1:1">
      <c r="A946">
        <f>IF(ISBLANK(B946), "","Country-945")</f>
        <v>0</v>
      </c>
    </row>
    <row r="947" spans="1:1">
      <c r="A947">
        <f>IF(ISBLANK(B947), "","Country-946")</f>
        <v>0</v>
      </c>
    </row>
    <row r="948" spans="1:1">
      <c r="A948">
        <f>IF(ISBLANK(B948), "","Country-947")</f>
        <v>0</v>
      </c>
    </row>
    <row r="949" spans="1:1">
      <c r="A949">
        <f>IF(ISBLANK(B949), "","Country-948")</f>
        <v>0</v>
      </c>
    </row>
    <row r="950" spans="1:1">
      <c r="A950">
        <f>IF(ISBLANK(B950), "","Country-949")</f>
        <v>0</v>
      </c>
    </row>
    <row r="951" spans="1:1">
      <c r="A951">
        <f>IF(ISBLANK(B951), "","Country-950")</f>
        <v>0</v>
      </c>
    </row>
    <row r="952" spans="1:1">
      <c r="A952">
        <f>IF(ISBLANK(B952), "","Country-951")</f>
        <v>0</v>
      </c>
    </row>
    <row r="953" spans="1:1">
      <c r="A953">
        <f>IF(ISBLANK(B953), "","Country-952")</f>
        <v>0</v>
      </c>
    </row>
    <row r="954" spans="1:1">
      <c r="A954">
        <f>IF(ISBLANK(B954), "","Country-953")</f>
        <v>0</v>
      </c>
    </row>
    <row r="955" spans="1:1">
      <c r="A955">
        <f>IF(ISBLANK(B955), "","Country-954")</f>
        <v>0</v>
      </c>
    </row>
    <row r="956" spans="1:1">
      <c r="A956">
        <f>IF(ISBLANK(B956), "","Country-955")</f>
        <v>0</v>
      </c>
    </row>
    <row r="957" spans="1:1">
      <c r="A957">
        <f>IF(ISBLANK(B957), "","Country-956")</f>
        <v>0</v>
      </c>
    </row>
    <row r="958" spans="1:1">
      <c r="A958">
        <f>IF(ISBLANK(B958), "","Country-957")</f>
        <v>0</v>
      </c>
    </row>
    <row r="959" spans="1:1">
      <c r="A959">
        <f>IF(ISBLANK(B959), "","Country-958")</f>
        <v>0</v>
      </c>
    </row>
    <row r="960" spans="1:1">
      <c r="A960">
        <f>IF(ISBLANK(B960), "","Country-959")</f>
        <v>0</v>
      </c>
    </row>
    <row r="961" spans="1:1">
      <c r="A961">
        <f>IF(ISBLANK(B961), "","Country-960")</f>
        <v>0</v>
      </c>
    </row>
    <row r="962" spans="1:1">
      <c r="A962">
        <f>IF(ISBLANK(B962), "","Country-961")</f>
        <v>0</v>
      </c>
    </row>
    <row r="963" spans="1:1">
      <c r="A963">
        <f>IF(ISBLANK(B963), "","Country-962")</f>
        <v>0</v>
      </c>
    </row>
    <row r="964" spans="1:1">
      <c r="A964">
        <f>IF(ISBLANK(B964), "","Country-963")</f>
        <v>0</v>
      </c>
    </row>
    <row r="965" spans="1:1">
      <c r="A965">
        <f>IF(ISBLANK(B965), "","Country-964")</f>
        <v>0</v>
      </c>
    </row>
    <row r="966" spans="1:1">
      <c r="A966">
        <f>IF(ISBLANK(B966), "","Country-965")</f>
        <v>0</v>
      </c>
    </row>
    <row r="967" spans="1:1">
      <c r="A967">
        <f>IF(ISBLANK(B967), "","Country-966")</f>
        <v>0</v>
      </c>
    </row>
    <row r="968" spans="1:1">
      <c r="A968">
        <f>IF(ISBLANK(B968), "","Country-967")</f>
        <v>0</v>
      </c>
    </row>
    <row r="969" spans="1:1">
      <c r="A969">
        <f>IF(ISBLANK(B969), "","Country-968")</f>
        <v>0</v>
      </c>
    </row>
    <row r="970" spans="1:1">
      <c r="A970">
        <f>IF(ISBLANK(B970), "","Country-969")</f>
        <v>0</v>
      </c>
    </row>
    <row r="971" spans="1:1">
      <c r="A971">
        <f>IF(ISBLANK(B971), "","Country-970")</f>
        <v>0</v>
      </c>
    </row>
    <row r="972" spans="1:1">
      <c r="A972">
        <f>IF(ISBLANK(B972), "","Country-971")</f>
        <v>0</v>
      </c>
    </row>
    <row r="973" spans="1:1">
      <c r="A973">
        <f>IF(ISBLANK(B973), "","Country-972")</f>
        <v>0</v>
      </c>
    </row>
    <row r="974" spans="1:1">
      <c r="A974">
        <f>IF(ISBLANK(B974), "","Country-973")</f>
        <v>0</v>
      </c>
    </row>
    <row r="975" spans="1:1">
      <c r="A975">
        <f>IF(ISBLANK(B975), "","Country-974")</f>
        <v>0</v>
      </c>
    </row>
    <row r="976" spans="1:1">
      <c r="A976">
        <f>IF(ISBLANK(B976), "","Country-975")</f>
        <v>0</v>
      </c>
    </row>
    <row r="977" spans="1:1">
      <c r="A977">
        <f>IF(ISBLANK(B977), "","Country-976")</f>
        <v>0</v>
      </c>
    </row>
    <row r="978" spans="1:1">
      <c r="A978">
        <f>IF(ISBLANK(B978), "","Country-977")</f>
        <v>0</v>
      </c>
    </row>
    <row r="979" spans="1:1">
      <c r="A979">
        <f>IF(ISBLANK(B979), "","Country-978")</f>
        <v>0</v>
      </c>
    </row>
    <row r="980" spans="1:1">
      <c r="A980">
        <f>IF(ISBLANK(B980), "","Country-979")</f>
        <v>0</v>
      </c>
    </row>
    <row r="981" spans="1:1">
      <c r="A981">
        <f>IF(ISBLANK(B981), "","Country-980")</f>
        <v>0</v>
      </c>
    </row>
    <row r="982" spans="1:1">
      <c r="A982">
        <f>IF(ISBLANK(B982), "","Country-981")</f>
        <v>0</v>
      </c>
    </row>
    <row r="983" spans="1:1">
      <c r="A983">
        <f>IF(ISBLANK(B983), "","Country-982")</f>
        <v>0</v>
      </c>
    </row>
    <row r="984" spans="1:1">
      <c r="A984">
        <f>IF(ISBLANK(B984), "","Country-983")</f>
        <v>0</v>
      </c>
    </row>
    <row r="985" spans="1:1">
      <c r="A985">
        <f>IF(ISBLANK(B985), "","Country-984")</f>
        <v>0</v>
      </c>
    </row>
    <row r="986" spans="1:1">
      <c r="A986">
        <f>IF(ISBLANK(B986), "","Country-985")</f>
        <v>0</v>
      </c>
    </row>
    <row r="987" spans="1:1">
      <c r="A987">
        <f>IF(ISBLANK(B987), "","Country-986")</f>
        <v>0</v>
      </c>
    </row>
    <row r="988" spans="1:1">
      <c r="A988">
        <f>IF(ISBLANK(B988), "","Country-987")</f>
        <v>0</v>
      </c>
    </row>
    <row r="989" spans="1:1">
      <c r="A989">
        <f>IF(ISBLANK(B989), "","Country-988")</f>
        <v>0</v>
      </c>
    </row>
    <row r="990" spans="1:1">
      <c r="A990">
        <f>IF(ISBLANK(B990), "","Country-989")</f>
        <v>0</v>
      </c>
    </row>
    <row r="991" spans="1:1">
      <c r="A991">
        <f>IF(ISBLANK(B991), "","Country-990")</f>
        <v>0</v>
      </c>
    </row>
    <row r="992" spans="1:1">
      <c r="A992">
        <f>IF(ISBLANK(B992), "","Country-991")</f>
        <v>0</v>
      </c>
    </row>
    <row r="993" spans="1:1">
      <c r="A993">
        <f>IF(ISBLANK(B993), "","Country-992")</f>
        <v>0</v>
      </c>
    </row>
    <row r="994" spans="1:1">
      <c r="A994">
        <f>IF(ISBLANK(B994), "","Country-993")</f>
        <v>0</v>
      </c>
    </row>
    <row r="995" spans="1:1">
      <c r="A995">
        <f>IF(ISBLANK(B995), "","Country-994")</f>
        <v>0</v>
      </c>
    </row>
    <row r="996" spans="1:1">
      <c r="A996">
        <f>IF(ISBLANK(B996), "","Country-995")</f>
        <v>0</v>
      </c>
    </row>
    <row r="997" spans="1:1">
      <c r="A997">
        <f>IF(ISBLANK(B997), "","Country-996")</f>
        <v>0</v>
      </c>
    </row>
    <row r="998" spans="1:1">
      <c r="A998">
        <f>IF(ISBLANK(B998), "","Country-997")</f>
        <v>0</v>
      </c>
    </row>
    <row r="999" spans="1:1">
      <c r="A999">
        <f>IF(ISBLANK(B999), "","Country-998")</f>
        <v>0</v>
      </c>
    </row>
    <row r="1000" spans="1:1">
      <c r="A1000">
        <f>IF(ISBLANK(B1000), "","Country-999")</f>
        <v>0</v>
      </c>
    </row>
    <row r="1001" spans="1:1">
      <c r="A1001">
        <f>IF(ISBLANK(B1001), "","Country-1000")</f>
        <v>0</v>
      </c>
    </row>
  </sheetData>
  <dataValidations count="1000">
    <dataValidation type="list" allowBlank="1" showInputMessage="1" showErrorMessage="1" sqref="C2">
      <formula1>CountryGroup!A2:A1000</formula1>
    </dataValidation>
    <dataValidation type="list" allowBlank="1" showInputMessage="1" showErrorMessage="1" sqref="C3">
      <formula1>CountryGroup!A2:A1000</formula1>
    </dataValidation>
    <dataValidation type="list" allowBlank="1" showInputMessage="1" showErrorMessage="1" sqref="C4">
      <formula1>CountryGroup!A2:A1000</formula1>
    </dataValidation>
    <dataValidation type="list" allowBlank="1" showInputMessage="1" showErrorMessage="1" sqref="C5">
      <formula1>CountryGroup!A2:A1000</formula1>
    </dataValidation>
    <dataValidation type="list" allowBlank="1" showInputMessage="1" showErrorMessage="1" sqref="C6">
      <formula1>CountryGroup!A2:A1000</formula1>
    </dataValidation>
    <dataValidation type="list" allowBlank="1" showInputMessage="1" showErrorMessage="1" sqref="C7">
      <formula1>CountryGroup!A2:A1000</formula1>
    </dataValidation>
    <dataValidation type="list" allowBlank="1" showInputMessage="1" showErrorMessage="1" sqref="C8">
      <formula1>CountryGroup!A2:A1000</formula1>
    </dataValidation>
    <dataValidation type="list" allowBlank="1" showInputMessage="1" showErrorMessage="1" sqref="C9">
      <formula1>CountryGroup!A2:A1000</formula1>
    </dataValidation>
    <dataValidation type="list" allowBlank="1" showInputMessage="1" showErrorMessage="1" sqref="C10">
      <formula1>CountryGroup!A2:A1000</formula1>
    </dataValidation>
    <dataValidation type="list" allowBlank="1" showInputMessage="1" showErrorMessage="1" sqref="C11">
      <formula1>CountryGroup!A2:A1000</formula1>
    </dataValidation>
    <dataValidation type="list" allowBlank="1" showInputMessage="1" showErrorMessage="1" sqref="C12">
      <formula1>CountryGroup!A2:A1000</formula1>
    </dataValidation>
    <dataValidation type="list" allowBlank="1" showInputMessage="1" showErrorMessage="1" sqref="C13">
      <formula1>CountryGroup!A2:A1000</formula1>
    </dataValidation>
    <dataValidation type="list" allowBlank="1" showInputMessage="1" showErrorMessage="1" sqref="C14">
      <formula1>CountryGroup!A2:A1000</formula1>
    </dataValidation>
    <dataValidation type="list" allowBlank="1" showInputMessage="1" showErrorMessage="1" sqref="C15">
      <formula1>CountryGroup!A2:A1000</formula1>
    </dataValidation>
    <dataValidation type="list" allowBlank="1" showInputMessage="1" showErrorMessage="1" sqref="C16">
      <formula1>CountryGroup!A2:A1000</formula1>
    </dataValidation>
    <dataValidation type="list" allowBlank="1" showInputMessage="1" showErrorMessage="1" sqref="C17">
      <formula1>CountryGroup!A2:A1000</formula1>
    </dataValidation>
    <dataValidation type="list" allowBlank="1" showInputMessage="1" showErrorMessage="1" sqref="C18">
      <formula1>CountryGroup!A2:A1000</formula1>
    </dataValidation>
    <dataValidation type="list" allowBlank="1" showInputMessage="1" showErrorMessage="1" sqref="C19">
      <formula1>CountryGroup!A2:A1000</formula1>
    </dataValidation>
    <dataValidation type="list" allowBlank="1" showInputMessage="1" showErrorMessage="1" sqref="C20">
      <formula1>CountryGroup!A2:A1000</formula1>
    </dataValidation>
    <dataValidation type="list" allowBlank="1" showInputMessage="1" showErrorMessage="1" sqref="C21">
      <formula1>CountryGroup!A2:A1000</formula1>
    </dataValidation>
    <dataValidation type="list" allowBlank="1" showInputMessage="1" showErrorMessage="1" sqref="C22">
      <formula1>CountryGroup!A2:A1000</formula1>
    </dataValidation>
    <dataValidation type="list" allowBlank="1" showInputMessage="1" showErrorMessage="1" sqref="C23">
      <formula1>CountryGroup!A2:A1000</formula1>
    </dataValidation>
    <dataValidation type="list" allowBlank="1" showInputMessage="1" showErrorMessage="1" sqref="C24">
      <formula1>CountryGroup!A2:A1000</formula1>
    </dataValidation>
    <dataValidation type="list" allowBlank="1" showInputMessage="1" showErrorMessage="1" sqref="C25">
      <formula1>CountryGroup!A2:A1000</formula1>
    </dataValidation>
    <dataValidation type="list" allowBlank="1" showInputMessage="1" showErrorMessage="1" sqref="C26">
      <formula1>CountryGroup!A2:A1000</formula1>
    </dataValidation>
    <dataValidation type="list" allowBlank="1" showInputMessage="1" showErrorMessage="1" sqref="C27">
      <formula1>CountryGroup!A2:A1000</formula1>
    </dataValidation>
    <dataValidation type="list" allowBlank="1" showInputMessage="1" showErrorMessage="1" sqref="C28">
      <formula1>CountryGroup!A2:A1000</formula1>
    </dataValidation>
    <dataValidation type="list" allowBlank="1" showInputMessage="1" showErrorMessage="1" sqref="C29">
      <formula1>CountryGroup!A2:A1000</formula1>
    </dataValidation>
    <dataValidation type="list" allowBlank="1" showInputMessage="1" showErrorMessage="1" sqref="C30">
      <formula1>CountryGroup!A2:A1000</formula1>
    </dataValidation>
    <dataValidation type="list" allowBlank="1" showInputMessage="1" showErrorMessage="1" sqref="C31">
      <formula1>CountryGroup!A2:A1000</formula1>
    </dataValidation>
    <dataValidation type="list" allowBlank="1" showInputMessage="1" showErrorMessage="1" sqref="C32">
      <formula1>CountryGroup!A2:A1000</formula1>
    </dataValidation>
    <dataValidation type="list" allowBlank="1" showInputMessage="1" showErrorMessage="1" sqref="C33">
      <formula1>CountryGroup!A2:A1000</formula1>
    </dataValidation>
    <dataValidation type="list" allowBlank="1" showInputMessage="1" showErrorMessage="1" sqref="C34">
      <formula1>CountryGroup!A2:A1000</formula1>
    </dataValidation>
    <dataValidation type="list" allowBlank="1" showInputMessage="1" showErrorMessage="1" sqref="C35">
      <formula1>CountryGroup!A2:A1000</formula1>
    </dataValidation>
    <dataValidation type="list" allowBlank="1" showInputMessage="1" showErrorMessage="1" sqref="C36">
      <formula1>CountryGroup!A2:A1000</formula1>
    </dataValidation>
    <dataValidation type="list" allowBlank="1" showInputMessage="1" showErrorMessage="1" sqref="C37">
      <formula1>CountryGroup!A2:A1000</formula1>
    </dataValidation>
    <dataValidation type="list" allowBlank="1" showInputMessage="1" showErrorMessage="1" sqref="C38">
      <formula1>CountryGroup!A2:A1000</formula1>
    </dataValidation>
    <dataValidation type="list" allowBlank="1" showInputMessage="1" showErrorMessage="1" sqref="C39">
      <formula1>CountryGroup!A2:A1000</formula1>
    </dataValidation>
    <dataValidation type="list" allowBlank="1" showInputMessage="1" showErrorMessage="1" sqref="C40">
      <formula1>CountryGroup!A2:A1000</formula1>
    </dataValidation>
    <dataValidation type="list" allowBlank="1" showInputMessage="1" showErrorMessage="1" sqref="C41">
      <formula1>CountryGroup!A2:A1000</formula1>
    </dataValidation>
    <dataValidation type="list" allowBlank="1" showInputMessage="1" showErrorMessage="1" sqref="C42">
      <formula1>CountryGroup!A2:A1000</formula1>
    </dataValidation>
    <dataValidation type="list" allowBlank="1" showInputMessage="1" showErrorMessage="1" sqref="C43">
      <formula1>CountryGroup!A2:A1000</formula1>
    </dataValidation>
    <dataValidation type="list" allowBlank="1" showInputMessage="1" showErrorMessage="1" sqref="C44">
      <formula1>CountryGroup!A2:A1000</formula1>
    </dataValidation>
    <dataValidation type="list" allowBlank="1" showInputMessage="1" showErrorMessage="1" sqref="C45">
      <formula1>CountryGroup!A2:A1000</formula1>
    </dataValidation>
    <dataValidation type="list" allowBlank="1" showInputMessage="1" showErrorMessage="1" sqref="C46">
      <formula1>CountryGroup!A2:A1000</formula1>
    </dataValidation>
    <dataValidation type="list" allowBlank="1" showInputMessage="1" showErrorMessage="1" sqref="C47">
      <formula1>CountryGroup!A2:A1000</formula1>
    </dataValidation>
    <dataValidation type="list" allowBlank="1" showInputMessage="1" showErrorMessage="1" sqref="C48">
      <formula1>CountryGroup!A2:A1000</formula1>
    </dataValidation>
    <dataValidation type="list" allowBlank="1" showInputMessage="1" showErrorMessage="1" sqref="C49">
      <formula1>CountryGroup!A2:A1000</formula1>
    </dataValidation>
    <dataValidation type="list" allowBlank="1" showInputMessage="1" showErrorMessage="1" sqref="C50">
      <formula1>CountryGroup!A2:A1000</formula1>
    </dataValidation>
    <dataValidation type="list" allowBlank="1" showInputMessage="1" showErrorMessage="1" sqref="C51">
      <formula1>CountryGroup!A2:A1000</formula1>
    </dataValidation>
    <dataValidation type="list" allowBlank="1" showInputMessage="1" showErrorMessage="1" sqref="C52">
      <formula1>CountryGroup!A2:A1000</formula1>
    </dataValidation>
    <dataValidation type="list" allowBlank="1" showInputMessage="1" showErrorMessage="1" sqref="C53">
      <formula1>CountryGroup!A2:A1000</formula1>
    </dataValidation>
    <dataValidation type="list" allowBlank="1" showInputMessage="1" showErrorMessage="1" sqref="C54">
      <formula1>CountryGroup!A2:A1000</formula1>
    </dataValidation>
    <dataValidation type="list" allowBlank="1" showInputMessage="1" showErrorMessage="1" sqref="C55">
      <formula1>CountryGroup!A2:A1000</formula1>
    </dataValidation>
    <dataValidation type="list" allowBlank="1" showInputMessage="1" showErrorMessage="1" sqref="C56">
      <formula1>CountryGroup!A2:A1000</formula1>
    </dataValidation>
    <dataValidation type="list" allowBlank="1" showInputMessage="1" showErrorMessage="1" sqref="C57">
      <formula1>CountryGroup!A2:A1000</formula1>
    </dataValidation>
    <dataValidation type="list" allowBlank="1" showInputMessage="1" showErrorMessage="1" sqref="C58">
      <formula1>CountryGroup!A2:A1000</formula1>
    </dataValidation>
    <dataValidation type="list" allowBlank="1" showInputMessage="1" showErrorMessage="1" sqref="C59">
      <formula1>CountryGroup!A2:A1000</formula1>
    </dataValidation>
    <dataValidation type="list" allowBlank="1" showInputMessage="1" showErrorMessage="1" sqref="C60">
      <formula1>CountryGroup!A2:A1000</formula1>
    </dataValidation>
    <dataValidation type="list" allowBlank="1" showInputMessage="1" showErrorMessage="1" sqref="C61">
      <formula1>CountryGroup!A2:A1000</formula1>
    </dataValidation>
    <dataValidation type="list" allowBlank="1" showInputMessage="1" showErrorMessage="1" sqref="C62">
      <formula1>CountryGroup!A2:A1000</formula1>
    </dataValidation>
    <dataValidation type="list" allowBlank="1" showInputMessage="1" showErrorMessage="1" sqref="C63">
      <formula1>CountryGroup!A2:A1000</formula1>
    </dataValidation>
    <dataValidation type="list" allowBlank="1" showInputMessage="1" showErrorMessage="1" sqref="C64">
      <formula1>CountryGroup!A2:A1000</formula1>
    </dataValidation>
    <dataValidation type="list" allowBlank="1" showInputMessage="1" showErrorMessage="1" sqref="C65">
      <formula1>CountryGroup!A2:A1000</formula1>
    </dataValidation>
    <dataValidation type="list" allowBlank="1" showInputMessage="1" showErrorMessage="1" sqref="C66">
      <formula1>CountryGroup!A2:A1000</formula1>
    </dataValidation>
    <dataValidation type="list" allowBlank="1" showInputMessage="1" showErrorMessage="1" sqref="C67">
      <formula1>CountryGroup!A2:A1000</formula1>
    </dataValidation>
    <dataValidation type="list" allowBlank="1" showInputMessage="1" showErrorMessage="1" sqref="C68">
      <formula1>CountryGroup!A2:A1000</formula1>
    </dataValidation>
    <dataValidation type="list" allowBlank="1" showInputMessage="1" showErrorMessage="1" sqref="C69">
      <formula1>CountryGroup!A2:A1000</formula1>
    </dataValidation>
    <dataValidation type="list" allowBlank="1" showInputMessage="1" showErrorMessage="1" sqref="C70">
      <formula1>CountryGroup!A2:A1000</formula1>
    </dataValidation>
    <dataValidation type="list" allowBlank="1" showInputMessage="1" showErrorMessage="1" sqref="C71">
      <formula1>CountryGroup!A2:A1000</formula1>
    </dataValidation>
    <dataValidation type="list" allowBlank="1" showInputMessage="1" showErrorMessage="1" sqref="C72">
      <formula1>CountryGroup!A2:A1000</formula1>
    </dataValidation>
    <dataValidation type="list" allowBlank="1" showInputMessage="1" showErrorMessage="1" sqref="C73">
      <formula1>CountryGroup!A2:A1000</formula1>
    </dataValidation>
    <dataValidation type="list" allowBlank="1" showInputMessage="1" showErrorMessage="1" sqref="C74">
      <formula1>CountryGroup!A2:A1000</formula1>
    </dataValidation>
    <dataValidation type="list" allowBlank="1" showInputMessage="1" showErrorMessage="1" sqref="C75">
      <formula1>CountryGroup!A2:A1000</formula1>
    </dataValidation>
    <dataValidation type="list" allowBlank="1" showInputMessage="1" showErrorMessage="1" sqref="C76">
      <formula1>CountryGroup!A2:A1000</formula1>
    </dataValidation>
    <dataValidation type="list" allowBlank="1" showInputMessage="1" showErrorMessage="1" sqref="C77">
      <formula1>CountryGroup!A2:A1000</formula1>
    </dataValidation>
    <dataValidation type="list" allowBlank="1" showInputMessage="1" showErrorMessage="1" sqref="C78">
      <formula1>CountryGroup!A2:A1000</formula1>
    </dataValidation>
    <dataValidation type="list" allowBlank="1" showInputMessage="1" showErrorMessage="1" sqref="C79">
      <formula1>CountryGroup!A2:A1000</formula1>
    </dataValidation>
    <dataValidation type="list" allowBlank="1" showInputMessage="1" showErrorMessage="1" sqref="C80">
      <formula1>CountryGroup!A2:A1000</formula1>
    </dataValidation>
    <dataValidation type="list" allowBlank="1" showInputMessage="1" showErrorMessage="1" sqref="C81">
      <formula1>CountryGroup!A2:A1000</formula1>
    </dataValidation>
    <dataValidation type="list" allowBlank="1" showInputMessage="1" showErrorMessage="1" sqref="C82">
      <formula1>CountryGroup!A2:A1000</formula1>
    </dataValidation>
    <dataValidation type="list" allowBlank="1" showInputMessage="1" showErrorMessage="1" sqref="C83">
      <formula1>CountryGroup!A2:A1000</formula1>
    </dataValidation>
    <dataValidation type="list" allowBlank="1" showInputMessage="1" showErrorMessage="1" sqref="C84">
      <formula1>CountryGroup!A2:A1000</formula1>
    </dataValidation>
    <dataValidation type="list" allowBlank="1" showInputMessage="1" showErrorMessage="1" sqref="C85">
      <formula1>CountryGroup!A2:A1000</formula1>
    </dataValidation>
    <dataValidation type="list" allowBlank="1" showInputMessage="1" showErrorMessage="1" sqref="C86">
      <formula1>CountryGroup!A2:A1000</formula1>
    </dataValidation>
    <dataValidation type="list" allowBlank="1" showInputMessage="1" showErrorMessage="1" sqref="C87">
      <formula1>CountryGroup!A2:A1000</formula1>
    </dataValidation>
    <dataValidation type="list" allowBlank="1" showInputMessage="1" showErrorMessage="1" sqref="C88">
      <formula1>CountryGroup!A2:A1000</formula1>
    </dataValidation>
    <dataValidation type="list" allowBlank="1" showInputMessage="1" showErrorMessage="1" sqref="C89">
      <formula1>CountryGroup!A2:A1000</formula1>
    </dataValidation>
    <dataValidation type="list" allowBlank="1" showInputMessage="1" showErrorMessage="1" sqref="C90">
      <formula1>CountryGroup!A2:A1000</formula1>
    </dataValidation>
    <dataValidation type="list" allowBlank="1" showInputMessage="1" showErrorMessage="1" sqref="C91">
      <formula1>CountryGroup!A2:A1000</formula1>
    </dataValidation>
    <dataValidation type="list" allowBlank="1" showInputMessage="1" showErrorMessage="1" sqref="C92">
      <formula1>CountryGroup!A2:A1000</formula1>
    </dataValidation>
    <dataValidation type="list" allowBlank="1" showInputMessage="1" showErrorMessage="1" sqref="C93">
      <formula1>CountryGroup!A2:A1000</formula1>
    </dataValidation>
    <dataValidation type="list" allowBlank="1" showInputMessage="1" showErrorMessage="1" sqref="C94">
      <formula1>CountryGroup!A2:A1000</formula1>
    </dataValidation>
    <dataValidation type="list" allowBlank="1" showInputMessage="1" showErrorMessage="1" sqref="C95">
      <formula1>CountryGroup!A2:A1000</formula1>
    </dataValidation>
    <dataValidation type="list" allowBlank="1" showInputMessage="1" showErrorMessage="1" sqref="C96">
      <formula1>CountryGroup!A2:A1000</formula1>
    </dataValidation>
    <dataValidation type="list" allowBlank="1" showInputMessage="1" showErrorMessage="1" sqref="C97">
      <formula1>CountryGroup!A2:A1000</formula1>
    </dataValidation>
    <dataValidation type="list" allowBlank="1" showInputMessage="1" showErrorMessage="1" sqref="C98">
      <formula1>CountryGroup!A2:A1000</formula1>
    </dataValidation>
    <dataValidation type="list" allowBlank="1" showInputMessage="1" showErrorMessage="1" sqref="C99">
      <formula1>CountryGroup!A2:A1000</formula1>
    </dataValidation>
    <dataValidation type="list" allowBlank="1" showInputMessage="1" showErrorMessage="1" sqref="C100">
      <formula1>CountryGroup!A2:A1000</formula1>
    </dataValidation>
    <dataValidation type="list" allowBlank="1" showInputMessage="1" showErrorMessage="1" sqref="C101">
      <formula1>CountryGroup!A2:A1000</formula1>
    </dataValidation>
    <dataValidation type="list" allowBlank="1" showInputMessage="1" showErrorMessage="1" sqref="C102">
      <formula1>CountryGroup!A2:A1000</formula1>
    </dataValidation>
    <dataValidation type="list" allowBlank="1" showInputMessage="1" showErrorMessage="1" sqref="C103">
      <formula1>CountryGroup!A2:A1000</formula1>
    </dataValidation>
    <dataValidation type="list" allowBlank="1" showInputMessage="1" showErrorMessage="1" sqref="C104">
      <formula1>CountryGroup!A2:A1000</formula1>
    </dataValidation>
    <dataValidation type="list" allowBlank="1" showInputMessage="1" showErrorMessage="1" sqref="C105">
      <formula1>CountryGroup!A2:A1000</formula1>
    </dataValidation>
    <dataValidation type="list" allowBlank="1" showInputMessage="1" showErrorMessage="1" sqref="C106">
      <formula1>CountryGroup!A2:A1000</formula1>
    </dataValidation>
    <dataValidation type="list" allowBlank="1" showInputMessage="1" showErrorMessage="1" sqref="C107">
      <formula1>CountryGroup!A2:A1000</formula1>
    </dataValidation>
    <dataValidation type="list" allowBlank="1" showInputMessage="1" showErrorMessage="1" sqref="C108">
      <formula1>CountryGroup!A2:A1000</formula1>
    </dataValidation>
    <dataValidation type="list" allowBlank="1" showInputMessage="1" showErrorMessage="1" sqref="C109">
      <formula1>CountryGroup!A2:A1000</formula1>
    </dataValidation>
    <dataValidation type="list" allowBlank="1" showInputMessage="1" showErrorMessage="1" sqref="C110">
      <formula1>CountryGroup!A2:A1000</formula1>
    </dataValidation>
    <dataValidation type="list" allowBlank="1" showInputMessage="1" showErrorMessage="1" sqref="C111">
      <formula1>CountryGroup!A2:A1000</formula1>
    </dataValidation>
    <dataValidation type="list" allowBlank="1" showInputMessage="1" showErrorMessage="1" sqref="C112">
      <formula1>CountryGroup!A2:A1000</formula1>
    </dataValidation>
    <dataValidation type="list" allowBlank="1" showInputMessage="1" showErrorMessage="1" sqref="C113">
      <formula1>CountryGroup!A2:A1000</formula1>
    </dataValidation>
    <dataValidation type="list" allowBlank="1" showInputMessage="1" showErrorMessage="1" sqref="C114">
      <formula1>CountryGroup!A2:A1000</formula1>
    </dataValidation>
    <dataValidation type="list" allowBlank="1" showInputMessage="1" showErrorMessage="1" sqref="C115">
      <formula1>CountryGroup!A2:A1000</formula1>
    </dataValidation>
    <dataValidation type="list" allowBlank="1" showInputMessage="1" showErrorMessage="1" sqref="C116">
      <formula1>CountryGroup!A2:A1000</formula1>
    </dataValidation>
    <dataValidation type="list" allowBlank="1" showInputMessage="1" showErrorMessage="1" sqref="C117">
      <formula1>CountryGroup!A2:A1000</formula1>
    </dataValidation>
    <dataValidation type="list" allowBlank="1" showInputMessage="1" showErrorMessage="1" sqref="C118">
      <formula1>CountryGroup!A2:A1000</formula1>
    </dataValidation>
    <dataValidation type="list" allowBlank="1" showInputMessage="1" showErrorMessage="1" sqref="C119">
      <formula1>CountryGroup!A2:A1000</formula1>
    </dataValidation>
    <dataValidation type="list" allowBlank="1" showInputMessage="1" showErrorMessage="1" sqref="C120">
      <formula1>CountryGroup!A2:A1000</formula1>
    </dataValidation>
    <dataValidation type="list" allowBlank="1" showInputMessage="1" showErrorMessage="1" sqref="C121">
      <formula1>CountryGroup!A2:A1000</formula1>
    </dataValidation>
    <dataValidation type="list" allowBlank="1" showInputMessage="1" showErrorMessage="1" sqref="C122">
      <formula1>CountryGroup!A2:A1000</formula1>
    </dataValidation>
    <dataValidation type="list" allowBlank="1" showInputMessage="1" showErrorMessage="1" sqref="C123">
      <formula1>CountryGroup!A2:A1000</formula1>
    </dataValidation>
    <dataValidation type="list" allowBlank="1" showInputMessage="1" showErrorMessage="1" sqref="C124">
      <formula1>CountryGroup!A2:A1000</formula1>
    </dataValidation>
    <dataValidation type="list" allowBlank="1" showInputMessage="1" showErrorMessage="1" sqref="C125">
      <formula1>CountryGroup!A2:A1000</formula1>
    </dataValidation>
    <dataValidation type="list" allowBlank="1" showInputMessage="1" showErrorMessage="1" sqref="C126">
      <formula1>CountryGroup!A2:A1000</formula1>
    </dataValidation>
    <dataValidation type="list" allowBlank="1" showInputMessage="1" showErrorMessage="1" sqref="C127">
      <formula1>CountryGroup!A2:A1000</formula1>
    </dataValidation>
    <dataValidation type="list" allowBlank="1" showInputMessage="1" showErrorMessage="1" sqref="C128">
      <formula1>CountryGroup!A2:A1000</formula1>
    </dataValidation>
    <dataValidation type="list" allowBlank="1" showInputMessage="1" showErrorMessage="1" sqref="C129">
      <formula1>CountryGroup!A2:A1000</formula1>
    </dataValidation>
    <dataValidation type="list" allowBlank="1" showInputMessage="1" showErrorMessage="1" sqref="C130">
      <formula1>CountryGroup!A2:A1000</formula1>
    </dataValidation>
    <dataValidation type="list" allowBlank="1" showInputMessage="1" showErrorMessage="1" sqref="C131">
      <formula1>CountryGroup!A2:A1000</formula1>
    </dataValidation>
    <dataValidation type="list" allowBlank="1" showInputMessage="1" showErrorMessage="1" sqref="C132">
      <formula1>CountryGroup!A2:A1000</formula1>
    </dataValidation>
    <dataValidation type="list" allowBlank="1" showInputMessage="1" showErrorMessage="1" sqref="C133">
      <formula1>CountryGroup!A2:A1000</formula1>
    </dataValidation>
    <dataValidation type="list" allowBlank="1" showInputMessage="1" showErrorMessage="1" sqref="C134">
      <formula1>CountryGroup!A2:A1000</formula1>
    </dataValidation>
    <dataValidation type="list" allowBlank="1" showInputMessage="1" showErrorMessage="1" sqref="C135">
      <formula1>CountryGroup!A2:A1000</formula1>
    </dataValidation>
    <dataValidation type="list" allowBlank="1" showInputMessage="1" showErrorMessage="1" sqref="C136">
      <formula1>CountryGroup!A2:A1000</formula1>
    </dataValidation>
    <dataValidation type="list" allowBlank="1" showInputMessage="1" showErrorMessage="1" sqref="C137">
      <formula1>CountryGroup!A2:A1000</formula1>
    </dataValidation>
    <dataValidation type="list" allowBlank="1" showInputMessage="1" showErrorMessage="1" sqref="C138">
      <formula1>CountryGroup!A2:A1000</formula1>
    </dataValidation>
    <dataValidation type="list" allowBlank="1" showInputMessage="1" showErrorMessage="1" sqref="C139">
      <formula1>CountryGroup!A2:A1000</formula1>
    </dataValidation>
    <dataValidation type="list" allowBlank="1" showInputMessage="1" showErrorMessage="1" sqref="C140">
      <formula1>CountryGroup!A2:A1000</formula1>
    </dataValidation>
    <dataValidation type="list" allowBlank="1" showInputMessage="1" showErrorMessage="1" sqref="C141">
      <formula1>CountryGroup!A2:A1000</formula1>
    </dataValidation>
    <dataValidation type="list" allowBlank="1" showInputMessage="1" showErrorMessage="1" sqref="C142">
      <formula1>CountryGroup!A2:A1000</formula1>
    </dataValidation>
    <dataValidation type="list" allowBlank="1" showInputMessage="1" showErrorMessage="1" sqref="C143">
      <formula1>CountryGroup!A2:A1000</formula1>
    </dataValidation>
    <dataValidation type="list" allowBlank="1" showInputMessage="1" showErrorMessage="1" sqref="C144">
      <formula1>CountryGroup!A2:A1000</formula1>
    </dataValidation>
    <dataValidation type="list" allowBlank="1" showInputMessage="1" showErrorMessage="1" sqref="C145">
      <formula1>CountryGroup!A2:A1000</formula1>
    </dataValidation>
    <dataValidation type="list" allowBlank="1" showInputMessage="1" showErrorMessage="1" sqref="C146">
      <formula1>CountryGroup!A2:A1000</formula1>
    </dataValidation>
    <dataValidation type="list" allowBlank="1" showInputMessage="1" showErrorMessage="1" sqref="C147">
      <formula1>CountryGroup!A2:A1000</formula1>
    </dataValidation>
    <dataValidation type="list" allowBlank="1" showInputMessage="1" showErrorMessage="1" sqref="C148">
      <formula1>CountryGroup!A2:A1000</formula1>
    </dataValidation>
    <dataValidation type="list" allowBlank="1" showInputMessage="1" showErrorMessage="1" sqref="C149">
      <formula1>CountryGroup!A2:A1000</formula1>
    </dataValidation>
    <dataValidation type="list" allowBlank="1" showInputMessage="1" showErrorMessage="1" sqref="C150">
      <formula1>CountryGroup!A2:A1000</formula1>
    </dataValidation>
    <dataValidation type="list" allowBlank="1" showInputMessage="1" showErrorMessage="1" sqref="C151">
      <formula1>CountryGroup!A2:A1000</formula1>
    </dataValidation>
    <dataValidation type="list" allowBlank="1" showInputMessage="1" showErrorMessage="1" sqref="C152">
      <formula1>CountryGroup!A2:A1000</formula1>
    </dataValidation>
    <dataValidation type="list" allowBlank="1" showInputMessage="1" showErrorMessage="1" sqref="C153">
      <formula1>CountryGroup!A2:A1000</formula1>
    </dataValidation>
    <dataValidation type="list" allowBlank="1" showInputMessage="1" showErrorMessage="1" sqref="C154">
      <formula1>CountryGroup!A2:A1000</formula1>
    </dataValidation>
    <dataValidation type="list" allowBlank="1" showInputMessage="1" showErrorMessage="1" sqref="C155">
      <formula1>CountryGroup!A2:A1000</formula1>
    </dataValidation>
    <dataValidation type="list" allowBlank="1" showInputMessage="1" showErrorMessage="1" sqref="C156">
      <formula1>CountryGroup!A2:A1000</formula1>
    </dataValidation>
    <dataValidation type="list" allowBlank="1" showInputMessage="1" showErrorMessage="1" sqref="C157">
      <formula1>CountryGroup!A2:A1000</formula1>
    </dataValidation>
    <dataValidation type="list" allowBlank="1" showInputMessage="1" showErrorMessage="1" sqref="C158">
      <formula1>CountryGroup!A2:A1000</formula1>
    </dataValidation>
    <dataValidation type="list" allowBlank="1" showInputMessage="1" showErrorMessage="1" sqref="C159">
      <formula1>CountryGroup!A2:A1000</formula1>
    </dataValidation>
    <dataValidation type="list" allowBlank="1" showInputMessage="1" showErrorMessage="1" sqref="C160">
      <formula1>CountryGroup!A2:A1000</formula1>
    </dataValidation>
    <dataValidation type="list" allowBlank="1" showInputMessage="1" showErrorMessage="1" sqref="C161">
      <formula1>CountryGroup!A2:A1000</formula1>
    </dataValidation>
    <dataValidation type="list" allowBlank="1" showInputMessage="1" showErrorMessage="1" sqref="C162">
      <formula1>CountryGroup!A2:A1000</formula1>
    </dataValidation>
    <dataValidation type="list" allowBlank="1" showInputMessage="1" showErrorMessage="1" sqref="C163">
      <formula1>CountryGroup!A2:A1000</formula1>
    </dataValidation>
    <dataValidation type="list" allowBlank="1" showInputMessage="1" showErrorMessage="1" sqref="C164">
      <formula1>CountryGroup!A2:A1000</formula1>
    </dataValidation>
    <dataValidation type="list" allowBlank="1" showInputMessage="1" showErrorMessage="1" sqref="C165">
      <formula1>CountryGroup!A2:A1000</formula1>
    </dataValidation>
    <dataValidation type="list" allowBlank="1" showInputMessage="1" showErrorMessage="1" sqref="C166">
      <formula1>CountryGroup!A2:A1000</formula1>
    </dataValidation>
    <dataValidation type="list" allowBlank="1" showInputMessage="1" showErrorMessage="1" sqref="C167">
      <formula1>CountryGroup!A2:A1000</formula1>
    </dataValidation>
    <dataValidation type="list" allowBlank="1" showInputMessage="1" showErrorMessage="1" sqref="C168">
      <formula1>CountryGroup!A2:A1000</formula1>
    </dataValidation>
    <dataValidation type="list" allowBlank="1" showInputMessage="1" showErrorMessage="1" sqref="C169">
      <formula1>CountryGroup!A2:A1000</formula1>
    </dataValidation>
    <dataValidation type="list" allowBlank="1" showInputMessage="1" showErrorMessage="1" sqref="C170">
      <formula1>CountryGroup!A2:A1000</formula1>
    </dataValidation>
    <dataValidation type="list" allowBlank="1" showInputMessage="1" showErrorMessage="1" sqref="C171">
      <formula1>CountryGroup!A2:A1000</formula1>
    </dataValidation>
    <dataValidation type="list" allowBlank="1" showInputMessage="1" showErrorMessage="1" sqref="C172">
      <formula1>CountryGroup!A2:A1000</formula1>
    </dataValidation>
    <dataValidation type="list" allowBlank="1" showInputMessage="1" showErrorMessage="1" sqref="C173">
      <formula1>CountryGroup!A2:A1000</formula1>
    </dataValidation>
    <dataValidation type="list" allowBlank="1" showInputMessage="1" showErrorMessage="1" sqref="C174">
      <formula1>CountryGroup!A2:A1000</formula1>
    </dataValidation>
    <dataValidation type="list" allowBlank="1" showInputMessage="1" showErrorMessage="1" sqref="C175">
      <formula1>CountryGroup!A2:A1000</formula1>
    </dataValidation>
    <dataValidation type="list" allowBlank="1" showInputMessage="1" showErrorMessage="1" sqref="C176">
      <formula1>CountryGroup!A2:A1000</formula1>
    </dataValidation>
    <dataValidation type="list" allowBlank="1" showInputMessage="1" showErrorMessage="1" sqref="C177">
      <formula1>CountryGroup!A2:A1000</formula1>
    </dataValidation>
    <dataValidation type="list" allowBlank="1" showInputMessage="1" showErrorMessage="1" sqref="C178">
      <formula1>CountryGroup!A2:A1000</formula1>
    </dataValidation>
    <dataValidation type="list" allowBlank="1" showInputMessage="1" showErrorMessage="1" sqref="C179">
      <formula1>CountryGroup!A2:A1000</formula1>
    </dataValidation>
    <dataValidation type="list" allowBlank="1" showInputMessage="1" showErrorMessage="1" sqref="C180">
      <formula1>CountryGroup!A2:A1000</formula1>
    </dataValidation>
    <dataValidation type="list" allowBlank="1" showInputMessage="1" showErrorMessage="1" sqref="C181">
      <formula1>CountryGroup!A2:A1000</formula1>
    </dataValidation>
    <dataValidation type="list" allowBlank="1" showInputMessage="1" showErrorMessage="1" sqref="C182">
      <formula1>CountryGroup!A2:A1000</formula1>
    </dataValidation>
    <dataValidation type="list" allowBlank="1" showInputMessage="1" showErrorMessage="1" sqref="C183">
      <formula1>CountryGroup!A2:A1000</formula1>
    </dataValidation>
    <dataValidation type="list" allowBlank="1" showInputMessage="1" showErrorMessage="1" sqref="C184">
      <formula1>CountryGroup!A2:A1000</formula1>
    </dataValidation>
    <dataValidation type="list" allowBlank="1" showInputMessage="1" showErrorMessage="1" sqref="C185">
      <formula1>CountryGroup!A2:A1000</formula1>
    </dataValidation>
    <dataValidation type="list" allowBlank="1" showInputMessage="1" showErrorMessage="1" sqref="C186">
      <formula1>CountryGroup!A2:A1000</formula1>
    </dataValidation>
    <dataValidation type="list" allowBlank="1" showInputMessage="1" showErrorMessage="1" sqref="C187">
      <formula1>CountryGroup!A2:A1000</formula1>
    </dataValidation>
    <dataValidation type="list" allowBlank="1" showInputMessage="1" showErrorMessage="1" sqref="C188">
      <formula1>CountryGroup!A2:A1000</formula1>
    </dataValidation>
    <dataValidation type="list" allowBlank="1" showInputMessage="1" showErrorMessage="1" sqref="C189">
      <formula1>CountryGroup!A2:A1000</formula1>
    </dataValidation>
    <dataValidation type="list" allowBlank="1" showInputMessage="1" showErrorMessage="1" sqref="C190">
      <formula1>CountryGroup!A2:A1000</formula1>
    </dataValidation>
    <dataValidation type="list" allowBlank="1" showInputMessage="1" showErrorMessage="1" sqref="C191">
      <formula1>CountryGroup!A2:A1000</formula1>
    </dataValidation>
    <dataValidation type="list" allowBlank="1" showInputMessage="1" showErrorMessage="1" sqref="C192">
      <formula1>CountryGroup!A2:A1000</formula1>
    </dataValidation>
    <dataValidation type="list" allowBlank="1" showInputMessage="1" showErrorMessage="1" sqref="C193">
      <formula1>CountryGroup!A2:A1000</formula1>
    </dataValidation>
    <dataValidation type="list" allowBlank="1" showInputMessage="1" showErrorMessage="1" sqref="C194">
      <formula1>CountryGroup!A2:A1000</formula1>
    </dataValidation>
    <dataValidation type="list" allowBlank="1" showInputMessage="1" showErrorMessage="1" sqref="C195">
      <formula1>CountryGroup!A2:A1000</formula1>
    </dataValidation>
    <dataValidation type="list" allowBlank="1" showInputMessage="1" showErrorMessage="1" sqref="C196">
      <formula1>CountryGroup!A2:A1000</formula1>
    </dataValidation>
    <dataValidation type="list" allowBlank="1" showInputMessage="1" showErrorMessage="1" sqref="C197">
      <formula1>CountryGroup!A2:A1000</formula1>
    </dataValidation>
    <dataValidation type="list" allowBlank="1" showInputMessage="1" showErrorMessage="1" sqref="C198">
      <formula1>CountryGroup!A2:A1000</formula1>
    </dataValidation>
    <dataValidation type="list" allowBlank="1" showInputMessage="1" showErrorMessage="1" sqref="C199">
      <formula1>CountryGroup!A2:A1000</formula1>
    </dataValidation>
    <dataValidation type="list" allowBlank="1" showInputMessage="1" showErrorMessage="1" sqref="C200">
      <formula1>CountryGroup!A2:A1000</formula1>
    </dataValidation>
    <dataValidation type="list" allowBlank="1" showInputMessage="1" showErrorMessage="1" sqref="C201">
      <formula1>CountryGroup!A2:A1000</formula1>
    </dataValidation>
    <dataValidation type="list" allowBlank="1" showInputMessage="1" showErrorMessage="1" sqref="C202">
      <formula1>CountryGroup!A2:A1000</formula1>
    </dataValidation>
    <dataValidation type="list" allowBlank="1" showInputMessage="1" showErrorMessage="1" sqref="C203">
      <formula1>CountryGroup!A2:A1000</formula1>
    </dataValidation>
    <dataValidation type="list" allowBlank="1" showInputMessage="1" showErrorMessage="1" sqref="C204">
      <formula1>CountryGroup!A2:A1000</formula1>
    </dataValidation>
    <dataValidation type="list" allowBlank="1" showInputMessage="1" showErrorMessage="1" sqref="C205">
      <formula1>CountryGroup!A2:A1000</formula1>
    </dataValidation>
    <dataValidation type="list" allowBlank="1" showInputMessage="1" showErrorMessage="1" sqref="C206">
      <formula1>CountryGroup!A2:A1000</formula1>
    </dataValidation>
    <dataValidation type="list" allowBlank="1" showInputMessage="1" showErrorMessage="1" sqref="C207">
      <formula1>CountryGroup!A2:A1000</formula1>
    </dataValidation>
    <dataValidation type="list" allowBlank="1" showInputMessage="1" showErrorMessage="1" sqref="C208">
      <formula1>CountryGroup!A2:A1000</formula1>
    </dataValidation>
    <dataValidation type="list" allowBlank="1" showInputMessage="1" showErrorMessage="1" sqref="C209">
      <formula1>CountryGroup!A2:A1000</formula1>
    </dataValidation>
    <dataValidation type="list" allowBlank="1" showInputMessage="1" showErrorMessage="1" sqref="C210">
      <formula1>CountryGroup!A2:A1000</formula1>
    </dataValidation>
    <dataValidation type="list" allowBlank="1" showInputMessage="1" showErrorMessage="1" sqref="C211">
      <formula1>CountryGroup!A2:A1000</formula1>
    </dataValidation>
    <dataValidation type="list" allowBlank="1" showInputMessage="1" showErrorMessage="1" sqref="C212">
      <formula1>CountryGroup!A2:A1000</formula1>
    </dataValidation>
    <dataValidation type="list" allowBlank="1" showInputMessage="1" showErrorMessage="1" sqref="C213">
      <formula1>CountryGroup!A2:A1000</formula1>
    </dataValidation>
    <dataValidation type="list" allowBlank="1" showInputMessage="1" showErrorMessage="1" sqref="C214">
      <formula1>CountryGroup!A2:A1000</formula1>
    </dataValidation>
    <dataValidation type="list" allowBlank="1" showInputMessage="1" showErrorMessage="1" sqref="C215">
      <formula1>CountryGroup!A2:A1000</formula1>
    </dataValidation>
    <dataValidation type="list" allowBlank="1" showInputMessage="1" showErrorMessage="1" sqref="C216">
      <formula1>CountryGroup!A2:A1000</formula1>
    </dataValidation>
    <dataValidation type="list" allowBlank="1" showInputMessage="1" showErrorMessage="1" sqref="C217">
      <formula1>CountryGroup!A2:A1000</formula1>
    </dataValidation>
    <dataValidation type="list" allowBlank="1" showInputMessage="1" showErrorMessage="1" sqref="C218">
      <formula1>CountryGroup!A2:A1000</formula1>
    </dataValidation>
    <dataValidation type="list" allowBlank="1" showInputMessage="1" showErrorMessage="1" sqref="C219">
      <formula1>CountryGroup!A2:A1000</formula1>
    </dataValidation>
    <dataValidation type="list" allowBlank="1" showInputMessage="1" showErrorMessage="1" sqref="C220">
      <formula1>CountryGroup!A2:A1000</formula1>
    </dataValidation>
    <dataValidation type="list" allowBlank="1" showInputMessage="1" showErrorMessage="1" sqref="C221">
      <formula1>CountryGroup!A2:A1000</formula1>
    </dataValidation>
    <dataValidation type="list" allowBlank="1" showInputMessage="1" showErrorMessage="1" sqref="C222">
      <formula1>CountryGroup!A2:A1000</formula1>
    </dataValidation>
    <dataValidation type="list" allowBlank="1" showInputMessage="1" showErrorMessage="1" sqref="C223">
      <formula1>CountryGroup!A2:A1000</formula1>
    </dataValidation>
    <dataValidation type="list" allowBlank="1" showInputMessage="1" showErrorMessage="1" sqref="C224">
      <formula1>CountryGroup!A2:A1000</formula1>
    </dataValidation>
    <dataValidation type="list" allowBlank="1" showInputMessage="1" showErrorMessage="1" sqref="C225">
      <formula1>CountryGroup!A2:A1000</formula1>
    </dataValidation>
    <dataValidation type="list" allowBlank="1" showInputMessage="1" showErrorMessage="1" sqref="C226">
      <formula1>CountryGroup!A2:A1000</formula1>
    </dataValidation>
    <dataValidation type="list" allowBlank="1" showInputMessage="1" showErrorMessage="1" sqref="C227">
      <formula1>CountryGroup!A2:A1000</formula1>
    </dataValidation>
    <dataValidation type="list" allowBlank="1" showInputMessage="1" showErrorMessage="1" sqref="C228">
      <formula1>CountryGroup!A2:A1000</formula1>
    </dataValidation>
    <dataValidation type="list" allowBlank="1" showInputMessage="1" showErrorMessage="1" sqref="C229">
      <formula1>CountryGroup!A2:A1000</formula1>
    </dataValidation>
    <dataValidation type="list" allowBlank="1" showInputMessage="1" showErrorMessage="1" sqref="C230">
      <formula1>CountryGroup!A2:A1000</formula1>
    </dataValidation>
    <dataValidation type="list" allowBlank="1" showInputMessage="1" showErrorMessage="1" sqref="C231">
      <formula1>CountryGroup!A2:A1000</formula1>
    </dataValidation>
    <dataValidation type="list" allowBlank="1" showInputMessage="1" showErrorMessage="1" sqref="C232">
      <formula1>CountryGroup!A2:A1000</formula1>
    </dataValidation>
    <dataValidation type="list" allowBlank="1" showInputMessage="1" showErrorMessage="1" sqref="C233">
      <formula1>CountryGroup!A2:A1000</formula1>
    </dataValidation>
    <dataValidation type="list" allowBlank="1" showInputMessage="1" showErrorMessage="1" sqref="C234">
      <formula1>CountryGroup!A2:A1000</formula1>
    </dataValidation>
    <dataValidation type="list" allowBlank="1" showInputMessage="1" showErrorMessage="1" sqref="C235">
      <formula1>CountryGroup!A2:A1000</formula1>
    </dataValidation>
    <dataValidation type="list" allowBlank="1" showInputMessage="1" showErrorMessage="1" sqref="C236">
      <formula1>CountryGroup!A2:A1000</formula1>
    </dataValidation>
    <dataValidation type="list" allowBlank="1" showInputMessage="1" showErrorMessage="1" sqref="C237">
      <formula1>CountryGroup!A2:A1000</formula1>
    </dataValidation>
    <dataValidation type="list" allowBlank="1" showInputMessage="1" showErrorMessage="1" sqref="C238">
      <formula1>CountryGroup!A2:A1000</formula1>
    </dataValidation>
    <dataValidation type="list" allowBlank="1" showInputMessage="1" showErrorMessage="1" sqref="C239">
      <formula1>CountryGroup!A2:A1000</formula1>
    </dataValidation>
    <dataValidation type="list" allowBlank="1" showInputMessage="1" showErrorMessage="1" sqref="C240">
      <formula1>CountryGroup!A2:A1000</formula1>
    </dataValidation>
    <dataValidation type="list" allowBlank="1" showInputMessage="1" showErrorMessage="1" sqref="C241">
      <formula1>CountryGroup!A2:A1000</formula1>
    </dataValidation>
    <dataValidation type="list" allowBlank="1" showInputMessage="1" showErrorMessage="1" sqref="C242">
      <formula1>CountryGroup!A2:A1000</formula1>
    </dataValidation>
    <dataValidation type="list" allowBlank="1" showInputMessage="1" showErrorMessage="1" sqref="C243">
      <formula1>CountryGroup!A2:A1000</formula1>
    </dataValidation>
    <dataValidation type="list" allowBlank="1" showInputMessage="1" showErrorMessage="1" sqref="C244">
      <formula1>CountryGroup!A2:A1000</formula1>
    </dataValidation>
    <dataValidation type="list" allowBlank="1" showInputMessage="1" showErrorMessage="1" sqref="C245">
      <formula1>CountryGroup!A2:A1000</formula1>
    </dataValidation>
    <dataValidation type="list" allowBlank="1" showInputMessage="1" showErrorMessage="1" sqref="C246">
      <formula1>CountryGroup!A2:A1000</formula1>
    </dataValidation>
    <dataValidation type="list" allowBlank="1" showInputMessage="1" showErrorMessage="1" sqref="C247">
      <formula1>CountryGroup!A2:A1000</formula1>
    </dataValidation>
    <dataValidation type="list" allowBlank="1" showInputMessage="1" showErrorMessage="1" sqref="C248">
      <formula1>CountryGroup!A2:A1000</formula1>
    </dataValidation>
    <dataValidation type="list" allowBlank="1" showInputMessage="1" showErrorMessage="1" sqref="C249">
      <formula1>CountryGroup!A2:A1000</formula1>
    </dataValidation>
    <dataValidation type="list" allowBlank="1" showInputMessage="1" showErrorMessage="1" sqref="C250">
      <formula1>CountryGroup!A2:A1000</formula1>
    </dataValidation>
    <dataValidation type="list" allowBlank="1" showInputMessage="1" showErrorMessage="1" sqref="C251">
      <formula1>CountryGroup!A2:A1000</formula1>
    </dataValidation>
    <dataValidation type="list" allowBlank="1" showInputMessage="1" showErrorMessage="1" sqref="C252">
      <formula1>CountryGroup!A2:A1000</formula1>
    </dataValidation>
    <dataValidation type="list" allowBlank="1" showInputMessage="1" showErrorMessage="1" sqref="C253">
      <formula1>CountryGroup!A2:A1000</formula1>
    </dataValidation>
    <dataValidation type="list" allowBlank="1" showInputMessage="1" showErrorMessage="1" sqref="C254">
      <formula1>CountryGroup!A2:A1000</formula1>
    </dataValidation>
    <dataValidation type="list" allowBlank="1" showInputMessage="1" showErrorMessage="1" sqref="C255">
      <formula1>CountryGroup!A2:A1000</formula1>
    </dataValidation>
    <dataValidation type="list" allowBlank="1" showInputMessage="1" showErrorMessage="1" sqref="C256">
      <formula1>CountryGroup!A2:A1000</formula1>
    </dataValidation>
    <dataValidation type="list" allowBlank="1" showInputMessage="1" showErrorMessage="1" sqref="C257">
      <formula1>CountryGroup!A2:A1000</formula1>
    </dataValidation>
    <dataValidation type="list" allowBlank="1" showInputMessage="1" showErrorMessage="1" sqref="C258">
      <formula1>CountryGroup!A2:A1000</formula1>
    </dataValidation>
    <dataValidation type="list" allowBlank="1" showInputMessage="1" showErrorMessage="1" sqref="C259">
      <formula1>CountryGroup!A2:A1000</formula1>
    </dataValidation>
    <dataValidation type="list" allowBlank="1" showInputMessage="1" showErrorMessage="1" sqref="C260">
      <formula1>CountryGroup!A2:A1000</formula1>
    </dataValidation>
    <dataValidation type="list" allowBlank="1" showInputMessage="1" showErrorMessage="1" sqref="C261">
      <formula1>CountryGroup!A2:A1000</formula1>
    </dataValidation>
    <dataValidation type="list" allowBlank="1" showInputMessage="1" showErrorMessage="1" sqref="C262">
      <formula1>CountryGroup!A2:A1000</formula1>
    </dataValidation>
    <dataValidation type="list" allowBlank="1" showInputMessage="1" showErrorMessage="1" sqref="C263">
      <formula1>CountryGroup!A2:A1000</formula1>
    </dataValidation>
    <dataValidation type="list" allowBlank="1" showInputMessage="1" showErrorMessage="1" sqref="C264">
      <formula1>CountryGroup!A2:A1000</formula1>
    </dataValidation>
    <dataValidation type="list" allowBlank="1" showInputMessage="1" showErrorMessage="1" sqref="C265">
      <formula1>CountryGroup!A2:A1000</formula1>
    </dataValidation>
    <dataValidation type="list" allowBlank="1" showInputMessage="1" showErrorMessage="1" sqref="C266">
      <formula1>CountryGroup!A2:A1000</formula1>
    </dataValidation>
    <dataValidation type="list" allowBlank="1" showInputMessage="1" showErrorMessage="1" sqref="C267">
      <formula1>CountryGroup!A2:A1000</formula1>
    </dataValidation>
    <dataValidation type="list" allowBlank="1" showInputMessage="1" showErrorMessage="1" sqref="C268">
      <formula1>CountryGroup!A2:A1000</formula1>
    </dataValidation>
    <dataValidation type="list" allowBlank="1" showInputMessage="1" showErrorMessage="1" sqref="C269">
      <formula1>CountryGroup!A2:A1000</formula1>
    </dataValidation>
    <dataValidation type="list" allowBlank="1" showInputMessage="1" showErrorMessage="1" sqref="C270">
      <formula1>CountryGroup!A2:A1000</formula1>
    </dataValidation>
    <dataValidation type="list" allowBlank="1" showInputMessage="1" showErrorMessage="1" sqref="C271">
      <formula1>CountryGroup!A2:A1000</formula1>
    </dataValidation>
    <dataValidation type="list" allowBlank="1" showInputMessage="1" showErrorMessage="1" sqref="C272">
      <formula1>CountryGroup!A2:A1000</formula1>
    </dataValidation>
    <dataValidation type="list" allowBlank="1" showInputMessage="1" showErrorMessage="1" sqref="C273">
      <formula1>CountryGroup!A2:A1000</formula1>
    </dataValidation>
    <dataValidation type="list" allowBlank="1" showInputMessage="1" showErrorMessage="1" sqref="C274">
      <formula1>CountryGroup!A2:A1000</formula1>
    </dataValidation>
    <dataValidation type="list" allowBlank="1" showInputMessage="1" showErrorMessage="1" sqref="C275">
      <formula1>CountryGroup!A2:A1000</formula1>
    </dataValidation>
    <dataValidation type="list" allowBlank="1" showInputMessage="1" showErrorMessage="1" sqref="C276">
      <formula1>CountryGroup!A2:A1000</formula1>
    </dataValidation>
    <dataValidation type="list" allowBlank="1" showInputMessage="1" showErrorMessage="1" sqref="C277">
      <formula1>CountryGroup!A2:A1000</formula1>
    </dataValidation>
    <dataValidation type="list" allowBlank="1" showInputMessage="1" showErrorMessage="1" sqref="C278">
      <formula1>CountryGroup!A2:A1000</formula1>
    </dataValidation>
    <dataValidation type="list" allowBlank="1" showInputMessage="1" showErrorMessage="1" sqref="C279">
      <formula1>CountryGroup!A2:A1000</formula1>
    </dataValidation>
    <dataValidation type="list" allowBlank="1" showInputMessage="1" showErrorMessage="1" sqref="C280">
      <formula1>CountryGroup!A2:A1000</formula1>
    </dataValidation>
    <dataValidation type="list" allowBlank="1" showInputMessage="1" showErrorMessage="1" sqref="C281">
      <formula1>CountryGroup!A2:A1000</formula1>
    </dataValidation>
    <dataValidation type="list" allowBlank="1" showInputMessage="1" showErrorMessage="1" sqref="C282">
      <formula1>CountryGroup!A2:A1000</formula1>
    </dataValidation>
    <dataValidation type="list" allowBlank="1" showInputMessage="1" showErrorMessage="1" sqref="C283">
      <formula1>CountryGroup!A2:A1000</formula1>
    </dataValidation>
    <dataValidation type="list" allowBlank="1" showInputMessage="1" showErrorMessage="1" sqref="C284">
      <formula1>CountryGroup!A2:A1000</formula1>
    </dataValidation>
    <dataValidation type="list" allowBlank="1" showInputMessage="1" showErrorMessage="1" sqref="C285">
      <formula1>CountryGroup!A2:A1000</formula1>
    </dataValidation>
    <dataValidation type="list" allowBlank="1" showInputMessage="1" showErrorMessage="1" sqref="C286">
      <formula1>CountryGroup!A2:A1000</formula1>
    </dataValidation>
    <dataValidation type="list" allowBlank="1" showInputMessage="1" showErrorMessage="1" sqref="C287">
      <formula1>CountryGroup!A2:A1000</formula1>
    </dataValidation>
    <dataValidation type="list" allowBlank="1" showInputMessage="1" showErrorMessage="1" sqref="C288">
      <formula1>CountryGroup!A2:A1000</formula1>
    </dataValidation>
    <dataValidation type="list" allowBlank="1" showInputMessage="1" showErrorMessage="1" sqref="C289">
      <formula1>CountryGroup!A2:A1000</formula1>
    </dataValidation>
    <dataValidation type="list" allowBlank="1" showInputMessage="1" showErrorMessage="1" sqref="C290">
      <formula1>CountryGroup!A2:A1000</formula1>
    </dataValidation>
    <dataValidation type="list" allowBlank="1" showInputMessage="1" showErrorMessage="1" sqref="C291">
      <formula1>CountryGroup!A2:A1000</formula1>
    </dataValidation>
    <dataValidation type="list" allowBlank="1" showInputMessage="1" showErrorMessage="1" sqref="C292">
      <formula1>CountryGroup!A2:A1000</formula1>
    </dataValidation>
    <dataValidation type="list" allowBlank="1" showInputMessage="1" showErrorMessage="1" sqref="C293">
      <formula1>CountryGroup!A2:A1000</formula1>
    </dataValidation>
    <dataValidation type="list" allowBlank="1" showInputMessage="1" showErrorMessage="1" sqref="C294">
      <formula1>CountryGroup!A2:A1000</formula1>
    </dataValidation>
    <dataValidation type="list" allowBlank="1" showInputMessage="1" showErrorMessage="1" sqref="C295">
      <formula1>CountryGroup!A2:A1000</formula1>
    </dataValidation>
    <dataValidation type="list" allowBlank="1" showInputMessage="1" showErrorMessage="1" sqref="C296">
      <formula1>CountryGroup!A2:A1000</formula1>
    </dataValidation>
    <dataValidation type="list" allowBlank="1" showInputMessage="1" showErrorMessage="1" sqref="C297">
      <formula1>CountryGroup!A2:A1000</formula1>
    </dataValidation>
    <dataValidation type="list" allowBlank="1" showInputMessage="1" showErrorMessage="1" sqref="C298">
      <formula1>CountryGroup!A2:A1000</formula1>
    </dataValidation>
    <dataValidation type="list" allowBlank="1" showInputMessage="1" showErrorMessage="1" sqref="C299">
      <formula1>CountryGroup!A2:A1000</formula1>
    </dataValidation>
    <dataValidation type="list" allowBlank="1" showInputMessage="1" showErrorMessage="1" sqref="C300">
      <formula1>CountryGroup!A2:A1000</formula1>
    </dataValidation>
    <dataValidation type="list" allowBlank="1" showInputMessage="1" showErrorMessage="1" sqref="C301">
      <formula1>CountryGroup!A2:A1000</formula1>
    </dataValidation>
    <dataValidation type="list" allowBlank="1" showInputMessage="1" showErrorMessage="1" sqref="C302">
      <formula1>CountryGroup!A2:A1000</formula1>
    </dataValidation>
    <dataValidation type="list" allowBlank="1" showInputMessage="1" showErrorMessage="1" sqref="C303">
      <formula1>CountryGroup!A2:A1000</formula1>
    </dataValidation>
    <dataValidation type="list" allowBlank="1" showInputMessage="1" showErrorMessage="1" sqref="C304">
      <formula1>CountryGroup!A2:A1000</formula1>
    </dataValidation>
    <dataValidation type="list" allowBlank="1" showInputMessage="1" showErrorMessage="1" sqref="C305">
      <formula1>CountryGroup!A2:A1000</formula1>
    </dataValidation>
    <dataValidation type="list" allowBlank="1" showInputMessage="1" showErrorMessage="1" sqref="C306">
      <formula1>CountryGroup!A2:A1000</formula1>
    </dataValidation>
    <dataValidation type="list" allowBlank="1" showInputMessage="1" showErrorMessage="1" sqref="C307">
      <formula1>CountryGroup!A2:A1000</formula1>
    </dataValidation>
    <dataValidation type="list" allowBlank="1" showInputMessage="1" showErrorMessage="1" sqref="C308">
      <formula1>CountryGroup!A2:A1000</formula1>
    </dataValidation>
    <dataValidation type="list" allowBlank="1" showInputMessage="1" showErrorMessage="1" sqref="C309">
      <formula1>CountryGroup!A2:A1000</formula1>
    </dataValidation>
    <dataValidation type="list" allowBlank="1" showInputMessage="1" showErrorMessage="1" sqref="C310">
      <formula1>CountryGroup!A2:A1000</formula1>
    </dataValidation>
    <dataValidation type="list" allowBlank="1" showInputMessage="1" showErrorMessage="1" sqref="C311">
      <formula1>CountryGroup!A2:A1000</formula1>
    </dataValidation>
    <dataValidation type="list" allowBlank="1" showInputMessage="1" showErrorMessage="1" sqref="C312">
      <formula1>CountryGroup!A2:A1000</formula1>
    </dataValidation>
    <dataValidation type="list" allowBlank="1" showInputMessage="1" showErrorMessage="1" sqref="C313">
      <formula1>CountryGroup!A2:A1000</formula1>
    </dataValidation>
    <dataValidation type="list" allowBlank="1" showInputMessage="1" showErrorMessage="1" sqref="C314">
      <formula1>CountryGroup!A2:A1000</formula1>
    </dataValidation>
    <dataValidation type="list" allowBlank="1" showInputMessage="1" showErrorMessage="1" sqref="C315">
      <formula1>CountryGroup!A2:A1000</formula1>
    </dataValidation>
    <dataValidation type="list" allowBlank="1" showInputMessage="1" showErrorMessage="1" sqref="C316">
      <formula1>CountryGroup!A2:A1000</formula1>
    </dataValidation>
    <dataValidation type="list" allowBlank="1" showInputMessage="1" showErrorMessage="1" sqref="C317">
      <formula1>CountryGroup!A2:A1000</formula1>
    </dataValidation>
    <dataValidation type="list" allowBlank="1" showInputMessage="1" showErrorMessage="1" sqref="C318">
      <formula1>CountryGroup!A2:A1000</formula1>
    </dataValidation>
    <dataValidation type="list" allowBlank="1" showInputMessage="1" showErrorMessage="1" sqref="C319">
      <formula1>CountryGroup!A2:A1000</formula1>
    </dataValidation>
    <dataValidation type="list" allowBlank="1" showInputMessage="1" showErrorMessage="1" sqref="C320">
      <formula1>CountryGroup!A2:A1000</formula1>
    </dataValidation>
    <dataValidation type="list" allowBlank="1" showInputMessage="1" showErrorMessage="1" sqref="C321">
      <formula1>CountryGroup!A2:A1000</formula1>
    </dataValidation>
    <dataValidation type="list" allowBlank="1" showInputMessage="1" showErrorMessage="1" sqref="C322">
      <formula1>CountryGroup!A2:A1000</formula1>
    </dataValidation>
    <dataValidation type="list" allowBlank="1" showInputMessage="1" showErrorMessage="1" sqref="C323">
      <formula1>CountryGroup!A2:A1000</formula1>
    </dataValidation>
    <dataValidation type="list" allowBlank="1" showInputMessage="1" showErrorMessage="1" sqref="C324">
      <formula1>CountryGroup!A2:A1000</formula1>
    </dataValidation>
    <dataValidation type="list" allowBlank="1" showInputMessage="1" showErrorMessage="1" sqref="C325">
      <formula1>CountryGroup!A2:A1000</formula1>
    </dataValidation>
    <dataValidation type="list" allowBlank="1" showInputMessage="1" showErrorMessage="1" sqref="C326">
      <formula1>CountryGroup!A2:A1000</formula1>
    </dataValidation>
    <dataValidation type="list" allowBlank="1" showInputMessage="1" showErrorMessage="1" sqref="C327">
      <formula1>CountryGroup!A2:A1000</formula1>
    </dataValidation>
    <dataValidation type="list" allowBlank="1" showInputMessage="1" showErrorMessage="1" sqref="C328">
      <formula1>CountryGroup!A2:A1000</formula1>
    </dataValidation>
    <dataValidation type="list" allowBlank="1" showInputMessage="1" showErrorMessage="1" sqref="C329">
      <formula1>CountryGroup!A2:A1000</formula1>
    </dataValidation>
    <dataValidation type="list" allowBlank="1" showInputMessage="1" showErrorMessage="1" sqref="C330">
      <formula1>CountryGroup!A2:A1000</formula1>
    </dataValidation>
    <dataValidation type="list" allowBlank="1" showInputMessage="1" showErrorMessage="1" sqref="C331">
      <formula1>CountryGroup!A2:A1000</formula1>
    </dataValidation>
    <dataValidation type="list" allowBlank="1" showInputMessage="1" showErrorMessage="1" sqref="C332">
      <formula1>CountryGroup!A2:A1000</formula1>
    </dataValidation>
    <dataValidation type="list" allowBlank="1" showInputMessage="1" showErrorMessage="1" sqref="C333">
      <formula1>CountryGroup!A2:A1000</formula1>
    </dataValidation>
    <dataValidation type="list" allowBlank="1" showInputMessage="1" showErrorMessage="1" sqref="C334">
      <formula1>CountryGroup!A2:A1000</formula1>
    </dataValidation>
    <dataValidation type="list" allowBlank="1" showInputMessage="1" showErrorMessage="1" sqref="C335">
      <formula1>CountryGroup!A2:A1000</formula1>
    </dataValidation>
    <dataValidation type="list" allowBlank="1" showInputMessage="1" showErrorMessage="1" sqref="C336">
      <formula1>CountryGroup!A2:A1000</formula1>
    </dataValidation>
    <dataValidation type="list" allowBlank="1" showInputMessage="1" showErrorMessage="1" sqref="C337">
      <formula1>CountryGroup!A2:A1000</formula1>
    </dataValidation>
    <dataValidation type="list" allowBlank="1" showInputMessage="1" showErrorMessage="1" sqref="C338">
      <formula1>CountryGroup!A2:A1000</formula1>
    </dataValidation>
    <dataValidation type="list" allowBlank="1" showInputMessage="1" showErrorMessage="1" sqref="C339">
      <formula1>CountryGroup!A2:A1000</formula1>
    </dataValidation>
    <dataValidation type="list" allowBlank="1" showInputMessage="1" showErrorMessage="1" sqref="C340">
      <formula1>CountryGroup!A2:A1000</formula1>
    </dataValidation>
    <dataValidation type="list" allowBlank="1" showInputMessage="1" showErrorMessage="1" sqref="C341">
      <formula1>CountryGroup!A2:A1000</formula1>
    </dataValidation>
    <dataValidation type="list" allowBlank="1" showInputMessage="1" showErrorMessage="1" sqref="C342">
      <formula1>CountryGroup!A2:A1000</formula1>
    </dataValidation>
    <dataValidation type="list" allowBlank="1" showInputMessage="1" showErrorMessage="1" sqref="C343">
      <formula1>CountryGroup!A2:A1000</formula1>
    </dataValidation>
    <dataValidation type="list" allowBlank="1" showInputMessage="1" showErrorMessage="1" sqref="C344">
      <formula1>CountryGroup!A2:A1000</formula1>
    </dataValidation>
    <dataValidation type="list" allowBlank="1" showInputMessage="1" showErrorMessage="1" sqref="C345">
      <formula1>CountryGroup!A2:A1000</formula1>
    </dataValidation>
    <dataValidation type="list" allowBlank="1" showInputMessage="1" showErrorMessage="1" sqref="C346">
      <formula1>CountryGroup!A2:A1000</formula1>
    </dataValidation>
    <dataValidation type="list" allowBlank="1" showInputMessage="1" showErrorMessage="1" sqref="C347">
      <formula1>CountryGroup!A2:A1000</formula1>
    </dataValidation>
    <dataValidation type="list" allowBlank="1" showInputMessage="1" showErrorMessage="1" sqref="C348">
      <formula1>CountryGroup!A2:A1000</formula1>
    </dataValidation>
    <dataValidation type="list" allowBlank="1" showInputMessage="1" showErrorMessage="1" sqref="C349">
      <formula1>CountryGroup!A2:A1000</formula1>
    </dataValidation>
    <dataValidation type="list" allowBlank="1" showInputMessage="1" showErrorMessage="1" sqref="C350">
      <formula1>CountryGroup!A2:A1000</formula1>
    </dataValidation>
    <dataValidation type="list" allowBlank="1" showInputMessage="1" showErrorMessage="1" sqref="C351">
      <formula1>CountryGroup!A2:A1000</formula1>
    </dataValidation>
    <dataValidation type="list" allowBlank="1" showInputMessage="1" showErrorMessage="1" sqref="C352">
      <formula1>CountryGroup!A2:A1000</formula1>
    </dataValidation>
    <dataValidation type="list" allowBlank="1" showInputMessage="1" showErrorMessage="1" sqref="C353">
      <formula1>CountryGroup!A2:A1000</formula1>
    </dataValidation>
    <dataValidation type="list" allowBlank="1" showInputMessage="1" showErrorMessage="1" sqref="C354">
      <formula1>CountryGroup!A2:A1000</formula1>
    </dataValidation>
    <dataValidation type="list" allowBlank="1" showInputMessage="1" showErrorMessage="1" sqref="C355">
      <formula1>CountryGroup!A2:A1000</formula1>
    </dataValidation>
    <dataValidation type="list" allowBlank="1" showInputMessage="1" showErrorMessage="1" sqref="C356">
      <formula1>CountryGroup!A2:A1000</formula1>
    </dataValidation>
    <dataValidation type="list" allowBlank="1" showInputMessage="1" showErrorMessage="1" sqref="C357">
      <formula1>CountryGroup!A2:A1000</formula1>
    </dataValidation>
    <dataValidation type="list" allowBlank="1" showInputMessage="1" showErrorMessage="1" sqref="C358">
      <formula1>CountryGroup!A2:A1000</formula1>
    </dataValidation>
    <dataValidation type="list" allowBlank="1" showInputMessage="1" showErrorMessage="1" sqref="C359">
      <formula1>CountryGroup!A2:A1000</formula1>
    </dataValidation>
    <dataValidation type="list" allowBlank="1" showInputMessage="1" showErrorMessage="1" sqref="C360">
      <formula1>CountryGroup!A2:A1000</formula1>
    </dataValidation>
    <dataValidation type="list" allowBlank="1" showInputMessage="1" showErrorMessage="1" sqref="C361">
      <formula1>CountryGroup!A2:A1000</formula1>
    </dataValidation>
    <dataValidation type="list" allowBlank="1" showInputMessage="1" showErrorMessage="1" sqref="C362">
      <formula1>CountryGroup!A2:A1000</formula1>
    </dataValidation>
    <dataValidation type="list" allowBlank="1" showInputMessage="1" showErrorMessage="1" sqref="C363">
      <formula1>CountryGroup!A2:A1000</formula1>
    </dataValidation>
    <dataValidation type="list" allowBlank="1" showInputMessage="1" showErrorMessage="1" sqref="C364">
      <formula1>CountryGroup!A2:A1000</formula1>
    </dataValidation>
    <dataValidation type="list" allowBlank="1" showInputMessage="1" showErrorMessage="1" sqref="C365">
      <formula1>CountryGroup!A2:A1000</formula1>
    </dataValidation>
    <dataValidation type="list" allowBlank="1" showInputMessage="1" showErrorMessage="1" sqref="C366">
      <formula1>CountryGroup!A2:A1000</formula1>
    </dataValidation>
    <dataValidation type="list" allowBlank="1" showInputMessage="1" showErrorMessage="1" sqref="C367">
      <formula1>CountryGroup!A2:A1000</formula1>
    </dataValidation>
    <dataValidation type="list" allowBlank="1" showInputMessage="1" showErrorMessage="1" sqref="C368">
      <formula1>CountryGroup!A2:A1000</formula1>
    </dataValidation>
    <dataValidation type="list" allowBlank="1" showInputMessage="1" showErrorMessage="1" sqref="C369">
      <formula1>CountryGroup!A2:A1000</formula1>
    </dataValidation>
    <dataValidation type="list" allowBlank="1" showInputMessage="1" showErrorMessage="1" sqref="C370">
      <formula1>CountryGroup!A2:A1000</formula1>
    </dataValidation>
    <dataValidation type="list" allowBlank="1" showInputMessage="1" showErrorMessage="1" sqref="C371">
      <formula1>CountryGroup!A2:A1000</formula1>
    </dataValidation>
    <dataValidation type="list" allowBlank="1" showInputMessage="1" showErrorMessage="1" sqref="C372">
      <formula1>CountryGroup!A2:A1000</formula1>
    </dataValidation>
    <dataValidation type="list" allowBlank="1" showInputMessage="1" showErrorMessage="1" sqref="C373">
      <formula1>CountryGroup!A2:A1000</formula1>
    </dataValidation>
    <dataValidation type="list" allowBlank="1" showInputMessage="1" showErrorMessage="1" sqref="C374">
      <formula1>CountryGroup!A2:A1000</formula1>
    </dataValidation>
    <dataValidation type="list" allowBlank="1" showInputMessage="1" showErrorMessage="1" sqref="C375">
      <formula1>CountryGroup!A2:A1000</formula1>
    </dataValidation>
    <dataValidation type="list" allowBlank="1" showInputMessage="1" showErrorMessage="1" sqref="C376">
      <formula1>CountryGroup!A2:A1000</formula1>
    </dataValidation>
    <dataValidation type="list" allowBlank="1" showInputMessage="1" showErrorMessage="1" sqref="C377">
      <formula1>CountryGroup!A2:A1000</formula1>
    </dataValidation>
    <dataValidation type="list" allowBlank="1" showInputMessage="1" showErrorMessage="1" sqref="C378">
      <formula1>CountryGroup!A2:A1000</formula1>
    </dataValidation>
    <dataValidation type="list" allowBlank="1" showInputMessage="1" showErrorMessage="1" sqref="C379">
      <formula1>CountryGroup!A2:A1000</formula1>
    </dataValidation>
    <dataValidation type="list" allowBlank="1" showInputMessage="1" showErrorMessage="1" sqref="C380">
      <formula1>CountryGroup!A2:A1000</formula1>
    </dataValidation>
    <dataValidation type="list" allowBlank="1" showInputMessage="1" showErrorMessage="1" sqref="C381">
      <formula1>CountryGroup!A2:A1000</formula1>
    </dataValidation>
    <dataValidation type="list" allowBlank="1" showInputMessage="1" showErrorMessage="1" sqref="C382">
      <formula1>CountryGroup!A2:A1000</formula1>
    </dataValidation>
    <dataValidation type="list" allowBlank="1" showInputMessage="1" showErrorMessage="1" sqref="C383">
      <formula1>CountryGroup!A2:A1000</formula1>
    </dataValidation>
    <dataValidation type="list" allowBlank="1" showInputMessage="1" showErrorMessage="1" sqref="C384">
      <formula1>CountryGroup!A2:A1000</formula1>
    </dataValidation>
    <dataValidation type="list" allowBlank="1" showInputMessage="1" showErrorMessage="1" sqref="C385">
      <formula1>CountryGroup!A2:A1000</formula1>
    </dataValidation>
    <dataValidation type="list" allowBlank="1" showInputMessage="1" showErrorMessage="1" sqref="C386">
      <formula1>CountryGroup!A2:A1000</formula1>
    </dataValidation>
    <dataValidation type="list" allowBlank="1" showInputMessage="1" showErrorMessage="1" sqref="C387">
      <formula1>CountryGroup!A2:A1000</formula1>
    </dataValidation>
    <dataValidation type="list" allowBlank="1" showInputMessage="1" showErrorMessage="1" sqref="C388">
      <formula1>CountryGroup!A2:A1000</formula1>
    </dataValidation>
    <dataValidation type="list" allowBlank="1" showInputMessage="1" showErrorMessage="1" sqref="C389">
      <formula1>CountryGroup!A2:A1000</formula1>
    </dataValidation>
    <dataValidation type="list" allowBlank="1" showInputMessage="1" showErrorMessage="1" sqref="C390">
      <formula1>CountryGroup!A2:A1000</formula1>
    </dataValidation>
    <dataValidation type="list" allowBlank="1" showInputMessage="1" showErrorMessage="1" sqref="C391">
      <formula1>CountryGroup!A2:A1000</formula1>
    </dataValidation>
    <dataValidation type="list" allowBlank="1" showInputMessage="1" showErrorMessage="1" sqref="C392">
      <formula1>CountryGroup!A2:A1000</formula1>
    </dataValidation>
    <dataValidation type="list" allowBlank="1" showInputMessage="1" showErrorMessage="1" sqref="C393">
      <formula1>CountryGroup!A2:A1000</formula1>
    </dataValidation>
    <dataValidation type="list" allowBlank="1" showInputMessage="1" showErrorMessage="1" sqref="C394">
      <formula1>CountryGroup!A2:A1000</formula1>
    </dataValidation>
    <dataValidation type="list" allowBlank="1" showInputMessage="1" showErrorMessage="1" sqref="C395">
      <formula1>CountryGroup!A2:A1000</formula1>
    </dataValidation>
    <dataValidation type="list" allowBlank="1" showInputMessage="1" showErrorMessage="1" sqref="C396">
      <formula1>CountryGroup!A2:A1000</formula1>
    </dataValidation>
    <dataValidation type="list" allowBlank="1" showInputMessage="1" showErrorMessage="1" sqref="C397">
      <formula1>CountryGroup!A2:A1000</formula1>
    </dataValidation>
    <dataValidation type="list" allowBlank="1" showInputMessage="1" showErrorMessage="1" sqref="C398">
      <formula1>CountryGroup!A2:A1000</formula1>
    </dataValidation>
    <dataValidation type="list" allowBlank="1" showInputMessage="1" showErrorMessage="1" sqref="C399">
      <formula1>CountryGroup!A2:A1000</formula1>
    </dataValidation>
    <dataValidation type="list" allowBlank="1" showInputMessage="1" showErrorMessage="1" sqref="C400">
      <formula1>CountryGroup!A2:A1000</formula1>
    </dataValidation>
    <dataValidation type="list" allowBlank="1" showInputMessage="1" showErrorMessage="1" sqref="C401">
      <formula1>CountryGroup!A2:A1000</formula1>
    </dataValidation>
    <dataValidation type="list" allowBlank="1" showInputMessage="1" showErrorMessage="1" sqref="C402">
      <formula1>CountryGroup!A2:A1000</formula1>
    </dataValidation>
    <dataValidation type="list" allowBlank="1" showInputMessage="1" showErrorMessage="1" sqref="C403">
      <formula1>CountryGroup!A2:A1000</formula1>
    </dataValidation>
    <dataValidation type="list" allowBlank="1" showInputMessage="1" showErrorMessage="1" sqref="C404">
      <formula1>CountryGroup!A2:A1000</formula1>
    </dataValidation>
    <dataValidation type="list" allowBlank="1" showInputMessage="1" showErrorMessage="1" sqref="C405">
      <formula1>CountryGroup!A2:A1000</formula1>
    </dataValidation>
    <dataValidation type="list" allowBlank="1" showInputMessage="1" showErrorMessage="1" sqref="C406">
      <formula1>CountryGroup!A2:A1000</formula1>
    </dataValidation>
    <dataValidation type="list" allowBlank="1" showInputMessage="1" showErrorMessage="1" sqref="C407">
      <formula1>CountryGroup!A2:A1000</formula1>
    </dataValidation>
    <dataValidation type="list" allowBlank="1" showInputMessage="1" showErrorMessage="1" sqref="C408">
      <formula1>CountryGroup!A2:A1000</formula1>
    </dataValidation>
    <dataValidation type="list" allowBlank="1" showInputMessage="1" showErrorMessage="1" sqref="C409">
      <formula1>CountryGroup!A2:A1000</formula1>
    </dataValidation>
    <dataValidation type="list" allowBlank="1" showInputMessage="1" showErrorMessage="1" sqref="C410">
      <formula1>CountryGroup!A2:A1000</formula1>
    </dataValidation>
    <dataValidation type="list" allowBlank="1" showInputMessage="1" showErrorMessage="1" sqref="C411">
      <formula1>CountryGroup!A2:A1000</formula1>
    </dataValidation>
    <dataValidation type="list" allowBlank="1" showInputMessage="1" showErrorMessage="1" sqref="C412">
      <formula1>CountryGroup!A2:A1000</formula1>
    </dataValidation>
    <dataValidation type="list" allowBlank="1" showInputMessage="1" showErrorMessage="1" sqref="C413">
      <formula1>CountryGroup!A2:A1000</formula1>
    </dataValidation>
    <dataValidation type="list" allowBlank="1" showInputMessage="1" showErrorMessage="1" sqref="C414">
      <formula1>CountryGroup!A2:A1000</formula1>
    </dataValidation>
    <dataValidation type="list" allowBlank="1" showInputMessage="1" showErrorMessage="1" sqref="C415">
      <formula1>CountryGroup!A2:A1000</formula1>
    </dataValidation>
    <dataValidation type="list" allowBlank="1" showInputMessage="1" showErrorMessage="1" sqref="C416">
      <formula1>CountryGroup!A2:A1000</formula1>
    </dataValidation>
    <dataValidation type="list" allowBlank="1" showInputMessage="1" showErrorMessage="1" sqref="C417">
      <formula1>CountryGroup!A2:A1000</formula1>
    </dataValidation>
    <dataValidation type="list" allowBlank="1" showInputMessage="1" showErrorMessage="1" sqref="C418">
      <formula1>CountryGroup!A2:A1000</formula1>
    </dataValidation>
    <dataValidation type="list" allowBlank="1" showInputMessage="1" showErrorMessage="1" sqref="C419">
      <formula1>CountryGroup!A2:A1000</formula1>
    </dataValidation>
    <dataValidation type="list" allowBlank="1" showInputMessage="1" showErrorMessage="1" sqref="C420">
      <formula1>CountryGroup!A2:A1000</formula1>
    </dataValidation>
    <dataValidation type="list" allowBlank="1" showInputMessage="1" showErrorMessage="1" sqref="C421">
      <formula1>CountryGroup!A2:A1000</formula1>
    </dataValidation>
    <dataValidation type="list" allowBlank="1" showInputMessage="1" showErrorMessage="1" sqref="C422">
      <formula1>CountryGroup!A2:A1000</formula1>
    </dataValidation>
    <dataValidation type="list" allowBlank="1" showInputMessage="1" showErrorMessage="1" sqref="C423">
      <formula1>CountryGroup!A2:A1000</formula1>
    </dataValidation>
    <dataValidation type="list" allowBlank="1" showInputMessage="1" showErrorMessage="1" sqref="C424">
      <formula1>CountryGroup!A2:A1000</formula1>
    </dataValidation>
    <dataValidation type="list" allowBlank="1" showInputMessage="1" showErrorMessage="1" sqref="C425">
      <formula1>CountryGroup!A2:A1000</formula1>
    </dataValidation>
    <dataValidation type="list" allowBlank="1" showInputMessage="1" showErrorMessage="1" sqref="C426">
      <formula1>CountryGroup!A2:A1000</formula1>
    </dataValidation>
    <dataValidation type="list" allowBlank="1" showInputMessage="1" showErrorMessage="1" sqref="C427">
      <formula1>CountryGroup!A2:A1000</formula1>
    </dataValidation>
    <dataValidation type="list" allowBlank="1" showInputMessage="1" showErrorMessage="1" sqref="C428">
      <formula1>CountryGroup!A2:A1000</formula1>
    </dataValidation>
    <dataValidation type="list" allowBlank="1" showInputMessage="1" showErrorMessage="1" sqref="C429">
      <formula1>CountryGroup!A2:A1000</formula1>
    </dataValidation>
    <dataValidation type="list" allowBlank="1" showInputMessage="1" showErrorMessage="1" sqref="C430">
      <formula1>CountryGroup!A2:A1000</formula1>
    </dataValidation>
    <dataValidation type="list" allowBlank="1" showInputMessage="1" showErrorMessage="1" sqref="C431">
      <formula1>CountryGroup!A2:A1000</formula1>
    </dataValidation>
    <dataValidation type="list" allowBlank="1" showInputMessage="1" showErrorMessage="1" sqref="C432">
      <formula1>CountryGroup!A2:A1000</formula1>
    </dataValidation>
    <dataValidation type="list" allowBlank="1" showInputMessage="1" showErrorMessage="1" sqref="C433">
      <formula1>CountryGroup!A2:A1000</formula1>
    </dataValidation>
    <dataValidation type="list" allowBlank="1" showInputMessage="1" showErrorMessage="1" sqref="C434">
      <formula1>CountryGroup!A2:A1000</formula1>
    </dataValidation>
    <dataValidation type="list" allowBlank="1" showInputMessage="1" showErrorMessage="1" sqref="C435">
      <formula1>CountryGroup!A2:A1000</formula1>
    </dataValidation>
    <dataValidation type="list" allowBlank="1" showInputMessage="1" showErrorMessage="1" sqref="C436">
      <formula1>CountryGroup!A2:A1000</formula1>
    </dataValidation>
    <dataValidation type="list" allowBlank="1" showInputMessage="1" showErrorMessage="1" sqref="C437">
      <formula1>CountryGroup!A2:A1000</formula1>
    </dataValidation>
    <dataValidation type="list" allowBlank="1" showInputMessage="1" showErrorMessage="1" sqref="C438">
      <formula1>CountryGroup!A2:A1000</formula1>
    </dataValidation>
    <dataValidation type="list" allowBlank="1" showInputMessage="1" showErrorMessage="1" sqref="C439">
      <formula1>CountryGroup!A2:A1000</formula1>
    </dataValidation>
    <dataValidation type="list" allowBlank="1" showInputMessage="1" showErrorMessage="1" sqref="C440">
      <formula1>CountryGroup!A2:A1000</formula1>
    </dataValidation>
    <dataValidation type="list" allowBlank="1" showInputMessage="1" showErrorMessage="1" sqref="C441">
      <formula1>CountryGroup!A2:A1000</formula1>
    </dataValidation>
    <dataValidation type="list" allowBlank="1" showInputMessage="1" showErrorMessage="1" sqref="C442">
      <formula1>CountryGroup!A2:A1000</formula1>
    </dataValidation>
    <dataValidation type="list" allowBlank="1" showInputMessage="1" showErrorMessage="1" sqref="C443">
      <formula1>CountryGroup!A2:A1000</formula1>
    </dataValidation>
    <dataValidation type="list" allowBlank="1" showInputMessage="1" showErrorMessage="1" sqref="C444">
      <formula1>CountryGroup!A2:A1000</formula1>
    </dataValidation>
    <dataValidation type="list" allowBlank="1" showInputMessage="1" showErrorMessage="1" sqref="C445">
      <formula1>CountryGroup!A2:A1000</formula1>
    </dataValidation>
    <dataValidation type="list" allowBlank="1" showInputMessage="1" showErrorMessage="1" sqref="C446">
      <formula1>CountryGroup!A2:A1000</formula1>
    </dataValidation>
    <dataValidation type="list" allowBlank="1" showInputMessage="1" showErrorMessage="1" sqref="C447">
      <formula1>CountryGroup!A2:A1000</formula1>
    </dataValidation>
    <dataValidation type="list" allowBlank="1" showInputMessage="1" showErrorMessage="1" sqref="C448">
      <formula1>CountryGroup!A2:A1000</formula1>
    </dataValidation>
    <dataValidation type="list" allowBlank="1" showInputMessage="1" showErrorMessage="1" sqref="C449">
      <formula1>CountryGroup!A2:A1000</formula1>
    </dataValidation>
    <dataValidation type="list" allowBlank="1" showInputMessage="1" showErrorMessage="1" sqref="C450">
      <formula1>CountryGroup!A2:A1000</formula1>
    </dataValidation>
    <dataValidation type="list" allowBlank="1" showInputMessage="1" showErrorMessage="1" sqref="C451">
      <formula1>CountryGroup!A2:A1000</formula1>
    </dataValidation>
    <dataValidation type="list" allowBlank="1" showInputMessage="1" showErrorMessage="1" sqref="C452">
      <formula1>CountryGroup!A2:A1000</formula1>
    </dataValidation>
    <dataValidation type="list" allowBlank="1" showInputMessage="1" showErrorMessage="1" sqref="C453">
      <formula1>CountryGroup!A2:A1000</formula1>
    </dataValidation>
    <dataValidation type="list" allowBlank="1" showInputMessage="1" showErrorMessage="1" sqref="C454">
      <formula1>CountryGroup!A2:A1000</formula1>
    </dataValidation>
    <dataValidation type="list" allowBlank="1" showInputMessage="1" showErrorMessage="1" sqref="C455">
      <formula1>CountryGroup!A2:A1000</formula1>
    </dataValidation>
    <dataValidation type="list" allowBlank="1" showInputMessage="1" showErrorMessage="1" sqref="C456">
      <formula1>CountryGroup!A2:A1000</formula1>
    </dataValidation>
    <dataValidation type="list" allowBlank="1" showInputMessage="1" showErrorMessage="1" sqref="C457">
      <formula1>CountryGroup!A2:A1000</formula1>
    </dataValidation>
    <dataValidation type="list" allowBlank="1" showInputMessage="1" showErrorMessage="1" sqref="C458">
      <formula1>CountryGroup!A2:A1000</formula1>
    </dataValidation>
    <dataValidation type="list" allowBlank="1" showInputMessage="1" showErrorMessage="1" sqref="C459">
      <formula1>CountryGroup!A2:A1000</formula1>
    </dataValidation>
    <dataValidation type="list" allowBlank="1" showInputMessage="1" showErrorMessage="1" sqref="C460">
      <formula1>CountryGroup!A2:A1000</formula1>
    </dataValidation>
    <dataValidation type="list" allowBlank="1" showInputMessage="1" showErrorMessage="1" sqref="C461">
      <formula1>CountryGroup!A2:A1000</formula1>
    </dataValidation>
    <dataValidation type="list" allowBlank="1" showInputMessage="1" showErrorMessage="1" sqref="C462">
      <formula1>CountryGroup!A2:A1000</formula1>
    </dataValidation>
    <dataValidation type="list" allowBlank="1" showInputMessage="1" showErrorMessage="1" sqref="C463">
      <formula1>CountryGroup!A2:A1000</formula1>
    </dataValidation>
    <dataValidation type="list" allowBlank="1" showInputMessage="1" showErrorMessage="1" sqref="C464">
      <formula1>CountryGroup!A2:A1000</formula1>
    </dataValidation>
    <dataValidation type="list" allowBlank="1" showInputMessage="1" showErrorMessage="1" sqref="C465">
      <formula1>CountryGroup!A2:A1000</formula1>
    </dataValidation>
    <dataValidation type="list" allowBlank="1" showInputMessage="1" showErrorMessage="1" sqref="C466">
      <formula1>CountryGroup!A2:A1000</formula1>
    </dataValidation>
    <dataValidation type="list" allowBlank="1" showInputMessage="1" showErrorMessage="1" sqref="C467">
      <formula1>CountryGroup!A2:A1000</formula1>
    </dataValidation>
    <dataValidation type="list" allowBlank="1" showInputMessage="1" showErrorMessage="1" sqref="C468">
      <formula1>CountryGroup!A2:A1000</formula1>
    </dataValidation>
    <dataValidation type="list" allowBlank="1" showInputMessage="1" showErrorMessage="1" sqref="C469">
      <formula1>CountryGroup!A2:A1000</formula1>
    </dataValidation>
    <dataValidation type="list" allowBlank="1" showInputMessage="1" showErrorMessage="1" sqref="C470">
      <formula1>CountryGroup!A2:A1000</formula1>
    </dataValidation>
    <dataValidation type="list" allowBlank="1" showInputMessage="1" showErrorMessage="1" sqref="C471">
      <formula1>CountryGroup!A2:A1000</formula1>
    </dataValidation>
    <dataValidation type="list" allowBlank="1" showInputMessage="1" showErrorMessage="1" sqref="C472">
      <formula1>CountryGroup!A2:A1000</formula1>
    </dataValidation>
    <dataValidation type="list" allowBlank="1" showInputMessage="1" showErrorMessage="1" sqref="C473">
      <formula1>CountryGroup!A2:A1000</formula1>
    </dataValidation>
    <dataValidation type="list" allowBlank="1" showInputMessage="1" showErrorMessage="1" sqref="C474">
      <formula1>CountryGroup!A2:A1000</formula1>
    </dataValidation>
    <dataValidation type="list" allowBlank="1" showInputMessage="1" showErrorMessage="1" sqref="C475">
      <formula1>CountryGroup!A2:A1000</formula1>
    </dataValidation>
    <dataValidation type="list" allowBlank="1" showInputMessage="1" showErrorMessage="1" sqref="C476">
      <formula1>CountryGroup!A2:A1000</formula1>
    </dataValidation>
    <dataValidation type="list" allowBlank="1" showInputMessage="1" showErrorMessage="1" sqref="C477">
      <formula1>CountryGroup!A2:A1000</formula1>
    </dataValidation>
    <dataValidation type="list" allowBlank="1" showInputMessage="1" showErrorMessage="1" sqref="C478">
      <formula1>CountryGroup!A2:A1000</formula1>
    </dataValidation>
    <dataValidation type="list" allowBlank="1" showInputMessage="1" showErrorMessage="1" sqref="C479">
      <formula1>CountryGroup!A2:A1000</formula1>
    </dataValidation>
    <dataValidation type="list" allowBlank="1" showInputMessage="1" showErrorMessage="1" sqref="C480">
      <formula1>CountryGroup!A2:A1000</formula1>
    </dataValidation>
    <dataValidation type="list" allowBlank="1" showInputMessage="1" showErrorMessage="1" sqref="C481">
      <formula1>CountryGroup!A2:A1000</formula1>
    </dataValidation>
    <dataValidation type="list" allowBlank="1" showInputMessage="1" showErrorMessage="1" sqref="C482">
      <formula1>CountryGroup!A2:A1000</formula1>
    </dataValidation>
    <dataValidation type="list" allowBlank="1" showInputMessage="1" showErrorMessage="1" sqref="C483">
      <formula1>CountryGroup!A2:A1000</formula1>
    </dataValidation>
    <dataValidation type="list" allowBlank="1" showInputMessage="1" showErrorMessage="1" sqref="C484">
      <formula1>CountryGroup!A2:A1000</formula1>
    </dataValidation>
    <dataValidation type="list" allowBlank="1" showInputMessage="1" showErrorMessage="1" sqref="C485">
      <formula1>CountryGroup!A2:A1000</formula1>
    </dataValidation>
    <dataValidation type="list" allowBlank="1" showInputMessage="1" showErrorMessage="1" sqref="C486">
      <formula1>CountryGroup!A2:A1000</formula1>
    </dataValidation>
    <dataValidation type="list" allowBlank="1" showInputMessage="1" showErrorMessage="1" sqref="C487">
      <formula1>CountryGroup!A2:A1000</formula1>
    </dataValidation>
    <dataValidation type="list" allowBlank="1" showInputMessage="1" showErrorMessage="1" sqref="C488">
      <formula1>CountryGroup!A2:A1000</formula1>
    </dataValidation>
    <dataValidation type="list" allowBlank="1" showInputMessage="1" showErrorMessage="1" sqref="C489">
      <formula1>CountryGroup!A2:A1000</formula1>
    </dataValidation>
    <dataValidation type="list" allowBlank="1" showInputMessage="1" showErrorMessage="1" sqref="C490">
      <formula1>CountryGroup!A2:A1000</formula1>
    </dataValidation>
    <dataValidation type="list" allowBlank="1" showInputMessage="1" showErrorMessage="1" sqref="C491">
      <formula1>CountryGroup!A2:A1000</formula1>
    </dataValidation>
    <dataValidation type="list" allowBlank="1" showInputMessage="1" showErrorMessage="1" sqref="C492">
      <formula1>CountryGroup!A2:A1000</formula1>
    </dataValidation>
    <dataValidation type="list" allowBlank="1" showInputMessage="1" showErrorMessage="1" sqref="C493">
      <formula1>CountryGroup!A2:A1000</formula1>
    </dataValidation>
    <dataValidation type="list" allowBlank="1" showInputMessage="1" showErrorMessage="1" sqref="C494">
      <formula1>CountryGroup!A2:A1000</formula1>
    </dataValidation>
    <dataValidation type="list" allowBlank="1" showInputMessage="1" showErrorMessage="1" sqref="C495">
      <formula1>CountryGroup!A2:A1000</formula1>
    </dataValidation>
    <dataValidation type="list" allowBlank="1" showInputMessage="1" showErrorMessage="1" sqref="C496">
      <formula1>CountryGroup!A2:A1000</formula1>
    </dataValidation>
    <dataValidation type="list" allowBlank="1" showInputMessage="1" showErrorMessage="1" sqref="C497">
      <formula1>CountryGroup!A2:A1000</formula1>
    </dataValidation>
    <dataValidation type="list" allowBlank="1" showInputMessage="1" showErrorMessage="1" sqref="C498">
      <formula1>CountryGroup!A2:A1000</formula1>
    </dataValidation>
    <dataValidation type="list" allowBlank="1" showInputMessage="1" showErrorMessage="1" sqref="C499">
      <formula1>CountryGroup!A2:A1000</formula1>
    </dataValidation>
    <dataValidation type="list" allowBlank="1" showInputMessage="1" showErrorMessage="1" sqref="C500">
      <formula1>CountryGroup!A2:A1000</formula1>
    </dataValidation>
    <dataValidation type="list" allowBlank="1" showInputMessage="1" showErrorMessage="1" sqref="C501">
      <formula1>CountryGroup!A2:A1000</formula1>
    </dataValidation>
    <dataValidation type="list" allowBlank="1" showInputMessage="1" showErrorMessage="1" sqref="C502">
      <formula1>CountryGroup!A2:A1000</formula1>
    </dataValidation>
    <dataValidation type="list" allowBlank="1" showInputMessage="1" showErrorMessage="1" sqref="C503">
      <formula1>CountryGroup!A2:A1000</formula1>
    </dataValidation>
    <dataValidation type="list" allowBlank="1" showInputMessage="1" showErrorMessage="1" sqref="C504">
      <formula1>CountryGroup!A2:A1000</formula1>
    </dataValidation>
    <dataValidation type="list" allowBlank="1" showInputMessage="1" showErrorMessage="1" sqref="C505">
      <formula1>CountryGroup!A2:A1000</formula1>
    </dataValidation>
    <dataValidation type="list" allowBlank="1" showInputMessage="1" showErrorMessage="1" sqref="C506">
      <formula1>CountryGroup!A2:A1000</formula1>
    </dataValidation>
    <dataValidation type="list" allowBlank="1" showInputMessage="1" showErrorMessage="1" sqref="C507">
      <formula1>CountryGroup!A2:A1000</formula1>
    </dataValidation>
    <dataValidation type="list" allowBlank="1" showInputMessage="1" showErrorMessage="1" sqref="C508">
      <formula1>CountryGroup!A2:A1000</formula1>
    </dataValidation>
    <dataValidation type="list" allowBlank="1" showInputMessage="1" showErrorMessage="1" sqref="C509">
      <formula1>CountryGroup!A2:A1000</formula1>
    </dataValidation>
    <dataValidation type="list" allowBlank="1" showInputMessage="1" showErrorMessage="1" sqref="C510">
      <formula1>CountryGroup!A2:A1000</formula1>
    </dataValidation>
    <dataValidation type="list" allowBlank="1" showInputMessage="1" showErrorMessage="1" sqref="C511">
      <formula1>CountryGroup!A2:A1000</formula1>
    </dataValidation>
    <dataValidation type="list" allowBlank="1" showInputMessage="1" showErrorMessage="1" sqref="C512">
      <formula1>CountryGroup!A2:A1000</formula1>
    </dataValidation>
    <dataValidation type="list" allowBlank="1" showInputMessage="1" showErrorMessage="1" sqref="C513">
      <formula1>CountryGroup!A2:A1000</formula1>
    </dataValidation>
    <dataValidation type="list" allowBlank="1" showInputMessage="1" showErrorMessage="1" sqref="C514">
      <formula1>CountryGroup!A2:A1000</formula1>
    </dataValidation>
    <dataValidation type="list" allowBlank="1" showInputMessage="1" showErrorMessage="1" sqref="C515">
      <formula1>CountryGroup!A2:A1000</formula1>
    </dataValidation>
    <dataValidation type="list" allowBlank="1" showInputMessage="1" showErrorMessage="1" sqref="C516">
      <formula1>CountryGroup!A2:A1000</formula1>
    </dataValidation>
    <dataValidation type="list" allowBlank="1" showInputMessage="1" showErrorMessage="1" sqref="C517">
      <formula1>CountryGroup!A2:A1000</formula1>
    </dataValidation>
    <dataValidation type="list" allowBlank="1" showInputMessage="1" showErrorMessage="1" sqref="C518">
      <formula1>CountryGroup!A2:A1000</formula1>
    </dataValidation>
    <dataValidation type="list" allowBlank="1" showInputMessage="1" showErrorMessage="1" sqref="C519">
      <formula1>CountryGroup!A2:A1000</formula1>
    </dataValidation>
    <dataValidation type="list" allowBlank="1" showInputMessage="1" showErrorMessage="1" sqref="C520">
      <formula1>CountryGroup!A2:A1000</formula1>
    </dataValidation>
    <dataValidation type="list" allowBlank="1" showInputMessage="1" showErrorMessage="1" sqref="C521">
      <formula1>CountryGroup!A2:A1000</formula1>
    </dataValidation>
    <dataValidation type="list" allowBlank="1" showInputMessage="1" showErrorMessage="1" sqref="C522">
      <formula1>CountryGroup!A2:A1000</formula1>
    </dataValidation>
    <dataValidation type="list" allowBlank="1" showInputMessage="1" showErrorMessage="1" sqref="C523">
      <formula1>CountryGroup!A2:A1000</formula1>
    </dataValidation>
    <dataValidation type="list" allowBlank="1" showInputMessage="1" showErrorMessage="1" sqref="C524">
      <formula1>CountryGroup!A2:A1000</formula1>
    </dataValidation>
    <dataValidation type="list" allowBlank="1" showInputMessage="1" showErrorMessage="1" sqref="C525">
      <formula1>CountryGroup!A2:A1000</formula1>
    </dataValidation>
    <dataValidation type="list" allowBlank="1" showInputMessage="1" showErrorMessage="1" sqref="C526">
      <formula1>CountryGroup!A2:A1000</formula1>
    </dataValidation>
    <dataValidation type="list" allowBlank="1" showInputMessage="1" showErrorMessage="1" sqref="C527">
      <formula1>CountryGroup!A2:A1000</formula1>
    </dataValidation>
    <dataValidation type="list" allowBlank="1" showInputMessage="1" showErrorMessage="1" sqref="C528">
      <formula1>CountryGroup!A2:A1000</formula1>
    </dataValidation>
    <dataValidation type="list" allowBlank="1" showInputMessage="1" showErrorMessage="1" sqref="C529">
      <formula1>CountryGroup!A2:A1000</formula1>
    </dataValidation>
    <dataValidation type="list" allowBlank="1" showInputMessage="1" showErrorMessage="1" sqref="C530">
      <formula1>CountryGroup!A2:A1000</formula1>
    </dataValidation>
    <dataValidation type="list" allowBlank="1" showInputMessage="1" showErrorMessage="1" sqref="C531">
      <formula1>CountryGroup!A2:A1000</formula1>
    </dataValidation>
    <dataValidation type="list" allowBlank="1" showInputMessage="1" showErrorMessage="1" sqref="C532">
      <formula1>CountryGroup!A2:A1000</formula1>
    </dataValidation>
    <dataValidation type="list" allowBlank="1" showInputMessage="1" showErrorMessage="1" sqref="C533">
      <formula1>CountryGroup!A2:A1000</formula1>
    </dataValidation>
    <dataValidation type="list" allowBlank="1" showInputMessage="1" showErrorMessage="1" sqref="C534">
      <formula1>CountryGroup!A2:A1000</formula1>
    </dataValidation>
    <dataValidation type="list" allowBlank="1" showInputMessage="1" showErrorMessage="1" sqref="C535">
      <formula1>CountryGroup!A2:A1000</formula1>
    </dataValidation>
    <dataValidation type="list" allowBlank="1" showInputMessage="1" showErrorMessage="1" sqref="C536">
      <formula1>CountryGroup!A2:A1000</formula1>
    </dataValidation>
    <dataValidation type="list" allowBlank="1" showInputMessage="1" showErrorMessage="1" sqref="C537">
      <formula1>CountryGroup!A2:A1000</formula1>
    </dataValidation>
    <dataValidation type="list" allowBlank="1" showInputMessage="1" showErrorMessage="1" sqref="C538">
      <formula1>CountryGroup!A2:A1000</formula1>
    </dataValidation>
    <dataValidation type="list" allowBlank="1" showInputMessage="1" showErrorMessage="1" sqref="C539">
      <formula1>CountryGroup!A2:A1000</formula1>
    </dataValidation>
    <dataValidation type="list" allowBlank="1" showInputMessage="1" showErrorMessage="1" sqref="C540">
      <formula1>CountryGroup!A2:A1000</formula1>
    </dataValidation>
    <dataValidation type="list" allowBlank="1" showInputMessage="1" showErrorMessage="1" sqref="C541">
      <formula1>CountryGroup!A2:A1000</formula1>
    </dataValidation>
    <dataValidation type="list" allowBlank="1" showInputMessage="1" showErrorMessage="1" sqref="C542">
      <formula1>CountryGroup!A2:A1000</formula1>
    </dataValidation>
    <dataValidation type="list" allowBlank="1" showInputMessage="1" showErrorMessage="1" sqref="C543">
      <formula1>CountryGroup!A2:A1000</formula1>
    </dataValidation>
    <dataValidation type="list" allowBlank="1" showInputMessage="1" showErrorMessage="1" sqref="C544">
      <formula1>CountryGroup!A2:A1000</formula1>
    </dataValidation>
    <dataValidation type="list" allowBlank="1" showInputMessage="1" showErrorMessage="1" sqref="C545">
      <formula1>CountryGroup!A2:A1000</formula1>
    </dataValidation>
    <dataValidation type="list" allowBlank="1" showInputMessage="1" showErrorMessage="1" sqref="C546">
      <formula1>CountryGroup!A2:A1000</formula1>
    </dataValidation>
    <dataValidation type="list" allowBlank="1" showInputMessage="1" showErrorMessage="1" sqref="C547">
      <formula1>CountryGroup!A2:A1000</formula1>
    </dataValidation>
    <dataValidation type="list" allowBlank="1" showInputMessage="1" showErrorMessage="1" sqref="C548">
      <formula1>CountryGroup!A2:A1000</formula1>
    </dataValidation>
    <dataValidation type="list" allowBlank="1" showInputMessage="1" showErrorMessage="1" sqref="C549">
      <formula1>CountryGroup!A2:A1000</formula1>
    </dataValidation>
    <dataValidation type="list" allowBlank="1" showInputMessage="1" showErrorMessage="1" sqref="C550">
      <formula1>CountryGroup!A2:A1000</formula1>
    </dataValidation>
    <dataValidation type="list" allowBlank="1" showInputMessage="1" showErrorMessage="1" sqref="C551">
      <formula1>CountryGroup!A2:A1000</formula1>
    </dataValidation>
    <dataValidation type="list" allowBlank="1" showInputMessage="1" showErrorMessage="1" sqref="C552">
      <formula1>CountryGroup!A2:A1000</formula1>
    </dataValidation>
    <dataValidation type="list" allowBlank="1" showInputMessage="1" showErrorMessage="1" sqref="C553">
      <formula1>CountryGroup!A2:A1000</formula1>
    </dataValidation>
    <dataValidation type="list" allowBlank="1" showInputMessage="1" showErrorMessage="1" sqref="C554">
      <formula1>CountryGroup!A2:A1000</formula1>
    </dataValidation>
    <dataValidation type="list" allowBlank="1" showInputMessage="1" showErrorMessage="1" sqref="C555">
      <formula1>CountryGroup!A2:A1000</formula1>
    </dataValidation>
    <dataValidation type="list" allowBlank="1" showInputMessage="1" showErrorMessage="1" sqref="C556">
      <formula1>CountryGroup!A2:A1000</formula1>
    </dataValidation>
    <dataValidation type="list" allowBlank="1" showInputMessage="1" showErrorMessage="1" sqref="C557">
      <formula1>CountryGroup!A2:A1000</formula1>
    </dataValidation>
    <dataValidation type="list" allowBlank="1" showInputMessage="1" showErrorMessage="1" sqref="C558">
      <formula1>CountryGroup!A2:A1000</formula1>
    </dataValidation>
    <dataValidation type="list" allowBlank="1" showInputMessage="1" showErrorMessage="1" sqref="C559">
      <formula1>CountryGroup!A2:A1000</formula1>
    </dataValidation>
    <dataValidation type="list" allowBlank="1" showInputMessage="1" showErrorMessage="1" sqref="C560">
      <formula1>CountryGroup!A2:A1000</formula1>
    </dataValidation>
    <dataValidation type="list" allowBlank="1" showInputMessage="1" showErrorMessage="1" sqref="C561">
      <formula1>CountryGroup!A2:A1000</formula1>
    </dataValidation>
    <dataValidation type="list" allowBlank="1" showInputMessage="1" showErrorMessage="1" sqref="C562">
      <formula1>CountryGroup!A2:A1000</formula1>
    </dataValidation>
    <dataValidation type="list" allowBlank="1" showInputMessage="1" showErrorMessage="1" sqref="C563">
      <formula1>CountryGroup!A2:A1000</formula1>
    </dataValidation>
    <dataValidation type="list" allowBlank="1" showInputMessage="1" showErrorMessage="1" sqref="C564">
      <formula1>CountryGroup!A2:A1000</formula1>
    </dataValidation>
    <dataValidation type="list" allowBlank="1" showInputMessage="1" showErrorMessage="1" sqref="C565">
      <formula1>CountryGroup!A2:A1000</formula1>
    </dataValidation>
    <dataValidation type="list" allowBlank="1" showInputMessage="1" showErrorMessage="1" sqref="C566">
      <formula1>CountryGroup!A2:A1000</formula1>
    </dataValidation>
    <dataValidation type="list" allowBlank="1" showInputMessage="1" showErrorMessage="1" sqref="C567">
      <formula1>CountryGroup!A2:A1000</formula1>
    </dataValidation>
    <dataValidation type="list" allowBlank="1" showInputMessage="1" showErrorMessage="1" sqref="C568">
      <formula1>CountryGroup!A2:A1000</formula1>
    </dataValidation>
    <dataValidation type="list" allowBlank="1" showInputMessage="1" showErrorMessage="1" sqref="C569">
      <formula1>CountryGroup!A2:A1000</formula1>
    </dataValidation>
    <dataValidation type="list" allowBlank="1" showInputMessage="1" showErrorMessage="1" sqref="C570">
      <formula1>CountryGroup!A2:A1000</formula1>
    </dataValidation>
    <dataValidation type="list" allowBlank="1" showInputMessage="1" showErrorMessage="1" sqref="C571">
      <formula1>CountryGroup!A2:A1000</formula1>
    </dataValidation>
    <dataValidation type="list" allowBlank="1" showInputMessage="1" showErrorMessage="1" sqref="C572">
      <formula1>CountryGroup!A2:A1000</formula1>
    </dataValidation>
    <dataValidation type="list" allowBlank="1" showInputMessage="1" showErrorMessage="1" sqref="C573">
      <formula1>CountryGroup!A2:A1000</formula1>
    </dataValidation>
    <dataValidation type="list" allowBlank="1" showInputMessage="1" showErrorMessage="1" sqref="C574">
      <formula1>CountryGroup!A2:A1000</formula1>
    </dataValidation>
    <dataValidation type="list" allowBlank="1" showInputMessage="1" showErrorMessage="1" sqref="C575">
      <formula1>CountryGroup!A2:A1000</formula1>
    </dataValidation>
    <dataValidation type="list" allowBlank="1" showInputMessage="1" showErrorMessage="1" sqref="C576">
      <formula1>CountryGroup!A2:A1000</formula1>
    </dataValidation>
    <dataValidation type="list" allowBlank="1" showInputMessage="1" showErrorMessage="1" sqref="C577">
      <formula1>CountryGroup!A2:A1000</formula1>
    </dataValidation>
    <dataValidation type="list" allowBlank="1" showInputMessage="1" showErrorMessage="1" sqref="C578">
      <formula1>CountryGroup!A2:A1000</formula1>
    </dataValidation>
    <dataValidation type="list" allowBlank="1" showInputMessage="1" showErrorMessage="1" sqref="C579">
      <formula1>CountryGroup!A2:A1000</formula1>
    </dataValidation>
    <dataValidation type="list" allowBlank="1" showInputMessage="1" showErrorMessage="1" sqref="C580">
      <formula1>CountryGroup!A2:A1000</formula1>
    </dataValidation>
    <dataValidation type="list" allowBlank="1" showInputMessage="1" showErrorMessage="1" sqref="C581">
      <formula1>CountryGroup!A2:A1000</formula1>
    </dataValidation>
    <dataValidation type="list" allowBlank="1" showInputMessage="1" showErrorMessage="1" sqref="C582">
      <formula1>CountryGroup!A2:A1000</formula1>
    </dataValidation>
    <dataValidation type="list" allowBlank="1" showInputMessage="1" showErrorMessage="1" sqref="C583">
      <formula1>CountryGroup!A2:A1000</formula1>
    </dataValidation>
    <dataValidation type="list" allowBlank="1" showInputMessage="1" showErrorMessage="1" sqref="C584">
      <formula1>CountryGroup!A2:A1000</formula1>
    </dataValidation>
    <dataValidation type="list" allowBlank="1" showInputMessage="1" showErrorMessage="1" sqref="C585">
      <formula1>CountryGroup!A2:A1000</formula1>
    </dataValidation>
    <dataValidation type="list" allowBlank="1" showInputMessage="1" showErrorMessage="1" sqref="C586">
      <formula1>CountryGroup!A2:A1000</formula1>
    </dataValidation>
    <dataValidation type="list" allowBlank="1" showInputMessage="1" showErrorMessage="1" sqref="C587">
      <formula1>CountryGroup!A2:A1000</formula1>
    </dataValidation>
    <dataValidation type="list" allowBlank="1" showInputMessage="1" showErrorMessage="1" sqref="C588">
      <formula1>CountryGroup!A2:A1000</formula1>
    </dataValidation>
    <dataValidation type="list" allowBlank="1" showInputMessage="1" showErrorMessage="1" sqref="C589">
      <formula1>CountryGroup!A2:A1000</formula1>
    </dataValidation>
    <dataValidation type="list" allowBlank="1" showInputMessage="1" showErrorMessage="1" sqref="C590">
      <formula1>CountryGroup!A2:A1000</formula1>
    </dataValidation>
    <dataValidation type="list" allowBlank="1" showInputMessage="1" showErrorMessage="1" sqref="C591">
      <formula1>CountryGroup!A2:A1000</formula1>
    </dataValidation>
    <dataValidation type="list" allowBlank="1" showInputMessage="1" showErrorMessage="1" sqref="C592">
      <formula1>CountryGroup!A2:A1000</formula1>
    </dataValidation>
    <dataValidation type="list" allowBlank="1" showInputMessage="1" showErrorMessage="1" sqref="C593">
      <formula1>CountryGroup!A2:A1000</formula1>
    </dataValidation>
    <dataValidation type="list" allowBlank="1" showInputMessage="1" showErrorMessage="1" sqref="C594">
      <formula1>CountryGroup!A2:A1000</formula1>
    </dataValidation>
    <dataValidation type="list" allowBlank="1" showInputMessage="1" showErrorMessage="1" sqref="C595">
      <formula1>CountryGroup!A2:A1000</formula1>
    </dataValidation>
    <dataValidation type="list" allowBlank="1" showInputMessage="1" showErrorMessage="1" sqref="C596">
      <formula1>CountryGroup!A2:A1000</formula1>
    </dataValidation>
    <dataValidation type="list" allowBlank="1" showInputMessage="1" showErrorMessage="1" sqref="C597">
      <formula1>CountryGroup!A2:A1000</formula1>
    </dataValidation>
    <dataValidation type="list" allowBlank="1" showInputMessage="1" showErrorMessage="1" sqref="C598">
      <formula1>CountryGroup!A2:A1000</formula1>
    </dataValidation>
    <dataValidation type="list" allowBlank="1" showInputMessage="1" showErrorMessage="1" sqref="C599">
      <formula1>CountryGroup!A2:A1000</formula1>
    </dataValidation>
    <dataValidation type="list" allowBlank="1" showInputMessage="1" showErrorMessage="1" sqref="C600">
      <formula1>CountryGroup!A2:A1000</formula1>
    </dataValidation>
    <dataValidation type="list" allowBlank="1" showInputMessage="1" showErrorMessage="1" sqref="C601">
      <formula1>CountryGroup!A2:A1000</formula1>
    </dataValidation>
    <dataValidation type="list" allowBlank="1" showInputMessage="1" showErrorMessage="1" sqref="C602">
      <formula1>CountryGroup!A2:A1000</formula1>
    </dataValidation>
    <dataValidation type="list" allowBlank="1" showInputMessage="1" showErrorMessage="1" sqref="C603">
      <formula1>CountryGroup!A2:A1000</formula1>
    </dataValidation>
    <dataValidation type="list" allowBlank="1" showInputMessage="1" showErrorMessage="1" sqref="C604">
      <formula1>CountryGroup!A2:A1000</formula1>
    </dataValidation>
    <dataValidation type="list" allowBlank="1" showInputMessage="1" showErrorMessage="1" sqref="C605">
      <formula1>CountryGroup!A2:A1000</formula1>
    </dataValidation>
    <dataValidation type="list" allowBlank="1" showInputMessage="1" showErrorMessage="1" sqref="C606">
      <formula1>CountryGroup!A2:A1000</formula1>
    </dataValidation>
    <dataValidation type="list" allowBlank="1" showInputMessage="1" showErrorMessage="1" sqref="C607">
      <formula1>CountryGroup!A2:A1000</formula1>
    </dataValidation>
    <dataValidation type="list" allowBlank="1" showInputMessage="1" showErrorMessage="1" sqref="C608">
      <formula1>CountryGroup!A2:A1000</formula1>
    </dataValidation>
    <dataValidation type="list" allowBlank="1" showInputMessage="1" showErrorMessage="1" sqref="C609">
      <formula1>CountryGroup!A2:A1000</formula1>
    </dataValidation>
    <dataValidation type="list" allowBlank="1" showInputMessage="1" showErrorMessage="1" sqref="C610">
      <formula1>CountryGroup!A2:A1000</formula1>
    </dataValidation>
    <dataValidation type="list" allowBlank="1" showInputMessage="1" showErrorMessage="1" sqref="C611">
      <formula1>CountryGroup!A2:A1000</formula1>
    </dataValidation>
    <dataValidation type="list" allowBlank="1" showInputMessage="1" showErrorMessage="1" sqref="C612">
      <formula1>CountryGroup!A2:A1000</formula1>
    </dataValidation>
    <dataValidation type="list" allowBlank="1" showInputMessage="1" showErrorMessage="1" sqref="C613">
      <formula1>CountryGroup!A2:A1000</formula1>
    </dataValidation>
    <dataValidation type="list" allowBlank="1" showInputMessage="1" showErrorMessage="1" sqref="C614">
      <formula1>CountryGroup!A2:A1000</formula1>
    </dataValidation>
    <dataValidation type="list" allowBlank="1" showInputMessage="1" showErrorMessage="1" sqref="C615">
      <formula1>CountryGroup!A2:A1000</formula1>
    </dataValidation>
    <dataValidation type="list" allowBlank="1" showInputMessage="1" showErrorMessage="1" sqref="C616">
      <formula1>CountryGroup!A2:A1000</formula1>
    </dataValidation>
    <dataValidation type="list" allowBlank="1" showInputMessage="1" showErrorMessage="1" sqref="C617">
      <formula1>CountryGroup!A2:A1000</formula1>
    </dataValidation>
    <dataValidation type="list" allowBlank="1" showInputMessage="1" showErrorMessage="1" sqref="C618">
      <formula1>CountryGroup!A2:A1000</formula1>
    </dataValidation>
    <dataValidation type="list" allowBlank="1" showInputMessage="1" showErrorMessage="1" sqref="C619">
      <formula1>CountryGroup!A2:A1000</formula1>
    </dataValidation>
    <dataValidation type="list" allowBlank="1" showInputMessage="1" showErrorMessage="1" sqref="C620">
      <formula1>CountryGroup!A2:A1000</formula1>
    </dataValidation>
    <dataValidation type="list" allowBlank="1" showInputMessage="1" showErrorMessage="1" sqref="C621">
      <formula1>CountryGroup!A2:A1000</formula1>
    </dataValidation>
    <dataValidation type="list" allowBlank="1" showInputMessage="1" showErrorMessage="1" sqref="C622">
      <formula1>CountryGroup!A2:A1000</formula1>
    </dataValidation>
    <dataValidation type="list" allowBlank="1" showInputMessage="1" showErrorMessage="1" sqref="C623">
      <formula1>CountryGroup!A2:A1000</formula1>
    </dataValidation>
    <dataValidation type="list" allowBlank="1" showInputMessage="1" showErrorMessage="1" sqref="C624">
      <formula1>CountryGroup!A2:A1000</formula1>
    </dataValidation>
    <dataValidation type="list" allowBlank="1" showInputMessage="1" showErrorMessage="1" sqref="C625">
      <formula1>CountryGroup!A2:A1000</formula1>
    </dataValidation>
    <dataValidation type="list" allowBlank="1" showInputMessage="1" showErrorMessage="1" sqref="C626">
      <formula1>CountryGroup!A2:A1000</formula1>
    </dataValidation>
    <dataValidation type="list" allowBlank="1" showInputMessage="1" showErrorMessage="1" sqref="C627">
      <formula1>CountryGroup!A2:A1000</formula1>
    </dataValidation>
    <dataValidation type="list" allowBlank="1" showInputMessage="1" showErrorMessage="1" sqref="C628">
      <formula1>CountryGroup!A2:A1000</formula1>
    </dataValidation>
    <dataValidation type="list" allowBlank="1" showInputMessage="1" showErrorMessage="1" sqref="C629">
      <formula1>CountryGroup!A2:A1000</formula1>
    </dataValidation>
    <dataValidation type="list" allowBlank="1" showInputMessage="1" showErrorMessage="1" sqref="C630">
      <formula1>CountryGroup!A2:A1000</formula1>
    </dataValidation>
    <dataValidation type="list" allowBlank="1" showInputMessage="1" showErrorMessage="1" sqref="C631">
      <formula1>CountryGroup!A2:A1000</formula1>
    </dataValidation>
    <dataValidation type="list" allowBlank="1" showInputMessage="1" showErrorMessage="1" sqref="C632">
      <formula1>CountryGroup!A2:A1000</formula1>
    </dataValidation>
    <dataValidation type="list" allowBlank="1" showInputMessage="1" showErrorMessage="1" sqref="C633">
      <formula1>CountryGroup!A2:A1000</formula1>
    </dataValidation>
    <dataValidation type="list" allowBlank="1" showInputMessage="1" showErrorMessage="1" sqref="C634">
      <formula1>CountryGroup!A2:A1000</formula1>
    </dataValidation>
    <dataValidation type="list" allowBlank="1" showInputMessage="1" showErrorMessage="1" sqref="C635">
      <formula1>CountryGroup!A2:A1000</formula1>
    </dataValidation>
    <dataValidation type="list" allowBlank="1" showInputMessage="1" showErrorMessage="1" sqref="C636">
      <formula1>CountryGroup!A2:A1000</formula1>
    </dataValidation>
    <dataValidation type="list" allowBlank="1" showInputMessage="1" showErrorMessage="1" sqref="C637">
      <formula1>CountryGroup!A2:A1000</formula1>
    </dataValidation>
    <dataValidation type="list" allowBlank="1" showInputMessage="1" showErrorMessage="1" sqref="C638">
      <formula1>CountryGroup!A2:A1000</formula1>
    </dataValidation>
    <dataValidation type="list" allowBlank="1" showInputMessage="1" showErrorMessage="1" sqref="C639">
      <formula1>CountryGroup!A2:A1000</formula1>
    </dataValidation>
    <dataValidation type="list" allowBlank="1" showInputMessage="1" showErrorMessage="1" sqref="C640">
      <formula1>CountryGroup!A2:A1000</formula1>
    </dataValidation>
    <dataValidation type="list" allowBlank="1" showInputMessage="1" showErrorMessage="1" sqref="C641">
      <formula1>CountryGroup!A2:A1000</formula1>
    </dataValidation>
    <dataValidation type="list" allowBlank="1" showInputMessage="1" showErrorMessage="1" sqref="C642">
      <formula1>CountryGroup!A2:A1000</formula1>
    </dataValidation>
    <dataValidation type="list" allowBlank="1" showInputMessage="1" showErrorMessage="1" sqref="C643">
      <formula1>CountryGroup!A2:A1000</formula1>
    </dataValidation>
    <dataValidation type="list" allowBlank="1" showInputMessage="1" showErrorMessage="1" sqref="C644">
      <formula1>CountryGroup!A2:A1000</formula1>
    </dataValidation>
    <dataValidation type="list" allowBlank="1" showInputMessage="1" showErrorMessage="1" sqref="C645">
      <formula1>CountryGroup!A2:A1000</formula1>
    </dataValidation>
    <dataValidation type="list" allowBlank="1" showInputMessage="1" showErrorMessage="1" sqref="C646">
      <formula1>CountryGroup!A2:A1000</formula1>
    </dataValidation>
    <dataValidation type="list" allowBlank="1" showInputMessage="1" showErrorMessage="1" sqref="C647">
      <formula1>CountryGroup!A2:A1000</formula1>
    </dataValidation>
    <dataValidation type="list" allowBlank="1" showInputMessage="1" showErrorMessage="1" sqref="C648">
      <formula1>CountryGroup!A2:A1000</formula1>
    </dataValidation>
    <dataValidation type="list" allowBlank="1" showInputMessage="1" showErrorMessage="1" sqref="C649">
      <formula1>CountryGroup!A2:A1000</formula1>
    </dataValidation>
    <dataValidation type="list" allowBlank="1" showInputMessage="1" showErrorMessage="1" sqref="C650">
      <formula1>CountryGroup!A2:A1000</formula1>
    </dataValidation>
    <dataValidation type="list" allowBlank="1" showInputMessage="1" showErrorMessage="1" sqref="C651">
      <formula1>CountryGroup!A2:A1000</formula1>
    </dataValidation>
    <dataValidation type="list" allowBlank="1" showInputMessage="1" showErrorMessage="1" sqref="C652">
      <formula1>CountryGroup!A2:A1000</formula1>
    </dataValidation>
    <dataValidation type="list" allowBlank="1" showInputMessage="1" showErrorMessage="1" sqref="C653">
      <formula1>CountryGroup!A2:A1000</formula1>
    </dataValidation>
    <dataValidation type="list" allowBlank="1" showInputMessage="1" showErrorMessage="1" sqref="C654">
      <formula1>CountryGroup!A2:A1000</formula1>
    </dataValidation>
    <dataValidation type="list" allowBlank="1" showInputMessage="1" showErrorMessage="1" sqref="C655">
      <formula1>CountryGroup!A2:A1000</formula1>
    </dataValidation>
    <dataValidation type="list" allowBlank="1" showInputMessage="1" showErrorMessage="1" sqref="C656">
      <formula1>CountryGroup!A2:A1000</formula1>
    </dataValidation>
    <dataValidation type="list" allowBlank="1" showInputMessage="1" showErrorMessage="1" sqref="C657">
      <formula1>CountryGroup!A2:A1000</formula1>
    </dataValidation>
    <dataValidation type="list" allowBlank="1" showInputMessage="1" showErrorMessage="1" sqref="C658">
      <formula1>CountryGroup!A2:A1000</formula1>
    </dataValidation>
    <dataValidation type="list" allowBlank="1" showInputMessage="1" showErrorMessage="1" sqref="C659">
      <formula1>CountryGroup!A2:A1000</formula1>
    </dataValidation>
    <dataValidation type="list" allowBlank="1" showInputMessage="1" showErrorMessage="1" sqref="C660">
      <formula1>CountryGroup!A2:A1000</formula1>
    </dataValidation>
    <dataValidation type="list" allowBlank="1" showInputMessage="1" showErrorMessage="1" sqref="C661">
      <formula1>CountryGroup!A2:A1000</formula1>
    </dataValidation>
    <dataValidation type="list" allowBlank="1" showInputMessage="1" showErrorMessage="1" sqref="C662">
      <formula1>CountryGroup!A2:A1000</formula1>
    </dataValidation>
    <dataValidation type="list" allowBlank="1" showInputMessage="1" showErrorMessage="1" sqref="C663">
      <formula1>CountryGroup!A2:A1000</formula1>
    </dataValidation>
    <dataValidation type="list" allowBlank="1" showInputMessage="1" showErrorMessage="1" sqref="C664">
      <formula1>CountryGroup!A2:A1000</formula1>
    </dataValidation>
    <dataValidation type="list" allowBlank="1" showInputMessage="1" showErrorMessage="1" sqref="C665">
      <formula1>CountryGroup!A2:A1000</formula1>
    </dataValidation>
    <dataValidation type="list" allowBlank="1" showInputMessage="1" showErrorMessage="1" sqref="C666">
      <formula1>CountryGroup!A2:A1000</formula1>
    </dataValidation>
    <dataValidation type="list" allowBlank="1" showInputMessage="1" showErrorMessage="1" sqref="C667">
      <formula1>CountryGroup!A2:A1000</formula1>
    </dataValidation>
    <dataValidation type="list" allowBlank="1" showInputMessage="1" showErrorMessage="1" sqref="C668">
      <formula1>CountryGroup!A2:A1000</formula1>
    </dataValidation>
    <dataValidation type="list" allowBlank="1" showInputMessage="1" showErrorMessage="1" sqref="C669">
      <formula1>CountryGroup!A2:A1000</formula1>
    </dataValidation>
    <dataValidation type="list" allowBlank="1" showInputMessage="1" showErrorMessage="1" sqref="C670">
      <formula1>CountryGroup!A2:A1000</formula1>
    </dataValidation>
    <dataValidation type="list" allowBlank="1" showInputMessage="1" showErrorMessage="1" sqref="C671">
      <formula1>CountryGroup!A2:A1000</formula1>
    </dataValidation>
    <dataValidation type="list" allowBlank="1" showInputMessage="1" showErrorMessage="1" sqref="C672">
      <formula1>CountryGroup!A2:A1000</formula1>
    </dataValidation>
    <dataValidation type="list" allowBlank="1" showInputMessage="1" showErrorMessage="1" sqref="C673">
      <formula1>CountryGroup!A2:A1000</formula1>
    </dataValidation>
    <dataValidation type="list" allowBlank="1" showInputMessage="1" showErrorMessage="1" sqref="C674">
      <formula1>CountryGroup!A2:A1000</formula1>
    </dataValidation>
    <dataValidation type="list" allowBlank="1" showInputMessage="1" showErrorMessage="1" sqref="C675">
      <formula1>CountryGroup!A2:A1000</formula1>
    </dataValidation>
    <dataValidation type="list" allowBlank="1" showInputMessage="1" showErrorMessage="1" sqref="C676">
      <formula1>CountryGroup!A2:A1000</formula1>
    </dataValidation>
    <dataValidation type="list" allowBlank="1" showInputMessage="1" showErrorMessage="1" sqref="C677">
      <formula1>CountryGroup!A2:A1000</formula1>
    </dataValidation>
    <dataValidation type="list" allowBlank="1" showInputMessage="1" showErrorMessage="1" sqref="C678">
      <formula1>CountryGroup!A2:A1000</formula1>
    </dataValidation>
    <dataValidation type="list" allowBlank="1" showInputMessage="1" showErrorMessage="1" sqref="C679">
      <formula1>CountryGroup!A2:A1000</formula1>
    </dataValidation>
    <dataValidation type="list" allowBlank="1" showInputMessage="1" showErrorMessage="1" sqref="C680">
      <formula1>CountryGroup!A2:A1000</formula1>
    </dataValidation>
    <dataValidation type="list" allowBlank="1" showInputMessage="1" showErrorMessage="1" sqref="C681">
      <formula1>CountryGroup!A2:A1000</formula1>
    </dataValidation>
    <dataValidation type="list" allowBlank="1" showInputMessage="1" showErrorMessage="1" sqref="C682">
      <formula1>CountryGroup!A2:A1000</formula1>
    </dataValidation>
    <dataValidation type="list" allowBlank="1" showInputMessage="1" showErrorMessage="1" sqref="C683">
      <formula1>CountryGroup!A2:A1000</formula1>
    </dataValidation>
    <dataValidation type="list" allowBlank="1" showInputMessage="1" showErrorMessage="1" sqref="C684">
      <formula1>CountryGroup!A2:A1000</formula1>
    </dataValidation>
    <dataValidation type="list" allowBlank="1" showInputMessage="1" showErrorMessage="1" sqref="C685">
      <formula1>CountryGroup!A2:A1000</formula1>
    </dataValidation>
    <dataValidation type="list" allowBlank="1" showInputMessage="1" showErrorMessage="1" sqref="C686">
      <formula1>CountryGroup!A2:A1000</formula1>
    </dataValidation>
    <dataValidation type="list" allowBlank="1" showInputMessage="1" showErrorMessage="1" sqref="C687">
      <formula1>CountryGroup!A2:A1000</formula1>
    </dataValidation>
    <dataValidation type="list" allowBlank="1" showInputMessage="1" showErrorMessage="1" sqref="C688">
      <formula1>CountryGroup!A2:A1000</formula1>
    </dataValidation>
    <dataValidation type="list" allowBlank="1" showInputMessage="1" showErrorMessage="1" sqref="C689">
      <formula1>CountryGroup!A2:A1000</formula1>
    </dataValidation>
    <dataValidation type="list" allowBlank="1" showInputMessage="1" showErrorMessage="1" sqref="C690">
      <formula1>CountryGroup!A2:A1000</formula1>
    </dataValidation>
    <dataValidation type="list" allowBlank="1" showInputMessage="1" showErrorMessage="1" sqref="C691">
      <formula1>CountryGroup!A2:A1000</formula1>
    </dataValidation>
    <dataValidation type="list" allowBlank="1" showInputMessage="1" showErrorMessage="1" sqref="C692">
      <formula1>CountryGroup!A2:A1000</formula1>
    </dataValidation>
    <dataValidation type="list" allowBlank="1" showInputMessage="1" showErrorMessage="1" sqref="C693">
      <formula1>CountryGroup!A2:A1000</formula1>
    </dataValidation>
    <dataValidation type="list" allowBlank="1" showInputMessage="1" showErrorMessage="1" sqref="C694">
      <formula1>CountryGroup!A2:A1000</formula1>
    </dataValidation>
    <dataValidation type="list" allowBlank="1" showInputMessage="1" showErrorMessage="1" sqref="C695">
      <formula1>CountryGroup!A2:A1000</formula1>
    </dataValidation>
    <dataValidation type="list" allowBlank="1" showInputMessage="1" showErrorMessage="1" sqref="C696">
      <formula1>CountryGroup!A2:A1000</formula1>
    </dataValidation>
    <dataValidation type="list" allowBlank="1" showInputMessage="1" showErrorMessage="1" sqref="C697">
      <formula1>CountryGroup!A2:A1000</formula1>
    </dataValidation>
    <dataValidation type="list" allowBlank="1" showInputMessage="1" showErrorMessage="1" sqref="C698">
      <formula1>CountryGroup!A2:A1000</formula1>
    </dataValidation>
    <dataValidation type="list" allowBlank="1" showInputMessage="1" showErrorMessage="1" sqref="C699">
      <formula1>CountryGroup!A2:A1000</formula1>
    </dataValidation>
    <dataValidation type="list" allowBlank="1" showInputMessage="1" showErrorMessage="1" sqref="C700">
      <formula1>CountryGroup!A2:A1000</formula1>
    </dataValidation>
    <dataValidation type="list" allowBlank="1" showInputMessage="1" showErrorMessage="1" sqref="C701">
      <formula1>CountryGroup!A2:A1000</formula1>
    </dataValidation>
    <dataValidation type="list" allowBlank="1" showInputMessage="1" showErrorMessage="1" sqref="C702">
      <formula1>CountryGroup!A2:A1000</formula1>
    </dataValidation>
    <dataValidation type="list" allowBlank="1" showInputMessage="1" showErrorMessage="1" sqref="C703">
      <formula1>CountryGroup!A2:A1000</formula1>
    </dataValidation>
    <dataValidation type="list" allowBlank="1" showInputMessage="1" showErrorMessage="1" sqref="C704">
      <formula1>CountryGroup!A2:A1000</formula1>
    </dataValidation>
    <dataValidation type="list" allowBlank="1" showInputMessage="1" showErrorMessage="1" sqref="C705">
      <formula1>CountryGroup!A2:A1000</formula1>
    </dataValidation>
    <dataValidation type="list" allowBlank="1" showInputMessage="1" showErrorMessage="1" sqref="C706">
      <formula1>CountryGroup!A2:A1000</formula1>
    </dataValidation>
    <dataValidation type="list" allowBlank="1" showInputMessage="1" showErrorMessage="1" sqref="C707">
      <formula1>CountryGroup!A2:A1000</formula1>
    </dataValidation>
    <dataValidation type="list" allowBlank="1" showInputMessage="1" showErrorMessage="1" sqref="C708">
      <formula1>CountryGroup!A2:A1000</formula1>
    </dataValidation>
    <dataValidation type="list" allowBlank="1" showInputMessage="1" showErrorMessage="1" sqref="C709">
      <formula1>CountryGroup!A2:A1000</formula1>
    </dataValidation>
    <dataValidation type="list" allowBlank="1" showInputMessage="1" showErrorMessage="1" sqref="C710">
      <formula1>CountryGroup!A2:A1000</formula1>
    </dataValidation>
    <dataValidation type="list" allowBlank="1" showInputMessage="1" showErrorMessage="1" sqref="C711">
      <formula1>CountryGroup!A2:A1000</formula1>
    </dataValidation>
    <dataValidation type="list" allowBlank="1" showInputMessage="1" showErrorMessage="1" sqref="C712">
      <formula1>CountryGroup!A2:A1000</formula1>
    </dataValidation>
    <dataValidation type="list" allowBlank="1" showInputMessage="1" showErrorMessage="1" sqref="C713">
      <formula1>CountryGroup!A2:A1000</formula1>
    </dataValidation>
    <dataValidation type="list" allowBlank="1" showInputMessage="1" showErrorMessage="1" sqref="C714">
      <formula1>CountryGroup!A2:A1000</formula1>
    </dataValidation>
    <dataValidation type="list" allowBlank="1" showInputMessage="1" showErrorMessage="1" sqref="C715">
      <formula1>CountryGroup!A2:A1000</formula1>
    </dataValidation>
    <dataValidation type="list" allowBlank="1" showInputMessage="1" showErrorMessage="1" sqref="C716">
      <formula1>CountryGroup!A2:A1000</formula1>
    </dataValidation>
    <dataValidation type="list" allowBlank="1" showInputMessage="1" showErrorMessage="1" sqref="C717">
      <formula1>CountryGroup!A2:A1000</formula1>
    </dataValidation>
    <dataValidation type="list" allowBlank="1" showInputMessage="1" showErrorMessage="1" sqref="C718">
      <formula1>CountryGroup!A2:A1000</formula1>
    </dataValidation>
    <dataValidation type="list" allowBlank="1" showInputMessage="1" showErrorMessage="1" sqref="C719">
      <formula1>CountryGroup!A2:A1000</formula1>
    </dataValidation>
    <dataValidation type="list" allowBlank="1" showInputMessage="1" showErrorMessage="1" sqref="C720">
      <formula1>CountryGroup!A2:A1000</formula1>
    </dataValidation>
    <dataValidation type="list" allowBlank="1" showInputMessage="1" showErrorMessage="1" sqref="C721">
      <formula1>CountryGroup!A2:A1000</formula1>
    </dataValidation>
    <dataValidation type="list" allowBlank="1" showInputMessage="1" showErrorMessage="1" sqref="C722">
      <formula1>CountryGroup!A2:A1000</formula1>
    </dataValidation>
    <dataValidation type="list" allowBlank="1" showInputMessage="1" showErrorMessage="1" sqref="C723">
      <formula1>CountryGroup!A2:A1000</formula1>
    </dataValidation>
    <dataValidation type="list" allowBlank="1" showInputMessage="1" showErrorMessage="1" sqref="C724">
      <formula1>CountryGroup!A2:A1000</formula1>
    </dataValidation>
    <dataValidation type="list" allowBlank="1" showInputMessage="1" showErrorMessage="1" sqref="C725">
      <formula1>CountryGroup!A2:A1000</formula1>
    </dataValidation>
    <dataValidation type="list" allowBlank="1" showInputMessage="1" showErrorMessage="1" sqref="C726">
      <formula1>CountryGroup!A2:A1000</formula1>
    </dataValidation>
    <dataValidation type="list" allowBlank="1" showInputMessage="1" showErrorMessage="1" sqref="C727">
      <formula1>CountryGroup!A2:A1000</formula1>
    </dataValidation>
    <dataValidation type="list" allowBlank="1" showInputMessage="1" showErrorMessage="1" sqref="C728">
      <formula1>CountryGroup!A2:A1000</formula1>
    </dataValidation>
    <dataValidation type="list" allowBlank="1" showInputMessage="1" showErrorMessage="1" sqref="C729">
      <formula1>CountryGroup!A2:A1000</formula1>
    </dataValidation>
    <dataValidation type="list" allowBlank="1" showInputMessage="1" showErrorMessage="1" sqref="C730">
      <formula1>CountryGroup!A2:A1000</formula1>
    </dataValidation>
    <dataValidation type="list" allowBlank="1" showInputMessage="1" showErrorMessage="1" sqref="C731">
      <formula1>CountryGroup!A2:A1000</formula1>
    </dataValidation>
    <dataValidation type="list" allowBlank="1" showInputMessage="1" showErrorMessage="1" sqref="C732">
      <formula1>CountryGroup!A2:A1000</formula1>
    </dataValidation>
    <dataValidation type="list" allowBlank="1" showInputMessage="1" showErrorMessage="1" sqref="C733">
      <formula1>CountryGroup!A2:A1000</formula1>
    </dataValidation>
    <dataValidation type="list" allowBlank="1" showInputMessage="1" showErrorMessage="1" sqref="C734">
      <formula1>CountryGroup!A2:A1000</formula1>
    </dataValidation>
    <dataValidation type="list" allowBlank="1" showInputMessage="1" showErrorMessage="1" sqref="C735">
      <formula1>CountryGroup!A2:A1000</formula1>
    </dataValidation>
    <dataValidation type="list" allowBlank="1" showInputMessage="1" showErrorMessage="1" sqref="C736">
      <formula1>CountryGroup!A2:A1000</formula1>
    </dataValidation>
    <dataValidation type="list" allowBlank="1" showInputMessage="1" showErrorMessage="1" sqref="C737">
      <formula1>CountryGroup!A2:A1000</formula1>
    </dataValidation>
    <dataValidation type="list" allowBlank="1" showInputMessage="1" showErrorMessage="1" sqref="C738">
      <formula1>CountryGroup!A2:A1000</formula1>
    </dataValidation>
    <dataValidation type="list" allowBlank="1" showInputMessage="1" showErrorMessage="1" sqref="C739">
      <formula1>CountryGroup!A2:A1000</formula1>
    </dataValidation>
    <dataValidation type="list" allowBlank="1" showInputMessage="1" showErrorMessage="1" sqref="C740">
      <formula1>CountryGroup!A2:A1000</formula1>
    </dataValidation>
    <dataValidation type="list" allowBlank="1" showInputMessage="1" showErrorMessage="1" sqref="C741">
      <formula1>CountryGroup!A2:A1000</formula1>
    </dataValidation>
    <dataValidation type="list" allowBlank="1" showInputMessage="1" showErrorMessage="1" sqref="C742">
      <formula1>CountryGroup!A2:A1000</formula1>
    </dataValidation>
    <dataValidation type="list" allowBlank="1" showInputMessage="1" showErrorMessage="1" sqref="C743">
      <formula1>CountryGroup!A2:A1000</formula1>
    </dataValidation>
    <dataValidation type="list" allowBlank="1" showInputMessage="1" showErrorMessage="1" sqref="C744">
      <formula1>CountryGroup!A2:A1000</formula1>
    </dataValidation>
    <dataValidation type="list" allowBlank="1" showInputMessage="1" showErrorMessage="1" sqref="C745">
      <formula1>CountryGroup!A2:A1000</formula1>
    </dataValidation>
    <dataValidation type="list" allowBlank="1" showInputMessage="1" showErrorMessage="1" sqref="C746">
      <formula1>CountryGroup!A2:A1000</formula1>
    </dataValidation>
    <dataValidation type="list" allowBlank="1" showInputMessage="1" showErrorMessage="1" sqref="C747">
      <formula1>CountryGroup!A2:A1000</formula1>
    </dataValidation>
    <dataValidation type="list" allowBlank="1" showInputMessage="1" showErrorMessage="1" sqref="C748">
      <formula1>CountryGroup!A2:A1000</formula1>
    </dataValidation>
    <dataValidation type="list" allowBlank="1" showInputMessage="1" showErrorMessage="1" sqref="C749">
      <formula1>CountryGroup!A2:A1000</formula1>
    </dataValidation>
    <dataValidation type="list" allowBlank="1" showInputMessage="1" showErrorMessage="1" sqref="C750">
      <formula1>CountryGroup!A2:A1000</formula1>
    </dataValidation>
    <dataValidation type="list" allowBlank="1" showInputMessage="1" showErrorMessage="1" sqref="C751">
      <formula1>CountryGroup!A2:A1000</formula1>
    </dataValidation>
    <dataValidation type="list" allowBlank="1" showInputMessage="1" showErrorMessage="1" sqref="C752">
      <formula1>CountryGroup!A2:A1000</formula1>
    </dataValidation>
    <dataValidation type="list" allowBlank="1" showInputMessage="1" showErrorMessage="1" sqref="C753">
      <formula1>CountryGroup!A2:A1000</formula1>
    </dataValidation>
    <dataValidation type="list" allowBlank="1" showInputMessage="1" showErrorMessage="1" sqref="C754">
      <formula1>CountryGroup!A2:A1000</formula1>
    </dataValidation>
    <dataValidation type="list" allowBlank="1" showInputMessage="1" showErrorMessage="1" sqref="C755">
      <formula1>CountryGroup!A2:A1000</formula1>
    </dataValidation>
    <dataValidation type="list" allowBlank="1" showInputMessage="1" showErrorMessage="1" sqref="C756">
      <formula1>CountryGroup!A2:A1000</formula1>
    </dataValidation>
    <dataValidation type="list" allowBlank="1" showInputMessage="1" showErrorMessage="1" sqref="C757">
      <formula1>CountryGroup!A2:A1000</formula1>
    </dataValidation>
    <dataValidation type="list" allowBlank="1" showInputMessage="1" showErrorMessage="1" sqref="C758">
      <formula1>CountryGroup!A2:A1000</formula1>
    </dataValidation>
    <dataValidation type="list" allowBlank="1" showInputMessage="1" showErrorMessage="1" sqref="C759">
      <formula1>CountryGroup!A2:A1000</formula1>
    </dataValidation>
    <dataValidation type="list" allowBlank="1" showInputMessage="1" showErrorMessage="1" sqref="C760">
      <formula1>CountryGroup!A2:A1000</formula1>
    </dataValidation>
    <dataValidation type="list" allowBlank="1" showInputMessage="1" showErrorMessage="1" sqref="C761">
      <formula1>CountryGroup!A2:A1000</formula1>
    </dataValidation>
    <dataValidation type="list" allowBlank="1" showInputMessage="1" showErrorMessage="1" sqref="C762">
      <formula1>CountryGroup!A2:A1000</formula1>
    </dataValidation>
    <dataValidation type="list" allowBlank="1" showInputMessage="1" showErrorMessage="1" sqref="C763">
      <formula1>CountryGroup!A2:A1000</formula1>
    </dataValidation>
    <dataValidation type="list" allowBlank="1" showInputMessage="1" showErrorMessage="1" sqref="C764">
      <formula1>CountryGroup!A2:A1000</formula1>
    </dataValidation>
    <dataValidation type="list" allowBlank="1" showInputMessage="1" showErrorMessage="1" sqref="C765">
      <formula1>CountryGroup!A2:A1000</formula1>
    </dataValidation>
    <dataValidation type="list" allowBlank="1" showInputMessage="1" showErrorMessage="1" sqref="C766">
      <formula1>CountryGroup!A2:A1000</formula1>
    </dataValidation>
    <dataValidation type="list" allowBlank="1" showInputMessage="1" showErrorMessage="1" sqref="C767">
      <formula1>CountryGroup!A2:A1000</formula1>
    </dataValidation>
    <dataValidation type="list" allowBlank="1" showInputMessage="1" showErrorMessage="1" sqref="C768">
      <formula1>CountryGroup!A2:A1000</formula1>
    </dataValidation>
    <dataValidation type="list" allowBlank="1" showInputMessage="1" showErrorMessage="1" sqref="C769">
      <formula1>CountryGroup!A2:A1000</formula1>
    </dataValidation>
    <dataValidation type="list" allowBlank="1" showInputMessage="1" showErrorMessage="1" sqref="C770">
      <formula1>CountryGroup!A2:A1000</formula1>
    </dataValidation>
    <dataValidation type="list" allowBlank="1" showInputMessage="1" showErrorMessage="1" sqref="C771">
      <formula1>CountryGroup!A2:A1000</formula1>
    </dataValidation>
    <dataValidation type="list" allowBlank="1" showInputMessage="1" showErrorMessage="1" sqref="C772">
      <formula1>CountryGroup!A2:A1000</formula1>
    </dataValidation>
    <dataValidation type="list" allowBlank="1" showInputMessage="1" showErrorMessage="1" sqref="C773">
      <formula1>CountryGroup!A2:A1000</formula1>
    </dataValidation>
    <dataValidation type="list" allowBlank="1" showInputMessage="1" showErrorMessage="1" sqref="C774">
      <formula1>CountryGroup!A2:A1000</formula1>
    </dataValidation>
    <dataValidation type="list" allowBlank="1" showInputMessage="1" showErrorMessage="1" sqref="C775">
      <formula1>CountryGroup!A2:A1000</formula1>
    </dataValidation>
    <dataValidation type="list" allowBlank="1" showInputMessage="1" showErrorMessage="1" sqref="C776">
      <formula1>CountryGroup!A2:A1000</formula1>
    </dataValidation>
    <dataValidation type="list" allowBlank="1" showInputMessage="1" showErrorMessage="1" sqref="C777">
      <formula1>CountryGroup!A2:A1000</formula1>
    </dataValidation>
    <dataValidation type="list" allowBlank="1" showInputMessage="1" showErrorMessage="1" sqref="C778">
      <formula1>CountryGroup!A2:A1000</formula1>
    </dataValidation>
    <dataValidation type="list" allowBlank="1" showInputMessage="1" showErrorMessage="1" sqref="C779">
      <formula1>CountryGroup!A2:A1000</formula1>
    </dataValidation>
    <dataValidation type="list" allowBlank="1" showInputMessage="1" showErrorMessage="1" sqref="C780">
      <formula1>CountryGroup!A2:A1000</formula1>
    </dataValidation>
    <dataValidation type="list" allowBlank="1" showInputMessage="1" showErrorMessage="1" sqref="C781">
      <formula1>CountryGroup!A2:A1000</formula1>
    </dataValidation>
    <dataValidation type="list" allowBlank="1" showInputMessage="1" showErrorMessage="1" sqref="C782">
      <formula1>CountryGroup!A2:A1000</formula1>
    </dataValidation>
    <dataValidation type="list" allowBlank="1" showInputMessage="1" showErrorMessage="1" sqref="C783">
      <formula1>CountryGroup!A2:A1000</formula1>
    </dataValidation>
    <dataValidation type="list" allowBlank="1" showInputMessage="1" showErrorMessage="1" sqref="C784">
      <formula1>CountryGroup!A2:A1000</formula1>
    </dataValidation>
    <dataValidation type="list" allowBlank="1" showInputMessage="1" showErrorMessage="1" sqref="C785">
      <formula1>CountryGroup!A2:A1000</formula1>
    </dataValidation>
    <dataValidation type="list" allowBlank="1" showInputMessage="1" showErrorMessage="1" sqref="C786">
      <formula1>CountryGroup!A2:A1000</formula1>
    </dataValidation>
    <dataValidation type="list" allowBlank="1" showInputMessage="1" showErrorMessage="1" sqref="C787">
      <formula1>CountryGroup!A2:A1000</formula1>
    </dataValidation>
    <dataValidation type="list" allowBlank="1" showInputMessage="1" showErrorMessage="1" sqref="C788">
      <formula1>CountryGroup!A2:A1000</formula1>
    </dataValidation>
    <dataValidation type="list" allowBlank="1" showInputMessage="1" showErrorMessage="1" sqref="C789">
      <formula1>CountryGroup!A2:A1000</formula1>
    </dataValidation>
    <dataValidation type="list" allowBlank="1" showInputMessage="1" showErrorMessage="1" sqref="C790">
      <formula1>CountryGroup!A2:A1000</formula1>
    </dataValidation>
    <dataValidation type="list" allowBlank="1" showInputMessage="1" showErrorMessage="1" sqref="C791">
      <formula1>CountryGroup!A2:A1000</formula1>
    </dataValidation>
    <dataValidation type="list" allowBlank="1" showInputMessage="1" showErrorMessage="1" sqref="C792">
      <formula1>CountryGroup!A2:A1000</formula1>
    </dataValidation>
    <dataValidation type="list" allowBlank="1" showInputMessage="1" showErrorMessage="1" sqref="C793">
      <formula1>CountryGroup!A2:A1000</formula1>
    </dataValidation>
    <dataValidation type="list" allowBlank="1" showInputMessage="1" showErrorMessage="1" sqref="C794">
      <formula1>CountryGroup!A2:A1000</formula1>
    </dataValidation>
    <dataValidation type="list" allowBlank="1" showInputMessage="1" showErrorMessage="1" sqref="C795">
      <formula1>CountryGroup!A2:A1000</formula1>
    </dataValidation>
    <dataValidation type="list" allowBlank="1" showInputMessage="1" showErrorMessage="1" sqref="C796">
      <formula1>CountryGroup!A2:A1000</formula1>
    </dataValidation>
    <dataValidation type="list" allowBlank="1" showInputMessage="1" showErrorMessage="1" sqref="C797">
      <formula1>CountryGroup!A2:A1000</formula1>
    </dataValidation>
    <dataValidation type="list" allowBlank="1" showInputMessage="1" showErrorMessage="1" sqref="C798">
      <formula1>CountryGroup!A2:A1000</formula1>
    </dataValidation>
    <dataValidation type="list" allowBlank="1" showInputMessage="1" showErrorMessage="1" sqref="C799">
      <formula1>CountryGroup!A2:A1000</formula1>
    </dataValidation>
    <dataValidation type="list" allowBlank="1" showInputMessage="1" showErrorMessage="1" sqref="C800">
      <formula1>CountryGroup!A2:A1000</formula1>
    </dataValidation>
    <dataValidation type="list" allowBlank="1" showInputMessage="1" showErrorMessage="1" sqref="C801">
      <formula1>CountryGroup!A2:A1000</formula1>
    </dataValidation>
    <dataValidation type="list" allowBlank="1" showInputMessage="1" showErrorMessage="1" sqref="C802">
      <formula1>CountryGroup!A2:A1000</formula1>
    </dataValidation>
    <dataValidation type="list" allowBlank="1" showInputMessage="1" showErrorMessage="1" sqref="C803">
      <formula1>CountryGroup!A2:A1000</formula1>
    </dataValidation>
    <dataValidation type="list" allowBlank="1" showInputMessage="1" showErrorMessage="1" sqref="C804">
      <formula1>CountryGroup!A2:A1000</formula1>
    </dataValidation>
    <dataValidation type="list" allowBlank="1" showInputMessage="1" showErrorMessage="1" sqref="C805">
      <formula1>CountryGroup!A2:A1000</formula1>
    </dataValidation>
    <dataValidation type="list" allowBlank="1" showInputMessage="1" showErrorMessage="1" sqref="C806">
      <formula1>CountryGroup!A2:A1000</formula1>
    </dataValidation>
    <dataValidation type="list" allowBlank="1" showInputMessage="1" showErrorMessage="1" sqref="C807">
      <formula1>CountryGroup!A2:A1000</formula1>
    </dataValidation>
    <dataValidation type="list" allowBlank="1" showInputMessage="1" showErrorMessage="1" sqref="C808">
      <formula1>CountryGroup!A2:A1000</formula1>
    </dataValidation>
    <dataValidation type="list" allowBlank="1" showInputMessage="1" showErrorMessage="1" sqref="C809">
      <formula1>CountryGroup!A2:A1000</formula1>
    </dataValidation>
    <dataValidation type="list" allowBlank="1" showInputMessage="1" showErrorMessage="1" sqref="C810">
      <formula1>CountryGroup!A2:A1000</formula1>
    </dataValidation>
    <dataValidation type="list" allowBlank="1" showInputMessage="1" showErrorMessage="1" sqref="C811">
      <formula1>CountryGroup!A2:A1000</formula1>
    </dataValidation>
    <dataValidation type="list" allowBlank="1" showInputMessage="1" showErrorMessage="1" sqref="C812">
      <formula1>CountryGroup!A2:A1000</formula1>
    </dataValidation>
    <dataValidation type="list" allowBlank="1" showInputMessage="1" showErrorMessage="1" sqref="C813">
      <formula1>CountryGroup!A2:A1000</formula1>
    </dataValidation>
    <dataValidation type="list" allowBlank="1" showInputMessage="1" showErrorMessage="1" sqref="C814">
      <formula1>CountryGroup!A2:A1000</formula1>
    </dataValidation>
    <dataValidation type="list" allowBlank="1" showInputMessage="1" showErrorMessage="1" sqref="C815">
      <formula1>CountryGroup!A2:A1000</formula1>
    </dataValidation>
    <dataValidation type="list" allowBlank="1" showInputMessage="1" showErrorMessage="1" sqref="C816">
      <formula1>CountryGroup!A2:A1000</formula1>
    </dataValidation>
    <dataValidation type="list" allowBlank="1" showInputMessage="1" showErrorMessage="1" sqref="C817">
      <formula1>CountryGroup!A2:A1000</formula1>
    </dataValidation>
    <dataValidation type="list" allowBlank="1" showInputMessage="1" showErrorMessage="1" sqref="C818">
      <formula1>CountryGroup!A2:A1000</formula1>
    </dataValidation>
    <dataValidation type="list" allowBlank="1" showInputMessage="1" showErrorMessage="1" sqref="C819">
      <formula1>CountryGroup!A2:A1000</formula1>
    </dataValidation>
    <dataValidation type="list" allowBlank="1" showInputMessage="1" showErrorMessage="1" sqref="C820">
      <formula1>CountryGroup!A2:A1000</formula1>
    </dataValidation>
    <dataValidation type="list" allowBlank="1" showInputMessage="1" showErrorMessage="1" sqref="C821">
      <formula1>CountryGroup!A2:A1000</formula1>
    </dataValidation>
    <dataValidation type="list" allowBlank="1" showInputMessage="1" showErrorMessage="1" sqref="C822">
      <formula1>CountryGroup!A2:A1000</formula1>
    </dataValidation>
    <dataValidation type="list" allowBlank="1" showInputMessage="1" showErrorMessage="1" sqref="C823">
      <formula1>CountryGroup!A2:A1000</formula1>
    </dataValidation>
    <dataValidation type="list" allowBlank="1" showInputMessage="1" showErrorMessage="1" sqref="C824">
      <formula1>CountryGroup!A2:A1000</formula1>
    </dataValidation>
    <dataValidation type="list" allowBlank="1" showInputMessage="1" showErrorMessage="1" sqref="C825">
      <formula1>CountryGroup!A2:A1000</formula1>
    </dataValidation>
    <dataValidation type="list" allowBlank="1" showInputMessage="1" showErrorMessage="1" sqref="C826">
      <formula1>CountryGroup!A2:A1000</formula1>
    </dataValidation>
    <dataValidation type="list" allowBlank="1" showInputMessage="1" showErrorMessage="1" sqref="C827">
      <formula1>CountryGroup!A2:A1000</formula1>
    </dataValidation>
    <dataValidation type="list" allowBlank="1" showInputMessage="1" showErrorMessage="1" sqref="C828">
      <formula1>CountryGroup!A2:A1000</formula1>
    </dataValidation>
    <dataValidation type="list" allowBlank="1" showInputMessage="1" showErrorMessage="1" sqref="C829">
      <formula1>CountryGroup!A2:A1000</formula1>
    </dataValidation>
    <dataValidation type="list" allowBlank="1" showInputMessage="1" showErrorMessage="1" sqref="C830">
      <formula1>CountryGroup!A2:A1000</formula1>
    </dataValidation>
    <dataValidation type="list" allowBlank="1" showInputMessage="1" showErrorMessage="1" sqref="C831">
      <formula1>CountryGroup!A2:A1000</formula1>
    </dataValidation>
    <dataValidation type="list" allowBlank="1" showInputMessage="1" showErrorMessage="1" sqref="C832">
      <formula1>CountryGroup!A2:A1000</formula1>
    </dataValidation>
    <dataValidation type="list" allowBlank="1" showInputMessage="1" showErrorMessage="1" sqref="C833">
      <formula1>CountryGroup!A2:A1000</formula1>
    </dataValidation>
    <dataValidation type="list" allowBlank="1" showInputMessage="1" showErrorMessage="1" sqref="C834">
      <formula1>CountryGroup!A2:A1000</formula1>
    </dataValidation>
    <dataValidation type="list" allowBlank="1" showInputMessage="1" showErrorMessage="1" sqref="C835">
      <formula1>CountryGroup!A2:A1000</formula1>
    </dataValidation>
    <dataValidation type="list" allowBlank="1" showInputMessage="1" showErrorMessage="1" sqref="C836">
      <formula1>CountryGroup!A2:A1000</formula1>
    </dataValidation>
    <dataValidation type="list" allowBlank="1" showInputMessage="1" showErrorMessage="1" sqref="C837">
      <formula1>CountryGroup!A2:A1000</formula1>
    </dataValidation>
    <dataValidation type="list" allowBlank="1" showInputMessage="1" showErrorMessage="1" sqref="C838">
      <formula1>CountryGroup!A2:A1000</formula1>
    </dataValidation>
    <dataValidation type="list" allowBlank="1" showInputMessage="1" showErrorMessage="1" sqref="C839">
      <formula1>CountryGroup!A2:A1000</formula1>
    </dataValidation>
    <dataValidation type="list" allowBlank="1" showInputMessage="1" showErrorMessage="1" sqref="C840">
      <formula1>CountryGroup!A2:A1000</formula1>
    </dataValidation>
    <dataValidation type="list" allowBlank="1" showInputMessage="1" showErrorMessage="1" sqref="C841">
      <formula1>CountryGroup!A2:A1000</formula1>
    </dataValidation>
    <dataValidation type="list" allowBlank="1" showInputMessage="1" showErrorMessage="1" sqref="C842">
      <formula1>CountryGroup!A2:A1000</formula1>
    </dataValidation>
    <dataValidation type="list" allowBlank="1" showInputMessage="1" showErrorMessage="1" sqref="C843">
      <formula1>CountryGroup!A2:A1000</formula1>
    </dataValidation>
    <dataValidation type="list" allowBlank="1" showInputMessage="1" showErrorMessage="1" sqref="C844">
      <formula1>CountryGroup!A2:A1000</formula1>
    </dataValidation>
    <dataValidation type="list" allowBlank="1" showInputMessage="1" showErrorMessage="1" sqref="C845">
      <formula1>CountryGroup!A2:A1000</formula1>
    </dataValidation>
    <dataValidation type="list" allowBlank="1" showInputMessage="1" showErrorMessage="1" sqref="C846">
      <formula1>CountryGroup!A2:A1000</formula1>
    </dataValidation>
    <dataValidation type="list" allowBlank="1" showInputMessage="1" showErrorMessage="1" sqref="C847">
      <formula1>CountryGroup!A2:A1000</formula1>
    </dataValidation>
    <dataValidation type="list" allowBlank="1" showInputMessage="1" showErrorMessage="1" sqref="C848">
      <formula1>CountryGroup!A2:A1000</formula1>
    </dataValidation>
    <dataValidation type="list" allowBlank="1" showInputMessage="1" showErrorMessage="1" sqref="C849">
      <formula1>CountryGroup!A2:A1000</formula1>
    </dataValidation>
    <dataValidation type="list" allowBlank="1" showInputMessage="1" showErrorMessage="1" sqref="C850">
      <formula1>CountryGroup!A2:A1000</formula1>
    </dataValidation>
    <dataValidation type="list" allowBlank="1" showInputMessage="1" showErrorMessage="1" sqref="C851">
      <formula1>CountryGroup!A2:A1000</formula1>
    </dataValidation>
    <dataValidation type="list" allowBlank="1" showInputMessage="1" showErrorMessage="1" sqref="C852">
      <formula1>CountryGroup!A2:A1000</formula1>
    </dataValidation>
    <dataValidation type="list" allowBlank="1" showInputMessage="1" showErrorMessage="1" sqref="C853">
      <formula1>CountryGroup!A2:A1000</formula1>
    </dataValidation>
    <dataValidation type="list" allowBlank="1" showInputMessage="1" showErrorMessage="1" sqref="C854">
      <formula1>CountryGroup!A2:A1000</formula1>
    </dataValidation>
    <dataValidation type="list" allowBlank="1" showInputMessage="1" showErrorMessage="1" sqref="C855">
      <formula1>CountryGroup!A2:A1000</formula1>
    </dataValidation>
    <dataValidation type="list" allowBlank="1" showInputMessage="1" showErrorMessage="1" sqref="C856">
      <formula1>CountryGroup!A2:A1000</formula1>
    </dataValidation>
    <dataValidation type="list" allowBlank="1" showInputMessage="1" showErrorMessage="1" sqref="C857">
      <formula1>CountryGroup!A2:A1000</formula1>
    </dataValidation>
    <dataValidation type="list" allowBlank="1" showInputMessage="1" showErrorMessage="1" sqref="C858">
      <formula1>CountryGroup!A2:A1000</formula1>
    </dataValidation>
    <dataValidation type="list" allowBlank="1" showInputMessage="1" showErrorMessage="1" sqref="C859">
      <formula1>CountryGroup!A2:A1000</formula1>
    </dataValidation>
    <dataValidation type="list" allowBlank="1" showInputMessage="1" showErrorMessage="1" sqref="C860">
      <formula1>CountryGroup!A2:A1000</formula1>
    </dataValidation>
    <dataValidation type="list" allowBlank="1" showInputMessage="1" showErrorMessage="1" sqref="C861">
      <formula1>CountryGroup!A2:A1000</formula1>
    </dataValidation>
    <dataValidation type="list" allowBlank="1" showInputMessage="1" showErrorMessage="1" sqref="C862">
      <formula1>CountryGroup!A2:A1000</formula1>
    </dataValidation>
    <dataValidation type="list" allowBlank="1" showInputMessage="1" showErrorMessage="1" sqref="C863">
      <formula1>CountryGroup!A2:A1000</formula1>
    </dataValidation>
    <dataValidation type="list" allowBlank="1" showInputMessage="1" showErrorMessage="1" sqref="C864">
      <formula1>CountryGroup!A2:A1000</formula1>
    </dataValidation>
    <dataValidation type="list" allowBlank="1" showInputMessage="1" showErrorMessage="1" sqref="C865">
      <formula1>CountryGroup!A2:A1000</formula1>
    </dataValidation>
    <dataValidation type="list" allowBlank="1" showInputMessage="1" showErrorMessage="1" sqref="C866">
      <formula1>CountryGroup!A2:A1000</formula1>
    </dataValidation>
    <dataValidation type="list" allowBlank="1" showInputMessage="1" showErrorMessage="1" sqref="C867">
      <formula1>CountryGroup!A2:A1000</formula1>
    </dataValidation>
    <dataValidation type="list" allowBlank="1" showInputMessage="1" showErrorMessage="1" sqref="C868">
      <formula1>CountryGroup!A2:A1000</formula1>
    </dataValidation>
    <dataValidation type="list" allowBlank="1" showInputMessage="1" showErrorMessage="1" sqref="C869">
      <formula1>CountryGroup!A2:A1000</formula1>
    </dataValidation>
    <dataValidation type="list" allowBlank="1" showInputMessage="1" showErrorMessage="1" sqref="C870">
      <formula1>CountryGroup!A2:A1000</formula1>
    </dataValidation>
    <dataValidation type="list" allowBlank="1" showInputMessage="1" showErrorMessage="1" sqref="C871">
      <formula1>CountryGroup!A2:A1000</formula1>
    </dataValidation>
    <dataValidation type="list" allowBlank="1" showInputMessage="1" showErrorMessage="1" sqref="C872">
      <formula1>CountryGroup!A2:A1000</formula1>
    </dataValidation>
    <dataValidation type="list" allowBlank="1" showInputMessage="1" showErrorMessage="1" sqref="C873">
      <formula1>CountryGroup!A2:A1000</formula1>
    </dataValidation>
    <dataValidation type="list" allowBlank="1" showInputMessage="1" showErrorMessage="1" sqref="C874">
      <formula1>CountryGroup!A2:A1000</formula1>
    </dataValidation>
    <dataValidation type="list" allowBlank="1" showInputMessage="1" showErrorMessage="1" sqref="C875">
      <formula1>CountryGroup!A2:A1000</formula1>
    </dataValidation>
    <dataValidation type="list" allowBlank="1" showInputMessage="1" showErrorMessage="1" sqref="C876">
      <formula1>CountryGroup!A2:A1000</formula1>
    </dataValidation>
    <dataValidation type="list" allowBlank="1" showInputMessage="1" showErrorMessage="1" sqref="C877">
      <formula1>CountryGroup!A2:A1000</formula1>
    </dataValidation>
    <dataValidation type="list" allowBlank="1" showInputMessage="1" showErrorMessage="1" sqref="C878">
      <formula1>CountryGroup!A2:A1000</formula1>
    </dataValidation>
    <dataValidation type="list" allowBlank="1" showInputMessage="1" showErrorMessage="1" sqref="C879">
      <formula1>CountryGroup!A2:A1000</formula1>
    </dataValidation>
    <dataValidation type="list" allowBlank="1" showInputMessage="1" showErrorMessage="1" sqref="C880">
      <formula1>CountryGroup!A2:A1000</formula1>
    </dataValidation>
    <dataValidation type="list" allowBlank="1" showInputMessage="1" showErrorMessage="1" sqref="C881">
      <formula1>CountryGroup!A2:A1000</formula1>
    </dataValidation>
    <dataValidation type="list" allowBlank="1" showInputMessage="1" showErrorMessage="1" sqref="C882">
      <formula1>CountryGroup!A2:A1000</formula1>
    </dataValidation>
    <dataValidation type="list" allowBlank="1" showInputMessage="1" showErrorMessage="1" sqref="C883">
      <formula1>CountryGroup!A2:A1000</formula1>
    </dataValidation>
    <dataValidation type="list" allowBlank="1" showInputMessage="1" showErrorMessage="1" sqref="C884">
      <formula1>CountryGroup!A2:A1000</formula1>
    </dataValidation>
    <dataValidation type="list" allowBlank="1" showInputMessage="1" showErrorMessage="1" sqref="C885">
      <formula1>CountryGroup!A2:A1000</formula1>
    </dataValidation>
    <dataValidation type="list" allowBlank="1" showInputMessage="1" showErrorMessage="1" sqref="C886">
      <formula1>CountryGroup!A2:A1000</formula1>
    </dataValidation>
    <dataValidation type="list" allowBlank="1" showInputMessage="1" showErrorMessage="1" sqref="C887">
      <formula1>CountryGroup!A2:A1000</formula1>
    </dataValidation>
    <dataValidation type="list" allowBlank="1" showInputMessage="1" showErrorMessage="1" sqref="C888">
      <formula1>CountryGroup!A2:A1000</formula1>
    </dataValidation>
    <dataValidation type="list" allowBlank="1" showInputMessage="1" showErrorMessage="1" sqref="C889">
      <formula1>CountryGroup!A2:A1000</formula1>
    </dataValidation>
    <dataValidation type="list" allowBlank="1" showInputMessage="1" showErrorMessage="1" sqref="C890">
      <formula1>CountryGroup!A2:A1000</formula1>
    </dataValidation>
    <dataValidation type="list" allowBlank="1" showInputMessage="1" showErrorMessage="1" sqref="C891">
      <formula1>CountryGroup!A2:A1000</formula1>
    </dataValidation>
    <dataValidation type="list" allowBlank="1" showInputMessage="1" showErrorMessage="1" sqref="C892">
      <formula1>CountryGroup!A2:A1000</formula1>
    </dataValidation>
    <dataValidation type="list" allowBlank="1" showInputMessage="1" showErrorMessage="1" sqref="C893">
      <formula1>CountryGroup!A2:A1000</formula1>
    </dataValidation>
    <dataValidation type="list" allowBlank="1" showInputMessage="1" showErrorMessage="1" sqref="C894">
      <formula1>CountryGroup!A2:A1000</formula1>
    </dataValidation>
    <dataValidation type="list" allowBlank="1" showInputMessage="1" showErrorMessage="1" sqref="C895">
      <formula1>CountryGroup!A2:A1000</formula1>
    </dataValidation>
    <dataValidation type="list" allowBlank="1" showInputMessage="1" showErrorMessage="1" sqref="C896">
      <formula1>CountryGroup!A2:A1000</formula1>
    </dataValidation>
    <dataValidation type="list" allowBlank="1" showInputMessage="1" showErrorMessage="1" sqref="C897">
      <formula1>CountryGroup!A2:A1000</formula1>
    </dataValidation>
    <dataValidation type="list" allowBlank="1" showInputMessage="1" showErrorMessage="1" sqref="C898">
      <formula1>CountryGroup!A2:A1000</formula1>
    </dataValidation>
    <dataValidation type="list" allowBlank="1" showInputMessage="1" showErrorMessage="1" sqref="C899">
      <formula1>CountryGroup!A2:A1000</formula1>
    </dataValidation>
    <dataValidation type="list" allowBlank="1" showInputMessage="1" showErrorMessage="1" sqref="C900">
      <formula1>CountryGroup!A2:A1000</formula1>
    </dataValidation>
    <dataValidation type="list" allowBlank="1" showInputMessage="1" showErrorMessage="1" sqref="C901">
      <formula1>CountryGroup!A2:A1000</formula1>
    </dataValidation>
    <dataValidation type="list" allowBlank="1" showInputMessage="1" showErrorMessage="1" sqref="C902">
      <formula1>CountryGroup!A2:A1000</formula1>
    </dataValidation>
    <dataValidation type="list" allowBlank="1" showInputMessage="1" showErrorMessage="1" sqref="C903">
      <formula1>CountryGroup!A2:A1000</formula1>
    </dataValidation>
    <dataValidation type="list" allowBlank="1" showInputMessage="1" showErrorMessage="1" sqref="C904">
      <formula1>CountryGroup!A2:A1000</formula1>
    </dataValidation>
    <dataValidation type="list" allowBlank="1" showInputMessage="1" showErrorMessage="1" sqref="C905">
      <formula1>CountryGroup!A2:A1000</formula1>
    </dataValidation>
    <dataValidation type="list" allowBlank="1" showInputMessage="1" showErrorMessage="1" sqref="C906">
      <formula1>CountryGroup!A2:A1000</formula1>
    </dataValidation>
    <dataValidation type="list" allowBlank="1" showInputMessage="1" showErrorMessage="1" sqref="C907">
      <formula1>CountryGroup!A2:A1000</formula1>
    </dataValidation>
    <dataValidation type="list" allowBlank="1" showInputMessage="1" showErrorMessage="1" sqref="C908">
      <formula1>CountryGroup!A2:A1000</formula1>
    </dataValidation>
    <dataValidation type="list" allowBlank="1" showInputMessage="1" showErrorMessage="1" sqref="C909">
      <formula1>CountryGroup!A2:A1000</formula1>
    </dataValidation>
    <dataValidation type="list" allowBlank="1" showInputMessage="1" showErrorMessage="1" sqref="C910">
      <formula1>CountryGroup!A2:A1000</formula1>
    </dataValidation>
    <dataValidation type="list" allowBlank="1" showInputMessage="1" showErrorMessage="1" sqref="C911">
      <formula1>CountryGroup!A2:A1000</formula1>
    </dataValidation>
    <dataValidation type="list" allowBlank="1" showInputMessage="1" showErrorMessage="1" sqref="C912">
      <formula1>CountryGroup!A2:A1000</formula1>
    </dataValidation>
    <dataValidation type="list" allowBlank="1" showInputMessage="1" showErrorMessage="1" sqref="C913">
      <formula1>CountryGroup!A2:A1000</formula1>
    </dataValidation>
    <dataValidation type="list" allowBlank="1" showInputMessage="1" showErrorMessage="1" sqref="C914">
      <formula1>CountryGroup!A2:A1000</formula1>
    </dataValidation>
    <dataValidation type="list" allowBlank="1" showInputMessage="1" showErrorMessage="1" sqref="C915">
      <formula1>CountryGroup!A2:A1000</formula1>
    </dataValidation>
    <dataValidation type="list" allowBlank="1" showInputMessage="1" showErrorMessage="1" sqref="C916">
      <formula1>CountryGroup!A2:A1000</formula1>
    </dataValidation>
    <dataValidation type="list" allowBlank="1" showInputMessage="1" showErrorMessage="1" sqref="C917">
      <formula1>CountryGroup!A2:A1000</formula1>
    </dataValidation>
    <dataValidation type="list" allowBlank="1" showInputMessage="1" showErrorMessage="1" sqref="C918">
      <formula1>CountryGroup!A2:A1000</formula1>
    </dataValidation>
    <dataValidation type="list" allowBlank="1" showInputMessage="1" showErrorMessage="1" sqref="C919">
      <formula1>CountryGroup!A2:A1000</formula1>
    </dataValidation>
    <dataValidation type="list" allowBlank="1" showInputMessage="1" showErrorMessage="1" sqref="C920">
      <formula1>CountryGroup!A2:A1000</formula1>
    </dataValidation>
    <dataValidation type="list" allowBlank="1" showInputMessage="1" showErrorMessage="1" sqref="C921">
      <formula1>CountryGroup!A2:A1000</formula1>
    </dataValidation>
    <dataValidation type="list" allowBlank="1" showInputMessage="1" showErrorMessage="1" sqref="C922">
      <formula1>CountryGroup!A2:A1000</formula1>
    </dataValidation>
    <dataValidation type="list" allowBlank="1" showInputMessage="1" showErrorMessage="1" sqref="C923">
      <formula1>CountryGroup!A2:A1000</formula1>
    </dataValidation>
    <dataValidation type="list" allowBlank="1" showInputMessage="1" showErrorMessage="1" sqref="C924">
      <formula1>CountryGroup!A2:A1000</formula1>
    </dataValidation>
    <dataValidation type="list" allowBlank="1" showInputMessage="1" showErrorMessage="1" sqref="C925">
      <formula1>CountryGroup!A2:A1000</formula1>
    </dataValidation>
    <dataValidation type="list" allowBlank="1" showInputMessage="1" showErrorMessage="1" sqref="C926">
      <formula1>CountryGroup!A2:A1000</formula1>
    </dataValidation>
    <dataValidation type="list" allowBlank="1" showInputMessage="1" showErrorMessage="1" sqref="C927">
      <formula1>CountryGroup!A2:A1000</formula1>
    </dataValidation>
    <dataValidation type="list" allowBlank="1" showInputMessage="1" showErrorMessage="1" sqref="C928">
      <formula1>CountryGroup!A2:A1000</formula1>
    </dataValidation>
    <dataValidation type="list" allowBlank="1" showInputMessage="1" showErrorMessage="1" sqref="C929">
      <formula1>CountryGroup!A2:A1000</formula1>
    </dataValidation>
    <dataValidation type="list" allowBlank="1" showInputMessage="1" showErrorMessage="1" sqref="C930">
      <formula1>CountryGroup!A2:A1000</formula1>
    </dataValidation>
    <dataValidation type="list" allowBlank="1" showInputMessage="1" showErrorMessage="1" sqref="C931">
      <formula1>CountryGroup!A2:A1000</formula1>
    </dataValidation>
    <dataValidation type="list" allowBlank="1" showInputMessage="1" showErrorMessage="1" sqref="C932">
      <formula1>CountryGroup!A2:A1000</formula1>
    </dataValidation>
    <dataValidation type="list" allowBlank="1" showInputMessage="1" showErrorMessage="1" sqref="C933">
      <formula1>CountryGroup!A2:A1000</formula1>
    </dataValidation>
    <dataValidation type="list" allowBlank="1" showInputMessage="1" showErrorMessage="1" sqref="C934">
      <formula1>CountryGroup!A2:A1000</formula1>
    </dataValidation>
    <dataValidation type="list" allowBlank="1" showInputMessage="1" showErrorMessage="1" sqref="C935">
      <formula1>CountryGroup!A2:A1000</formula1>
    </dataValidation>
    <dataValidation type="list" allowBlank="1" showInputMessage="1" showErrorMessage="1" sqref="C936">
      <formula1>CountryGroup!A2:A1000</formula1>
    </dataValidation>
    <dataValidation type="list" allowBlank="1" showInputMessage="1" showErrorMessage="1" sqref="C937">
      <formula1>CountryGroup!A2:A1000</formula1>
    </dataValidation>
    <dataValidation type="list" allowBlank="1" showInputMessage="1" showErrorMessage="1" sqref="C938">
      <formula1>CountryGroup!A2:A1000</formula1>
    </dataValidation>
    <dataValidation type="list" allowBlank="1" showInputMessage="1" showErrorMessage="1" sqref="C939">
      <formula1>CountryGroup!A2:A1000</formula1>
    </dataValidation>
    <dataValidation type="list" allowBlank="1" showInputMessage="1" showErrorMessage="1" sqref="C940">
      <formula1>CountryGroup!A2:A1000</formula1>
    </dataValidation>
    <dataValidation type="list" allowBlank="1" showInputMessage="1" showErrorMessage="1" sqref="C941">
      <formula1>CountryGroup!A2:A1000</formula1>
    </dataValidation>
    <dataValidation type="list" allowBlank="1" showInputMessage="1" showErrorMessage="1" sqref="C942">
      <formula1>CountryGroup!A2:A1000</formula1>
    </dataValidation>
    <dataValidation type="list" allowBlank="1" showInputMessage="1" showErrorMessage="1" sqref="C943">
      <formula1>CountryGroup!A2:A1000</formula1>
    </dataValidation>
    <dataValidation type="list" allowBlank="1" showInputMessage="1" showErrorMessage="1" sqref="C944">
      <formula1>CountryGroup!A2:A1000</formula1>
    </dataValidation>
    <dataValidation type="list" allowBlank="1" showInputMessage="1" showErrorMessage="1" sqref="C945">
      <formula1>CountryGroup!A2:A1000</formula1>
    </dataValidation>
    <dataValidation type="list" allowBlank="1" showInputMessage="1" showErrorMessage="1" sqref="C946">
      <formula1>CountryGroup!A2:A1000</formula1>
    </dataValidation>
    <dataValidation type="list" allowBlank="1" showInputMessage="1" showErrorMessage="1" sqref="C947">
      <formula1>CountryGroup!A2:A1000</formula1>
    </dataValidation>
    <dataValidation type="list" allowBlank="1" showInputMessage="1" showErrorMessage="1" sqref="C948">
      <formula1>CountryGroup!A2:A1000</formula1>
    </dataValidation>
    <dataValidation type="list" allowBlank="1" showInputMessage="1" showErrorMessage="1" sqref="C949">
      <formula1>CountryGroup!A2:A1000</formula1>
    </dataValidation>
    <dataValidation type="list" allowBlank="1" showInputMessage="1" showErrorMessage="1" sqref="C950">
      <formula1>CountryGroup!A2:A1000</formula1>
    </dataValidation>
    <dataValidation type="list" allowBlank="1" showInputMessage="1" showErrorMessage="1" sqref="C951">
      <formula1>CountryGroup!A2:A1000</formula1>
    </dataValidation>
    <dataValidation type="list" allowBlank="1" showInputMessage="1" showErrorMessage="1" sqref="C952">
      <formula1>CountryGroup!A2:A1000</formula1>
    </dataValidation>
    <dataValidation type="list" allowBlank="1" showInputMessage="1" showErrorMessage="1" sqref="C953">
      <formula1>CountryGroup!A2:A1000</formula1>
    </dataValidation>
    <dataValidation type="list" allowBlank="1" showInputMessage="1" showErrorMessage="1" sqref="C954">
      <formula1>CountryGroup!A2:A1000</formula1>
    </dataValidation>
    <dataValidation type="list" allowBlank="1" showInputMessage="1" showErrorMessage="1" sqref="C955">
      <formula1>CountryGroup!A2:A1000</formula1>
    </dataValidation>
    <dataValidation type="list" allowBlank="1" showInputMessage="1" showErrorMessage="1" sqref="C956">
      <formula1>CountryGroup!A2:A1000</formula1>
    </dataValidation>
    <dataValidation type="list" allowBlank="1" showInputMessage="1" showErrorMessage="1" sqref="C957">
      <formula1>CountryGroup!A2:A1000</formula1>
    </dataValidation>
    <dataValidation type="list" allowBlank="1" showInputMessage="1" showErrorMessage="1" sqref="C958">
      <formula1>CountryGroup!A2:A1000</formula1>
    </dataValidation>
    <dataValidation type="list" allowBlank="1" showInputMessage="1" showErrorMessage="1" sqref="C959">
      <formula1>CountryGroup!A2:A1000</formula1>
    </dataValidation>
    <dataValidation type="list" allowBlank="1" showInputMessage="1" showErrorMessage="1" sqref="C960">
      <formula1>CountryGroup!A2:A1000</formula1>
    </dataValidation>
    <dataValidation type="list" allowBlank="1" showInputMessage="1" showErrorMessage="1" sqref="C961">
      <formula1>CountryGroup!A2:A1000</formula1>
    </dataValidation>
    <dataValidation type="list" allowBlank="1" showInputMessage="1" showErrorMessage="1" sqref="C962">
      <formula1>CountryGroup!A2:A1000</formula1>
    </dataValidation>
    <dataValidation type="list" allowBlank="1" showInputMessage="1" showErrorMessage="1" sqref="C963">
      <formula1>CountryGroup!A2:A1000</formula1>
    </dataValidation>
    <dataValidation type="list" allowBlank="1" showInputMessage="1" showErrorMessage="1" sqref="C964">
      <formula1>CountryGroup!A2:A1000</formula1>
    </dataValidation>
    <dataValidation type="list" allowBlank="1" showInputMessage="1" showErrorMessage="1" sqref="C965">
      <formula1>CountryGroup!A2:A1000</formula1>
    </dataValidation>
    <dataValidation type="list" allowBlank="1" showInputMessage="1" showErrorMessage="1" sqref="C966">
      <formula1>CountryGroup!A2:A1000</formula1>
    </dataValidation>
    <dataValidation type="list" allowBlank="1" showInputMessage="1" showErrorMessage="1" sqref="C967">
      <formula1>CountryGroup!A2:A1000</formula1>
    </dataValidation>
    <dataValidation type="list" allowBlank="1" showInputMessage="1" showErrorMessage="1" sqref="C968">
      <formula1>CountryGroup!A2:A1000</formula1>
    </dataValidation>
    <dataValidation type="list" allowBlank="1" showInputMessage="1" showErrorMessage="1" sqref="C969">
      <formula1>CountryGroup!A2:A1000</formula1>
    </dataValidation>
    <dataValidation type="list" allowBlank="1" showInputMessage="1" showErrorMessage="1" sqref="C970">
      <formula1>CountryGroup!A2:A1000</formula1>
    </dataValidation>
    <dataValidation type="list" allowBlank="1" showInputMessage="1" showErrorMessage="1" sqref="C971">
      <formula1>CountryGroup!A2:A1000</formula1>
    </dataValidation>
    <dataValidation type="list" allowBlank="1" showInputMessage="1" showErrorMessage="1" sqref="C972">
      <formula1>CountryGroup!A2:A1000</formula1>
    </dataValidation>
    <dataValidation type="list" allowBlank="1" showInputMessage="1" showErrorMessage="1" sqref="C973">
      <formula1>CountryGroup!A2:A1000</formula1>
    </dataValidation>
    <dataValidation type="list" allowBlank="1" showInputMessage="1" showErrorMessage="1" sqref="C974">
      <formula1>CountryGroup!A2:A1000</formula1>
    </dataValidation>
    <dataValidation type="list" allowBlank="1" showInputMessage="1" showErrorMessage="1" sqref="C975">
      <formula1>CountryGroup!A2:A1000</formula1>
    </dataValidation>
    <dataValidation type="list" allowBlank="1" showInputMessage="1" showErrorMessage="1" sqref="C976">
      <formula1>CountryGroup!A2:A1000</formula1>
    </dataValidation>
    <dataValidation type="list" allowBlank="1" showInputMessage="1" showErrorMessage="1" sqref="C977">
      <formula1>CountryGroup!A2:A1000</formula1>
    </dataValidation>
    <dataValidation type="list" allowBlank="1" showInputMessage="1" showErrorMessage="1" sqref="C978">
      <formula1>CountryGroup!A2:A1000</formula1>
    </dataValidation>
    <dataValidation type="list" allowBlank="1" showInputMessage="1" showErrorMessage="1" sqref="C979">
      <formula1>CountryGroup!A2:A1000</formula1>
    </dataValidation>
    <dataValidation type="list" allowBlank="1" showInputMessage="1" showErrorMessage="1" sqref="C980">
      <formula1>CountryGroup!A2:A1000</formula1>
    </dataValidation>
    <dataValidation type="list" allowBlank="1" showInputMessage="1" showErrorMessage="1" sqref="C981">
      <formula1>CountryGroup!A2:A1000</formula1>
    </dataValidation>
    <dataValidation type="list" allowBlank="1" showInputMessage="1" showErrorMessage="1" sqref="C982">
      <formula1>CountryGroup!A2:A1000</formula1>
    </dataValidation>
    <dataValidation type="list" allowBlank="1" showInputMessage="1" showErrorMessage="1" sqref="C983">
      <formula1>CountryGroup!A2:A1000</formula1>
    </dataValidation>
    <dataValidation type="list" allowBlank="1" showInputMessage="1" showErrorMessage="1" sqref="C984">
      <formula1>CountryGroup!A2:A1000</formula1>
    </dataValidation>
    <dataValidation type="list" allowBlank="1" showInputMessage="1" showErrorMessage="1" sqref="C985">
      <formula1>CountryGroup!A2:A1000</formula1>
    </dataValidation>
    <dataValidation type="list" allowBlank="1" showInputMessage="1" showErrorMessage="1" sqref="C986">
      <formula1>CountryGroup!A2:A1000</formula1>
    </dataValidation>
    <dataValidation type="list" allowBlank="1" showInputMessage="1" showErrorMessage="1" sqref="C987">
      <formula1>CountryGroup!A2:A1000</formula1>
    </dataValidation>
    <dataValidation type="list" allowBlank="1" showInputMessage="1" showErrorMessage="1" sqref="C988">
      <formula1>CountryGroup!A2:A1000</formula1>
    </dataValidation>
    <dataValidation type="list" allowBlank="1" showInputMessage="1" showErrorMessage="1" sqref="C989">
      <formula1>CountryGroup!A2:A1000</formula1>
    </dataValidation>
    <dataValidation type="list" allowBlank="1" showInputMessage="1" showErrorMessage="1" sqref="C990">
      <formula1>CountryGroup!A2:A1000</formula1>
    </dataValidation>
    <dataValidation type="list" allowBlank="1" showInputMessage="1" showErrorMessage="1" sqref="C991">
      <formula1>CountryGroup!A2:A1000</formula1>
    </dataValidation>
    <dataValidation type="list" allowBlank="1" showInputMessage="1" showErrorMessage="1" sqref="C992">
      <formula1>CountryGroup!A2:A1000</formula1>
    </dataValidation>
    <dataValidation type="list" allowBlank="1" showInputMessage="1" showErrorMessage="1" sqref="C993">
      <formula1>CountryGroup!A2:A1000</formula1>
    </dataValidation>
    <dataValidation type="list" allowBlank="1" showInputMessage="1" showErrorMessage="1" sqref="C994">
      <formula1>CountryGroup!A2:A1000</formula1>
    </dataValidation>
    <dataValidation type="list" allowBlank="1" showInputMessage="1" showErrorMessage="1" sqref="C995">
      <formula1>CountryGroup!A2:A1000</formula1>
    </dataValidation>
    <dataValidation type="list" allowBlank="1" showInputMessage="1" showErrorMessage="1" sqref="C996">
      <formula1>CountryGroup!A2:A1000</formula1>
    </dataValidation>
    <dataValidation type="list" allowBlank="1" showInputMessage="1" showErrorMessage="1" sqref="C997">
      <formula1>CountryGroup!A2:A1000</formula1>
    </dataValidation>
    <dataValidation type="list" allowBlank="1" showInputMessage="1" showErrorMessage="1" sqref="C998">
      <formula1>CountryGroup!A2:A1000</formula1>
    </dataValidation>
    <dataValidation type="list" allowBlank="1" showInputMessage="1" showErrorMessage="1" sqref="C999">
      <formula1>CountryGroup!A2:A1000</formula1>
    </dataValidation>
    <dataValidation type="list" allowBlank="1" showInputMessage="1" showErrorMessage="1" sqref="C1000">
      <formula1>CountryGroup!A2:A1000</formula1>
    </dataValidation>
    <dataValidation type="list" allowBlank="1" showInputMessage="1" showErrorMessage="1" sqref="C1001">
      <formula1>CountryGroup!A2:A1000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1"/>
  <sheetViews>
    <sheetView workbookViewId="0"/>
  </sheetViews>
  <sheetFormatPr defaultRowHeight="15"/>
  <cols>
    <col min="1" max="4" width="30.7109375" customWidth="1"/>
  </cols>
  <sheetData>
    <row r="1" spans="1:4">
      <c r="A1" s="1" t="s">
        <v>0</v>
      </c>
      <c r="B1" s="2" t="s">
        <v>1</v>
      </c>
      <c r="C1" s="2" t="s">
        <v>4</v>
      </c>
      <c r="D1" s="2" t="s">
        <v>5</v>
      </c>
    </row>
    <row r="2" spans="1:4">
      <c r="A2">
        <f>IF(ISBLANK(B2), "","PriceArea-1")</f>
        <v>0</v>
      </c>
    </row>
    <row r="3" spans="1:4">
      <c r="A3">
        <f>IF(ISBLANK(B3), "","PriceArea-2")</f>
        <v>0</v>
      </c>
    </row>
    <row r="4" spans="1:4">
      <c r="A4">
        <f>IF(ISBLANK(B4), "","PriceArea-3")</f>
        <v>0</v>
      </c>
    </row>
    <row r="5" spans="1:4">
      <c r="A5">
        <f>IF(ISBLANK(B5), "","PriceArea-4")</f>
        <v>0</v>
      </c>
    </row>
    <row r="6" spans="1:4">
      <c r="A6">
        <f>IF(ISBLANK(B6), "","PriceArea-5")</f>
        <v>0</v>
      </c>
    </row>
    <row r="7" spans="1:4">
      <c r="A7">
        <f>IF(ISBLANK(B7), "","PriceArea-6")</f>
        <v>0</v>
      </c>
    </row>
    <row r="8" spans="1:4">
      <c r="A8">
        <f>IF(ISBLANK(B8), "","PriceArea-7")</f>
        <v>0</v>
      </c>
    </row>
    <row r="9" spans="1:4">
      <c r="A9">
        <f>IF(ISBLANK(B9), "","PriceArea-8")</f>
        <v>0</v>
      </c>
    </row>
    <row r="10" spans="1:4">
      <c r="A10">
        <f>IF(ISBLANK(B10), "","PriceArea-9")</f>
        <v>0</v>
      </c>
    </row>
    <row r="11" spans="1:4">
      <c r="A11">
        <f>IF(ISBLANK(B11), "","PriceArea-10")</f>
        <v>0</v>
      </c>
    </row>
    <row r="12" spans="1:4">
      <c r="A12">
        <f>IF(ISBLANK(B12), "","PriceArea-11")</f>
        <v>0</v>
      </c>
    </row>
    <row r="13" spans="1:4">
      <c r="A13">
        <f>IF(ISBLANK(B13), "","PriceArea-12")</f>
        <v>0</v>
      </c>
    </row>
    <row r="14" spans="1:4">
      <c r="A14">
        <f>IF(ISBLANK(B14), "","PriceArea-13")</f>
        <v>0</v>
      </c>
    </row>
    <row r="15" spans="1:4">
      <c r="A15">
        <f>IF(ISBLANK(B15), "","PriceArea-14")</f>
        <v>0</v>
      </c>
    </row>
    <row r="16" spans="1:4">
      <c r="A16">
        <f>IF(ISBLANK(B16), "","PriceArea-15")</f>
        <v>0</v>
      </c>
    </row>
    <row r="17" spans="1:1">
      <c r="A17">
        <f>IF(ISBLANK(B17), "","PriceArea-16")</f>
        <v>0</v>
      </c>
    </row>
    <row r="18" spans="1:1">
      <c r="A18">
        <f>IF(ISBLANK(B18), "","PriceArea-17")</f>
        <v>0</v>
      </c>
    </row>
    <row r="19" spans="1:1">
      <c r="A19">
        <f>IF(ISBLANK(B19), "","PriceArea-18")</f>
        <v>0</v>
      </c>
    </row>
    <row r="20" spans="1:1">
      <c r="A20">
        <f>IF(ISBLANK(B20), "","PriceArea-19")</f>
        <v>0</v>
      </c>
    </row>
    <row r="21" spans="1:1">
      <c r="A21">
        <f>IF(ISBLANK(B21), "","PriceArea-20")</f>
        <v>0</v>
      </c>
    </row>
    <row r="22" spans="1:1">
      <c r="A22">
        <f>IF(ISBLANK(B22), "","PriceArea-21")</f>
        <v>0</v>
      </c>
    </row>
    <row r="23" spans="1:1">
      <c r="A23">
        <f>IF(ISBLANK(B23), "","PriceArea-22")</f>
        <v>0</v>
      </c>
    </row>
    <row r="24" spans="1:1">
      <c r="A24">
        <f>IF(ISBLANK(B24), "","PriceArea-23")</f>
        <v>0</v>
      </c>
    </row>
    <row r="25" spans="1:1">
      <c r="A25">
        <f>IF(ISBLANK(B25), "","PriceArea-24")</f>
        <v>0</v>
      </c>
    </row>
    <row r="26" spans="1:1">
      <c r="A26">
        <f>IF(ISBLANK(B26), "","PriceArea-25")</f>
        <v>0</v>
      </c>
    </row>
    <row r="27" spans="1:1">
      <c r="A27">
        <f>IF(ISBLANK(B27), "","PriceArea-26")</f>
        <v>0</v>
      </c>
    </row>
    <row r="28" spans="1:1">
      <c r="A28">
        <f>IF(ISBLANK(B28), "","PriceArea-27")</f>
        <v>0</v>
      </c>
    </row>
    <row r="29" spans="1:1">
      <c r="A29">
        <f>IF(ISBLANK(B29), "","PriceArea-28")</f>
        <v>0</v>
      </c>
    </row>
    <row r="30" spans="1:1">
      <c r="A30">
        <f>IF(ISBLANK(B30), "","PriceArea-29")</f>
        <v>0</v>
      </c>
    </row>
    <row r="31" spans="1:1">
      <c r="A31">
        <f>IF(ISBLANK(B31), "","PriceArea-30")</f>
        <v>0</v>
      </c>
    </row>
    <row r="32" spans="1:1">
      <c r="A32">
        <f>IF(ISBLANK(B32), "","PriceArea-31")</f>
        <v>0</v>
      </c>
    </row>
    <row r="33" spans="1:1">
      <c r="A33">
        <f>IF(ISBLANK(B33), "","PriceArea-32")</f>
        <v>0</v>
      </c>
    </row>
    <row r="34" spans="1:1">
      <c r="A34">
        <f>IF(ISBLANK(B34), "","PriceArea-33")</f>
        <v>0</v>
      </c>
    </row>
    <row r="35" spans="1:1">
      <c r="A35">
        <f>IF(ISBLANK(B35), "","PriceArea-34")</f>
        <v>0</v>
      </c>
    </row>
    <row r="36" spans="1:1">
      <c r="A36">
        <f>IF(ISBLANK(B36), "","PriceArea-35")</f>
        <v>0</v>
      </c>
    </row>
    <row r="37" spans="1:1">
      <c r="A37">
        <f>IF(ISBLANK(B37), "","PriceArea-36")</f>
        <v>0</v>
      </c>
    </row>
    <row r="38" spans="1:1">
      <c r="A38">
        <f>IF(ISBLANK(B38), "","PriceArea-37")</f>
        <v>0</v>
      </c>
    </row>
    <row r="39" spans="1:1">
      <c r="A39">
        <f>IF(ISBLANK(B39), "","PriceArea-38")</f>
        <v>0</v>
      </c>
    </row>
    <row r="40" spans="1:1">
      <c r="A40">
        <f>IF(ISBLANK(B40), "","PriceArea-39")</f>
        <v>0</v>
      </c>
    </row>
    <row r="41" spans="1:1">
      <c r="A41">
        <f>IF(ISBLANK(B41), "","PriceArea-40")</f>
        <v>0</v>
      </c>
    </row>
    <row r="42" spans="1:1">
      <c r="A42">
        <f>IF(ISBLANK(B42), "","PriceArea-41")</f>
        <v>0</v>
      </c>
    </row>
    <row r="43" spans="1:1">
      <c r="A43">
        <f>IF(ISBLANK(B43), "","PriceArea-42")</f>
        <v>0</v>
      </c>
    </row>
    <row r="44" spans="1:1">
      <c r="A44">
        <f>IF(ISBLANK(B44), "","PriceArea-43")</f>
        <v>0</v>
      </c>
    </row>
    <row r="45" spans="1:1">
      <c r="A45">
        <f>IF(ISBLANK(B45), "","PriceArea-44")</f>
        <v>0</v>
      </c>
    </row>
    <row r="46" spans="1:1">
      <c r="A46">
        <f>IF(ISBLANK(B46), "","PriceArea-45")</f>
        <v>0</v>
      </c>
    </row>
    <row r="47" spans="1:1">
      <c r="A47">
        <f>IF(ISBLANK(B47), "","PriceArea-46")</f>
        <v>0</v>
      </c>
    </row>
    <row r="48" spans="1:1">
      <c r="A48">
        <f>IF(ISBLANK(B48), "","PriceArea-47")</f>
        <v>0</v>
      </c>
    </row>
    <row r="49" spans="1:1">
      <c r="A49">
        <f>IF(ISBLANK(B49), "","PriceArea-48")</f>
        <v>0</v>
      </c>
    </row>
    <row r="50" spans="1:1">
      <c r="A50">
        <f>IF(ISBLANK(B50), "","PriceArea-49")</f>
        <v>0</v>
      </c>
    </row>
    <row r="51" spans="1:1">
      <c r="A51">
        <f>IF(ISBLANK(B51), "","PriceArea-50")</f>
        <v>0</v>
      </c>
    </row>
    <row r="52" spans="1:1">
      <c r="A52">
        <f>IF(ISBLANK(B52), "","PriceArea-51")</f>
        <v>0</v>
      </c>
    </row>
    <row r="53" spans="1:1">
      <c r="A53">
        <f>IF(ISBLANK(B53), "","PriceArea-52")</f>
        <v>0</v>
      </c>
    </row>
    <row r="54" spans="1:1">
      <c r="A54">
        <f>IF(ISBLANK(B54), "","PriceArea-53")</f>
        <v>0</v>
      </c>
    </row>
    <row r="55" spans="1:1">
      <c r="A55">
        <f>IF(ISBLANK(B55), "","PriceArea-54")</f>
        <v>0</v>
      </c>
    </row>
    <row r="56" spans="1:1">
      <c r="A56">
        <f>IF(ISBLANK(B56), "","PriceArea-55")</f>
        <v>0</v>
      </c>
    </row>
    <row r="57" spans="1:1">
      <c r="A57">
        <f>IF(ISBLANK(B57), "","PriceArea-56")</f>
        <v>0</v>
      </c>
    </row>
    <row r="58" spans="1:1">
      <c r="A58">
        <f>IF(ISBLANK(B58), "","PriceArea-57")</f>
        <v>0</v>
      </c>
    </row>
    <row r="59" spans="1:1">
      <c r="A59">
        <f>IF(ISBLANK(B59), "","PriceArea-58")</f>
        <v>0</v>
      </c>
    </row>
    <row r="60" spans="1:1">
      <c r="A60">
        <f>IF(ISBLANK(B60), "","PriceArea-59")</f>
        <v>0</v>
      </c>
    </row>
    <row r="61" spans="1:1">
      <c r="A61">
        <f>IF(ISBLANK(B61), "","PriceArea-60")</f>
        <v>0</v>
      </c>
    </row>
    <row r="62" spans="1:1">
      <c r="A62">
        <f>IF(ISBLANK(B62), "","PriceArea-61")</f>
        <v>0</v>
      </c>
    </row>
    <row r="63" spans="1:1">
      <c r="A63">
        <f>IF(ISBLANK(B63), "","PriceArea-62")</f>
        <v>0</v>
      </c>
    </row>
    <row r="64" spans="1:1">
      <c r="A64">
        <f>IF(ISBLANK(B64), "","PriceArea-63")</f>
        <v>0</v>
      </c>
    </row>
    <row r="65" spans="1:1">
      <c r="A65">
        <f>IF(ISBLANK(B65), "","PriceArea-64")</f>
        <v>0</v>
      </c>
    </row>
    <row r="66" spans="1:1">
      <c r="A66">
        <f>IF(ISBLANK(B66), "","PriceArea-65")</f>
        <v>0</v>
      </c>
    </row>
    <row r="67" spans="1:1">
      <c r="A67">
        <f>IF(ISBLANK(B67), "","PriceArea-66")</f>
        <v>0</v>
      </c>
    </row>
    <row r="68" spans="1:1">
      <c r="A68">
        <f>IF(ISBLANK(B68), "","PriceArea-67")</f>
        <v>0</v>
      </c>
    </row>
    <row r="69" spans="1:1">
      <c r="A69">
        <f>IF(ISBLANK(B69), "","PriceArea-68")</f>
        <v>0</v>
      </c>
    </row>
    <row r="70" spans="1:1">
      <c r="A70">
        <f>IF(ISBLANK(B70), "","PriceArea-69")</f>
        <v>0</v>
      </c>
    </row>
    <row r="71" spans="1:1">
      <c r="A71">
        <f>IF(ISBLANK(B71), "","PriceArea-70")</f>
        <v>0</v>
      </c>
    </row>
    <row r="72" spans="1:1">
      <c r="A72">
        <f>IF(ISBLANK(B72), "","PriceArea-71")</f>
        <v>0</v>
      </c>
    </row>
    <row r="73" spans="1:1">
      <c r="A73">
        <f>IF(ISBLANK(B73), "","PriceArea-72")</f>
        <v>0</v>
      </c>
    </row>
    <row r="74" spans="1:1">
      <c r="A74">
        <f>IF(ISBLANK(B74), "","PriceArea-73")</f>
        <v>0</v>
      </c>
    </row>
    <row r="75" spans="1:1">
      <c r="A75">
        <f>IF(ISBLANK(B75), "","PriceArea-74")</f>
        <v>0</v>
      </c>
    </row>
    <row r="76" spans="1:1">
      <c r="A76">
        <f>IF(ISBLANK(B76), "","PriceArea-75")</f>
        <v>0</v>
      </c>
    </row>
    <row r="77" spans="1:1">
      <c r="A77">
        <f>IF(ISBLANK(B77), "","PriceArea-76")</f>
        <v>0</v>
      </c>
    </row>
    <row r="78" spans="1:1">
      <c r="A78">
        <f>IF(ISBLANK(B78), "","PriceArea-77")</f>
        <v>0</v>
      </c>
    </row>
    <row r="79" spans="1:1">
      <c r="A79">
        <f>IF(ISBLANK(B79), "","PriceArea-78")</f>
        <v>0</v>
      </c>
    </row>
    <row r="80" spans="1:1">
      <c r="A80">
        <f>IF(ISBLANK(B80), "","PriceArea-79")</f>
        <v>0</v>
      </c>
    </row>
    <row r="81" spans="1:1">
      <c r="A81">
        <f>IF(ISBLANK(B81), "","PriceArea-80")</f>
        <v>0</v>
      </c>
    </row>
    <row r="82" spans="1:1">
      <c r="A82">
        <f>IF(ISBLANK(B82), "","PriceArea-81")</f>
        <v>0</v>
      </c>
    </row>
    <row r="83" spans="1:1">
      <c r="A83">
        <f>IF(ISBLANK(B83), "","PriceArea-82")</f>
        <v>0</v>
      </c>
    </row>
    <row r="84" spans="1:1">
      <c r="A84">
        <f>IF(ISBLANK(B84), "","PriceArea-83")</f>
        <v>0</v>
      </c>
    </row>
    <row r="85" spans="1:1">
      <c r="A85">
        <f>IF(ISBLANK(B85), "","PriceArea-84")</f>
        <v>0</v>
      </c>
    </row>
    <row r="86" spans="1:1">
      <c r="A86">
        <f>IF(ISBLANK(B86), "","PriceArea-85")</f>
        <v>0</v>
      </c>
    </row>
    <row r="87" spans="1:1">
      <c r="A87">
        <f>IF(ISBLANK(B87), "","PriceArea-86")</f>
        <v>0</v>
      </c>
    </row>
    <row r="88" spans="1:1">
      <c r="A88">
        <f>IF(ISBLANK(B88), "","PriceArea-87")</f>
        <v>0</v>
      </c>
    </row>
    <row r="89" spans="1:1">
      <c r="A89">
        <f>IF(ISBLANK(B89), "","PriceArea-88")</f>
        <v>0</v>
      </c>
    </row>
    <row r="90" spans="1:1">
      <c r="A90">
        <f>IF(ISBLANK(B90), "","PriceArea-89")</f>
        <v>0</v>
      </c>
    </row>
    <row r="91" spans="1:1">
      <c r="A91">
        <f>IF(ISBLANK(B91), "","PriceArea-90")</f>
        <v>0</v>
      </c>
    </row>
    <row r="92" spans="1:1">
      <c r="A92">
        <f>IF(ISBLANK(B92), "","PriceArea-91")</f>
        <v>0</v>
      </c>
    </row>
    <row r="93" spans="1:1">
      <c r="A93">
        <f>IF(ISBLANK(B93), "","PriceArea-92")</f>
        <v>0</v>
      </c>
    </row>
    <row r="94" spans="1:1">
      <c r="A94">
        <f>IF(ISBLANK(B94), "","PriceArea-93")</f>
        <v>0</v>
      </c>
    </row>
    <row r="95" spans="1:1">
      <c r="A95">
        <f>IF(ISBLANK(B95), "","PriceArea-94")</f>
        <v>0</v>
      </c>
    </row>
    <row r="96" spans="1:1">
      <c r="A96">
        <f>IF(ISBLANK(B96), "","PriceArea-95")</f>
        <v>0</v>
      </c>
    </row>
    <row r="97" spans="1:1">
      <c r="A97">
        <f>IF(ISBLANK(B97), "","PriceArea-96")</f>
        <v>0</v>
      </c>
    </row>
    <row r="98" spans="1:1">
      <c r="A98">
        <f>IF(ISBLANK(B98), "","PriceArea-97")</f>
        <v>0</v>
      </c>
    </row>
    <row r="99" spans="1:1">
      <c r="A99">
        <f>IF(ISBLANK(B99), "","PriceArea-98")</f>
        <v>0</v>
      </c>
    </row>
    <row r="100" spans="1:1">
      <c r="A100">
        <f>IF(ISBLANK(B100), "","PriceArea-99")</f>
        <v>0</v>
      </c>
    </row>
    <row r="101" spans="1:1">
      <c r="A101">
        <f>IF(ISBLANK(B101), "","PriceArea-100")</f>
        <v>0</v>
      </c>
    </row>
    <row r="102" spans="1:1">
      <c r="A102">
        <f>IF(ISBLANK(B102), "","PriceArea-101")</f>
        <v>0</v>
      </c>
    </row>
    <row r="103" spans="1:1">
      <c r="A103">
        <f>IF(ISBLANK(B103), "","PriceArea-102")</f>
        <v>0</v>
      </c>
    </row>
    <row r="104" spans="1:1">
      <c r="A104">
        <f>IF(ISBLANK(B104), "","PriceArea-103")</f>
        <v>0</v>
      </c>
    </row>
    <row r="105" spans="1:1">
      <c r="A105">
        <f>IF(ISBLANK(B105), "","PriceArea-104")</f>
        <v>0</v>
      </c>
    </row>
    <row r="106" spans="1:1">
      <c r="A106">
        <f>IF(ISBLANK(B106), "","PriceArea-105")</f>
        <v>0</v>
      </c>
    </row>
    <row r="107" spans="1:1">
      <c r="A107">
        <f>IF(ISBLANK(B107), "","PriceArea-106")</f>
        <v>0</v>
      </c>
    </row>
    <row r="108" spans="1:1">
      <c r="A108">
        <f>IF(ISBLANK(B108), "","PriceArea-107")</f>
        <v>0</v>
      </c>
    </row>
    <row r="109" spans="1:1">
      <c r="A109">
        <f>IF(ISBLANK(B109), "","PriceArea-108")</f>
        <v>0</v>
      </c>
    </row>
    <row r="110" spans="1:1">
      <c r="A110">
        <f>IF(ISBLANK(B110), "","PriceArea-109")</f>
        <v>0</v>
      </c>
    </row>
    <row r="111" spans="1:1">
      <c r="A111">
        <f>IF(ISBLANK(B111), "","PriceArea-110")</f>
        <v>0</v>
      </c>
    </row>
    <row r="112" spans="1:1">
      <c r="A112">
        <f>IF(ISBLANK(B112), "","PriceArea-111")</f>
        <v>0</v>
      </c>
    </row>
    <row r="113" spans="1:1">
      <c r="A113">
        <f>IF(ISBLANK(B113), "","PriceArea-112")</f>
        <v>0</v>
      </c>
    </row>
    <row r="114" spans="1:1">
      <c r="A114">
        <f>IF(ISBLANK(B114), "","PriceArea-113")</f>
        <v>0</v>
      </c>
    </row>
    <row r="115" spans="1:1">
      <c r="A115">
        <f>IF(ISBLANK(B115), "","PriceArea-114")</f>
        <v>0</v>
      </c>
    </row>
    <row r="116" spans="1:1">
      <c r="A116">
        <f>IF(ISBLANK(B116), "","PriceArea-115")</f>
        <v>0</v>
      </c>
    </row>
    <row r="117" spans="1:1">
      <c r="A117">
        <f>IF(ISBLANK(B117), "","PriceArea-116")</f>
        <v>0</v>
      </c>
    </row>
    <row r="118" spans="1:1">
      <c r="A118">
        <f>IF(ISBLANK(B118), "","PriceArea-117")</f>
        <v>0</v>
      </c>
    </row>
    <row r="119" spans="1:1">
      <c r="A119">
        <f>IF(ISBLANK(B119), "","PriceArea-118")</f>
        <v>0</v>
      </c>
    </row>
    <row r="120" spans="1:1">
      <c r="A120">
        <f>IF(ISBLANK(B120), "","PriceArea-119")</f>
        <v>0</v>
      </c>
    </row>
    <row r="121" spans="1:1">
      <c r="A121">
        <f>IF(ISBLANK(B121), "","PriceArea-120")</f>
        <v>0</v>
      </c>
    </row>
    <row r="122" spans="1:1">
      <c r="A122">
        <f>IF(ISBLANK(B122), "","PriceArea-121")</f>
        <v>0</v>
      </c>
    </row>
    <row r="123" spans="1:1">
      <c r="A123">
        <f>IF(ISBLANK(B123), "","PriceArea-122")</f>
        <v>0</v>
      </c>
    </row>
    <row r="124" spans="1:1">
      <c r="A124">
        <f>IF(ISBLANK(B124), "","PriceArea-123")</f>
        <v>0</v>
      </c>
    </row>
    <row r="125" spans="1:1">
      <c r="A125">
        <f>IF(ISBLANK(B125), "","PriceArea-124")</f>
        <v>0</v>
      </c>
    </row>
    <row r="126" spans="1:1">
      <c r="A126">
        <f>IF(ISBLANK(B126), "","PriceArea-125")</f>
        <v>0</v>
      </c>
    </row>
    <row r="127" spans="1:1">
      <c r="A127">
        <f>IF(ISBLANK(B127), "","PriceArea-126")</f>
        <v>0</v>
      </c>
    </row>
    <row r="128" spans="1:1">
      <c r="A128">
        <f>IF(ISBLANK(B128), "","PriceArea-127")</f>
        <v>0</v>
      </c>
    </row>
    <row r="129" spans="1:1">
      <c r="A129">
        <f>IF(ISBLANK(B129), "","PriceArea-128")</f>
        <v>0</v>
      </c>
    </row>
    <row r="130" spans="1:1">
      <c r="A130">
        <f>IF(ISBLANK(B130), "","PriceArea-129")</f>
        <v>0</v>
      </c>
    </row>
    <row r="131" spans="1:1">
      <c r="A131">
        <f>IF(ISBLANK(B131), "","PriceArea-130")</f>
        <v>0</v>
      </c>
    </row>
    <row r="132" spans="1:1">
      <c r="A132">
        <f>IF(ISBLANK(B132), "","PriceArea-131")</f>
        <v>0</v>
      </c>
    </row>
    <row r="133" spans="1:1">
      <c r="A133">
        <f>IF(ISBLANK(B133), "","PriceArea-132")</f>
        <v>0</v>
      </c>
    </row>
    <row r="134" spans="1:1">
      <c r="A134">
        <f>IF(ISBLANK(B134), "","PriceArea-133")</f>
        <v>0</v>
      </c>
    </row>
    <row r="135" spans="1:1">
      <c r="A135">
        <f>IF(ISBLANK(B135), "","PriceArea-134")</f>
        <v>0</v>
      </c>
    </row>
    <row r="136" spans="1:1">
      <c r="A136">
        <f>IF(ISBLANK(B136), "","PriceArea-135")</f>
        <v>0</v>
      </c>
    </row>
    <row r="137" spans="1:1">
      <c r="A137">
        <f>IF(ISBLANK(B137), "","PriceArea-136")</f>
        <v>0</v>
      </c>
    </row>
    <row r="138" spans="1:1">
      <c r="A138">
        <f>IF(ISBLANK(B138), "","PriceArea-137")</f>
        <v>0</v>
      </c>
    </row>
    <row r="139" spans="1:1">
      <c r="A139">
        <f>IF(ISBLANK(B139), "","PriceArea-138")</f>
        <v>0</v>
      </c>
    </row>
    <row r="140" spans="1:1">
      <c r="A140">
        <f>IF(ISBLANK(B140), "","PriceArea-139")</f>
        <v>0</v>
      </c>
    </row>
    <row r="141" spans="1:1">
      <c r="A141">
        <f>IF(ISBLANK(B141), "","PriceArea-140")</f>
        <v>0</v>
      </c>
    </row>
    <row r="142" spans="1:1">
      <c r="A142">
        <f>IF(ISBLANK(B142), "","PriceArea-141")</f>
        <v>0</v>
      </c>
    </row>
    <row r="143" spans="1:1">
      <c r="A143">
        <f>IF(ISBLANK(B143), "","PriceArea-142")</f>
        <v>0</v>
      </c>
    </row>
    <row r="144" spans="1:1">
      <c r="A144">
        <f>IF(ISBLANK(B144), "","PriceArea-143")</f>
        <v>0</v>
      </c>
    </row>
    <row r="145" spans="1:1">
      <c r="A145">
        <f>IF(ISBLANK(B145), "","PriceArea-144")</f>
        <v>0</v>
      </c>
    </row>
    <row r="146" spans="1:1">
      <c r="A146">
        <f>IF(ISBLANK(B146), "","PriceArea-145")</f>
        <v>0</v>
      </c>
    </row>
    <row r="147" spans="1:1">
      <c r="A147">
        <f>IF(ISBLANK(B147), "","PriceArea-146")</f>
        <v>0</v>
      </c>
    </row>
    <row r="148" spans="1:1">
      <c r="A148">
        <f>IF(ISBLANK(B148), "","PriceArea-147")</f>
        <v>0</v>
      </c>
    </row>
    <row r="149" spans="1:1">
      <c r="A149">
        <f>IF(ISBLANK(B149), "","PriceArea-148")</f>
        <v>0</v>
      </c>
    </row>
    <row r="150" spans="1:1">
      <c r="A150">
        <f>IF(ISBLANK(B150), "","PriceArea-149")</f>
        <v>0</v>
      </c>
    </row>
    <row r="151" spans="1:1">
      <c r="A151">
        <f>IF(ISBLANK(B151), "","PriceArea-150")</f>
        <v>0</v>
      </c>
    </row>
    <row r="152" spans="1:1">
      <c r="A152">
        <f>IF(ISBLANK(B152), "","PriceArea-151")</f>
        <v>0</v>
      </c>
    </row>
    <row r="153" spans="1:1">
      <c r="A153">
        <f>IF(ISBLANK(B153), "","PriceArea-152")</f>
        <v>0</v>
      </c>
    </row>
    <row r="154" spans="1:1">
      <c r="A154">
        <f>IF(ISBLANK(B154), "","PriceArea-153")</f>
        <v>0</v>
      </c>
    </row>
    <row r="155" spans="1:1">
      <c r="A155">
        <f>IF(ISBLANK(B155), "","PriceArea-154")</f>
        <v>0</v>
      </c>
    </row>
    <row r="156" spans="1:1">
      <c r="A156">
        <f>IF(ISBLANK(B156), "","PriceArea-155")</f>
        <v>0</v>
      </c>
    </row>
    <row r="157" spans="1:1">
      <c r="A157">
        <f>IF(ISBLANK(B157), "","PriceArea-156")</f>
        <v>0</v>
      </c>
    </row>
    <row r="158" spans="1:1">
      <c r="A158">
        <f>IF(ISBLANK(B158), "","PriceArea-157")</f>
        <v>0</v>
      </c>
    </row>
    <row r="159" spans="1:1">
      <c r="A159">
        <f>IF(ISBLANK(B159), "","PriceArea-158")</f>
        <v>0</v>
      </c>
    </row>
    <row r="160" spans="1:1">
      <c r="A160">
        <f>IF(ISBLANK(B160), "","PriceArea-159")</f>
        <v>0</v>
      </c>
    </row>
    <row r="161" spans="1:1">
      <c r="A161">
        <f>IF(ISBLANK(B161), "","PriceArea-160")</f>
        <v>0</v>
      </c>
    </row>
    <row r="162" spans="1:1">
      <c r="A162">
        <f>IF(ISBLANK(B162), "","PriceArea-161")</f>
        <v>0</v>
      </c>
    </row>
    <row r="163" spans="1:1">
      <c r="A163">
        <f>IF(ISBLANK(B163), "","PriceArea-162")</f>
        <v>0</v>
      </c>
    </row>
    <row r="164" spans="1:1">
      <c r="A164">
        <f>IF(ISBLANK(B164), "","PriceArea-163")</f>
        <v>0</v>
      </c>
    </row>
    <row r="165" spans="1:1">
      <c r="A165">
        <f>IF(ISBLANK(B165), "","PriceArea-164")</f>
        <v>0</v>
      </c>
    </row>
    <row r="166" spans="1:1">
      <c r="A166">
        <f>IF(ISBLANK(B166), "","PriceArea-165")</f>
        <v>0</v>
      </c>
    </row>
    <row r="167" spans="1:1">
      <c r="A167">
        <f>IF(ISBLANK(B167), "","PriceArea-166")</f>
        <v>0</v>
      </c>
    </row>
    <row r="168" spans="1:1">
      <c r="A168">
        <f>IF(ISBLANK(B168), "","PriceArea-167")</f>
        <v>0</v>
      </c>
    </row>
    <row r="169" spans="1:1">
      <c r="A169">
        <f>IF(ISBLANK(B169), "","PriceArea-168")</f>
        <v>0</v>
      </c>
    </row>
    <row r="170" spans="1:1">
      <c r="A170">
        <f>IF(ISBLANK(B170), "","PriceArea-169")</f>
        <v>0</v>
      </c>
    </row>
    <row r="171" spans="1:1">
      <c r="A171">
        <f>IF(ISBLANK(B171), "","PriceArea-170")</f>
        <v>0</v>
      </c>
    </row>
    <row r="172" spans="1:1">
      <c r="A172">
        <f>IF(ISBLANK(B172), "","PriceArea-171")</f>
        <v>0</v>
      </c>
    </row>
    <row r="173" spans="1:1">
      <c r="A173">
        <f>IF(ISBLANK(B173), "","PriceArea-172")</f>
        <v>0</v>
      </c>
    </row>
    <row r="174" spans="1:1">
      <c r="A174">
        <f>IF(ISBLANK(B174), "","PriceArea-173")</f>
        <v>0</v>
      </c>
    </row>
    <row r="175" spans="1:1">
      <c r="A175">
        <f>IF(ISBLANK(B175), "","PriceArea-174")</f>
        <v>0</v>
      </c>
    </row>
    <row r="176" spans="1:1">
      <c r="A176">
        <f>IF(ISBLANK(B176), "","PriceArea-175")</f>
        <v>0</v>
      </c>
    </row>
    <row r="177" spans="1:1">
      <c r="A177">
        <f>IF(ISBLANK(B177), "","PriceArea-176")</f>
        <v>0</v>
      </c>
    </row>
    <row r="178" spans="1:1">
      <c r="A178">
        <f>IF(ISBLANK(B178), "","PriceArea-177")</f>
        <v>0</v>
      </c>
    </row>
    <row r="179" spans="1:1">
      <c r="A179">
        <f>IF(ISBLANK(B179), "","PriceArea-178")</f>
        <v>0</v>
      </c>
    </row>
    <row r="180" spans="1:1">
      <c r="A180">
        <f>IF(ISBLANK(B180), "","PriceArea-179")</f>
        <v>0</v>
      </c>
    </row>
    <row r="181" spans="1:1">
      <c r="A181">
        <f>IF(ISBLANK(B181), "","PriceArea-180")</f>
        <v>0</v>
      </c>
    </row>
    <row r="182" spans="1:1">
      <c r="A182">
        <f>IF(ISBLANK(B182), "","PriceArea-181")</f>
        <v>0</v>
      </c>
    </row>
    <row r="183" spans="1:1">
      <c r="A183">
        <f>IF(ISBLANK(B183), "","PriceArea-182")</f>
        <v>0</v>
      </c>
    </row>
    <row r="184" spans="1:1">
      <c r="A184">
        <f>IF(ISBLANK(B184), "","PriceArea-183")</f>
        <v>0</v>
      </c>
    </row>
    <row r="185" spans="1:1">
      <c r="A185">
        <f>IF(ISBLANK(B185), "","PriceArea-184")</f>
        <v>0</v>
      </c>
    </row>
    <row r="186" spans="1:1">
      <c r="A186">
        <f>IF(ISBLANK(B186), "","PriceArea-185")</f>
        <v>0</v>
      </c>
    </row>
    <row r="187" spans="1:1">
      <c r="A187">
        <f>IF(ISBLANK(B187), "","PriceArea-186")</f>
        <v>0</v>
      </c>
    </row>
    <row r="188" spans="1:1">
      <c r="A188">
        <f>IF(ISBLANK(B188), "","PriceArea-187")</f>
        <v>0</v>
      </c>
    </row>
    <row r="189" spans="1:1">
      <c r="A189">
        <f>IF(ISBLANK(B189), "","PriceArea-188")</f>
        <v>0</v>
      </c>
    </row>
    <row r="190" spans="1:1">
      <c r="A190">
        <f>IF(ISBLANK(B190), "","PriceArea-189")</f>
        <v>0</v>
      </c>
    </row>
    <row r="191" spans="1:1">
      <c r="A191">
        <f>IF(ISBLANK(B191), "","PriceArea-190")</f>
        <v>0</v>
      </c>
    </row>
    <row r="192" spans="1:1">
      <c r="A192">
        <f>IF(ISBLANK(B192), "","PriceArea-191")</f>
        <v>0</v>
      </c>
    </row>
    <row r="193" spans="1:1">
      <c r="A193">
        <f>IF(ISBLANK(B193), "","PriceArea-192")</f>
        <v>0</v>
      </c>
    </row>
    <row r="194" spans="1:1">
      <c r="A194">
        <f>IF(ISBLANK(B194), "","PriceArea-193")</f>
        <v>0</v>
      </c>
    </row>
    <row r="195" spans="1:1">
      <c r="A195">
        <f>IF(ISBLANK(B195), "","PriceArea-194")</f>
        <v>0</v>
      </c>
    </row>
    <row r="196" spans="1:1">
      <c r="A196">
        <f>IF(ISBLANK(B196), "","PriceArea-195")</f>
        <v>0</v>
      </c>
    </row>
    <row r="197" spans="1:1">
      <c r="A197">
        <f>IF(ISBLANK(B197), "","PriceArea-196")</f>
        <v>0</v>
      </c>
    </row>
    <row r="198" spans="1:1">
      <c r="A198">
        <f>IF(ISBLANK(B198), "","PriceArea-197")</f>
        <v>0</v>
      </c>
    </row>
    <row r="199" spans="1:1">
      <c r="A199">
        <f>IF(ISBLANK(B199), "","PriceArea-198")</f>
        <v>0</v>
      </c>
    </row>
    <row r="200" spans="1:1">
      <c r="A200">
        <f>IF(ISBLANK(B200), "","PriceArea-199")</f>
        <v>0</v>
      </c>
    </row>
    <row r="201" spans="1:1">
      <c r="A201">
        <f>IF(ISBLANK(B201), "","PriceArea-200")</f>
        <v>0</v>
      </c>
    </row>
    <row r="202" spans="1:1">
      <c r="A202">
        <f>IF(ISBLANK(B202), "","PriceArea-201")</f>
        <v>0</v>
      </c>
    </row>
    <row r="203" spans="1:1">
      <c r="A203">
        <f>IF(ISBLANK(B203), "","PriceArea-202")</f>
        <v>0</v>
      </c>
    </row>
    <row r="204" spans="1:1">
      <c r="A204">
        <f>IF(ISBLANK(B204), "","PriceArea-203")</f>
        <v>0</v>
      </c>
    </row>
    <row r="205" spans="1:1">
      <c r="A205">
        <f>IF(ISBLANK(B205), "","PriceArea-204")</f>
        <v>0</v>
      </c>
    </row>
    <row r="206" spans="1:1">
      <c r="A206">
        <f>IF(ISBLANK(B206), "","PriceArea-205")</f>
        <v>0</v>
      </c>
    </row>
    <row r="207" spans="1:1">
      <c r="A207">
        <f>IF(ISBLANK(B207), "","PriceArea-206")</f>
        <v>0</v>
      </c>
    </row>
    <row r="208" spans="1:1">
      <c r="A208">
        <f>IF(ISBLANK(B208), "","PriceArea-207")</f>
        <v>0</v>
      </c>
    </row>
    <row r="209" spans="1:1">
      <c r="A209">
        <f>IF(ISBLANK(B209), "","PriceArea-208")</f>
        <v>0</v>
      </c>
    </row>
    <row r="210" spans="1:1">
      <c r="A210">
        <f>IF(ISBLANK(B210), "","PriceArea-209")</f>
        <v>0</v>
      </c>
    </row>
    <row r="211" spans="1:1">
      <c r="A211">
        <f>IF(ISBLANK(B211), "","PriceArea-210")</f>
        <v>0</v>
      </c>
    </row>
    <row r="212" spans="1:1">
      <c r="A212">
        <f>IF(ISBLANK(B212), "","PriceArea-211")</f>
        <v>0</v>
      </c>
    </row>
    <row r="213" spans="1:1">
      <c r="A213">
        <f>IF(ISBLANK(B213), "","PriceArea-212")</f>
        <v>0</v>
      </c>
    </row>
    <row r="214" spans="1:1">
      <c r="A214">
        <f>IF(ISBLANK(B214), "","PriceArea-213")</f>
        <v>0</v>
      </c>
    </row>
    <row r="215" spans="1:1">
      <c r="A215">
        <f>IF(ISBLANK(B215), "","PriceArea-214")</f>
        <v>0</v>
      </c>
    </row>
    <row r="216" spans="1:1">
      <c r="A216">
        <f>IF(ISBLANK(B216), "","PriceArea-215")</f>
        <v>0</v>
      </c>
    </row>
    <row r="217" spans="1:1">
      <c r="A217">
        <f>IF(ISBLANK(B217), "","PriceArea-216")</f>
        <v>0</v>
      </c>
    </row>
    <row r="218" spans="1:1">
      <c r="A218">
        <f>IF(ISBLANK(B218), "","PriceArea-217")</f>
        <v>0</v>
      </c>
    </row>
    <row r="219" spans="1:1">
      <c r="A219">
        <f>IF(ISBLANK(B219), "","PriceArea-218")</f>
        <v>0</v>
      </c>
    </row>
    <row r="220" spans="1:1">
      <c r="A220">
        <f>IF(ISBLANK(B220), "","PriceArea-219")</f>
        <v>0</v>
      </c>
    </row>
    <row r="221" spans="1:1">
      <c r="A221">
        <f>IF(ISBLANK(B221), "","PriceArea-220")</f>
        <v>0</v>
      </c>
    </row>
    <row r="222" spans="1:1">
      <c r="A222">
        <f>IF(ISBLANK(B222), "","PriceArea-221")</f>
        <v>0</v>
      </c>
    </row>
    <row r="223" spans="1:1">
      <c r="A223">
        <f>IF(ISBLANK(B223), "","PriceArea-222")</f>
        <v>0</v>
      </c>
    </row>
    <row r="224" spans="1:1">
      <c r="A224">
        <f>IF(ISBLANK(B224), "","PriceArea-223")</f>
        <v>0</v>
      </c>
    </row>
    <row r="225" spans="1:1">
      <c r="A225">
        <f>IF(ISBLANK(B225), "","PriceArea-224")</f>
        <v>0</v>
      </c>
    </row>
    <row r="226" spans="1:1">
      <c r="A226">
        <f>IF(ISBLANK(B226), "","PriceArea-225")</f>
        <v>0</v>
      </c>
    </row>
    <row r="227" spans="1:1">
      <c r="A227">
        <f>IF(ISBLANK(B227), "","PriceArea-226")</f>
        <v>0</v>
      </c>
    </row>
    <row r="228" spans="1:1">
      <c r="A228">
        <f>IF(ISBLANK(B228), "","PriceArea-227")</f>
        <v>0</v>
      </c>
    </row>
    <row r="229" spans="1:1">
      <c r="A229">
        <f>IF(ISBLANK(B229), "","PriceArea-228")</f>
        <v>0</v>
      </c>
    </row>
    <row r="230" spans="1:1">
      <c r="A230">
        <f>IF(ISBLANK(B230), "","PriceArea-229")</f>
        <v>0</v>
      </c>
    </row>
    <row r="231" spans="1:1">
      <c r="A231">
        <f>IF(ISBLANK(B231), "","PriceArea-230")</f>
        <v>0</v>
      </c>
    </row>
    <row r="232" spans="1:1">
      <c r="A232">
        <f>IF(ISBLANK(B232), "","PriceArea-231")</f>
        <v>0</v>
      </c>
    </row>
    <row r="233" spans="1:1">
      <c r="A233">
        <f>IF(ISBLANK(B233), "","PriceArea-232")</f>
        <v>0</v>
      </c>
    </row>
    <row r="234" spans="1:1">
      <c r="A234">
        <f>IF(ISBLANK(B234), "","PriceArea-233")</f>
        <v>0</v>
      </c>
    </row>
    <row r="235" spans="1:1">
      <c r="A235">
        <f>IF(ISBLANK(B235), "","PriceArea-234")</f>
        <v>0</v>
      </c>
    </row>
    <row r="236" spans="1:1">
      <c r="A236">
        <f>IF(ISBLANK(B236), "","PriceArea-235")</f>
        <v>0</v>
      </c>
    </row>
    <row r="237" spans="1:1">
      <c r="A237">
        <f>IF(ISBLANK(B237), "","PriceArea-236")</f>
        <v>0</v>
      </c>
    </row>
    <row r="238" spans="1:1">
      <c r="A238">
        <f>IF(ISBLANK(B238), "","PriceArea-237")</f>
        <v>0</v>
      </c>
    </row>
    <row r="239" spans="1:1">
      <c r="A239">
        <f>IF(ISBLANK(B239), "","PriceArea-238")</f>
        <v>0</v>
      </c>
    </row>
    <row r="240" spans="1:1">
      <c r="A240">
        <f>IF(ISBLANK(B240), "","PriceArea-239")</f>
        <v>0</v>
      </c>
    </row>
    <row r="241" spans="1:1">
      <c r="A241">
        <f>IF(ISBLANK(B241), "","PriceArea-240")</f>
        <v>0</v>
      </c>
    </row>
    <row r="242" spans="1:1">
      <c r="A242">
        <f>IF(ISBLANK(B242), "","PriceArea-241")</f>
        <v>0</v>
      </c>
    </row>
    <row r="243" spans="1:1">
      <c r="A243">
        <f>IF(ISBLANK(B243), "","PriceArea-242")</f>
        <v>0</v>
      </c>
    </row>
    <row r="244" spans="1:1">
      <c r="A244">
        <f>IF(ISBLANK(B244), "","PriceArea-243")</f>
        <v>0</v>
      </c>
    </row>
    <row r="245" spans="1:1">
      <c r="A245">
        <f>IF(ISBLANK(B245), "","PriceArea-244")</f>
        <v>0</v>
      </c>
    </row>
    <row r="246" spans="1:1">
      <c r="A246">
        <f>IF(ISBLANK(B246), "","PriceArea-245")</f>
        <v>0</v>
      </c>
    </row>
    <row r="247" spans="1:1">
      <c r="A247">
        <f>IF(ISBLANK(B247), "","PriceArea-246")</f>
        <v>0</v>
      </c>
    </row>
    <row r="248" spans="1:1">
      <c r="A248">
        <f>IF(ISBLANK(B248), "","PriceArea-247")</f>
        <v>0</v>
      </c>
    </row>
    <row r="249" spans="1:1">
      <c r="A249">
        <f>IF(ISBLANK(B249), "","PriceArea-248")</f>
        <v>0</v>
      </c>
    </row>
    <row r="250" spans="1:1">
      <c r="A250">
        <f>IF(ISBLANK(B250), "","PriceArea-249")</f>
        <v>0</v>
      </c>
    </row>
    <row r="251" spans="1:1">
      <c r="A251">
        <f>IF(ISBLANK(B251), "","PriceArea-250")</f>
        <v>0</v>
      </c>
    </row>
    <row r="252" spans="1:1">
      <c r="A252">
        <f>IF(ISBLANK(B252), "","PriceArea-251")</f>
        <v>0</v>
      </c>
    </row>
    <row r="253" spans="1:1">
      <c r="A253">
        <f>IF(ISBLANK(B253), "","PriceArea-252")</f>
        <v>0</v>
      </c>
    </row>
    <row r="254" spans="1:1">
      <c r="A254">
        <f>IF(ISBLANK(B254), "","PriceArea-253")</f>
        <v>0</v>
      </c>
    </row>
    <row r="255" spans="1:1">
      <c r="A255">
        <f>IF(ISBLANK(B255), "","PriceArea-254")</f>
        <v>0</v>
      </c>
    </row>
    <row r="256" spans="1:1">
      <c r="A256">
        <f>IF(ISBLANK(B256), "","PriceArea-255")</f>
        <v>0</v>
      </c>
    </row>
    <row r="257" spans="1:1">
      <c r="A257">
        <f>IF(ISBLANK(B257), "","PriceArea-256")</f>
        <v>0</v>
      </c>
    </row>
    <row r="258" spans="1:1">
      <c r="A258">
        <f>IF(ISBLANK(B258), "","PriceArea-257")</f>
        <v>0</v>
      </c>
    </row>
    <row r="259" spans="1:1">
      <c r="A259">
        <f>IF(ISBLANK(B259), "","PriceArea-258")</f>
        <v>0</v>
      </c>
    </row>
    <row r="260" spans="1:1">
      <c r="A260">
        <f>IF(ISBLANK(B260), "","PriceArea-259")</f>
        <v>0</v>
      </c>
    </row>
    <row r="261" spans="1:1">
      <c r="A261">
        <f>IF(ISBLANK(B261), "","PriceArea-260")</f>
        <v>0</v>
      </c>
    </row>
    <row r="262" spans="1:1">
      <c r="A262">
        <f>IF(ISBLANK(B262), "","PriceArea-261")</f>
        <v>0</v>
      </c>
    </row>
    <row r="263" spans="1:1">
      <c r="A263">
        <f>IF(ISBLANK(B263), "","PriceArea-262")</f>
        <v>0</v>
      </c>
    </row>
    <row r="264" spans="1:1">
      <c r="A264">
        <f>IF(ISBLANK(B264), "","PriceArea-263")</f>
        <v>0</v>
      </c>
    </row>
    <row r="265" spans="1:1">
      <c r="A265">
        <f>IF(ISBLANK(B265), "","PriceArea-264")</f>
        <v>0</v>
      </c>
    </row>
    <row r="266" spans="1:1">
      <c r="A266">
        <f>IF(ISBLANK(B266), "","PriceArea-265")</f>
        <v>0</v>
      </c>
    </row>
    <row r="267" spans="1:1">
      <c r="A267">
        <f>IF(ISBLANK(B267), "","PriceArea-266")</f>
        <v>0</v>
      </c>
    </row>
    <row r="268" spans="1:1">
      <c r="A268">
        <f>IF(ISBLANK(B268), "","PriceArea-267")</f>
        <v>0</v>
      </c>
    </row>
    <row r="269" spans="1:1">
      <c r="A269">
        <f>IF(ISBLANK(B269), "","PriceArea-268")</f>
        <v>0</v>
      </c>
    </row>
    <row r="270" spans="1:1">
      <c r="A270">
        <f>IF(ISBLANK(B270), "","PriceArea-269")</f>
        <v>0</v>
      </c>
    </row>
    <row r="271" spans="1:1">
      <c r="A271">
        <f>IF(ISBLANK(B271), "","PriceArea-270")</f>
        <v>0</v>
      </c>
    </row>
    <row r="272" spans="1:1">
      <c r="A272">
        <f>IF(ISBLANK(B272), "","PriceArea-271")</f>
        <v>0</v>
      </c>
    </row>
    <row r="273" spans="1:1">
      <c r="A273">
        <f>IF(ISBLANK(B273), "","PriceArea-272")</f>
        <v>0</v>
      </c>
    </row>
    <row r="274" spans="1:1">
      <c r="A274">
        <f>IF(ISBLANK(B274), "","PriceArea-273")</f>
        <v>0</v>
      </c>
    </row>
    <row r="275" spans="1:1">
      <c r="A275">
        <f>IF(ISBLANK(B275), "","PriceArea-274")</f>
        <v>0</v>
      </c>
    </row>
    <row r="276" spans="1:1">
      <c r="A276">
        <f>IF(ISBLANK(B276), "","PriceArea-275")</f>
        <v>0</v>
      </c>
    </row>
    <row r="277" spans="1:1">
      <c r="A277">
        <f>IF(ISBLANK(B277), "","PriceArea-276")</f>
        <v>0</v>
      </c>
    </row>
    <row r="278" spans="1:1">
      <c r="A278">
        <f>IF(ISBLANK(B278), "","PriceArea-277")</f>
        <v>0</v>
      </c>
    </row>
    <row r="279" spans="1:1">
      <c r="A279">
        <f>IF(ISBLANK(B279), "","PriceArea-278")</f>
        <v>0</v>
      </c>
    </row>
    <row r="280" spans="1:1">
      <c r="A280">
        <f>IF(ISBLANK(B280), "","PriceArea-279")</f>
        <v>0</v>
      </c>
    </row>
    <row r="281" spans="1:1">
      <c r="A281">
        <f>IF(ISBLANK(B281), "","PriceArea-280")</f>
        <v>0</v>
      </c>
    </row>
    <row r="282" spans="1:1">
      <c r="A282">
        <f>IF(ISBLANK(B282), "","PriceArea-281")</f>
        <v>0</v>
      </c>
    </row>
    <row r="283" spans="1:1">
      <c r="A283">
        <f>IF(ISBLANK(B283), "","PriceArea-282")</f>
        <v>0</v>
      </c>
    </row>
    <row r="284" spans="1:1">
      <c r="A284">
        <f>IF(ISBLANK(B284), "","PriceArea-283")</f>
        <v>0</v>
      </c>
    </row>
    <row r="285" spans="1:1">
      <c r="A285">
        <f>IF(ISBLANK(B285), "","PriceArea-284")</f>
        <v>0</v>
      </c>
    </row>
    <row r="286" spans="1:1">
      <c r="A286">
        <f>IF(ISBLANK(B286), "","PriceArea-285")</f>
        <v>0</v>
      </c>
    </row>
    <row r="287" spans="1:1">
      <c r="A287">
        <f>IF(ISBLANK(B287), "","PriceArea-286")</f>
        <v>0</v>
      </c>
    </row>
    <row r="288" spans="1:1">
      <c r="A288">
        <f>IF(ISBLANK(B288), "","PriceArea-287")</f>
        <v>0</v>
      </c>
    </row>
    <row r="289" spans="1:1">
      <c r="A289">
        <f>IF(ISBLANK(B289), "","PriceArea-288")</f>
        <v>0</v>
      </c>
    </row>
    <row r="290" spans="1:1">
      <c r="A290">
        <f>IF(ISBLANK(B290), "","PriceArea-289")</f>
        <v>0</v>
      </c>
    </row>
    <row r="291" spans="1:1">
      <c r="A291">
        <f>IF(ISBLANK(B291), "","PriceArea-290")</f>
        <v>0</v>
      </c>
    </row>
    <row r="292" spans="1:1">
      <c r="A292">
        <f>IF(ISBLANK(B292), "","PriceArea-291")</f>
        <v>0</v>
      </c>
    </row>
    <row r="293" spans="1:1">
      <c r="A293">
        <f>IF(ISBLANK(B293), "","PriceArea-292")</f>
        <v>0</v>
      </c>
    </row>
    <row r="294" spans="1:1">
      <c r="A294">
        <f>IF(ISBLANK(B294), "","PriceArea-293")</f>
        <v>0</v>
      </c>
    </row>
    <row r="295" spans="1:1">
      <c r="A295">
        <f>IF(ISBLANK(B295), "","PriceArea-294")</f>
        <v>0</v>
      </c>
    </row>
    <row r="296" spans="1:1">
      <c r="A296">
        <f>IF(ISBLANK(B296), "","PriceArea-295")</f>
        <v>0</v>
      </c>
    </row>
    <row r="297" spans="1:1">
      <c r="A297">
        <f>IF(ISBLANK(B297), "","PriceArea-296")</f>
        <v>0</v>
      </c>
    </row>
    <row r="298" spans="1:1">
      <c r="A298">
        <f>IF(ISBLANK(B298), "","PriceArea-297")</f>
        <v>0</v>
      </c>
    </row>
    <row r="299" spans="1:1">
      <c r="A299">
        <f>IF(ISBLANK(B299), "","PriceArea-298")</f>
        <v>0</v>
      </c>
    </row>
    <row r="300" spans="1:1">
      <c r="A300">
        <f>IF(ISBLANK(B300), "","PriceArea-299")</f>
        <v>0</v>
      </c>
    </row>
    <row r="301" spans="1:1">
      <c r="A301">
        <f>IF(ISBLANK(B301), "","PriceArea-300")</f>
        <v>0</v>
      </c>
    </row>
    <row r="302" spans="1:1">
      <c r="A302">
        <f>IF(ISBLANK(B302), "","PriceArea-301")</f>
        <v>0</v>
      </c>
    </row>
    <row r="303" spans="1:1">
      <c r="A303">
        <f>IF(ISBLANK(B303), "","PriceArea-302")</f>
        <v>0</v>
      </c>
    </row>
    <row r="304" spans="1:1">
      <c r="A304">
        <f>IF(ISBLANK(B304), "","PriceArea-303")</f>
        <v>0</v>
      </c>
    </row>
    <row r="305" spans="1:1">
      <c r="A305">
        <f>IF(ISBLANK(B305), "","PriceArea-304")</f>
        <v>0</v>
      </c>
    </row>
    <row r="306" spans="1:1">
      <c r="A306">
        <f>IF(ISBLANK(B306), "","PriceArea-305")</f>
        <v>0</v>
      </c>
    </row>
    <row r="307" spans="1:1">
      <c r="A307">
        <f>IF(ISBLANK(B307), "","PriceArea-306")</f>
        <v>0</v>
      </c>
    </row>
    <row r="308" spans="1:1">
      <c r="A308">
        <f>IF(ISBLANK(B308), "","PriceArea-307")</f>
        <v>0</v>
      </c>
    </row>
    <row r="309" spans="1:1">
      <c r="A309">
        <f>IF(ISBLANK(B309), "","PriceArea-308")</f>
        <v>0</v>
      </c>
    </row>
    <row r="310" spans="1:1">
      <c r="A310">
        <f>IF(ISBLANK(B310), "","PriceArea-309")</f>
        <v>0</v>
      </c>
    </row>
    <row r="311" spans="1:1">
      <c r="A311">
        <f>IF(ISBLANK(B311), "","PriceArea-310")</f>
        <v>0</v>
      </c>
    </row>
    <row r="312" spans="1:1">
      <c r="A312">
        <f>IF(ISBLANK(B312), "","PriceArea-311")</f>
        <v>0</v>
      </c>
    </row>
    <row r="313" spans="1:1">
      <c r="A313">
        <f>IF(ISBLANK(B313), "","PriceArea-312")</f>
        <v>0</v>
      </c>
    </row>
    <row r="314" spans="1:1">
      <c r="A314">
        <f>IF(ISBLANK(B314), "","PriceArea-313")</f>
        <v>0</v>
      </c>
    </row>
    <row r="315" spans="1:1">
      <c r="A315">
        <f>IF(ISBLANK(B315), "","PriceArea-314")</f>
        <v>0</v>
      </c>
    </row>
    <row r="316" spans="1:1">
      <c r="A316">
        <f>IF(ISBLANK(B316), "","PriceArea-315")</f>
        <v>0</v>
      </c>
    </row>
    <row r="317" spans="1:1">
      <c r="A317">
        <f>IF(ISBLANK(B317), "","PriceArea-316")</f>
        <v>0</v>
      </c>
    </row>
    <row r="318" spans="1:1">
      <c r="A318">
        <f>IF(ISBLANK(B318), "","PriceArea-317")</f>
        <v>0</v>
      </c>
    </row>
    <row r="319" spans="1:1">
      <c r="A319">
        <f>IF(ISBLANK(B319), "","PriceArea-318")</f>
        <v>0</v>
      </c>
    </row>
    <row r="320" spans="1:1">
      <c r="A320">
        <f>IF(ISBLANK(B320), "","PriceArea-319")</f>
        <v>0</v>
      </c>
    </row>
    <row r="321" spans="1:1">
      <c r="A321">
        <f>IF(ISBLANK(B321), "","PriceArea-320")</f>
        <v>0</v>
      </c>
    </row>
    <row r="322" spans="1:1">
      <c r="A322">
        <f>IF(ISBLANK(B322), "","PriceArea-321")</f>
        <v>0</v>
      </c>
    </row>
    <row r="323" spans="1:1">
      <c r="A323">
        <f>IF(ISBLANK(B323), "","PriceArea-322")</f>
        <v>0</v>
      </c>
    </row>
    <row r="324" spans="1:1">
      <c r="A324">
        <f>IF(ISBLANK(B324), "","PriceArea-323")</f>
        <v>0</v>
      </c>
    </row>
    <row r="325" spans="1:1">
      <c r="A325">
        <f>IF(ISBLANK(B325), "","PriceArea-324")</f>
        <v>0</v>
      </c>
    </row>
    <row r="326" spans="1:1">
      <c r="A326">
        <f>IF(ISBLANK(B326), "","PriceArea-325")</f>
        <v>0</v>
      </c>
    </row>
    <row r="327" spans="1:1">
      <c r="A327">
        <f>IF(ISBLANK(B327), "","PriceArea-326")</f>
        <v>0</v>
      </c>
    </row>
    <row r="328" spans="1:1">
      <c r="A328">
        <f>IF(ISBLANK(B328), "","PriceArea-327")</f>
        <v>0</v>
      </c>
    </row>
    <row r="329" spans="1:1">
      <c r="A329">
        <f>IF(ISBLANK(B329), "","PriceArea-328")</f>
        <v>0</v>
      </c>
    </row>
    <row r="330" spans="1:1">
      <c r="A330">
        <f>IF(ISBLANK(B330), "","PriceArea-329")</f>
        <v>0</v>
      </c>
    </row>
    <row r="331" spans="1:1">
      <c r="A331">
        <f>IF(ISBLANK(B331), "","PriceArea-330")</f>
        <v>0</v>
      </c>
    </row>
    <row r="332" spans="1:1">
      <c r="A332">
        <f>IF(ISBLANK(B332), "","PriceArea-331")</f>
        <v>0</v>
      </c>
    </row>
    <row r="333" spans="1:1">
      <c r="A333">
        <f>IF(ISBLANK(B333), "","PriceArea-332")</f>
        <v>0</v>
      </c>
    </row>
    <row r="334" spans="1:1">
      <c r="A334">
        <f>IF(ISBLANK(B334), "","PriceArea-333")</f>
        <v>0</v>
      </c>
    </row>
    <row r="335" spans="1:1">
      <c r="A335">
        <f>IF(ISBLANK(B335), "","PriceArea-334")</f>
        <v>0</v>
      </c>
    </row>
    <row r="336" spans="1:1">
      <c r="A336">
        <f>IF(ISBLANK(B336), "","PriceArea-335")</f>
        <v>0</v>
      </c>
    </row>
    <row r="337" spans="1:1">
      <c r="A337">
        <f>IF(ISBLANK(B337), "","PriceArea-336")</f>
        <v>0</v>
      </c>
    </row>
    <row r="338" spans="1:1">
      <c r="A338">
        <f>IF(ISBLANK(B338), "","PriceArea-337")</f>
        <v>0</v>
      </c>
    </row>
    <row r="339" spans="1:1">
      <c r="A339">
        <f>IF(ISBLANK(B339), "","PriceArea-338")</f>
        <v>0</v>
      </c>
    </row>
    <row r="340" spans="1:1">
      <c r="A340">
        <f>IF(ISBLANK(B340), "","PriceArea-339")</f>
        <v>0</v>
      </c>
    </row>
    <row r="341" spans="1:1">
      <c r="A341">
        <f>IF(ISBLANK(B341), "","PriceArea-340")</f>
        <v>0</v>
      </c>
    </row>
    <row r="342" spans="1:1">
      <c r="A342">
        <f>IF(ISBLANK(B342), "","PriceArea-341")</f>
        <v>0</v>
      </c>
    </row>
    <row r="343" spans="1:1">
      <c r="A343">
        <f>IF(ISBLANK(B343), "","PriceArea-342")</f>
        <v>0</v>
      </c>
    </row>
    <row r="344" spans="1:1">
      <c r="A344">
        <f>IF(ISBLANK(B344), "","PriceArea-343")</f>
        <v>0</v>
      </c>
    </row>
    <row r="345" spans="1:1">
      <c r="A345">
        <f>IF(ISBLANK(B345), "","PriceArea-344")</f>
        <v>0</v>
      </c>
    </row>
    <row r="346" spans="1:1">
      <c r="A346">
        <f>IF(ISBLANK(B346), "","PriceArea-345")</f>
        <v>0</v>
      </c>
    </row>
    <row r="347" spans="1:1">
      <c r="A347">
        <f>IF(ISBLANK(B347), "","PriceArea-346")</f>
        <v>0</v>
      </c>
    </row>
    <row r="348" spans="1:1">
      <c r="A348">
        <f>IF(ISBLANK(B348), "","PriceArea-347")</f>
        <v>0</v>
      </c>
    </row>
    <row r="349" spans="1:1">
      <c r="A349">
        <f>IF(ISBLANK(B349), "","PriceArea-348")</f>
        <v>0</v>
      </c>
    </row>
    <row r="350" spans="1:1">
      <c r="A350">
        <f>IF(ISBLANK(B350), "","PriceArea-349")</f>
        <v>0</v>
      </c>
    </row>
    <row r="351" spans="1:1">
      <c r="A351">
        <f>IF(ISBLANK(B351), "","PriceArea-350")</f>
        <v>0</v>
      </c>
    </row>
    <row r="352" spans="1:1">
      <c r="A352">
        <f>IF(ISBLANK(B352), "","PriceArea-351")</f>
        <v>0</v>
      </c>
    </row>
    <row r="353" spans="1:1">
      <c r="A353">
        <f>IF(ISBLANK(B353), "","PriceArea-352")</f>
        <v>0</v>
      </c>
    </row>
    <row r="354" spans="1:1">
      <c r="A354">
        <f>IF(ISBLANK(B354), "","PriceArea-353")</f>
        <v>0</v>
      </c>
    </row>
    <row r="355" spans="1:1">
      <c r="A355">
        <f>IF(ISBLANK(B355), "","PriceArea-354")</f>
        <v>0</v>
      </c>
    </row>
    <row r="356" spans="1:1">
      <c r="A356">
        <f>IF(ISBLANK(B356), "","PriceArea-355")</f>
        <v>0</v>
      </c>
    </row>
    <row r="357" spans="1:1">
      <c r="A357">
        <f>IF(ISBLANK(B357), "","PriceArea-356")</f>
        <v>0</v>
      </c>
    </row>
    <row r="358" spans="1:1">
      <c r="A358">
        <f>IF(ISBLANK(B358), "","PriceArea-357")</f>
        <v>0</v>
      </c>
    </row>
    <row r="359" spans="1:1">
      <c r="A359">
        <f>IF(ISBLANK(B359), "","PriceArea-358")</f>
        <v>0</v>
      </c>
    </row>
    <row r="360" spans="1:1">
      <c r="A360">
        <f>IF(ISBLANK(B360), "","PriceArea-359")</f>
        <v>0</v>
      </c>
    </row>
    <row r="361" spans="1:1">
      <c r="A361">
        <f>IF(ISBLANK(B361), "","PriceArea-360")</f>
        <v>0</v>
      </c>
    </row>
    <row r="362" spans="1:1">
      <c r="A362">
        <f>IF(ISBLANK(B362), "","PriceArea-361")</f>
        <v>0</v>
      </c>
    </row>
    <row r="363" spans="1:1">
      <c r="A363">
        <f>IF(ISBLANK(B363), "","PriceArea-362")</f>
        <v>0</v>
      </c>
    </row>
    <row r="364" spans="1:1">
      <c r="A364">
        <f>IF(ISBLANK(B364), "","PriceArea-363")</f>
        <v>0</v>
      </c>
    </row>
    <row r="365" spans="1:1">
      <c r="A365">
        <f>IF(ISBLANK(B365), "","PriceArea-364")</f>
        <v>0</v>
      </c>
    </row>
    <row r="366" spans="1:1">
      <c r="A366">
        <f>IF(ISBLANK(B366), "","PriceArea-365")</f>
        <v>0</v>
      </c>
    </row>
    <row r="367" spans="1:1">
      <c r="A367">
        <f>IF(ISBLANK(B367), "","PriceArea-366")</f>
        <v>0</v>
      </c>
    </row>
    <row r="368" spans="1:1">
      <c r="A368">
        <f>IF(ISBLANK(B368), "","PriceArea-367")</f>
        <v>0</v>
      </c>
    </row>
    <row r="369" spans="1:1">
      <c r="A369">
        <f>IF(ISBLANK(B369), "","PriceArea-368")</f>
        <v>0</v>
      </c>
    </row>
    <row r="370" spans="1:1">
      <c r="A370">
        <f>IF(ISBLANK(B370), "","PriceArea-369")</f>
        <v>0</v>
      </c>
    </row>
    <row r="371" spans="1:1">
      <c r="A371">
        <f>IF(ISBLANK(B371), "","PriceArea-370")</f>
        <v>0</v>
      </c>
    </row>
    <row r="372" spans="1:1">
      <c r="A372">
        <f>IF(ISBLANK(B372), "","PriceArea-371")</f>
        <v>0</v>
      </c>
    </row>
    <row r="373" spans="1:1">
      <c r="A373">
        <f>IF(ISBLANK(B373), "","PriceArea-372")</f>
        <v>0</v>
      </c>
    </row>
    <row r="374" spans="1:1">
      <c r="A374">
        <f>IF(ISBLANK(B374), "","PriceArea-373")</f>
        <v>0</v>
      </c>
    </row>
    <row r="375" spans="1:1">
      <c r="A375">
        <f>IF(ISBLANK(B375), "","PriceArea-374")</f>
        <v>0</v>
      </c>
    </row>
    <row r="376" spans="1:1">
      <c r="A376">
        <f>IF(ISBLANK(B376), "","PriceArea-375")</f>
        <v>0</v>
      </c>
    </row>
    <row r="377" spans="1:1">
      <c r="A377">
        <f>IF(ISBLANK(B377), "","PriceArea-376")</f>
        <v>0</v>
      </c>
    </row>
    <row r="378" spans="1:1">
      <c r="A378">
        <f>IF(ISBLANK(B378), "","PriceArea-377")</f>
        <v>0</v>
      </c>
    </row>
    <row r="379" spans="1:1">
      <c r="A379">
        <f>IF(ISBLANK(B379), "","PriceArea-378")</f>
        <v>0</v>
      </c>
    </row>
    <row r="380" spans="1:1">
      <c r="A380">
        <f>IF(ISBLANK(B380), "","PriceArea-379")</f>
        <v>0</v>
      </c>
    </row>
    <row r="381" spans="1:1">
      <c r="A381">
        <f>IF(ISBLANK(B381), "","PriceArea-380")</f>
        <v>0</v>
      </c>
    </row>
    <row r="382" spans="1:1">
      <c r="A382">
        <f>IF(ISBLANK(B382), "","PriceArea-381")</f>
        <v>0</v>
      </c>
    </row>
    <row r="383" spans="1:1">
      <c r="A383">
        <f>IF(ISBLANK(B383), "","PriceArea-382")</f>
        <v>0</v>
      </c>
    </row>
    <row r="384" spans="1:1">
      <c r="A384">
        <f>IF(ISBLANK(B384), "","PriceArea-383")</f>
        <v>0</v>
      </c>
    </row>
    <row r="385" spans="1:1">
      <c r="A385">
        <f>IF(ISBLANK(B385), "","PriceArea-384")</f>
        <v>0</v>
      </c>
    </row>
    <row r="386" spans="1:1">
      <c r="A386">
        <f>IF(ISBLANK(B386), "","PriceArea-385")</f>
        <v>0</v>
      </c>
    </row>
    <row r="387" spans="1:1">
      <c r="A387">
        <f>IF(ISBLANK(B387), "","PriceArea-386")</f>
        <v>0</v>
      </c>
    </row>
    <row r="388" spans="1:1">
      <c r="A388">
        <f>IF(ISBLANK(B388), "","PriceArea-387")</f>
        <v>0</v>
      </c>
    </row>
    <row r="389" spans="1:1">
      <c r="A389">
        <f>IF(ISBLANK(B389), "","PriceArea-388")</f>
        <v>0</v>
      </c>
    </row>
    <row r="390" spans="1:1">
      <c r="A390">
        <f>IF(ISBLANK(B390), "","PriceArea-389")</f>
        <v>0</v>
      </c>
    </row>
    <row r="391" spans="1:1">
      <c r="A391">
        <f>IF(ISBLANK(B391), "","PriceArea-390")</f>
        <v>0</v>
      </c>
    </row>
    <row r="392" spans="1:1">
      <c r="A392">
        <f>IF(ISBLANK(B392), "","PriceArea-391")</f>
        <v>0</v>
      </c>
    </row>
    <row r="393" spans="1:1">
      <c r="A393">
        <f>IF(ISBLANK(B393), "","PriceArea-392")</f>
        <v>0</v>
      </c>
    </row>
    <row r="394" spans="1:1">
      <c r="A394">
        <f>IF(ISBLANK(B394), "","PriceArea-393")</f>
        <v>0</v>
      </c>
    </row>
    <row r="395" spans="1:1">
      <c r="A395">
        <f>IF(ISBLANK(B395), "","PriceArea-394")</f>
        <v>0</v>
      </c>
    </row>
    <row r="396" spans="1:1">
      <c r="A396">
        <f>IF(ISBLANK(B396), "","PriceArea-395")</f>
        <v>0</v>
      </c>
    </row>
    <row r="397" spans="1:1">
      <c r="A397">
        <f>IF(ISBLANK(B397), "","PriceArea-396")</f>
        <v>0</v>
      </c>
    </row>
    <row r="398" spans="1:1">
      <c r="A398">
        <f>IF(ISBLANK(B398), "","PriceArea-397")</f>
        <v>0</v>
      </c>
    </row>
    <row r="399" spans="1:1">
      <c r="A399">
        <f>IF(ISBLANK(B399), "","PriceArea-398")</f>
        <v>0</v>
      </c>
    </row>
    <row r="400" spans="1:1">
      <c r="A400">
        <f>IF(ISBLANK(B400), "","PriceArea-399")</f>
        <v>0</v>
      </c>
    </row>
    <row r="401" spans="1:1">
      <c r="A401">
        <f>IF(ISBLANK(B401), "","PriceArea-400")</f>
        <v>0</v>
      </c>
    </row>
    <row r="402" spans="1:1">
      <c r="A402">
        <f>IF(ISBLANK(B402), "","PriceArea-401")</f>
        <v>0</v>
      </c>
    </row>
    <row r="403" spans="1:1">
      <c r="A403">
        <f>IF(ISBLANK(B403), "","PriceArea-402")</f>
        <v>0</v>
      </c>
    </row>
    <row r="404" spans="1:1">
      <c r="A404">
        <f>IF(ISBLANK(B404), "","PriceArea-403")</f>
        <v>0</v>
      </c>
    </row>
    <row r="405" spans="1:1">
      <c r="A405">
        <f>IF(ISBLANK(B405), "","PriceArea-404")</f>
        <v>0</v>
      </c>
    </row>
    <row r="406" spans="1:1">
      <c r="A406">
        <f>IF(ISBLANK(B406), "","PriceArea-405")</f>
        <v>0</v>
      </c>
    </row>
    <row r="407" spans="1:1">
      <c r="A407">
        <f>IF(ISBLANK(B407), "","PriceArea-406")</f>
        <v>0</v>
      </c>
    </row>
    <row r="408" spans="1:1">
      <c r="A408">
        <f>IF(ISBLANK(B408), "","PriceArea-407")</f>
        <v>0</v>
      </c>
    </row>
    <row r="409" spans="1:1">
      <c r="A409">
        <f>IF(ISBLANK(B409), "","PriceArea-408")</f>
        <v>0</v>
      </c>
    </row>
    <row r="410" spans="1:1">
      <c r="A410">
        <f>IF(ISBLANK(B410), "","PriceArea-409")</f>
        <v>0</v>
      </c>
    </row>
    <row r="411" spans="1:1">
      <c r="A411">
        <f>IF(ISBLANK(B411), "","PriceArea-410")</f>
        <v>0</v>
      </c>
    </row>
    <row r="412" spans="1:1">
      <c r="A412">
        <f>IF(ISBLANK(B412), "","PriceArea-411")</f>
        <v>0</v>
      </c>
    </row>
    <row r="413" spans="1:1">
      <c r="A413">
        <f>IF(ISBLANK(B413), "","PriceArea-412")</f>
        <v>0</v>
      </c>
    </row>
    <row r="414" spans="1:1">
      <c r="A414">
        <f>IF(ISBLANK(B414), "","PriceArea-413")</f>
        <v>0</v>
      </c>
    </row>
    <row r="415" spans="1:1">
      <c r="A415">
        <f>IF(ISBLANK(B415), "","PriceArea-414")</f>
        <v>0</v>
      </c>
    </row>
    <row r="416" spans="1:1">
      <c r="A416">
        <f>IF(ISBLANK(B416), "","PriceArea-415")</f>
        <v>0</v>
      </c>
    </row>
    <row r="417" spans="1:1">
      <c r="A417">
        <f>IF(ISBLANK(B417), "","PriceArea-416")</f>
        <v>0</v>
      </c>
    </row>
    <row r="418" spans="1:1">
      <c r="A418">
        <f>IF(ISBLANK(B418), "","PriceArea-417")</f>
        <v>0</v>
      </c>
    </row>
    <row r="419" spans="1:1">
      <c r="A419">
        <f>IF(ISBLANK(B419), "","PriceArea-418")</f>
        <v>0</v>
      </c>
    </row>
    <row r="420" spans="1:1">
      <c r="A420">
        <f>IF(ISBLANK(B420), "","PriceArea-419")</f>
        <v>0</v>
      </c>
    </row>
    <row r="421" spans="1:1">
      <c r="A421">
        <f>IF(ISBLANK(B421), "","PriceArea-420")</f>
        <v>0</v>
      </c>
    </row>
    <row r="422" spans="1:1">
      <c r="A422">
        <f>IF(ISBLANK(B422), "","PriceArea-421")</f>
        <v>0</v>
      </c>
    </row>
    <row r="423" spans="1:1">
      <c r="A423">
        <f>IF(ISBLANK(B423), "","PriceArea-422")</f>
        <v>0</v>
      </c>
    </row>
    <row r="424" spans="1:1">
      <c r="A424">
        <f>IF(ISBLANK(B424), "","PriceArea-423")</f>
        <v>0</v>
      </c>
    </row>
    <row r="425" spans="1:1">
      <c r="A425">
        <f>IF(ISBLANK(B425), "","PriceArea-424")</f>
        <v>0</v>
      </c>
    </row>
    <row r="426" spans="1:1">
      <c r="A426">
        <f>IF(ISBLANK(B426), "","PriceArea-425")</f>
        <v>0</v>
      </c>
    </row>
    <row r="427" spans="1:1">
      <c r="A427">
        <f>IF(ISBLANK(B427), "","PriceArea-426")</f>
        <v>0</v>
      </c>
    </row>
    <row r="428" spans="1:1">
      <c r="A428">
        <f>IF(ISBLANK(B428), "","PriceArea-427")</f>
        <v>0</v>
      </c>
    </row>
    <row r="429" spans="1:1">
      <c r="A429">
        <f>IF(ISBLANK(B429), "","PriceArea-428")</f>
        <v>0</v>
      </c>
    </row>
    <row r="430" spans="1:1">
      <c r="A430">
        <f>IF(ISBLANK(B430), "","PriceArea-429")</f>
        <v>0</v>
      </c>
    </row>
    <row r="431" spans="1:1">
      <c r="A431">
        <f>IF(ISBLANK(B431), "","PriceArea-430")</f>
        <v>0</v>
      </c>
    </row>
    <row r="432" spans="1:1">
      <c r="A432">
        <f>IF(ISBLANK(B432), "","PriceArea-431")</f>
        <v>0</v>
      </c>
    </row>
    <row r="433" spans="1:1">
      <c r="A433">
        <f>IF(ISBLANK(B433), "","PriceArea-432")</f>
        <v>0</v>
      </c>
    </row>
    <row r="434" spans="1:1">
      <c r="A434">
        <f>IF(ISBLANK(B434), "","PriceArea-433")</f>
        <v>0</v>
      </c>
    </row>
    <row r="435" spans="1:1">
      <c r="A435">
        <f>IF(ISBLANK(B435), "","PriceArea-434")</f>
        <v>0</v>
      </c>
    </row>
    <row r="436" spans="1:1">
      <c r="A436">
        <f>IF(ISBLANK(B436), "","PriceArea-435")</f>
        <v>0</v>
      </c>
    </row>
    <row r="437" spans="1:1">
      <c r="A437">
        <f>IF(ISBLANK(B437), "","PriceArea-436")</f>
        <v>0</v>
      </c>
    </row>
    <row r="438" spans="1:1">
      <c r="A438">
        <f>IF(ISBLANK(B438), "","PriceArea-437")</f>
        <v>0</v>
      </c>
    </row>
    <row r="439" spans="1:1">
      <c r="A439">
        <f>IF(ISBLANK(B439), "","PriceArea-438")</f>
        <v>0</v>
      </c>
    </row>
    <row r="440" spans="1:1">
      <c r="A440">
        <f>IF(ISBLANK(B440), "","PriceArea-439")</f>
        <v>0</v>
      </c>
    </row>
    <row r="441" spans="1:1">
      <c r="A441">
        <f>IF(ISBLANK(B441), "","PriceArea-440")</f>
        <v>0</v>
      </c>
    </row>
    <row r="442" spans="1:1">
      <c r="A442">
        <f>IF(ISBLANK(B442), "","PriceArea-441")</f>
        <v>0</v>
      </c>
    </row>
    <row r="443" spans="1:1">
      <c r="A443">
        <f>IF(ISBLANK(B443), "","PriceArea-442")</f>
        <v>0</v>
      </c>
    </row>
    <row r="444" spans="1:1">
      <c r="A444">
        <f>IF(ISBLANK(B444), "","PriceArea-443")</f>
        <v>0</v>
      </c>
    </row>
    <row r="445" spans="1:1">
      <c r="A445">
        <f>IF(ISBLANK(B445), "","PriceArea-444")</f>
        <v>0</v>
      </c>
    </row>
    <row r="446" spans="1:1">
      <c r="A446">
        <f>IF(ISBLANK(B446), "","PriceArea-445")</f>
        <v>0</v>
      </c>
    </row>
    <row r="447" spans="1:1">
      <c r="A447">
        <f>IF(ISBLANK(B447), "","PriceArea-446")</f>
        <v>0</v>
      </c>
    </row>
    <row r="448" spans="1:1">
      <c r="A448">
        <f>IF(ISBLANK(B448), "","PriceArea-447")</f>
        <v>0</v>
      </c>
    </row>
    <row r="449" spans="1:1">
      <c r="A449">
        <f>IF(ISBLANK(B449), "","PriceArea-448")</f>
        <v>0</v>
      </c>
    </row>
    <row r="450" spans="1:1">
      <c r="A450">
        <f>IF(ISBLANK(B450), "","PriceArea-449")</f>
        <v>0</v>
      </c>
    </row>
    <row r="451" spans="1:1">
      <c r="A451">
        <f>IF(ISBLANK(B451), "","PriceArea-450")</f>
        <v>0</v>
      </c>
    </row>
    <row r="452" spans="1:1">
      <c r="A452">
        <f>IF(ISBLANK(B452), "","PriceArea-451")</f>
        <v>0</v>
      </c>
    </row>
    <row r="453" spans="1:1">
      <c r="A453">
        <f>IF(ISBLANK(B453), "","PriceArea-452")</f>
        <v>0</v>
      </c>
    </row>
    <row r="454" spans="1:1">
      <c r="A454">
        <f>IF(ISBLANK(B454), "","PriceArea-453")</f>
        <v>0</v>
      </c>
    </row>
    <row r="455" spans="1:1">
      <c r="A455">
        <f>IF(ISBLANK(B455), "","PriceArea-454")</f>
        <v>0</v>
      </c>
    </row>
    <row r="456" spans="1:1">
      <c r="A456">
        <f>IF(ISBLANK(B456), "","PriceArea-455")</f>
        <v>0</v>
      </c>
    </row>
    <row r="457" spans="1:1">
      <c r="A457">
        <f>IF(ISBLANK(B457), "","PriceArea-456")</f>
        <v>0</v>
      </c>
    </row>
    <row r="458" spans="1:1">
      <c r="A458">
        <f>IF(ISBLANK(B458), "","PriceArea-457")</f>
        <v>0</v>
      </c>
    </row>
    <row r="459" spans="1:1">
      <c r="A459">
        <f>IF(ISBLANK(B459), "","PriceArea-458")</f>
        <v>0</v>
      </c>
    </row>
    <row r="460" spans="1:1">
      <c r="A460">
        <f>IF(ISBLANK(B460), "","PriceArea-459")</f>
        <v>0</v>
      </c>
    </row>
    <row r="461" spans="1:1">
      <c r="A461">
        <f>IF(ISBLANK(B461), "","PriceArea-460")</f>
        <v>0</v>
      </c>
    </row>
    <row r="462" spans="1:1">
      <c r="A462">
        <f>IF(ISBLANK(B462), "","PriceArea-461")</f>
        <v>0</v>
      </c>
    </row>
    <row r="463" spans="1:1">
      <c r="A463">
        <f>IF(ISBLANK(B463), "","PriceArea-462")</f>
        <v>0</v>
      </c>
    </row>
    <row r="464" spans="1:1">
      <c r="A464">
        <f>IF(ISBLANK(B464), "","PriceArea-463")</f>
        <v>0</v>
      </c>
    </row>
    <row r="465" spans="1:1">
      <c r="A465">
        <f>IF(ISBLANK(B465), "","PriceArea-464")</f>
        <v>0</v>
      </c>
    </row>
    <row r="466" spans="1:1">
      <c r="A466">
        <f>IF(ISBLANK(B466), "","PriceArea-465")</f>
        <v>0</v>
      </c>
    </row>
    <row r="467" spans="1:1">
      <c r="A467">
        <f>IF(ISBLANK(B467), "","PriceArea-466")</f>
        <v>0</v>
      </c>
    </row>
    <row r="468" spans="1:1">
      <c r="A468">
        <f>IF(ISBLANK(B468), "","PriceArea-467")</f>
        <v>0</v>
      </c>
    </row>
    <row r="469" spans="1:1">
      <c r="A469">
        <f>IF(ISBLANK(B469), "","PriceArea-468")</f>
        <v>0</v>
      </c>
    </row>
    <row r="470" spans="1:1">
      <c r="A470">
        <f>IF(ISBLANK(B470), "","PriceArea-469")</f>
        <v>0</v>
      </c>
    </row>
    <row r="471" spans="1:1">
      <c r="A471">
        <f>IF(ISBLANK(B471), "","PriceArea-470")</f>
        <v>0</v>
      </c>
    </row>
    <row r="472" spans="1:1">
      <c r="A472">
        <f>IF(ISBLANK(B472), "","PriceArea-471")</f>
        <v>0</v>
      </c>
    </row>
    <row r="473" spans="1:1">
      <c r="A473">
        <f>IF(ISBLANK(B473), "","PriceArea-472")</f>
        <v>0</v>
      </c>
    </row>
    <row r="474" spans="1:1">
      <c r="A474">
        <f>IF(ISBLANK(B474), "","PriceArea-473")</f>
        <v>0</v>
      </c>
    </row>
    <row r="475" spans="1:1">
      <c r="A475">
        <f>IF(ISBLANK(B475), "","PriceArea-474")</f>
        <v>0</v>
      </c>
    </row>
    <row r="476" spans="1:1">
      <c r="A476">
        <f>IF(ISBLANK(B476), "","PriceArea-475")</f>
        <v>0</v>
      </c>
    </row>
    <row r="477" spans="1:1">
      <c r="A477">
        <f>IF(ISBLANK(B477), "","PriceArea-476")</f>
        <v>0</v>
      </c>
    </row>
    <row r="478" spans="1:1">
      <c r="A478">
        <f>IF(ISBLANK(B478), "","PriceArea-477")</f>
        <v>0</v>
      </c>
    </row>
    <row r="479" spans="1:1">
      <c r="A479">
        <f>IF(ISBLANK(B479), "","PriceArea-478")</f>
        <v>0</v>
      </c>
    </row>
    <row r="480" spans="1:1">
      <c r="A480">
        <f>IF(ISBLANK(B480), "","PriceArea-479")</f>
        <v>0</v>
      </c>
    </row>
    <row r="481" spans="1:1">
      <c r="A481">
        <f>IF(ISBLANK(B481), "","PriceArea-480")</f>
        <v>0</v>
      </c>
    </row>
    <row r="482" spans="1:1">
      <c r="A482">
        <f>IF(ISBLANK(B482), "","PriceArea-481")</f>
        <v>0</v>
      </c>
    </row>
    <row r="483" spans="1:1">
      <c r="A483">
        <f>IF(ISBLANK(B483), "","PriceArea-482")</f>
        <v>0</v>
      </c>
    </row>
    <row r="484" spans="1:1">
      <c r="A484">
        <f>IF(ISBLANK(B484), "","PriceArea-483")</f>
        <v>0</v>
      </c>
    </row>
    <row r="485" spans="1:1">
      <c r="A485">
        <f>IF(ISBLANK(B485), "","PriceArea-484")</f>
        <v>0</v>
      </c>
    </row>
    <row r="486" spans="1:1">
      <c r="A486">
        <f>IF(ISBLANK(B486), "","PriceArea-485")</f>
        <v>0</v>
      </c>
    </row>
    <row r="487" spans="1:1">
      <c r="A487">
        <f>IF(ISBLANK(B487), "","PriceArea-486")</f>
        <v>0</v>
      </c>
    </row>
    <row r="488" spans="1:1">
      <c r="A488">
        <f>IF(ISBLANK(B488), "","PriceArea-487")</f>
        <v>0</v>
      </c>
    </row>
    <row r="489" spans="1:1">
      <c r="A489">
        <f>IF(ISBLANK(B489), "","PriceArea-488")</f>
        <v>0</v>
      </c>
    </row>
    <row r="490" spans="1:1">
      <c r="A490">
        <f>IF(ISBLANK(B490), "","PriceArea-489")</f>
        <v>0</v>
      </c>
    </row>
    <row r="491" spans="1:1">
      <c r="A491">
        <f>IF(ISBLANK(B491), "","PriceArea-490")</f>
        <v>0</v>
      </c>
    </row>
    <row r="492" spans="1:1">
      <c r="A492">
        <f>IF(ISBLANK(B492), "","PriceArea-491")</f>
        <v>0</v>
      </c>
    </row>
    <row r="493" spans="1:1">
      <c r="A493">
        <f>IF(ISBLANK(B493), "","PriceArea-492")</f>
        <v>0</v>
      </c>
    </row>
    <row r="494" spans="1:1">
      <c r="A494">
        <f>IF(ISBLANK(B494), "","PriceArea-493")</f>
        <v>0</v>
      </c>
    </row>
    <row r="495" spans="1:1">
      <c r="A495">
        <f>IF(ISBLANK(B495), "","PriceArea-494")</f>
        <v>0</v>
      </c>
    </row>
    <row r="496" spans="1:1">
      <c r="A496">
        <f>IF(ISBLANK(B496), "","PriceArea-495")</f>
        <v>0</v>
      </c>
    </row>
    <row r="497" spans="1:1">
      <c r="A497">
        <f>IF(ISBLANK(B497), "","PriceArea-496")</f>
        <v>0</v>
      </c>
    </row>
    <row r="498" spans="1:1">
      <c r="A498">
        <f>IF(ISBLANK(B498), "","PriceArea-497")</f>
        <v>0</v>
      </c>
    </row>
    <row r="499" spans="1:1">
      <c r="A499">
        <f>IF(ISBLANK(B499), "","PriceArea-498")</f>
        <v>0</v>
      </c>
    </row>
    <row r="500" spans="1:1">
      <c r="A500">
        <f>IF(ISBLANK(B500), "","PriceArea-499")</f>
        <v>0</v>
      </c>
    </row>
    <row r="501" spans="1:1">
      <c r="A501">
        <f>IF(ISBLANK(B501), "","PriceArea-500")</f>
        <v>0</v>
      </c>
    </row>
    <row r="502" spans="1:1">
      <c r="A502">
        <f>IF(ISBLANK(B502), "","PriceArea-501")</f>
        <v>0</v>
      </c>
    </row>
    <row r="503" spans="1:1">
      <c r="A503">
        <f>IF(ISBLANK(B503), "","PriceArea-502")</f>
        <v>0</v>
      </c>
    </row>
    <row r="504" spans="1:1">
      <c r="A504">
        <f>IF(ISBLANK(B504), "","PriceArea-503")</f>
        <v>0</v>
      </c>
    </row>
    <row r="505" spans="1:1">
      <c r="A505">
        <f>IF(ISBLANK(B505), "","PriceArea-504")</f>
        <v>0</v>
      </c>
    </row>
    <row r="506" spans="1:1">
      <c r="A506">
        <f>IF(ISBLANK(B506), "","PriceArea-505")</f>
        <v>0</v>
      </c>
    </row>
    <row r="507" spans="1:1">
      <c r="A507">
        <f>IF(ISBLANK(B507), "","PriceArea-506")</f>
        <v>0</v>
      </c>
    </row>
    <row r="508" spans="1:1">
      <c r="A508">
        <f>IF(ISBLANK(B508), "","PriceArea-507")</f>
        <v>0</v>
      </c>
    </row>
    <row r="509" spans="1:1">
      <c r="A509">
        <f>IF(ISBLANK(B509), "","PriceArea-508")</f>
        <v>0</v>
      </c>
    </row>
    <row r="510" spans="1:1">
      <c r="A510">
        <f>IF(ISBLANK(B510), "","PriceArea-509")</f>
        <v>0</v>
      </c>
    </row>
    <row r="511" spans="1:1">
      <c r="A511">
        <f>IF(ISBLANK(B511), "","PriceArea-510")</f>
        <v>0</v>
      </c>
    </row>
    <row r="512" spans="1:1">
      <c r="A512">
        <f>IF(ISBLANK(B512), "","PriceArea-511")</f>
        <v>0</v>
      </c>
    </row>
    <row r="513" spans="1:1">
      <c r="A513">
        <f>IF(ISBLANK(B513), "","PriceArea-512")</f>
        <v>0</v>
      </c>
    </row>
    <row r="514" spans="1:1">
      <c r="A514">
        <f>IF(ISBLANK(B514), "","PriceArea-513")</f>
        <v>0</v>
      </c>
    </row>
    <row r="515" spans="1:1">
      <c r="A515">
        <f>IF(ISBLANK(B515), "","PriceArea-514")</f>
        <v>0</v>
      </c>
    </row>
    <row r="516" spans="1:1">
      <c r="A516">
        <f>IF(ISBLANK(B516), "","PriceArea-515")</f>
        <v>0</v>
      </c>
    </row>
    <row r="517" spans="1:1">
      <c r="A517">
        <f>IF(ISBLANK(B517), "","PriceArea-516")</f>
        <v>0</v>
      </c>
    </row>
    <row r="518" spans="1:1">
      <c r="A518">
        <f>IF(ISBLANK(B518), "","PriceArea-517")</f>
        <v>0</v>
      </c>
    </row>
    <row r="519" spans="1:1">
      <c r="A519">
        <f>IF(ISBLANK(B519), "","PriceArea-518")</f>
        <v>0</v>
      </c>
    </row>
    <row r="520" spans="1:1">
      <c r="A520">
        <f>IF(ISBLANK(B520), "","PriceArea-519")</f>
        <v>0</v>
      </c>
    </row>
    <row r="521" spans="1:1">
      <c r="A521">
        <f>IF(ISBLANK(B521), "","PriceArea-520")</f>
        <v>0</v>
      </c>
    </row>
    <row r="522" spans="1:1">
      <c r="A522">
        <f>IF(ISBLANK(B522), "","PriceArea-521")</f>
        <v>0</v>
      </c>
    </row>
    <row r="523" spans="1:1">
      <c r="A523">
        <f>IF(ISBLANK(B523), "","PriceArea-522")</f>
        <v>0</v>
      </c>
    </row>
    <row r="524" spans="1:1">
      <c r="A524">
        <f>IF(ISBLANK(B524), "","PriceArea-523")</f>
        <v>0</v>
      </c>
    </row>
    <row r="525" spans="1:1">
      <c r="A525">
        <f>IF(ISBLANK(B525), "","PriceArea-524")</f>
        <v>0</v>
      </c>
    </row>
    <row r="526" spans="1:1">
      <c r="A526">
        <f>IF(ISBLANK(B526), "","PriceArea-525")</f>
        <v>0</v>
      </c>
    </row>
    <row r="527" spans="1:1">
      <c r="A527">
        <f>IF(ISBLANK(B527), "","PriceArea-526")</f>
        <v>0</v>
      </c>
    </row>
    <row r="528" spans="1:1">
      <c r="A528">
        <f>IF(ISBLANK(B528), "","PriceArea-527")</f>
        <v>0</v>
      </c>
    </row>
    <row r="529" spans="1:1">
      <c r="A529">
        <f>IF(ISBLANK(B529), "","PriceArea-528")</f>
        <v>0</v>
      </c>
    </row>
    <row r="530" spans="1:1">
      <c r="A530">
        <f>IF(ISBLANK(B530), "","PriceArea-529")</f>
        <v>0</v>
      </c>
    </row>
    <row r="531" spans="1:1">
      <c r="A531">
        <f>IF(ISBLANK(B531), "","PriceArea-530")</f>
        <v>0</v>
      </c>
    </row>
    <row r="532" spans="1:1">
      <c r="A532">
        <f>IF(ISBLANK(B532), "","PriceArea-531")</f>
        <v>0</v>
      </c>
    </row>
    <row r="533" spans="1:1">
      <c r="A533">
        <f>IF(ISBLANK(B533), "","PriceArea-532")</f>
        <v>0</v>
      </c>
    </row>
    <row r="534" spans="1:1">
      <c r="A534">
        <f>IF(ISBLANK(B534), "","PriceArea-533")</f>
        <v>0</v>
      </c>
    </row>
    <row r="535" spans="1:1">
      <c r="A535">
        <f>IF(ISBLANK(B535), "","PriceArea-534")</f>
        <v>0</v>
      </c>
    </row>
    <row r="536" spans="1:1">
      <c r="A536">
        <f>IF(ISBLANK(B536), "","PriceArea-535")</f>
        <v>0</v>
      </c>
    </row>
    <row r="537" spans="1:1">
      <c r="A537">
        <f>IF(ISBLANK(B537), "","PriceArea-536")</f>
        <v>0</v>
      </c>
    </row>
    <row r="538" spans="1:1">
      <c r="A538">
        <f>IF(ISBLANK(B538), "","PriceArea-537")</f>
        <v>0</v>
      </c>
    </row>
    <row r="539" spans="1:1">
      <c r="A539">
        <f>IF(ISBLANK(B539), "","PriceArea-538")</f>
        <v>0</v>
      </c>
    </row>
    <row r="540" spans="1:1">
      <c r="A540">
        <f>IF(ISBLANK(B540), "","PriceArea-539")</f>
        <v>0</v>
      </c>
    </row>
    <row r="541" spans="1:1">
      <c r="A541">
        <f>IF(ISBLANK(B541), "","PriceArea-540")</f>
        <v>0</v>
      </c>
    </row>
    <row r="542" spans="1:1">
      <c r="A542">
        <f>IF(ISBLANK(B542), "","PriceArea-541")</f>
        <v>0</v>
      </c>
    </row>
    <row r="543" spans="1:1">
      <c r="A543">
        <f>IF(ISBLANK(B543), "","PriceArea-542")</f>
        <v>0</v>
      </c>
    </row>
    <row r="544" spans="1:1">
      <c r="A544">
        <f>IF(ISBLANK(B544), "","PriceArea-543")</f>
        <v>0</v>
      </c>
    </row>
    <row r="545" spans="1:1">
      <c r="A545">
        <f>IF(ISBLANK(B545), "","PriceArea-544")</f>
        <v>0</v>
      </c>
    </row>
    <row r="546" spans="1:1">
      <c r="A546">
        <f>IF(ISBLANK(B546), "","PriceArea-545")</f>
        <v>0</v>
      </c>
    </row>
    <row r="547" spans="1:1">
      <c r="A547">
        <f>IF(ISBLANK(B547), "","PriceArea-546")</f>
        <v>0</v>
      </c>
    </row>
    <row r="548" spans="1:1">
      <c r="A548">
        <f>IF(ISBLANK(B548), "","PriceArea-547")</f>
        <v>0</v>
      </c>
    </row>
    <row r="549" spans="1:1">
      <c r="A549">
        <f>IF(ISBLANK(B549), "","PriceArea-548")</f>
        <v>0</v>
      </c>
    </row>
    <row r="550" spans="1:1">
      <c r="A550">
        <f>IF(ISBLANK(B550), "","PriceArea-549")</f>
        <v>0</v>
      </c>
    </row>
    <row r="551" spans="1:1">
      <c r="A551">
        <f>IF(ISBLANK(B551), "","PriceArea-550")</f>
        <v>0</v>
      </c>
    </row>
    <row r="552" spans="1:1">
      <c r="A552">
        <f>IF(ISBLANK(B552), "","PriceArea-551")</f>
        <v>0</v>
      </c>
    </row>
    <row r="553" spans="1:1">
      <c r="A553">
        <f>IF(ISBLANK(B553), "","PriceArea-552")</f>
        <v>0</v>
      </c>
    </row>
    <row r="554" spans="1:1">
      <c r="A554">
        <f>IF(ISBLANK(B554), "","PriceArea-553")</f>
        <v>0</v>
      </c>
    </row>
    <row r="555" spans="1:1">
      <c r="A555">
        <f>IF(ISBLANK(B555), "","PriceArea-554")</f>
        <v>0</v>
      </c>
    </row>
    <row r="556" spans="1:1">
      <c r="A556">
        <f>IF(ISBLANK(B556), "","PriceArea-555")</f>
        <v>0</v>
      </c>
    </row>
    <row r="557" spans="1:1">
      <c r="A557">
        <f>IF(ISBLANK(B557), "","PriceArea-556")</f>
        <v>0</v>
      </c>
    </row>
    <row r="558" spans="1:1">
      <c r="A558">
        <f>IF(ISBLANK(B558), "","PriceArea-557")</f>
        <v>0</v>
      </c>
    </row>
    <row r="559" spans="1:1">
      <c r="A559">
        <f>IF(ISBLANK(B559), "","PriceArea-558")</f>
        <v>0</v>
      </c>
    </row>
    <row r="560" spans="1:1">
      <c r="A560">
        <f>IF(ISBLANK(B560), "","PriceArea-559")</f>
        <v>0</v>
      </c>
    </row>
    <row r="561" spans="1:1">
      <c r="A561">
        <f>IF(ISBLANK(B561), "","PriceArea-560")</f>
        <v>0</v>
      </c>
    </row>
    <row r="562" spans="1:1">
      <c r="A562">
        <f>IF(ISBLANK(B562), "","PriceArea-561")</f>
        <v>0</v>
      </c>
    </row>
    <row r="563" spans="1:1">
      <c r="A563">
        <f>IF(ISBLANK(B563), "","PriceArea-562")</f>
        <v>0</v>
      </c>
    </row>
    <row r="564" spans="1:1">
      <c r="A564">
        <f>IF(ISBLANK(B564), "","PriceArea-563")</f>
        <v>0</v>
      </c>
    </row>
    <row r="565" spans="1:1">
      <c r="A565">
        <f>IF(ISBLANK(B565), "","PriceArea-564")</f>
        <v>0</v>
      </c>
    </row>
    <row r="566" spans="1:1">
      <c r="A566">
        <f>IF(ISBLANK(B566), "","PriceArea-565")</f>
        <v>0</v>
      </c>
    </row>
    <row r="567" spans="1:1">
      <c r="A567">
        <f>IF(ISBLANK(B567), "","PriceArea-566")</f>
        <v>0</v>
      </c>
    </row>
    <row r="568" spans="1:1">
      <c r="A568">
        <f>IF(ISBLANK(B568), "","PriceArea-567")</f>
        <v>0</v>
      </c>
    </row>
    <row r="569" spans="1:1">
      <c r="A569">
        <f>IF(ISBLANK(B569), "","PriceArea-568")</f>
        <v>0</v>
      </c>
    </row>
    <row r="570" spans="1:1">
      <c r="A570">
        <f>IF(ISBLANK(B570), "","PriceArea-569")</f>
        <v>0</v>
      </c>
    </row>
    <row r="571" spans="1:1">
      <c r="A571">
        <f>IF(ISBLANK(B571), "","PriceArea-570")</f>
        <v>0</v>
      </c>
    </row>
    <row r="572" spans="1:1">
      <c r="A572">
        <f>IF(ISBLANK(B572), "","PriceArea-571")</f>
        <v>0</v>
      </c>
    </row>
    <row r="573" spans="1:1">
      <c r="A573">
        <f>IF(ISBLANK(B573), "","PriceArea-572")</f>
        <v>0</v>
      </c>
    </row>
    <row r="574" spans="1:1">
      <c r="A574">
        <f>IF(ISBLANK(B574), "","PriceArea-573")</f>
        <v>0</v>
      </c>
    </row>
    <row r="575" spans="1:1">
      <c r="A575">
        <f>IF(ISBLANK(B575), "","PriceArea-574")</f>
        <v>0</v>
      </c>
    </row>
    <row r="576" spans="1:1">
      <c r="A576">
        <f>IF(ISBLANK(B576), "","PriceArea-575")</f>
        <v>0</v>
      </c>
    </row>
    <row r="577" spans="1:1">
      <c r="A577">
        <f>IF(ISBLANK(B577), "","PriceArea-576")</f>
        <v>0</v>
      </c>
    </row>
    <row r="578" spans="1:1">
      <c r="A578">
        <f>IF(ISBLANK(B578), "","PriceArea-577")</f>
        <v>0</v>
      </c>
    </row>
    <row r="579" spans="1:1">
      <c r="A579">
        <f>IF(ISBLANK(B579), "","PriceArea-578")</f>
        <v>0</v>
      </c>
    </row>
    <row r="580" spans="1:1">
      <c r="A580">
        <f>IF(ISBLANK(B580), "","PriceArea-579")</f>
        <v>0</v>
      </c>
    </row>
    <row r="581" spans="1:1">
      <c r="A581">
        <f>IF(ISBLANK(B581), "","PriceArea-580")</f>
        <v>0</v>
      </c>
    </row>
    <row r="582" spans="1:1">
      <c r="A582">
        <f>IF(ISBLANK(B582), "","PriceArea-581")</f>
        <v>0</v>
      </c>
    </row>
    <row r="583" spans="1:1">
      <c r="A583">
        <f>IF(ISBLANK(B583), "","PriceArea-582")</f>
        <v>0</v>
      </c>
    </row>
    <row r="584" spans="1:1">
      <c r="A584">
        <f>IF(ISBLANK(B584), "","PriceArea-583")</f>
        <v>0</v>
      </c>
    </row>
    <row r="585" spans="1:1">
      <c r="A585">
        <f>IF(ISBLANK(B585), "","PriceArea-584")</f>
        <v>0</v>
      </c>
    </row>
    <row r="586" spans="1:1">
      <c r="A586">
        <f>IF(ISBLANK(B586), "","PriceArea-585")</f>
        <v>0</v>
      </c>
    </row>
    <row r="587" spans="1:1">
      <c r="A587">
        <f>IF(ISBLANK(B587), "","PriceArea-586")</f>
        <v>0</v>
      </c>
    </row>
    <row r="588" spans="1:1">
      <c r="A588">
        <f>IF(ISBLANK(B588), "","PriceArea-587")</f>
        <v>0</v>
      </c>
    </row>
    <row r="589" spans="1:1">
      <c r="A589">
        <f>IF(ISBLANK(B589), "","PriceArea-588")</f>
        <v>0</v>
      </c>
    </row>
    <row r="590" spans="1:1">
      <c r="A590">
        <f>IF(ISBLANK(B590), "","PriceArea-589")</f>
        <v>0</v>
      </c>
    </row>
    <row r="591" spans="1:1">
      <c r="A591">
        <f>IF(ISBLANK(B591), "","PriceArea-590")</f>
        <v>0</v>
      </c>
    </row>
    <row r="592" spans="1:1">
      <c r="A592">
        <f>IF(ISBLANK(B592), "","PriceArea-591")</f>
        <v>0</v>
      </c>
    </row>
    <row r="593" spans="1:1">
      <c r="A593">
        <f>IF(ISBLANK(B593), "","PriceArea-592")</f>
        <v>0</v>
      </c>
    </row>
    <row r="594" spans="1:1">
      <c r="A594">
        <f>IF(ISBLANK(B594), "","PriceArea-593")</f>
        <v>0</v>
      </c>
    </row>
    <row r="595" spans="1:1">
      <c r="A595">
        <f>IF(ISBLANK(B595), "","PriceArea-594")</f>
        <v>0</v>
      </c>
    </row>
    <row r="596" spans="1:1">
      <c r="A596">
        <f>IF(ISBLANK(B596), "","PriceArea-595")</f>
        <v>0</v>
      </c>
    </row>
    <row r="597" spans="1:1">
      <c r="A597">
        <f>IF(ISBLANK(B597), "","PriceArea-596")</f>
        <v>0</v>
      </c>
    </row>
    <row r="598" spans="1:1">
      <c r="A598">
        <f>IF(ISBLANK(B598), "","PriceArea-597")</f>
        <v>0</v>
      </c>
    </row>
    <row r="599" spans="1:1">
      <c r="A599">
        <f>IF(ISBLANK(B599), "","PriceArea-598")</f>
        <v>0</v>
      </c>
    </row>
    <row r="600" spans="1:1">
      <c r="A600">
        <f>IF(ISBLANK(B600), "","PriceArea-599")</f>
        <v>0</v>
      </c>
    </row>
    <row r="601" spans="1:1">
      <c r="A601">
        <f>IF(ISBLANK(B601), "","PriceArea-600")</f>
        <v>0</v>
      </c>
    </row>
    <row r="602" spans="1:1">
      <c r="A602">
        <f>IF(ISBLANK(B602), "","PriceArea-601")</f>
        <v>0</v>
      </c>
    </row>
    <row r="603" spans="1:1">
      <c r="A603">
        <f>IF(ISBLANK(B603), "","PriceArea-602")</f>
        <v>0</v>
      </c>
    </row>
    <row r="604" spans="1:1">
      <c r="A604">
        <f>IF(ISBLANK(B604), "","PriceArea-603")</f>
        <v>0</v>
      </c>
    </row>
    <row r="605" spans="1:1">
      <c r="A605">
        <f>IF(ISBLANK(B605), "","PriceArea-604")</f>
        <v>0</v>
      </c>
    </row>
    <row r="606" spans="1:1">
      <c r="A606">
        <f>IF(ISBLANK(B606), "","PriceArea-605")</f>
        <v>0</v>
      </c>
    </row>
    <row r="607" spans="1:1">
      <c r="A607">
        <f>IF(ISBLANK(B607), "","PriceArea-606")</f>
        <v>0</v>
      </c>
    </row>
    <row r="608" spans="1:1">
      <c r="A608">
        <f>IF(ISBLANK(B608), "","PriceArea-607")</f>
        <v>0</v>
      </c>
    </row>
    <row r="609" spans="1:1">
      <c r="A609">
        <f>IF(ISBLANK(B609), "","PriceArea-608")</f>
        <v>0</v>
      </c>
    </row>
    <row r="610" spans="1:1">
      <c r="A610">
        <f>IF(ISBLANK(B610), "","PriceArea-609")</f>
        <v>0</v>
      </c>
    </row>
    <row r="611" spans="1:1">
      <c r="A611">
        <f>IF(ISBLANK(B611), "","PriceArea-610")</f>
        <v>0</v>
      </c>
    </row>
    <row r="612" spans="1:1">
      <c r="A612">
        <f>IF(ISBLANK(B612), "","PriceArea-611")</f>
        <v>0</v>
      </c>
    </row>
    <row r="613" spans="1:1">
      <c r="A613">
        <f>IF(ISBLANK(B613), "","PriceArea-612")</f>
        <v>0</v>
      </c>
    </row>
    <row r="614" spans="1:1">
      <c r="A614">
        <f>IF(ISBLANK(B614), "","PriceArea-613")</f>
        <v>0</v>
      </c>
    </row>
    <row r="615" spans="1:1">
      <c r="A615">
        <f>IF(ISBLANK(B615), "","PriceArea-614")</f>
        <v>0</v>
      </c>
    </row>
    <row r="616" spans="1:1">
      <c r="A616">
        <f>IF(ISBLANK(B616), "","PriceArea-615")</f>
        <v>0</v>
      </c>
    </row>
    <row r="617" spans="1:1">
      <c r="A617">
        <f>IF(ISBLANK(B617), "","PriceArea-616")</f>
        <v>0</v>
      </c>
    </row>
    <row r="618" spans="1:1">
      <c r="A618">
        <f>IF(ISBLANK(B618), "","PriceArea-617")</f>
        <v>0</v>
      </c>
    </row>
    <row r="619" spans="1:1">
      <c r="A619">
        <f>IF(ISBLANK(B619), "","PriceArea-618")</f>
        <v>0</v>
      </c>
    </row>
    <row r="620" spans="1:1">
      <c r="A620">
        <f>IF(ISBLANK(B620), "","PriceArea-619")</f>
        <v>0</v>
      </c>
    </row>
    <row r="621" spans="1:1">
      <c r="A621">
        <f>IF(ISBLANK(B621), "","PriceArea-620")</f>
        <v>0</v>
      </c>
    </row>
    <row r="622" spans="1:1">
      <c r="A622">
        <f>IF(ISBLANK(B622), "","PriceArea-621")</f>
        <v>0</v>
      </c>
    </row>
    <row r="623" spans="1:1">
      <c r="A623">
        <f>IF(ISBLANK(B623), "","PriceArea-622")</f>
        <v>0</v>
      </c>
    </row>
    <row r="624" spans="1:1">
      <c r="A624">
        <f>IF(ISBLANK(B624), "","PriceArea-623")</f>
        <v>0</v>
      </c>
    </row>
    <row r="625" spans="1:1">
      <c r="A625">
        <f>IF(ISBLANK(B625), "","PriceArea-624")</f>
        <v>0</v>
      </c>
    </row>
    <row r="626" spans="1:1">
      <c r="A626">
        <f>IF(ISBLANK(B626), "","PriceArea-625")</f>
        <v>0</v>
      </c>
    </row>
    <row r="627" spans="1:1">
      <c r="A627">
        <f>IF(ISBLANK(B627), "","PriceArea-626")</f>
        <v>0</v>
      </c>
    </row>
    <row r="628" spans="1:1">
      <c r="A628">
        <f>IF(ISBLANK(B628), "","PriceArea-627")</f>
        <v>0</v>
      </c>
    </row>
    <row r="629" spans="1:1">
      <c r="A629">
        <f>IF(ISBLANK(B629), "","PriceArea-628")</f>
        <v>0</v>
      </c>
    </row>
    <row r="630" spans="1:1">
      <c r="A630">
        <f>IF(ISBLANK(B630), "","PriceArea-629")</f>
        <v>0</v>
      </c>
    </row>
    <row r="631" spans="1:1">
      <c r="A631">
        <f>IF(ISBLANK(B631), "","PriceArea-630")</f>
        <v>0</v>
      </c>
    </row>
    <row r="632" spans="1:1">
      <c r="A632">
        <f>IF(ISBLANK(B632), "","PriceArea-631")</f>
        <v>0</v>
      </c>
    </row>
    <row r="633" spans="1:1">
      <c r="A633">
        <f>IF(ISBLANK(B633), "","PriceArea-632")</f>
        <v>0</v>
      </c>
    </row>
    <row r="634" spans="1:1">
      <c r="A634">
        <f>IF(ISBLANK(B634), "","PriceArea-633")</f>
        <v>0</v>
      </c>
    </row>
    <row r="635" spans="1:1">
      <c r="A635">
        <f>IF(ISBLANK(B635), "","PriceArea-634")</f>
        <v>0</v>
      </c>
    </row>
    <row r="636" spans="1:1">
      <c r="A636">
        <f>IF(ISBLANK(B636), "","PriceArea-635")</f>
        <v>0</v>
      </c>
    </row>
    <row r="637" spans="1:1">
      <c r="A637">
        <f>IF(ISBLANK(B637), "","PriceArea-636")</f>
        <v>0</v>
      </c>
    </row>
    <row r="638" spans="1:1">
      <c r="A638">
        <f>IF(ISBLANK(B638), "","PriceArea-637")</f>
        <v>0</v>
      </c>
    </row>
    <row r="639" spans="1:1">
      <c r="A639">
        <f>IF(ISBLANK(B639), "","PriceArea-638")</f>
        <v>0</v>
      </c>
    </row>
    <row r="640" spans="1:1">
      <c r="A640">
        <f>IF(ISBLANK(B640), "","PriceArea-639")</f>
        <v>0</v>
      </c>
    </row>
    <row r="641" spans="1:1">
      <c r="A641">
        <f>IF(ISBLANK(B641), "","PriceArea-640")</f>
        <v>0</v>
      </c>
    </row>
    <row r="642" spans="1:1">
      <c r="A642">
        <f>IF(ISBLANK(B642), "","PriceArea-641")</f>
        <v>0</v>
      </c>
    </row>
    <row r="643" spans="1:1">
      <c r="A643">
        <f>IF(ISBLANK(B643), "","PriceArea-642")</f>
        <v>0</v>
      </c>
    </row>
    <row r="644" spans="1:1">
      <c r="A644">
        <f>IF(ISBLANK(B644), "","PriceArea-643")</f>
        <v>0</v>
      </c>
    </row>
    <row r="645" spans="1:1">
      <c r="A645">
        <f>IF(ISBLANK(B645), "","PriceArea-644")</f>
        <v>0</v>
      </c>
    </row>
    <row r="646" spans="1:1">
      <c r="A646">
        <f>IF(ISBLANK(B646), "","PriceArea-645")</f>
        <v>0</v>
      </c>
    </row>
    <row r="647" spans="1:1">
      <c r="A647">
        <f>IF(ISBLANK(B647), "","PriceArea-646")</f>
        <v>0</v>
      </c>
    </row>
    <row r="648" spans="1:1">
      <c r="A648">
        <f>IF(ISBLANK(B648), "","PriceArea-647")</f>
        <v>0</v>
      </c>
    </row>
    <row r="649" spans="1:1">
      <c r="A649">
        <f>IF(ISBLANK(B649), "","PriceArea-648")</f>
        <v>0</v>
      </c>
    </row>
    <row r="650" spans="1:1">
      <c r="A650">
        <f>IF(ISBLANK(B650), "","PriceArea-649")</f>
        <v>0</v>
      </c>
    </row>
    <row r="651" spans="1:1">
      <c r="A651">
        <f>IF(ISBLANK(B651), "","PriceArea-650")</f>
        <v>0</v>
      </c>
    </row>
    <row r="652" spans="1:1">
      <c r="A652">
        <f>IF(ISBLANK(B652), "","PriceArea-651")</f>
        <v>0</v>
      </c>
    </row>
    <row r="653" spans="1:1">
      <c r="A653">
        <f>IF(ISBLANK(B653), "","PriceArea-652")</f>
        <v>0</v>
      </c>
    </row>
    <row r="654" spans="1:1">
      <c r="A654">
        <f>IF(ISBLANK(B654), "","PriceArea-653")</f>
        <v>0</v>
      </c>
    </row>
    <row r="655" spans="1:1">
      <c r="A655">
        <f>IF(ISBLANK(B655), "","PriceArea-654")</f>
        <v>0</v>
      </c>
    </row>
    <row r="656" spans="1:1">
      <c r="A656">
        <f>IF(ISBLANK(B656), "","PriceArea-655")</f>
        <v>0</v>
      </c>
    </row>
    <row r="657" spans="1:1">
      <c r="A657">
        <f>IF(ISBLANK(B657), "","PriceArea-656")</f>
        <v>0</v>
      </c>
    </row>
    <row r="658" spans="1:1">
      <c r="A658">
        <f>IF(ISBLANK(B658), "","PriceArea-657")</f>
        <v>0</v>
      </c>
    </row>
    <row r="659" spans="1:1">
      <c r="A659">
        <f>IF(ISBLANK(B659), "","PriceArea-658")</f>
        <v>0</v>
      </c>
    </row>
    <row r="660" spans="1:1">
      <c r="A660">
        <f>IF(ISBLANK(B660), "","PriceArea-659")</f>
        <v>0</v>
      </c>
    </row>
    <row r="661" spans="1:1">
      <c r="A661">
        <f>IF(ISBLANK(B661), "","PriceArea-660")</f>
        <v>0</v>
      </c>
    </row>
    <row r="662" spans="1:1">
      <c r="A662">
        <f>IF(ISBLANK(B662), "","PriceArea-661")</f>
        <v>0</v>
      </c>
    </row>
    <row r="663" spans="1:1">
      <c r="A663">
        <f>IF(ISBLANK(B663), "","PriceArea-662")</f>
        <v>0</v>
      </c>
    </row>
    <row r="664" spans="1:1">
      <c r="A664">
        <f>IF(ISBLANK(B664), "","PriceArea-663")</f>
        <v>0</v>
      </c>
    </row>
    <row r="665" spans="1:1">
      <c r="A665">
        <f>IF(ISBLANK(B665), "","PriceArea-664")</f>
        <v>0</v>
      </c>
    </row>
    <row r="666" spans="1:1">
      <c r="A666">
        <f>IF(ISBLANK(B666), "","PriceArea-665")</f>
        <v>0</v>
      </c>
    </row>
    <row r="667" spans="1:1">
      <c r="A667">
        <f>IF(ISBLANK(B667), "","PriceArea-666")</f>
        <v>0</v>
      </c>
    </row>
    <row r="668" spans="1:1">
      <c r="A668">
        <f>IF(ISBLANK(B668), "","PriceArea-667")</f>
        <v>0</v>
      </c>
    </row>
    <row r="669" spans="1:1">
      <c r="A669">
        <f>IF(ISBLANK(B669), "","PriceArea-668")</f>
        <v>0</v>
      </c>
    </row>
    <row r="670" spans="1:1">
      <c r="A670">
        <f>IF(ISBLANK(B670), "","PriceArea-669")</f>
        <v>0</v>
      </c>
    </row>
    <row r="671" spans="1:1">
      <c r="A671">
        <f>IF(ISBLANK(B671), "","PriceArea-670")</f>
        <v>0</v>
      </c>
    </row>
    <row r="672" spans="1:1">
      <c r="A672">
        <f>IF(ISBLANK(B672), "","PriceArea-671")</f>
        <v>0</v>
      </c>
    </row>
    <row r="673" spans="1:1">
      <c r="A673">
        <f>IF(ISBLANK(B673), "","PriceArea-672")</f>
        <v>0</v>
      </c>
    </row>
    <row r="674" spans="1:1">
      <c r="A674">
        <f>IF(ISBLANK(B674), "","PriceArea-673")</f>
        <v>0</v>
      </c>
    </row>
    <row r="675" spans="1:1">
      <c r="A675">
        <f>IF(ISBLANK(B675), "","PriceArea-674")</f>
        <v>0</v>
      </c>
    </row>
    <row r="676" spans="1:1">
      <c r="A676">
        <f>IF(ISBLANK(B676), "","PriceArea-675")</f>
        <v>0</v>
      </c>
    </row>
    <row r="677" spans="1:1">
      <c r="A677">
        <f>IF(ISBLANK(B677), "","PriceArea-676")</f>
        <v>0</v>
      </c>
    </row>
    <row r="678" spans="1:1">
      <c r="A678">
        <f>IF(ISBLANK(B678), "","PriceArea-677")</f>
        <v>0</v>
      </c>
    </row>
    <row r="679" spans="1:1">
      <c r="A679">
        <f>IF(ISBLANK(B679), "","PriceArea-678")</f>
        <v>0</v>
      </c>
    </row>
    <row r="680" spans="1:1">
      <c r="A680">
        <f>IF(ISBLANK(B680), "","PriceArea-679")</f>
        <v>0</v>
      </c>
    </row>
    <row r="681" spans="1:1">
      <c r="A681">
        <f>IF(ISBLANK(B681), "","PriceArea-680")</f>
        <v>0</v>
      </c>
    </row>
    <row r="682" spans="1:1">
      <c r="A682">
        <f>IF(ISBLANK(B682), "","PriceArea-681")</f>
        <v>0</v>
      </c>
    </row>
    <row r="683" spans="1:1">
      <c r="A683">
        <f>IF(ISBLANK(B683), "","PriceArea-682")</f>
        <v>0</v>
      </c>
    </row>
    <row r="684" spans="1:1">
      <c r="A684">
        <f>IF(ISBLANK(B684), "","PriceArea-683")</f>
        <v>0</v>
      </c>
    </row>
    <row r="685" spans="1:1">
      <c r="A685">
        <f>IF(ISBLANK(B685), "","PriceArea-684")</f>
        <v>0</v>
      </c>
    </row>
    <row r="686" spans="1:1">
      <c r="A686">
        <f>IF(ISBLANK(B686), "","PriceArea-685")</f>
        <v>0</v>
      </c>
    </row>
    <row r="687" spans="1:1">
      <c r="A687">
        <f>IF(ISBLANK(B687), "","PriceArea-686")</f>
        <v>0</v>
      </c>
    </row>
    <row r="688" spans="1:1">
      <c r="A688">
        <f>IF(ISBLANK(B688), "","PriceArea-687")</f>
        <v>0</v>
      </c>
    </row>
    <row r="689" spans="1:1">
      <c r="A689">
        <f>IF(ISBLANK(B689), "","PriceArea-688")</f>
        <v>0</v>
      </c>
    </row>
    <row r="690" spans="1:1">
      <c r="A690">
        <f>IF(ISBLANK(B690), "","PriceArea-689")</f>
        <v>0</v>
      </c>
    </row>
    <row r="691" spans="1:1">
      <c r="A691">
        <f>IF(ISBLANK(B691), "","PriceArea-690")</f>
        <v>0</v>
      </c>
    </row>
    <row r="692" spans="1:1">
      <c r="A692">
        <f>IF(ISBLANK(B692), "","PriceArea-691")</f>
        <v>0</v>
      </c>
    </row>
    <row r="693" spans="1:1">
      <c r="A693">
        <f>IF(ISBLANK(B693), "","PriceArea-692")</f>
        <v>0</v>
      </c>
    </row>
    <row r="694" spans="1:1">
      <c r="A694">
        <f>IF(ISBLANK(B694), "","PriceArea-693")</f>
        <v>0</v>
      </c>
    </row>
    <row r="695" spans="1:1">
      <c r="A695">
        <f>IF(ISBLANK(B695), "","PriceArea-694")</f>
        <v>0</v>
      </c>
    </row>
    <row r="696" spans="1:1">
      <c r="A696">
        <f>IF(ISBLANK(B696), "","PriceArea-695")</f>
        <v>0</v>
      </c>
    </row>
    <row r="697" spans="1:1">
      <c r="A697">
        <f>IF(ISBLANK(B697), "","PriceArea-696")</f>
        <v>0</v>
      </c>
    </row>
    <row r="698" spans="1:1">
      <c r="A698">
        <f>IF(ISBLANK(B698), "","PriceArea-697")</f>
        <v>0</v>
      </c>
    </row>
    <row r="699" spans="1:1">
      <c r="A699">
        <f>IF(ISBLANK(B699), "","PriceArea-698")</f>
        <v>0</v>
      </c>
    </row>
    <row r="700" spans="1:1">
      <c r="A700">
        <f>IF(ISBLANK(B700), "","PriceArea-699")</f>
        <v>0</v>
      </c>
    </row>
    <row r="701" spans="1:1">
      <c r="A701">
        <f>IF(ISBLANK(B701), "","PriceArea-700")</f>
        <v>0</v>
      </c>
    </row>
    <row r="702" spans="1:1">
      <c r="A702">
        <f>IF(ISBLANK(B702), "","PriceArea-701")</f>
        <v>0</v>
      </c>
    </row>
    <row r="703" spans="1:1">
      <c r="A703">
        <f>IF(ISBLANK(B703), "","PriceArea-702")</f>
        <v>0</v>
      </c>
    </row>
    <row r="704" spans="1:1">
      <c r="A704">
        <f>IF(ISBLANK(B704), "","PriceArea-703")</f>
        <v>0</v>
      </c>
    </row>
    <row r="705" spans="1:1">
      <c r="A705">
        <f>IF(ISBLANK(B705), "","PriceArea-704")</f>
        <v>0</v>
      </c>
    </row>
    <row r="706" spans="1:1">
      <c r="A706">
        <f>IF(ISBLANK(B706), "","PriceArea-705")</f>
        <v>0</v>
      </c>
    </row>
    <row r="707" spans="1:1">
      <c r="A707">
        <f>IF(ISBLANK(B707), "","PriceArea-706")</f>
        <v>0</v>
      </c>
    </row>
    <row r="708" spans="1:1">
      <c r="A708">
        <f>IF(ISBLANK(B708), "","PriceArea-707")</f>
        <v>0</v>
      </c>
    </row>
    <row r="709" spans="1:1">
      <c r="A709">
        <f>IF(ISBLANK(B709), "","PriceArea-708")</f>
        <v>0</v>
      </c>
    </row>
    <row r="710" spans="1:1">
      <c r="A710">
        <f>IF(ISBLANK(B710), "","PriceArea-709")</f>
        <v>0</v>
      </c>
    </row>
    <row r="711" spans="1:1">
      <c r="A711">
        <f>IF(ISBLANK(B711), "","PriceArea-710")</f>
        <v>0</v>
      </c>
    </row>
    <row r="712" spans="1:1">
      <c r="A712">
        <f>IF(ISBLANK(B712), "","PriceArea-711")</f>
        <v>0</v>
      </c>
    </row>
    <row r="713" spans="1:1">
      <c r="A713">
        <f>IF(ISBLANK(B713), "","PriceArea-712")</f>
        <v>0</v>
      </c>
    </row>
    <row r="714" spans="1:1">
      <c r="A714">
        <f>IF(ISBLANK(B714), "","PriceArea-713")</f>
        <v>0</v>
      </c>
    </row>
    <row r="715" spans="1:1">
      <c r="A715">
        <f>IF(ISBLANK(B715), "","PriceArea-714")</f>
        <v>0</v>
      </c>
    </row>
    <row r="716" spans="1:1">
      <c r="A716">
        <f>IF(ISBLANK(B716), "","PriceArea-715")</f>
        <v>0</v>
      </c>
    </row>
    <row r="717" spans="1:1">
      <c r="A717">
        <f>IF(ISBLANK(B717), "","PriceArea-716")</f>
        <v>0</v>
      </c>
    </row>
    <row r="718" spans="1:1">
      <c r="A718">
        <f>IF(ISBLANK(B718), "","PriceArea-717")</f>
        <v>0</v>
      </c>
    </row>
    <row r="719" spans="1:1">
      <c r="A719">
        <f>IF(ISBLANK(B719), "","PriceArea-718")</f>
        <v>0</v>
      </c>
    </row>
    <row r="720" spans="1:1">
      <c r="A720">
        <f>IF(ISBLANK(B720), "","PriceArea-719")</f>
        <v>0</v>
      </c>
    </row>
    <row r="721" spans="1:1">
      <c r="A721">
        <f>IF(ISBLANK(B721), "","PriceArea-720")</f>
        <v>0</v>
      </c>
    </row>
    <row r="722" spans="1:1">
      <c r="A722">
        <f>IF(ISBLANK(B722), "","PriceArea-721")</f>
        <v>0</v>
      </c>
    </row>
    <row r="723" spans="1:1">
      <c r="A723">
        <f>IF(ISBLANK(B723), "","PriceArea-722")</f>
        <v>0</v>
      </c>
    </row>
    <row r="724" spans="1:1">
      <c r="A724">
        <f>IF(ISBLANK(B724), "","PriceArea-723")</f>
        <v>0</v>
      </c>
    </row>
    <row r="725" spans="1:1">
      <c r="A725">
        <f>IF(ISBLANK(B725), "","PriceArea-724")</f>
        <v>0</v>
      </c>
    </row>
    <row r="726" spans="1:1">
      <c r="A726">
        <f>IF(ISBLANK(B726), "","PriceArea-725")</f>
        <v>0</v>
      </c>
    </row>
    <row r="727" spans="1:1">
      <c r="A727">
        <f>IF(ISBLANK(B727), "","PriceArea-726")</f>
        <v>0</v>
      </c>
    </row>
    <row r="728" spans="1:1">
      <c r="A728">
        <f>IF(ISBLANK(B728), "","PriceArea-727")</f>
        <v>0</v>
      </c>
    </row>
    <row r="729" spans="1:1">
      <c r="A729">
        <f>IF(ISBLANK(B729), "","PriceArea-728")</f>
        <v>0</v>
      </c>
    </row>
    <row r="730" spans="1:1">
      <c r="A730">
        <f>IF(ISBLANK(B730), "","PriceArea-729")</f>
        <v>0</v>
      </c>
    </row>
    <row r="731" spans="1:1">
      <c r="A731">
        <f>IF(ISBLANK(B731), "","PriceArea-730")</f>
        <v>0</v>
      </c>
    </row>
    <row r="732" spans="1:1">
      <c r="A732">
        <f>IF(ISBLANK(B732), "","PriceArea-731")</f>
        <v>0</v>
      </c>
    </row>
    <row r="733" spans="1:1">
      <c r="A733">
        <f>IF(ISBLANK(B733), "","PriceArea-732")</f>
        <v>0</v>
      </c>
    </row>
    <row r="734" spans="1:1">
      <c r="A734">
        <f>IF(ISBLANK(B734), "","PriceArea-733")</f>
        <v>0</v>
      </c>
    </row>
    <row r="735" spans="1:1">
      <c r="A735">
        <f>IF(ISBLANK(B735), "","PriceArea-734")</f>
        <v>0</v>
      </c>
    </row>
    <row r="736" spans="1:1">
      <c r="A736">
        <f>IF(ISBLANK(B736), "","PriceArea-735")</f>
        <v>0</v>
      </c>
    </row>
    <row r="737" spans="1:1">
      <c r="A737">
        <f>IF(ISBLANK(B737), "","PriceArea-736")</f>
        <v>0</v>
      </c>
    </row>
    <row r="738" spans="1:1">
      <c r="A738">
        <f>IF(ISBLANK(B738), "","PriceArea-737")</f>
        <v>0</v>
      </c>
    </row>
    <row r="739" spans="1:1">
      <c r="A739">
        <f>IF(ISBLANK(B739), "","PriceArea-738")</f>
        <v>0</v>
      </c>
    </row>
    <row r="740" spans="1:1">
      <c r="A740">
        <f>IF(ISBLANK(B740), "","PriceArea-739")</f>
        <v>0</v>
      </c>
    </row>
    <row r="741" spans="1:1">
      <c r="A741">
        <f>IF(ISBLANK(B741), "","PriceArea-740")</f>
        <v>0</v>
      </c>
    </row>
    <row r="742" spans="1:1">
      <c r="A742">
        <f>IF(ISBLANK(B742), "","PriceArea-741")</f>
        <v>0</v>
      </c>
    </row>
    <row r="743" spans="1:1">
      <c r="A743">
        <f>IF(ISBLANK(B743), "","PriceArea-742")</f>
        <v>0</v>
      </c>
    </row>
    <row r="744" spans="1:1">
      <c r="A744">
        <f>IF(ISBLANK(B744), "","PriceArea-743")</f>
        <v>0</v>
      </c>
    </row>
    <row r="745" spans="1:1">
      <c r="A745">
        <f>IF(ISBLANK(B745), "","PriceArea-744")</f>
        <v>0</v>
      </c>
    </row>
    <row r="746" spans="1:1">
      <c r="A746">
        <f>IF(ISBLANK(B746), "","PriceArea-745")</f>
        <v>0</v>
      </c>
    </row>
    <row r="747" spans="1:1">
      <c r="A747">
        <f>IF(ISBLANK(B747), "","PriceArea-746")</f>
        <v>0</v>
      </c>
    </row>
    <row r="748" spans="1:1">
      <c r="A748">
        <f>IF(ISBLANK(B748), "","PriceArea-747")</f>
        <v>0</v>
      </c>
    </row>
    <row r="749" spans="1:1">
      <c r="A749">
        <f>IF(ISBLANK(B749), "","PriceArea-748")</f>
        <v>0</v>
      </c>
    </row>
    <row r="750" spans="1:1">
      <c r="A750">
        <f>IF(ISBLANK(B750), "","PriceArea-749")</f>
        <v>0</v>
      </c>
    </row>
    <row r="751" spans="1:1">
      <c r="A751">
        <f>IF(ISBLANK(B751), "","PriceArea-750")</f>
        <v>0</v>
      </c>
    </row>
    <row r="752" spans="1:1">
      <c r="A752">
        <f>IF(ISBLANK(B752), "","PriceArea-751")</f>
        <v>0</v>
      </c>
    </row>
    <row r="753" spans="1:1">
      <c r="A753">
        <f>IF(ISBLANK(B753), "","PriceArea-752")</f>
        <v>0</v>
      </c>
    </row>
    <row r="754" spans="1:1">
      <c r="A754">
        <f>IF(ISBLANK(B754), "","PriceArea-753")</f>
        <v>0</v>
      </c>
    </row>
    <row r="755" spans="1:1">
      <c r="A755">
        <f>IF(ISBLANK(B755), "","PriceArea-754")</f>
        <v>0</v>
      </c>
    </row>
    <row r="756" spans="1:1">
      <c r="A756">
        <f>IF(ISBLANK(B756), "","PriceArea-755")</f>
        <v>0</v>
      </c>
    </row>
    <row r="757" spans="1:1">
      <c r="A757">
        <f>IF(ISBLANK(B757), "","PriceArea-756")</f>
        <v>0</v>
      </c>
    </row>
    <row r="758" spans="1:1">
      <c r="A758">
        <f>IF(ISBLANK(B758), "","PriceArea-757")</f>
        <v>0</v>
      </c>
    </row>
    <row r="759" spans="1:1">
      <c r="A759">
        <f>IF(ISBLANK(B759), "","PriceArea-758")</f>
        <v>0</v>
      </c>
    </row>
    <row r="760" spans="1:1">
      <c r="A760">
        <f>IF(ISBLANK(B760), "","PriceArea-759")</f>
        <v>0</v>
      </c>
    </row>
    <row r="761" spans="1:1">
      <c r="A761">
        <f>IF(ISBLANK(B761), "","PriceArea-760")</f>
        <v>0</v>
      </c>
    </row>
    <row r="762" spans="1:1">
      <c r="A762">
        <f>IF(ISBLANK(B762), "","PriceArea-761")</f>
        <v>0</v>
      </c>
    </row>
    <row r="763" spans="1:1">
      <c r="A763">
        <f>IF(ISBLANK(B763), "","PriceArea-762")</f>
        <v>0</v>
      </c>
    </row>
    <row r="764" spans="1:1">
      <c r="A764">
        <f>IF(ISBLANK(B764), "","PriceArea-763")</f>
        <v>0</v>
      </c>
    </row>
    <row r="765" spans="1:1">
      <c r="A765">
        <f>IF(ISBLANK(B765), "","PriceArea-764")</f>
        <v>0</v>
      </c>
    </row>
    <row r="766" spans="1:1">
      <c r="A766">
        <f>IF(ISBLANK(B766), "","PriceArea-765")</f>
        <v>0</v>
      </c>
    </row>
    <row r="767" spans="1:1">
      <c r="A767">
        <f>IF(ISBLANK(B767), "","PriceArea-766")</f>
        <v>0</v>
      </c>
    </row>
    <row r="768" spans="1:1">
      <c r="A768">
        <f>IF(ISBLANK(B768), "","PriceArea-767")</f>
        <v>0</v>
      </c>
    </row>
    <row r="769" spans="1:1">
      <c r="A769">
        <f>IF(ISBLANK(B769), "","PriceArea-768")</f>
        <v>0</v>
      </c>
    </row>
    <row r="770" spans="1:1">
      <c r="A770">
        <f>IF(ISBLANK(B770), "","PriceArea-769")</f>
        <v>0</v>
      </c>
    </row>
    <row r="771" spans="1:1">
      <c r="A771">
        <f>IF(ISBLANK(B771), "","PriceArea-770")</f>
        <v>0</v>
      </c>
    </row>
    <row r="772" spans="1:1">
      <c r="A772">
        <f>IF(ISBLANK(B772), "","PriceArea-771")</f>
        <v>0</v>
      </c>
    </row>
    <row r="773" spans="1:1">
      <c r="A773">
        <f>IF(ISBLANK(B773), "","PriceArea-772")</f>
        <v>0</v>
      </c>
    </row>
    <row r="774" spans="1:1">
      <c r="A774">
        <f>IF(ISBLANK(B774), "","PriceArea-773")</f>
        <v>0</v>
      </c>
    </row>
    <row r="775" spans="1:1">
      <c r="A775">
        <f>IF(ISBLANK(B775), "","PriceArea-774")</f>
        <v>0</v>
      </c>
    </row>
    <row r="776" spans="1:1">
      <c r="A776">
        <f>IF(ISBLANK(B776), "","PriceArea-775")</f>
        <v>0</v>
      </c>
    </row>
    <row r="777" spans="1:1">
      <c r="A777">
        <f>IF(ISBLANK(B777), "","PriceArea-776")</f>
        <v>0</v>
      </c>
    </row>
    <row r="778" spans="1:1">
      <c r="A778">
        <f>IF(ISBLANK(B778), "","PriceArea-777")</f>
        <v>0</v>
      </c>
    </row>
    <row r="779" spans="1:1">
      <c r="A779">
        <f>IF(ISBLANK(B779), "","PriceArea-778")</f>
        <v>0</v>
      </c>
    </row>
    <row r="780" spans="1:1">
      <c r="A780">
        <f>IF(ISBLANK(B780), "","PriceArea-779")</f>
        <v>0</v>
      </c>
    </row>
    <row r="781" spans="1:1">
      <c r="A781">
        <f>IF(ISBLANK(B781), "","PriceArea-780")</f>
        <v>0</v>
      </c>
    </row>
    <row r="782" spans="1:1">
      <c r="A782">
        <f>IF(ISBLANK(B782), "","PriceArea-781")</f>
        <v>0</v>
      </c>
    </row>
    <row r="783" spans="1:1">
      <c r="A783">
        <f>IF(ISBLANK(B783), "","PriceArea-782")</f>
        <v>0</v>
      </c>
    </row>
    <row r="784" spans="1:1">
      <c r="A784">
        <f>IF(ISBLANK(B784), "","PriceArea-783")</f>
        <v>0</v>
      </c>
    </row>
    <row r="785" spans="1:1">
      <c r="A785">
        <f>IF(ISBLANK(B785), "","PriceArea-784")</f>
        <v>0</v>
      </c>
    </row>
    <row r="786" spans="1:1">
      <c r="A786">
        <f>IF(ISBLANK(B786), "","PriceArea-785")</f>
        <v>0</v>
      </c>
    </row>
    <row r="787" spans="1:1">
      <c r="A787">
        <f>IF(ISBLANK(B787), "","PriceArea-786")</f>
        <v>0</v>
      </c>
    </row>
    <row r="788" spans="1:1">
      <c r="A788">
        <f>IF(ISBLANK(B788), "","PriceArea-787")</f>
        <v>0</v>
      </c>
    </row>
    <row r="789" spans="1:1">
      <c r="A789">
        <f>IF(ISBLANK(B789), "","PriceArea-788")</f>
        <v>0</v>
      </c>
    </row>
    <row r="790" spans="1:1">
      <c r="A790">
        <f>IF(ISBLANK(B790), "","PriceArea-789")</f>
        <v>0</v>
      </c>
    </row>
    <row r="791" spans="1:1">
      <c r="A791">
        <f>IF(ISBLANK(B791), "","PriceArea-790")</f>
        <v>0</v>
      </c>
    </row>
    <row r="792" spans="1:1">
      <c r="A792">
        <f>IF(ISBLANK(B792), "","PriceArea-791")</f>
        <v>0</v>
      </c>
    </row>
    <row r="793" spans="1:1">
      <c r="A793">
        <f>IF(ISBLANK(B793), "","PriceArea-792")</f>
        <v>0</v>
      </c>
    </row>
    <row r="794" spans="1:1">
      <c r="A794">
        <f>IF(ISBLANK(B794), "","PriceArea-793")</f>
        <v>0</v>
      </c>
    </row>
    <row r="795" spans="1:1">
      <c r="A795">
        <f>IF(ISBLANK(B795), "","PriceArea-794")</f>
        <v>0</v>
      </c>
    </row>
    <row r="796" spans="1:1">
      <c r="A796">
        <f>IF(ISBLANK(B796), "","PriceArea-795")</f>
        <v>0</v>
      </c>
    </row>
    <row r="797" spans="1:1">
      <c r="A797">
        <f>IF(ISBLANK(B797), "","PriceArea-796")</f>
        <v>0</v>
      </c>
    </row>
    <row r="798" spans="1:1">
      <c r="A798">
        <f>IF(ISBLANK(B798), "","PriceArea-797")</f>
        <v>0</v>
      </c>
    </row>
    <row r="799" spans="1:1">
      <c r="A799">
        <f>IF(ISBLANK(B799), "","PriceArea-798")</f>
        <v>0</v>
      </c>
    </row>
    <row r="800" spans="1:1">
      <c r="A800">
        <f>IF(ISBLANK(B800), "","PriceArea-799")</f>
        <v>0</v>
      </c>
    </row>
    <row r="801" spans="1:1">
      <c r="A801">
        <f>IF(ISBLANK(B801), "","PriceArea-800")</f>
        <v>0</v>
      </c>
    </row>
    <row r="802" spans="1:1">
      <c r="A802">
        <f>IF(ISBLANK(B802), "","PriceArea-801")</f>
        <v>0</v>
      </c>
    </row>
    <row r="803" spans="1:1">
      <c r="A803">
        <f>IF(ISBLANK(B803), "","PriceArea-802")</f>
        <v>0</v>
      </c>
    </row>
    <row r="804" spans="1:1">
      <c r="A804">
        <f>IF(ISBLANK(B804), "","PriceArea-803")</f>
        <v>0</v>
      </c>
    </row>
    <row r="805" spans="1:1">
      <c r="A805">
        <f>IF(ISBLANK(B805), "","PriceArea-804")</f>
        <v>0</v>
      </c>
    </row>
    <row r="806" spans="1:1">
      <c r="A806">
        <f>IF(ISBLANK(B806), "","PriceArea-805")</f>
        <v>0</v>
      </c>
    </row>
    <row r="807" spans="1:1">
      <c r="A807">
        <f>IF(ISBLANK(B807), "","PriceArea-806")</f>
        <v>0</v>
      </c>
    </row>
    <row r="808" spans="1:1">
      <c r="A808">
        <f>IF(ISBLANK(B808), "","PriceArea-807")</f>
        <v>0</v>
      </c>
    </row>
    <row r="809" spans="1:1">
      <c r="A809">
        <f>IF(ISBLANK(B809), "","PriceArea-808")</f>
        <v>0</v>
      </c>
    </row>
    <row r="810" spans="1:1">
      <c r="A810">
        <f>IF(ISBLANK(B810), "","PriceArea-809")</f>
        <v>0</v>
      </c>
    </row>
    <row r="811" spans="1:1">
      <c r="A811">
        <f>IF(ISBLANK(B811), "","PriceArea-810")</f>
        <v>0</v>
      </c>
    </row>
    <row r="812" spans="1:1">
      <c r="A812">
        <f>IF(ISBLANK(B812), "","PriceArea-811")</f>
        <v>0</v>
      </c>
    </row>
    <row r="813" spans="1:1">
      <c r="A813">
        <f>IF(ISBLANK(B813), "","PriceArea-812")</f>
        <v>0</v>
      </c>
    </row>
    <row r="814" spans="1:1">
      <c r="A814">
        <f>IF(ISBLANK(B814), "","PriceArea-813")</f>
        <v>0</v>
      </c>
    </row>
    <row r="815" spans="1:1">
      <c r="A815">
        <f>IF(ISBLANK(B815), "","PriceArea-814")</f>
        <v>0</v>
      </c>
    </row>
    <row r="816" spans="1:1">
      <c r="A816">
        <f>IF(ISBLANK(B816), "","PriceArea-815")</f>
        <v>0</v>
      </c>
    </row>
    <row r="817" spans="1:1">
      <c r="A817">
        <f>IF(ISBLANK(B817), "","PriceArea-816")</f>
        <v>0</v>
      </c>
    </row>
    <row r="818" spans="1:1">
      <c r="A818">
        <f>IF(ISBLANK(B818), "","PriceArea-817")</f>
        <v>0</v>
      </c>
    </row>
    <row r="819" spans="1:1">
      <c r="A819">
        <f>IF(ISBLANK(B819), "","PriceArea-818")</f>
        <v>0</v>
      </c>
    </row>
    <row r="820" spans="1:1">
      <c r="A820">
        <f>IF(ISBLANK(B820), "","PriceArea-819")</f>
        <v>0</v>
      </c>
    </row>
    <row r="821" spans="1:1">
      <c r="A821">
        <f>IF(ISBLANK(B821), "","PriceArea-820")</f>
        <v>0</v>
      </c>
    </row>
    <row r="822" spans="1:1">
      <c r="A822">
        <f>IF(ISBLANK(B822), "","PriceArea-821")</f>
        <v>0</v>
      </c>
    </row>
    <row r="823" spans="1:1">
      <c r="A823">
        <f>IF(ISBLANK(B823), "","PriceArea-822")</f>
        <v>0</v>
      </c>
    </row>
    <row r="824" spans="1:1">
      <c r="A824">
        <f>IF(ISBLANK(B824), "","PriceArea-823")</f>
        <v>0</v>
      </c>
    </row>
    <row r="825" spans="1:1">
      <c r="A825">
        <f>IF(ISBLANK(B825), "","PriceArea-824")</f>
        <v>0</v>
      </c>
    </row>
    <row r="826" spans="1:1">
      <c r="A826">
        <f>IF(ISBLANK(B826), "","PriceArea-825")</f>
        <v>0</v>
      </c>
    </row>
    <row r="827" spans="1:1">
      <c r="A827">
        <f>IF(ISBLANK(B827), "","PriceArea-826")</f>
        <v>0</v>
      </c>
    </row>
    <row r="828" spans="1:1">
      <c r="A828">
        <f>IF(ISBLANK(B828), "","PriceArea-827")</f>
        <v>0</v>
      </c>
    </row>
    <row r="829" spans="1:1">
      <c r="A829">
        <f>IF(ISBLANK(B829), "","PriceArea-828")</f>
        <v>0</v>
      </c>
    </row>
    <row r="830" spans="1:1">
      <c r="A830">
        <f>IF(ISBLANK(B830), "","PriceArea-829")</f>
        <v>0</v>
      </c>
    </row>
    <row r="831" spans="1:1">
      <c r="A831">
        <f>IF(ISBLANK(B831), "","PriceArea-830")</f>
        <v>0</v>
      </c>
    </row>
    <row r="832" spans="1:1">
      <c r="A832">
        <f>IF(ISBLANK(B832), "","PriceArea-831")</f>
        <v>0</v>
      </c>
    </row>
    <row r="833" spans="1:1">
      <c r="A833">
        <f>IF(ISBLANK(B833), "","PriceArea-832")</f>
        <v>0</v>
      </c>
    </row>
    <row r="834" spans="1:1">
      <c r="A834">
        <f>IF(ISBLANK(B834), "","PriceArea-833")</f>
        <v>0</v>
      </c>
    </row>
    <row r="835" spans="1:1">
      <c r="A835">
        <f>IF(ISBLANK(B835), "","PriceArea-834")</f>
        <v>0</v>
      </c>
    </row>
    <row r="836" spans="1:1">
      <c r="A836">
        <f>IF(ISBLANK(B836), "","PriceArea-835")</f>
        <v>0</v>
      </c>
    </row>
    <row r="837" spans="1:1">
      <c r="A837">
        <f>IF(ISBLANK(B837), "","PriceArea-836")</f>
        <v>0</v>
      </c>
    </row>
    <row r="838" spans="1:1">
      <c r="A838">
        <f>IF(ISBLANK(B838), "","PriceArea-837")</f>
        <v>0</v>
      </c>
    </row>
    <row r="839" spans="1:1">
      <c r="A839">
        <f>IF(ISBLANK(B839), "","PriceArea-838")</f>
        <v>0</v>
      </c>
    </row>
    <row r="840" spans="1:1">
      <c r="A840">
        <f>IF(ISBLANK(B840), "","PriceArea-839")</f>
        <v>0</v>
      </c>
    </row>
    <row r="841" spans="1:1">
      <c r="A841">
        <f>IF(ISBLANK(B841), "","PriceArea-840")</f>
        <v>0</v>
      </c>
    </row>
    <row r="842" spans="1:1">
      <c r="A842">
        <f>IF(ISBLANK(B842), "","PriceArea-841")</f>
        <v>0</v>
      </c>
    </row>
    <row r="843" spans="1:1">
      <c r="A843">
        <f>IF(ISBLANK(B843), "","PriceArea-842")</f>
        <v>0</v>
      </c>
    </row>
    <row r="844" spans="1:1">
      <c r="A844">
        <f>IF(ISBLANK(B844), "","PriceArea-843")</f>
        <v>0</v>
      </c>
    </row>
    <row r="845" spans="1:1">
      <c r="A845">
        <f>IF(ISBLANK(B845), "","PriceArea-844")</f>
        <v>0</v>
      </c>
    </row>
    <row r="846" spans="1:1">
      <c r="A846">
        <f>IF(ISBLANK(B846), "","PriceArea-845")</f>
        <v>0</v>
      </c>
    </row>
    <row r="847" spans="1:1">
      <c r="A847">
        <f>IF(ISBLANK(B847), "","PriceArea-846")</f>
        <v>0</v>
      </c>
    </row>
    <row r="848" spans="1:1">
      <c r="A848">
        <f>IF(ISBLANK(B848), "","PriceArea-847")</f>
        <v>0</v>
      </c>
    </row>
    <row r="849" spans="1:1">
      <c r="A849">
        <f>IF(ISBLANK(B849), "","PriceArea-848")</f>
        <v>0</v>
      </c>
    </row>
    <row r="850" spans="1:1">
      <c r="A850">
        <f>IF(ISBLANK(B850), "","PriceArea-849")</f>
        <v>0</v>
      </c>
    </row>
    <row r="851" spans="1:1">
      <c r="A851">
        <f>IF(ISBLANK(B851), "","PriceArea-850")</f>
        <v>0</v>
      </c>
    </row>
    <row r="852" spans="1:1">
      <c r="A852">
        <f>IF(ISBLANK(B852), "","PriceArea-851")</f>
        <v>0</v>
      </c>
    </row>
    <row r="853" spans="1:1">
      <c r="A853">
        <f>IF(ISBLANK(B853), "","PriceArea-852")</f>
        <v>0</v>
      </c>
    </row>
    <row r="854" spans="1:1">
      <c r="A854">
        <f>IF(ISBLANK(B854), "","PriceArea-853")</f>
        <v>0</v>
      </c>
    </row>
    <row r="855" spans="1:1">
      <c r="A855">
        <f>IF(ISBLANK(B855), "","PriceArea-854")</f>
        <v>0</v>
      </c>
    </row>
    <row r="856" spans="1:1">
      <c r="A856">
        <f>IF(ISBLANK(B856), "","PriceArea-855")</f>
        <v>0</v>
      </c>
    </row>
    <row r="857" spans="1:1">
      <c r="A857">
        <f>IF(ISBLANK(B857), "","PriceArea-856")</f>
        <v>0</v>
      </c>
    </row>
    <row r="858" spans="1:1">
      <c r="A858">
        <f>IF(ISBLANK(B858), "","PriceArea-857")</f>
        <v>0</v>
      </c>
    </row>
    <row r="859" spans="1:1">
      <c r="A859">
        <f>IF(ISBLANK(B859), "","PriceArea-858")</f>
        <v>0</v>
      </c>
    </row>
    <row r="860" spans="1:1">
      <c r="A860">
        <f>IF(ISBLANK(B860), "","PriceArea-859")</f>
        <v>0</v>
      </c>
    </row>
    <row r="861" spans="1:1">
      <c r="A861">
        <f>IF(ISBLANK(B861), "","PriceArea-860")</f>
        <v>0</v>
      </c>
    </row>
    <row r="862" spans="1:1">
      <c r="A862">
        <f>IF(ISBLANK(B862), "","PriceArea-861")</f>
        <v>0</v>
      </c>
    </row>
    <row r="863" spans="1:1">
      <c r="A863">
        <f>IF(ISBLANK(B863), "","PriceArea-862")</f>
        <v>0</v>
      </c>
    </row>
    <row r="864" spans="1:1">
      <c r="A864">
        <f>IF(ISBLANK(B864), "","PriceArea-863")</f>
        <v>0</v>
      </c>
    </row>
    <row r="865" spans="1:1">
      <c r="A865">
        <f>IF(ISBLANK(B865), "","PriceArea-864")</f>
        <v>0</v>
      </c>
    </row>
    <row r="866" spans="1:1">
      <c r="A866">
        <f>IF(ISBLANK(B866), "","PriceArea-865")</f>
        <v>0</v>
      </c>
    </row>
    <row r="867" spans="1:1">
      <c r="A867">
        <f>IF(ISBLANK(B867), "","PriceArea-866")</f>
        <v>0</v>
      </c>
    </row>
    <row r="868" spans="1:1">
      <c r="A868">
        <f>IF(ISBLANK(B868), "","PriceArea-867")</f>
        <v>0</v>
      </c>
    </row>
    <row r="869" spans="1:1">
      <c r="A869">
        <f>IF(ISBLANK(B869), "","PriceArea-868")</f>
        <v>0</v>
      </c>
    </row>
    <row r="870" spans="1:1">
      <c r="A870">
        <f>IF(ISBLANK(B870), "","PriceArea-869")</f>
        <v>0</v>
      </c>
    </row>
    <row r="871" spans="1:1">
      <c r="A871">
        <f>IF(ISBLANK(B871), "","PriceArea-870")</f>
        <v>0</v>
      </c>
    </row>
    <row r="872" spans="1:1">
      <c r="A872">
        <f>IF(ISBLANK(B872), "","PriceArea-871")</f>
        <v>0</v>
      </c>
    </row>
    <row r="873" spans="1:1">
      <c r="A873">
        <f>IF(ISBLANK(B873), "","PriceArea-872")</f>
        <v>0</v>
      </c>
    </row>
    <row r="874" spans="1:1">
      <c r="A874">
        <f>IF(ISBLANK(B874), "","PriceArea-873")</f>
        <v>0</v>
      </c>
    </row>
    <row r="875" spans="1:1">
      <c r="A875">
        <f>IF(ISBLANK(B875), "","PriceArea-874")</f>
        <v>0</v>
      </c>
    </row>
    <row r="876" spans="1:1">
      <c r="A876">
        <f>IF(ISBLANK(B876), "","PriceArea-875")</f>
        <v>0</v>
      </c>
    </row>
    <row r="877" spans="1:1">
      <c r="A877">
        <f>IF(ISBLANK(B877), "","PriceArea-876")</f>
        <v>0</v>
      </c>
    </row>
    <row r="878" spans="1:1">
      <c r="A878">
        <f>IF(ISBLANK(B878), "","PriceArea-877")</f>
        <v>0</v>
      </c>
    </row>
    <row r="879" spans="1:1">
      <c r="A879">
        <f>IF(ISBLANK(B879), "","PriceArea-878")</f>
        <v>0</v>
      </c>
    </row>
    <row r="880" spans="1:1">
      <c r="A880">
        <f>IF(ISBLANK(B880), "","PriceArea-879")</f>
        <v>0</v>
      </c>
    </row>
    <row r="881" spans="1:1">
      <c r="A881">
        <f>IF(ISBLANK(B881), "","PriceArea-880")</f>
        <v>0</v>
      </c>
    </row>
    <row r="882" spans="1:1">
      <c r="A882">
        <f>IF(ISBLANK(B882), "","PriceArea-881")</f>
        <v>0</v>
      </c>
    </row>
    <row r="883" spans="1:1">
      <c r="A883">
        <f>IF(ISBLANK(B883), "","PriceArea-882")</f>
        <v>0</v>
      </c>
    </row>
    <row r="884" spans="1:1">
      <c r="A884">
        <f>IF(ISBLANK(B884), "","PriceArea-883")</f>
        <v>0</v>
      </c>
    </row>
    <row r="885" spans="1:1">
      <c r="A885">
        <f>IF(ISBLANK(B885), "","PriceArea-884")</f>
        <v>0</v>
      </c>
    </row>
    <row r="886" spans="1:1">
      <c r="A886">
        <f>IF(ISBLANK(B886), "","PriceArea-885")</f>
        <v>0</v>
      </c>
    </row>
    <row r="887" spans="1:1">
      <c r="A887">
        <f>IF(ISBLANK(B887), "","PriceArea-886")</f>
        <v>0</v>
      </c>
    </row>
    <row r="888" spans="1:1">
      <c r="A888">
        <f>IF(ISBLANK(B888), "","PriceArea-887")</f>
        <v>0</v>
      </c>
    </row>
    <row r="889" spans="1:1">
      <c r="A889">
        <f>IF(ISBLANK(B889), "","PriceArea-888")</f>
        <v>0</v>
      </c>
    </row>
    <row r="890" spans="1:1">
      <c r="A890">
        <f>IF(ISBLANK(B890), "","PriceArea-889")</f>
        <v>0</v>
      </c>
    </row>
    <row r="891" spans="1:1">
      <c r="A891">
        <f>IF(ISBLANK(B891), "","PriceArea-890")</f>
        <v>0</v>
      </c>
    </row>
    <row r="892" spans="1:1">
      <c r="A892">
        <f>IF(ISBLANK(B892), "","PriceArea-891")</f>
        <v>0</v>
      </c>
    </row>
    <row r="893" spans="1:1">
      <c r="A893">
        <f>IF(ISBLANK(B893), "","PriceArea-892")</f>
        <v>0</v>
      </c>
    </row>
    <row r="894" spans="1:1">
      <c r="A894">
        <f>IF(ISBLANK(B894), "","PriceArea-893")</f>
        <v>0</v>
      </c>
    </row>
    <row r="895" spans="1:1">
      <c r="A895">
        <f>IF(ISBLANK(B895), "","PriceArea-894")</f>
        <v>0</v>
      </c>
    </row>
    <row r="896" spans="1:1">
      <c r="A896">
        <f>IF(ISBLANK(B896), "","PriceArea-895")</f>
        <v>0</v>
      </c>
    </row>
    <row r="897" spans="1:1">
      <c r="A897">
        <f>IF(ISBLANK(B897), "","PriceArea-896")</f>
        <v>0</v>
      </c>
    </row>
    <row r="898" spans="1:1">
      <c r="A898">
        <f>IF(ISBLANK(B898), "","PriceArea-897")</f>
        <v>0</v>
      </c>
    </row>
    <row r="899" spans="1:1">
      <c r="A899">
        <f>IF(ISBLANK(B899), "","PriceArea-898")</f>
        <v>0</v>
      </c>
    </row>
    <row r="900" spans="1:1">
      <c r="A900">
        <f>IF(ISBLANK(B900), "","PriceArea-899")</f>
        <v>0</v>
      </c>
    </row>
    <row r="901" spans="1:1">
      <c r="A901">
        <f>IF(ISBLANK(B901), "","PriceArea-900")</f>
        <v>0</v>
      </c>
    </row>
    <row r="902" spans="1:1">
      <c r="A902">
        <f>IF(ISBLANK(B902), "","PriceArea-901")</f>
        <v>0</v>
      </c>
    </row>
    <row r="903" spans="1:1">
      <c r="A903">
        <f>IF(ISBLANK(B903), "","PriceArea-902")</f>
        <v>0</v>
      </c>
    </row>
    <row r="904" spans="1:1">
      <c r="A904">
        <f>IF(ISBLANK(B904), "","PriceArea-903")</f>
        <v>0</v>
      </c>
    </row>
    <row r="905" spans="1:1">
      <c r="A905">
        <f>IF(ISBLANK(B905), "","PriceArea-904")</f>
        <v>0</v>
      </c>
    </row>
    <row r="906" spans="1:1">
      <c r="A906">
        <f>IF(ISBLANK(B906), "","PriceArea-905")</f>
        <v>0</v>
      </c>
    </row>
    <row r="907" spans="1:1">
      <c r="A907">
        <f>IF(ISBLANK(B907), "","PriceArea-906")</f>
        <v>0</v>
      </c>
    </row>
    <row r="908" spans="1:1">
      <c r="A908">
        <f>IF(ISBLANK(B908), "","PriceArea-907")</f>
        <v>0</v>
      </c>
    </row>
    <row r="909" spans="1:1">
      <c r="A909">
        <f>IF(ISBLANK(B909), "","PriceArea-908")</f>
        <v>0</v>
      </c>
    </row>
    <row r="910" spans="1:1">
      <c r="A910">
        <f>IF(ISBLANK(B910), "","PriceArea-909")</f>
        <v>0</v>
      </c>
    </row>
    <row r="911" spans="1:1">
      <c r="A911">
        <f>IF(ISBLANK(B911), "","PriceArea-910")</f>
        <v>0</v>
      </c>
    </row>
    <row r="912" spans="1:1">
      <c r="A912">
        <f>IF(ISBLANK(B912), "","PriceArea-911")</f>
        <v>0</v>
      </c>
    </row>
    <row r="913" spans="1:1">
      <c r="A913">
        <f>IF(ISBLANK(B913), "","PriceArea-912")</f>
        <v>0</v>
      </c>
    </row>
    <row r="914" spans="1:1">
      <c r="A914">
        <f>IF(ISBLANK(B914), "","PriceArea-913")</f>
        <v>0</v>
      </c>
    </row>
    <row r="915" spans="1:1">
      <c r="A915">
        <f>IF(ISBLANK(B915), "","PriceArea-914")</f>
        <v>0</v>
      </c>
    </row>
    <row r="916" spans="1:1">
      <c r="A916">
        <f>IF(ISBLANK(B916), "","PriceArea-915")</f>
        <v>0</v>
      </c>
    </row>
    <row r="917" spans="1:1">
      <c r="A917">
        <f>IF(ISBLANK(B917), "","PriceArea-916")</f>
        <v>0</v>
      </c>
    </row>
    <row r="918" spans="1:1">
      <c r="A918">
        <f>IF(ISBLANK(B918), "","PriceArea-917")</f>
        <v>0</v>
      </c>
    </row>
    <row r="919" spans="1:1">
      <c r="A919">
        <f>IF(ISBLANK(B919), "","PriceArea-918")</f>
        <v>0</v>
      </c>
    </row>
    <row r="920" spans="1:1">
      <c r="A920">
        <f>IF(ISBLANK(B920), "","PriceArea-919")</f>
        <v>0</v>
      </c>
    </row>
    <row r="921" spans="1:1">
      <c r="A921">
        <f>IF(ISBLANK(B921), "","PriceArea-920")</f>
        <v>0</v>
      </c>
    </row>
    <row r="922" spans="1:1">
      <c r="A922">
        <f>IF(ISBLANK(B922), "","PriceArea-921")</f>
        <v>0</v>
      </c>
    </row>
    <row r="923" spans="1:1">
      <c r="A923">
        <f>IF(ISBLANK(B923), "","PriceArea-922")</f>
        <v>0</v>
      </c>
    </row>
    <row r="924" spans="1:1">
      <c r="A924">
        <f>IF(ISBLANK(B924), "","PriceArea-923")</f>
        <v>0</v>
      </c>
    </row>
    <row r="925" spans="1:1">
      <c r="A925">
        <f>IF(ISBLANK(B925), "","PriceArea-924")</f>
        <v>0</v>
      </c>
    </row>
    <row r="926" spans="1:1">
      <c r="A926">
        <f>IF(ISBLANK(B926), "","PriceArea-925")</f>
        <v>0</v>
      </c>
    </row>
    <row r="927" spans="1:1">
      <c r="A927">
        <f>IF(ISBLANK(B927), "","PriceArea-926")</f>
        <v>0</v>
      </c>
    </row>
    <row r="928" spans="1:1">
      <c r="A928">
        <f>IF(ISBLANK(B928), "","PriceArea-927")</f>
        <v>0</v>
      </c>
    </row>
    <row r="929" spans="1:1">
      <c r="A929">
        <f>IF(ISBLANK(B929), "","PriceArea-928")</f>
        <v>0</v>
      </c>
    </row>
    <row r="930" spans="1:1">
      <c r="A930">
        <f>IF(ISBLANK(B930), "","PriceArea-929")</f>
        <v>0</v>
      </c>
    </row>
    <row r="931" spans="1:1">
      <c r="A931">
        <f>IF(ISBLANK(B931), "","PriceArea-930")</f>
        <v>0</v>
      </c>
    </row>
    <row r="932" spans="1:1">
      <c r="A932">
        <f>IF(ISBLANK(B932), "","PriceArea-931")</f>
        <v>0</v>
      </c>
    </row>
    <row r="933" spans="1:1">
      <c r="A933">
        <f>IF(ISBLANK(B933), "","PriceArea-932")</f>
        <v>0</v>
      </c>
    </row>
    <row r="934" spans="1:1">
      <c r="A934">
        <f>IF(ISBLANK(B934), "","PriceArea-933")</f>
        <v>0</v>
      </c>
    </row>
    <row r="935" spans="1:1">
      <c r="A935">
        <f>IF(ISBLANK(B935), "","PriceArea-934")</f>
        <v>0</v>
      </c>
    </row>
    <row r="936" spans="1:1">
      <c r="A936">
        <f>IF(ISBLANK(B936), "","PriceArea-935")</f>
        <v>0</v>
      </c>
    </row>
    <row r="937" spans="1:1">
      <c r="A937">
        <f>IF(ISBLANK(B937), "","PriceArea-936")</f>
        <v>0</v>
      </c>
    </row>
    <row r="938" spans="1:1">
      <c r="A938">
        <f>IF(ISBLANK(B938), "","PriceArea-937")</f>
        <v>0</v>
      </c>
    </row>
    <row r="939" spans="1:1">
      <c r="A939">
        <f>IF(ISBLANK(B939), "","PriceArea-938")</f>
        <v>0</v>
      </c>
    </row>
    <row r="940" spans="1:1">
      <c r="A940">
        <f>IF(ISBLANK(B940), "","PriceArea-939")</f>
        <v>0</v>
      </c>
    </row>
    <row r="941" spans="1:1">
      <c r="A941">
        <f>IF(ISBLANK(B941), "","PriceArea-940")</f>
        <v>0</v>
      </c>
    </row>
    <row r="942" spans="1:1">
      <c r="A942">
        <f>IF(ISBLANK(B942), "","PriceArea-941")</f>
        <v>0</v>
      </c>
    </row>
    <row r="943" spans="1:1">
      <c r="A943">
        <f>IF(ISBLANK(B943), "","PriceArea-942")</f>
        <v>0</v>
      </c>
    </row>
    <row r="944" spans="1:1">
      <c r="A944">
        <f>IF(ISBLANK(B944), "","PriceArea-943")</f>
        <v>0</v>
      </c>
    </row>
    <row r="945" spans="1:1">
      <c r="A945">
        <f>IF(ISBLANK(B945), "","PriceArea-944")</f>
        <v>0</v>
      </c>
    </row>
    <row r="946" spans="1:1">
      <c r="A946">
        <f>IF(ISBLANK(B946), "","PriceArea-945")</f>
        <v>0</v>
      </c>
    </row>
    <row r="947" spans="1:1">
      <c r="A947">
        <f>IF(ISBLANK(B947), "","PriceArea-946")</f>
        <v>0</v>
      </c>
    </row>
    <row r="948" spans="1:1">
      <c r="A948">
        <f>IF(ISBLANK(B948), "","PriceArea-947")</f>
        <v>0</v>
      </c>
    </row>
    <row r="949" spans="1:1">
      <c r="A949">
        <f>IF(ISBLANK(B949), "","PriceArea-948")</f>
        <v>0</v>
      </c>
    </row>
    <row r="950" spans="1:1">
      <c r="A950">
        <f>IF(ISBLANK(B950), "","PriceArea-949")</f>
        <v>0</v>
      </c>
    </row>
    <row r="951" spans="1:1">
      <c r="A951">
        <f>IF(ISBLANK(B951), "","PriceArea-950")</f>
        <v>0</v>
      </c>
    </row>
    <row r="952" spans="1:1">
      <c r="A952">
        <f>IF(ISBLANK(B952), "","PriceArea-951")</f>
        <v>0</v>
      </c>
    </row>
    <row r="953" spans="1:1">
      <c r="A953">
        <f>IF(ISBLANK(B953), "","PriceArea-952")</f>
        <v>0</v>
      </c>
    </row>
    <row r="954" spans="1:1">
      <c r="A954">
        <f>IF(ISBLANK(B954), "","PriceArea-953")</f>
        <v>0</v>
      </c>
    </row>
    <row r="955" spans="1:1">
      <c r="A955">
        <f>IF(ISBLANK(B955), "","PriceArea-954")</f>
        <v>0</v>
      </c>
    </row>
    <row r="956" spans="1:1">
      <c r="A956">
        <f>IF(ISBLANK(B956), "","PriceArea-955")</f>
        <v>0</v>
      </c>
    </row>
    <row r="957" spans="1:1">
      <c r="A957">
        <f>IF(ISBLANK(B957), "","PriceArea-956")</f>
        <v>0</v>
      </c>
    </row>
    <row r="958" spans="1:1">
      <c r="A958">
        <f>IF(ISBLANK(B958), "","PriceArea-957")</f>
        <v>0</v>
      </c>
    </row>
    <row r="959" spans="1:1">
      <c r="A959">
        <f>IF(ISBLANK(B959), "","PriceArea-958")</f>
        <v>0</v>
      </c>
    </row>
    <row r="960" spans="1:1">
      <c r="A960">
        <f>IF(ISBLANK(B960), "","PriceArea-959")</f>
        <v>0</v>
      </c>
    </row>
    <row r="961" spans="1:1">
      <c r="A961">
        <f>IF(ISBLANK(B961), "","PriceArea-960")</f>
        <v>0</v>
      </c>
    </row>
    <row r="962" spans="1:1">
      <c r="A962">
        <f>IF(ISBLANK(B962), "","PriceArea-961")</f>
        <v>0</v>
      </c>
    </row>
    <row r="963" spans="1:1">
      <c r="A963">
        <f>IF(ISBLANK(B963), "","PriceArea-962")</f>
        <v>0</v>
      </c>
    </row>
    <row r="964" spans="1:1">
      <c r="A964">
        <f>IF(ISBLANK(B964), "","PriceArea-963")</f>
        <v>0</v>
      </c>
    </row>
    <row r="965" spans="1:1">
      <c r="A965">
        <f>IF(ISBLANK(B965), "","PriceArea-964")</f>
        <v>0</v>
      </c>
    </row>
    <row r="966" spans="1:1">
      <c r="A966">
        <f>IF(ISBLANK(B966), "","PriceArea-965")</f>
        <v>0</v>
      </c>
    </row>
    <row r="967" spans="1:1">
      <c r="A967">
        <f>IF(ISBLANK(B967), "","PriceArea-966")</f>
        <v>0</v>
      </c>
    </row>
    <row r="968" spans="1:1">
      <c r="A968">
        <f>IF(ISBLANK(B968), "","PriceArea-967")</f>
        <v>0</v>
      </c>
    </row>
    <row r="969" spans="1:1">
      <c r="A969">
        <f>IF(ISBLANK(B969), "","PriceArea-968")</f>
        <v>0</v>
      </c>
    </row>
    <row r="970" spans="1:1">
      <c r="A970">
        <f>IF(ISBLANK(B970), "","PriceArea-969")</f>
        <v>0</v>
      </c>
    </row>
    <row r="971" spans="1:1">
      <c r="A971">
        <f>IF(ISBLANK(B971), "","PriceArea-970")</f>
        <v>0</v>
      </c>
    </row>
    <row r="972" spans="1:1">
      <c r="A972">
        <f>IF(ISBLANK(B972), "","PriceArea-971")</f>
        <v>0</v>
      </c>
    </row>
    <row r="973" spans="1:1">
      <c r="A973">
        <f>IF(ISBLANK(B973), "","PriceArea-972")</f>
        <v>0</v>
      </c>
    </row>
    <row r="974" spans="1:1">
      <c r="A974">
        <f>IF(ISBLANK(B974), "","PriceArea-973")</f>
        <v>0</v>
      </c>
    </row>
    <row r="975" spans="1:1">
      <c r="A975">
        <f>IF(ISBLANK(B975), "","PriceArea-974")</f>
        <v>0</v>
      </c>
    </row>
    <row r="976" spans="1:1">
      <c r="A976">
        <f>IF(ISBLANK(B976), "","PriceArea-975")</f>
        <v>0</v>
      </c>
    </row>
    <row r="977" spans="1:1">
      <c r="A977">
        <f>IF(ISBLANK(B977), "","PriceArea-976")</f>
        <v>0</v>
      </c>
    </row>
    <row r="978" spans="1:1">
      <c r="A978">
        <f>IF(ISBLANK(B978), "","PriceArea-977")</f>
        <v>0</v>
      </c>
    </row>
    <row r="979" spans="1:1">
      <c r="A979">
        <f>IF(ISBLANK(B979), "","PriceArea-978")</f>
        <v>0</v>
      </c>
    </row>
    <row r="980" spans="1:1">
      <c r="A980">
        <f>IF(ISBLANK(B980), "","PriceArea-979")</f>
        <v>0</v>
      </c>
    </row>
    <row r="981" spans="1:1">
      <c r="A981">
        <f>IF(ISBLANK(B981), "","PriceArea-980")</f>
        <v>0</v>
      </c>
    </row>
    <row r="982" spans="1:1">
      <c r="A982">
        <f>IF(ISBLANK(B982), "","PriceArea-981")</f>
        <v>0</v>
      </c>
    </row>
    <row r="983" spans="1:1">
      <c r="A983">
        <f>IF(ISBLANK(B983), "","PriceArea-982")</f>
        <v>0</v>
      </c>
    </row>
    <row r="984" spans="1:1">
      <c r="A984">
        <f>IF(ISBLANK(B984), "","PriceArea-983")</f>
        <v>0</v>
      </c>
    </row>
    <row r="985" spans="1:1">
      <c r="A985">
        <f>IF(ISBLANK(B985), "","PriceArea-984")</f>
        <v>0</v>
      </c>
    </row>
    <row r="986" spans="1:1">
      <c r="A986">
        <f>IF(ISBLANK(B986), "","PriceArea-985")</f>
        <v>0</v>
      </c>
    </row>
    <row r="987" spans="1:1">
      <c r="A987">
        <f>IF(ISBLANK(B987), "","PriceArea-986")</f>
        <v>0</v>
      </c>
    </row>
    <row r="988" spans="1:1">
      <c r="A988">
        <f>IF(ISBLANK(B988), "","PriceArea-987")</f>
        <v>0</v>
      </c>
    </row>
    <row r="989" spans="1:1">
      <c r="A989">
        <f>IF(ISBLANK(B989), "","PriceArea-988")</f>
        <v>0</v>
      </c>
    </row>
    <row r="990" spans="1:1">
      <c r="A990">
        <f>IF(ISBLANK(B990), "","PriceArea-989")</f>
        <v>0</v>
      </c>
    </row>
    <row r="991" spans="1:1">
      <c r="A991">
        <f>IF(ISBLANK(B991), "","PriceArea-990")</f>
        <v>0</v>
      </c>
    </row>
    <row r="992" spans="1:1">
      <c r="A992">
        <f>IF(ISBLANK(B992), "","PriceArea-991")</f>
        <v>0</v>
      </c>
    </row>
    <row r="993" spans="1:1">
      <c r="A993">
        <f>IF(ISBLANK(B993), "","PriceArea-992")</f>
        <v>0</v>
      </c>
    </row>
    <row r="994" spans="1:1">
      <c r="A994">
        <f>IF(ISBLANK(B994), "","PriceArea-993")</f>
        <v>0</v>
      </c>
    </row>
    <row r="995" spans="1:1">
      <c r="A995">
        <f>IF(ISBLANK(B995), "","PriceArea-994")</f>
        <v>0</v>
      </c>
    </row>
    <row r="996" spans="1:1">
      <c r="A996">
        <f>IF(ISBLANK(B996), "","PriceArea-995")</f>
        <v>0</v>
      </c>
    </row>
    <row r="997" spans="1:1">
      <c r="A997">
        <f>IF(ISBLANK(B997), "","PriceArea-996")</f>
        <v>0</v>
      </c>
    </row>
    <row r="998" spans="1:1">
      <c r="A998">
        <f>IF(ISBLANK(B998), "","PriceArea-997")</f>
        <v>0</v>
      </c>
    </row>
    <row r="999" spans="1:1">
      <c r="A999">
        <f>IF(ISBLANK(B999), "","PriceArea-998")</f>
        <v>0</v>
      </c>
    </row>
    <row r="1000" spans="1:1">
      <c r="A1000">
        <f>IF(ISBLANK(B1000), "","PriceArea-999")</f>
        <v>0</v>
      </c>
    </row>
    <row r="1001" spans="1:1">
      <c r="A1001">
        <f>IF(ISBLANK(B1001), "","PriceArea-1000")</f>
        <v>0</v>
      </c>
    </row>
  </sheetData>
  <dataValidations count="2000">
    <dataValidation type="list" allowBlank="1" showInputMessage="1" showErrorMessage="1" sqref="C2">
      <formula1>Country!A2:A1000</formula1>
    </dataValidation>
    <dataValidation type="list" allowBlank="1" showInputMessage="1" showErrorMessage="1" sqref="C3">
      <formula1>Country!A2:A1000</formula1>
    </dataValidation>
    <dataValidation type="list" allowBlank="1" showInputMessage="1" showErrorMessage="1" sqref="C4">
      <formula1>Country!A2:A1000</formula1>
    </dataValidation>
    <dataValidation type="list" allowBlank="1" showInputMessage="1" showErrorMessage="1" sqref="C5">
      <formula1>Country!A2:A1000</formula1>
    </dataValidation>
    <dataValidation type="list" allowBlank="1" showInputMessage="1" showErrorMessage="1" sqref="C6">
      <formula1>Country!A2:A1000</formula1>
    </dataValidation>
    <dataValidation type="list" allowBlank="1" showInputMessage="1" showErrorMessage="1" sqref="C7">
      <formula1>Country!A2:A1000</formula1>
    </dataValidation>
    <dataValidation type="list" allowBlank="1" showInputMessage="1" showErrorMessage="1" sqref="C8">
      <formula1>Country!A2:A1000</formula1>
    </dataValidation>
    <dataValidation type="list" allowBlank="1" showInputMessage="1" showErrorMessage="1" sqref="C9">
      <formula1>Country!A2:A1000</formula1>
    </dataValidation>
    <dataValidation type="list" allowBlank="1" showInputMessage="1" showErrorMessage="1" sqref="C10">
      <formula1>Country!A2:A1000</formula1>
    </dataValidation>
    <dataValidation type="list" allowBlank="1" showInputMessage="1" showErrorMessage="1" sqref="C11">
      <formula1>Country!A2:A1000</formula1>
    </dataValidation>
    <dataValidation type="list" allowBlank="1" showInputMessage="1" showErrorMessage="1" sqref="C12">
      <formula1>Country!A2:A1000</formula1>
    </dataValidation>
    <dataValidation type="list" allowBlank="1" showInputMessage="1" showErrorMessage="1" sqref="C13">
      <formula1>Country!A2:A1000</formula1>
    </dataValidation>
    <dataValidation type="list" allowBlank="1" showInputMessage="1" showErrorMessage="1" sqref="C14">
      <formula1>Country!A2:A1000</formula1>
    </dataValidation>
    <dataValidation type="list" allowBlank="1" showInputMessage="1" showErrorMessage="1" sqref="C15">
      <formula1>Country!A2:A1000</formula1>
    </dataValidation>
    <dataValidation type="list" allowBlank="1" showInputMessage="1" showErrorMessage="1" sqref="C16">
      <formula1>Country!A2:A1000</formula1>
    </dataValidation>
    <dataValidation type="list" allowBlank="1" showInputMessage="1" showErrorMessage="1" sqref="C17">
      <formula1>Country!A2:A1000</formula1>
    </dataValidation>
    <dataValidation type="list" allowBlank="1" showInputMessage="1" showErrorMessage="1" sqref="C18">
      <formula1>Country!A2:A1000</formula1>
    </dataValidation>
    <dataValidation type="list" allowBlank="1" showInputMessage="1" showErrorMessage="1" sqref="C19">
      <formula1>Country!A2:A1000</formula1>
    </dataValidation>
    <dataValidation type="list" allowBlank="1" showInputMessage="1" showErrorMessage="1" sqref="C20">
      <formula1>Country!A2:A1000</formula1>
    </dataValidation>
    <dataValidation type="list" allowBlank="1" showInputMessage="1" showErrorMessage="1" sqref="C21">
      <formula1>Country!A2:A1000</formula1>
    </dataValidation>
    <dataValidation type="list" allowBlank="1" showInputMessage="1" showErrorMessage="1" sqref="C22">
      <formula1>Country!A2:A1000</formula1>
    </dataValidation>
    <dataValidation type="list" allowBlank="1" showInputMessage="1" showErrorMessage="1" sqref="C23">
      <formula1>Country!A2:A1000</formula1>
    </dataValidation>
    <dataValidation type="list" allowBlank="1" showInputMessage="1" showErrorMessage="1" sqref="C24">
      <formula1>Country!A2:A1000</formula1>
    </dataValidation>
    <dataValidation type="list" allowBlank="1" showInputMessage="1" showErrorMessage="1" sqref="C25">
      <formula1>Country!A2:A1000</formula1>
    </dataValidation>
    <dataValidation type="list" allowBlank="1" showInputMessage="1" showErrorMessage="1" sqref="C26">
      <formula1>Country!A2:A1000</formula1>
    </dataValidation>
    <dataValidation type="list" allowBlank="1" showInputMessage="1" showErrorMessage="1" sqref="C27">
      <formula1>Country!A2:A1000</formula1>
    </dataValidation>
    <dataValidation type="list" allowBlank="1" showInputMessage="1" showErrorMessage="1" sqref="C28">
      <formula1>Country!A2:A1000</formula1>
    </dataValidation>
    <dataValidation type="list" allowBlank="1" showInputMessage="1" showErrorMessage="1" sqref="C29">
      <formula1>Country!A2:A1000</formula1>
    </dataValidation>
    <dataValidation type="list" allowBlank="1" showInputMessage="1" showErrorMessage="1" sqref="C30">
      <formula1>Country!A2:A1000</formula1>
    </dataValidation>
    <dataValidation type="list" allowBlank="1" showInputMessage="1" showErrorMessage="1" sqref="C31">
      <formula1>Country!A2:A1000</formula1>
    </dataValidation>
    <dataValidation type="list" allowBlank="1" showInputMessage="1" showErrorMessage="1" sqref="C32">
      <formula1>Country!A2:A1000</formula1>
    </dataValidation>
    <dataValidation type="list" allowBlank="1" showInputMessage="1" showErrorMessage="1" sqref="C33">
      <formula1>Country!A2:A1000</formula1>
    </dataValidation>
    <dataValidation type="list" allowBlank="1" showInputMessage="1" showErrorMessage="1" sqref="C34">
      <formula1>Country!A2:A1000</formula1>
    </dataValidation>
    <dataValidation type="list" allowBlank="1" showInputMessage="1" showErrorMessage="1" sqref="C35">
      <formula1>Country!A2:A1000</formula1>
    </dataValidation>
    <dataValidation type="list" allowBlank="1" showInputMessage="1" showErrorMessage="1" sqref="C36">
      <formula1>Country!A2:A1000</formula1>
    </dataValidation>
    <dataValidation type="list" allowBlank="1" showInputMessage="1" showErrorMessage="1" sqref="C37">
      <formula1>Country!A2:A1000</formula1>
    </dataValidation>
    <dataValidation type="list" allowBlank="1" showInputMessage="1" showErrorMessage="1" sqref="C38">
      <formula1>Country!A2:A1000</formula1>
    </dataValidation>
    <dataValidation type="list" allowBlank="1" showInputMessage="1" showErrorMessage="1" sqref="C39">
      <formula1>Country!A2:A1000</formula1>
    </dataValidation>
    <dataValidation type="list" allowBlank="1" showInputMessage="1" showErrorMessage="1" sqref="C40">
      <formula1>Country!A2:A1000</formula1>
    </dataValidation>
    <dataValidation type="list" allowBlank="1" showInputMessage="1" showErrorMessage="1" sqref="C41">
      <formula1>Country!A2:A1000</formula1>
    </dataValidation>
    <dataValidation type="list" allowBlank="1" showInputMessage="1" showErrorMessage="1" sqref="C42">
      <formula1>Country!A2:A1000</formula1>
    </dataValidation>
    <dataValidation type="list" allowBlank="1" showInputMessage="1" showErrorMessage="1" sqref="C43">
      <formula1>Country!A2:A1000</formula1>
    </dataValidation>
    <dataValidation type="list" allowBlank="1" showInputMessage="1" showErrorMessage="1" sqref="C44">
      <formula1>Country!A2:A1000</formula1>
    </dataValidation>
    <dataValidation type="list" allowBlank="1" showInputMessage="1" showErrorMessage="1" sqref="C45">
      <formula1>Country!A2:A1000</formula1>
    </dataValidation>
    <dataValidation type="list" allowBlank="1" showInputMessage="1" showErrorMessage="1" sqref="C46">
      <formula1>Country!A2:A1000</formula1>
    </dataValidation>
    <dataValidation type="list" allowBlank="1" showInputMessage="1" showErrorMessage="1" sqref="C47">
      <formula1>Country!A2:A1000</formula1>
    </dataValidation>
    <dataValidation type="list" allowBlank="1" showInputMessage="1" showErrorMessage="1" sqref="C48">
      <formula1>Country!A2:A1000</formula1>
    </dataValidation>
    <dataValidation type="list" allowBlank="1" showInputMessage="1" showErrorMessage="1" sqref="C49">
      <formula1>Country!A2:A1000</formula1>
    </dataValidation>
    <dataValidation type="list" allowBlank="1" showInputMessage="1" showErrorMessage="1" sqref="C50">
      <formula1>Country!A2:A1000</formula1>
    </dataValidation>
    <dataValidation type="list" allowBlank="1" showInputMessage="1" showErrorMessage="1" sqref="C51">
      <formula1>Country!A2:A1000</formula1>
    </dataValidation>
    <dataValidation type="list" allowBlank="1" showInputMessage="1" showErrorMessage="1" sqref="C52">
      <formula1>Country!A2:A1000</formula1>
    </dataValidation>
    <dataValidation type="list" allowBlank="1" showInputMessage="1" showErrorMessage="1" sqref="C53">
      <formula1>Country!A2:A1000</formula1>
    </dataValidation>
    <dataValidation type="list" allowBlank="1" showInputMessage="1" showErrorMessage="1" sqref="C54">
      <formula1>Country!A2:A1000</formula1>
    </dataValidation>
    <dataValidation type="list" allowBlank="1" showInputMessage="1" showErrorMessage="1" sqref="C55">
      <formula1>Country!A2:A1000</formula1>
    </dataValidation>
    <dataValidation type="list" allowBlank="1" showInputMessage="1" showErrorMessage="1" sqref="C56">
      <formula1>Country!A2:A1000</formula1>
    </dataValidation>
    <dataValidation type="list" allowBlank="1" showInputMessage="1" showErrorMessage="1" sqref="C57">
      <formula1>Country!A2:A1000</formula1>
    </dataValidation>
    <dataValidation type="list" allowBlank="1" showInputMessage="1" showErrorMessage="1" sqref="C58">
      <formula1>Country!A2:A1000</formula1>
    </dataValidation>
    <dataValidation type="list" allowBlank="1" showInputMessage="1" showErrorMessage="1" sqref="C59">
      <formula1>Country!A2:A1000</formula1>
    </dataValidation>
    <dataValidation type="list" allowBlank="1" showInputMessage="1" showErrorMessage="1" sqref="C60">
      <formula1>Country!A2:A1000</formula1>
    </dataValidation>
    <dataValidation type="list" allowBlank="1" showInputMessage="1" showErrorMessage="1" sqref="C61">
      <formula1>Country!A2:A1000</formula1>
    </dataValidation>
    <dataValidation type="list" allowBlank="1" showInputMessage="1" showErrorMessage="1" sqref="C62">
      <formula1>Country!A2:A1000</formula1>
    </dataValidation>
    <dataValidation type="list" allowBlank="1" showInputMessage="1" showErrorMessage="1" sqref="C63">
      <formula1>Country!A2:A1000</formula1>
    </dataValidation>
    <dataValidation type="list" allowBlank="1" showInputMessage="1" showErrorMessage="1" sqref="C64">
      <formula1>Country!A2:A1000</formula1>
    </dataValidation>
    <dataValidation type="list" allowBlank="1" showInputMessage="1" showErrorMessage="1" sqref="C65">
      <formula1>Country!A2:A1000</formula1>
    </dataValidation>
    <dataValidation type="list" allowBlank="1" showInputMessage="1" showErrorMessage="1" sqref="C66">
      <formula1>Country!A2:A1000</formula1>
    </dataValidation>
    <dataValidation type="list" allowBlank="1" showInputMessage="1" showErrorMessage="1" sqref="C67">
      <formula1>Country!A2:A1000</formula1>
    </dataValidation>
    <dataValidation type="list" allowBlank="1" showInputMessage="1" showErrorMessage="1" sqref="C68">
      <formula1>Country!A2:A1000</formula1>
    </dataValidation>
    <dataValidation type="list" allowBlank="1" showInputMessage="1" showErrorMessage="1" sqref="C69">
      <formula1>Country!A2:A1000</formula1>
    </dataValidation>
    <dataValidation type="list" allowBlank="1" showInputMessage="1" showErrorMessage="1" sqref="C70">
      <formula1>Country!A2:A1000</formula1>
    </dataValidation>
    <dataValidation type="list" allowBlank="1" showInputMessage="1" showErrorMessage="1" sqref="C71">
      <formula1>Country!A2:A1000</formula1>
    </dataValidation>
    <dataValidation type="list" allowBlank="1" showInputMessage="1" showErrorMessage="1" sqref="C72">
      <formula1>Country!A2:A1000</formula1>
    </dataValidation>
    <dataValidation type="list" allowBlank="1" showInputMessage="1" showErrorMessage="1" sqref="C73">
      <formula1>Country!A2:A1000</formula1>
    </dataValidation>
    <dataValidation type="list" allowBlank="1" showInputMessage="1" showErrorMessage="1" sqref="C74">
      <formula1>Country!A2:A1000</formula1>
    </dataValidation>
    <dataValidation type="list" allowBlank="1" showInputMessage="1" showErrorMessage="1" sqref="C75">
      <formula1>Country!A2:A1000</formula1>
    </dataValidation>
    <dataValidation type="list" allowBlank="1" showInputMessage="1" showErrorMessage="1" sqref="C76">
      <formula1>Country!A2:A1000</formula1>
    </dataValidation>
    <dataValidation type="list" allowBlank="1" showInputMessage="1" showErrorMessage="1" sqref="C77">
      <formula1>Country!A2:A1000</formula1>
    </dataValidation>
    <dataValidation type="list" allowBlank="1" showInputMessage="1" showErrorMessage="1" sqref="C78">
      <formula1>Country!A2:A1000</formula1>
    </dataValidation>
    <dataValidation type="list" allowBlank="1" showInputMessage="1" showErrorMessage="1" sqref="C79">
      <formula1>Country!A2:A1000</formula1>
    </dataValidation>
    <dataValidation type="list" allowBlank="1" showInputMessage="1" showErrorMessage="1" sqref="C80">
      <formula1>Country!A2:A1000</formula1>
    </dataValidation>
    <dataValidation type="list" allowBlank="1" showInputMessage="1" showErrorMessage="1" sqref="C81">
      <formula1>Country!A2:A1000</formula1>
    </dataValidation>
    <dataValidation type="list" allowBlank="1" showInputMessage="1" showErrorMessage="1" sqref="C82">
      <formula1>Country!A2:A1000</formula1>
    </dataValidation>
    <dataValidation type="list" allowBlank="1" showInputMessage="1" showErrorMessage="1" sqref="C83">
      <formula1>Country!A2:A1000</formula1>
    </dataValidation>
    <dataValidation type="list" allowBlank="1" showInputMessage="1" showErrorMessage="1" sqref="C84">
      <formula1>Country!A2:A1000</formula1>
    </dataValidation>
    <dataValidation type="list" allowBlank="1" showInputMessage="1" showErrorMessage="1" sqref="C85">
      <formula1>Country!A2:A1000</formula1>
    </dataValidation>
    <dataValidation type="list" allowBlank="1" showInputMessage="1" showErrorMessage="1" sqref="C86">
      <formula1>Country!A2:A1000</formula1>
    </dataValidation>
    <dataValidation type="list" allowBlank="1" showInputMessage="1" showErrorMessage="1" sqref="C87">
      <formula1>Country!A2:A1000</formula1>
    </dataValidation>
    <dataValidation type="list" allowBlank="1" showInputMessage="1" showErrorMessage="1" sqref="C88">
      <formula1>Country!A2:A1000</formula1>
    </dataValidation>
    <dataValidation type="list" allowBlank="1" showInputMessage="1" showErrorMessage="1" sqref="C89">
      <formula1>Country!A2:A1000</formula1>
    </dataValidation>
    <dataValidation type="list" allowBlank="1" showInputMessage="1" showErrorMessage="1" sqref="C90">
      <formula1>Country!A2:A1000</formula1>
    </dataValidation>
    <dataValidation type="list" allowBlank="1" showInputMessage="1" showErrorMessage="1" sqref="C91">
      <formula1>Country!A2:A1000</formula1>
    </dataValidation>
    <dataValidation type="list" allowBlank="1" showInputMessage="1" showErrorMessage="1" sqref="C92">
      <formula1>Country!A2:A1000</formula1>
    </dataValidation>
    <dataValidation type="list" allowBlank="1" showInputMessage="1" showErrorMessage="1" sqref="C93">
      <formula1>Country!A2:A1000</formula1>
    </dataValidation>
    <dataValidation type="list" allowBlank="1" showInputMessage="1" showErrorMessage="1" sqref="C94">
      <formula1>Country!A2:A1000</formula1>
    </dataValidation>
    <dataValidation type="list" allowBlank="1" showInputMessage="1" showErrorMessage="1" sqref="C95">
      <formula1>Country!A2:A1000</formula1>
    </dataValidation>
    <dataValidation type="list" allowBlank="1" showInputMessage="1" showErrorMessage="1" sqref="C96">
      <formula1>Country!A2:A1000</formula1>
    </dataValidation>
    <dataValidation type="list" allowBlank="1" showInputMessage="1" showErrorMessage="1" sqref="C97">
      <formula1>Country!A2:A1000</formula1>
    </dataValidation>
    <dataValidation type="list" allowBlank="1" showInputMessage="1" showErrorMessage="1" sqref="C98">
      <formula1>Country!A2:A1000</formula1>
    </dataValidation>
    <dataValidation type="list" allowBlank="1" showInputMessage="1" showErrorMessage="1" sqref="C99">
      <formula1>Country!A2:A1000</formula1>
    </dataValidation>
    <dataValidation type="list" allowBlank="1" showInputMessage="1" showErrorMessage="1" sqref="C100">
      <formula1>Country!A2:A1000</formula1>
    </dataValidation>
    <dataValidation type="list" allowBlank="1" showInputMessage="1" showErrorMessage="1" sqref="C101">
      <formula1>Country!A2:A1000</formula1>
    </dataValidation>
    <dataValidation type="list" allowBlank="1" showInputMessage="1" showErrorMessage="1" sqref="C102">
      <formula1>Country!A2:A1000</formula1>
    </dataValidation>
    <dataValidation type="list" allowBlank="1" showInputMessage="1" showErrorMessage="1" sqref="C103">
      <formula1>Country!A2:A1000</formula1>
    </dataValidation>
    <dataValidation type="list" allowBlank="1" showInputMessage="1" showErrorMessage="1" sqref="C104">
      <formula1>Country!A2:A1000</formula1>
    </dataValidation>
    <dataValidation type="list" allowBlank="1" showInputMessage="1" showErrorMessage="1" sqref="C105">
      <formula1>Country!A2:A1000</formula1>
    </dataValidation>
    <dataValidation type="list" allowBlank="1" showInputMessage="1" showErrorMessage="1" sqref="C106">
      <formula1>Country!A2:A1000</formula1>
    </dataValidation>
    <dataValidation type="list" allowBlank="1" showInputMessage="1" showErrorMessage="1" sqref="C107">
      <formula1>Country!A2:A1000</formula1>
    </dataValidation>
    <dataValidation type="list" allowBlank="1" showInputMessage="1" showErrorMessage="1" sqref="C108">
      <formula1>Country!A2:A1000</formula1>
    </dataValidation>
    <dataValidation type="list" allowBlank="1" showInputMessage="1" showErrorMessage="1" sqref="C109">
      <formula1>Country!A2:A1000</formula1>
    </dataValidation>
    <dataValidation type="list" allowBlank="1" showInputMessage="1" showErrorMessage="1" sqref="C110">
      <formula1>Country!A2:A1000</formula1>
    </dataValidation>
    <dataValidation type="list" allowBlank="1" showInputMessage="1" showErrorMessage="1" sqref="C111">
      <formula1>Country!A2:A1000</formula1>
    </dataValidation>
    <dataValidation type="list" allowBlank="1" showInputMessage="1" showErrorMessage="1" sqref="C112">
      <formula1>Country!A2:A1000</formula1>
    </dataValidation>
    <dataValidation type="list" allowBlank="1" showInputMessage="1" showErrorMessage="1" sqref="C113">
      <formula1>Country!A2:A1000</formula1>
    </dataValidation>
    <dataValidation type="list" allowBlank="1" showInputMessage="1" showErrorMessage="1" sqref="C114">
      <formula1>Country!A2:A1000</formula1>
    </dataValidation>
    <dataValidation type="list" allowBlank="1" showInputMessage="1" showErrorMessage="1" sqref="C115">
      <formula1>Country!A2:A1000</formula1>
    </dataValidation>
    <dataValidation type="list" allowBlank="1" showInputMessage="1" showErrorMessage="1" sqref="C116">
      <formula1>Country!A2:A1000</formula1>
    </dataValidation>
    <dataValidation type="list" allowBlank="1" showInputMessage="1" showErrorMessage="1" sqref="C117">
      <formula1>Country!A2:A1000</formula1>
    </dataValidation>
    <dataValidation type="list" allowBlank="1" showInputMessage="1" showErrorMessage="1" sqref="C118">
      <formula1>Country!A2:A1000</formula1>
    </dataValidation>
    <dataValidation type="list" allowBlank="1" showInputMessage="1" showErrorMessage="1" sqref="C119">
      <formula1>Country!A2:A1000</formula1>
    </dataValidation>
    <dataValidation type="list" allowBlank="1" showInputMessage="1" showErrorMessage="1" sqref="C120">
      <formula1>Country!A2:A1000</formula1>
    </dataValidation>
    <dataValidation type="list" allowBlank="1" showInputMessage="1" showErrorMessage="1" sqref="C121">
      <formula1>Country!A2:A1000</formula1>
    </dataValidation>
    <dataValidation type="list" allowBlank="1" showInputMessage="1" showErrorMessage="1" sqref="C122">
      <formula1>Country!A2:A1000</formula1>
    </dataValidation>
    <dataValidation type="list" allowBlank="1" showInputMessage="1" showErrorMessage="1" sqref="C123">
      <formula1>Country!A2:A1000</formula1>
    </dataValidation>
    <dataValidation type="list" allowBlank="1" showInputMessage="1" showErrorMessage="1" sqref="C124">
      <formula1>Country!A2:A1000</formula1>
    </dataValidation>
    <dataValidation type="list" allowBlank="1" showInputMessage="1" showErrorMessage="1" sqref="C125">
      <formula1>Country!A2:A1000</formula1>
    </dataValidation>
    <dataValidation type="list" allowBlank="1" showInputMessage="1" showErrorMessage="1" sqref="C126">
      <formula1>Country!A2:A1000</formula1>
    </dataValidation>
    <dataValidation type="list" allowBlank="1" showInputMessage="1" showErrorMessage="1" sqref="C127">
      <formula1>Country!A2:A1000</formula1>
    </dataValidation>
    <dataValidation type="list" allowBlank="1" showInputMessage="1" showErrorMessage="1" sqref="C128">
      <formula1>Country!A2:A1000</formula1>
    </dataValidation>
    <dataValidation type="list" allowBlank="1" showInputMessage="1" showErrorMessage="1" sqref="C129">
      <formula1>Country!A2:A1000</formula1>
    </dataValidation>
    <dataValidation type="list" allowBlank="1" showInputMessage="1" showErrorMessage="1" sqref="C130">
      <formula1>Country!A2:A1000</formula1>
    </dataValidation>
    <dataValidation type="list" allowBlank="1" showInputMessage="1" showErrorMessage="1" sqref="C131">
      <formula1>Country!A2:A1000</formula1>
    </dataValidation>
    <dataValidation type="list" allowBlank="1" showInputMessage="1" showErrorMessage="1" sqref="C132">
      <formula1>Country!A2:A1000</formula1>
    </dataValidation>
    <dataValidation type="list" allowBlank="1" showInputMessage="1" showErrorMessage="1" sqref="C133">
      <formula1>Country!A2:A1000</formula1>
    </dataValidation>
    <dataValidation type="list" allowBlank="1" showInputMessage="1" showErrorMessage="1" sqref="C134">
      <formula1>Country!A2:A1000</formula1>
    </dataValidation>
    <dataValidation type="list" allowBlank="1" showInputMessage="1" showErrorMessage="1" sqref="C135">
      <formula1>Country!A2:A1000</formula1>
    </dataValidation>
    <dataValidation type="list" allowBlank="1" showInputMessage="1" showErrorMessage="1" sqref="C136">
      <formula1>Country!A2:A1000</formula1>
    </dataValidation>
    <dataValidation type="list" allowBlank="1" showInputMessage="1" showErrorMessage="1" sqref="C137">
      <formula1>Country!A2:A1000</formula1>
    </dataValidation>
    <dataValidation type="list" allowBlank="1" showInputMessage="1" showErrorMessage="1" sqref="C138">
      <formula1>Country!A2:A1000</formula1>
    </dataValidation>
    <dataValidation type="list" allowBlank="1" showInputMessage="1" showErrorMessage="1" sqref="C139">
      <formula1>Country!A2:A1000</formula1>
    </dataValidation>
    <dataValidation type="list" allowBlank="1" showInputMessage="1" showErrorMessage="1" sqref="C140">
      <formula1>Country!A2:A1000</formula1>
    </dataValidation>
    <dataValidation type="list" allowBlank="1" showInputMessage="1" showErrorMessage="1" sqref="C141">
      <formula1>Country!A2:A1000</formula1>
    </dataValidation>
    <dataValidation type="list" allowBlank="1" showInputMessage="1" showErrorMessage="1" sqref="C142">
      <formula1>Country!A2:A1000</formula1>
    </dataValidation>
    <dataValidation type="list" allowBlank="1" showInputMessage="1" showErrorMessage="1" sqref="C143">
      <formula1>Country!A2:A1000</formula1>
    </dataValidation>
    <dataValidation type="list" allowBlank="1" showInputMessage="1" showErrorMessage="1" sqref="C144">
      <formula1>Country!A2:A1000</formula1>
    </dataValidation>
    <dataValidation type="list" allowBlank="1" showInputMessage="1" showErrorMessage="1" sqref="C145">
      <formula1>Country!A2:A1000</formula1>
    </dataValidation>
    <dataValidation type="list" allowBlank="1" showInputMessage="1" showErrorMessage="1" sqref="C146">
      <formula1>Country!A2:A1000</formula1>
    </dataValidation>
    <dataValidation type="list" allowBlank="1" showInputMessage="1" showErrorMessage="1" sqref="C147">
      <formula1>Country!A2:A1000</formula1>
    </dataValidation>
    <dataValidation type="list" allowBlank="1" showInputMessage="1" showErrorMessage="1" sqref="C148">
      <formula1>Country!A2:A1000</formula1>
    </dataValidation>
    <dataValidation type="list" allowBlank="1" showInputMessage="1" showErrorMessage="1" sqref="C149">
      <formula1>Country!A2:A1000</formula1>
    </dataValidation>
    <dataValidation type="list" allowBlank="1" showInputMessage="1" showErrorMessage="1" sqref="C150">
      <formula1>Country!A2:A1000</formula1>
    </dataValidation>
    <dataValidation type="list" allowBlank="1" showInputMessage="1" showErrorMessage="1" sqref="C151">
      <formula1>Country!A2:A1000</formula1>
    </dataValidation>
    <dataValidation type="list" allowBlank="1" showInputMessage="1" showErrorMessage="1" sqref="C152">
      <formula1>Country!A2:A1000</formula1>
    </dataValidation>
    <dataValidation type="list" allowBlank="1" showInputMessage="1" showErrorMessage="1" sqref="C153">
      <formula1>Country!A2:A1000</formula1>
    </dataValidation>
    <dataValidation type="list" allowBlank="1" showInputMessage="1" showErrorMessage="1" sqref="C154">
      <formula1>Country!A2:A1000</formula1>
    </dataValidation>
    <dataValidation type="list" allowBlank="1" showInputMessage="1" showErrorMessage="1" sqref="C155">
      <formula1>Country!A2:A1000</formula1>
    </dataValidation>
    <dataValidation type="list" allowBlank="1" showInputMessage="1" showErrorMessage="1" sqref="C156">
      <formula1>Country!A2:A1000</formula1>
    </dataValidation>
    <dataValidation type="list" allowBlank="1" showInputMessage="1" showErrorMessage="1" sqref="C157">
      <formula1>Country!A2:A1000</formula1>
    </dataValidation>
    <dataValidation type="list" allowBlank="1" showInputMessage="1" showErrorMessage="1" sqref="C158">
      <formula1>Country!A2:A1000</formula1>
    </dataValidation>
    <dataValidation type="list" allowBlank="1" showInputMessage="1" showErrorMessage="1" sqref="C159">
      <formula1>Country!A2:A1000</formula1>
    </dataValidation>
    <dataValidation type="list" allowBlank="1" showInputMessage="1" showErrorMessage="1" sqref="C160">
      <formula1>Country!A2:A1000</formula1>
    </dataValidation>
    <dataValidation type="list" allowBlank="1" showInputMessage="1" showErrorMessage="1" sqref="C161">
      <formula1>Country!A2:A1000</formula1>
    </dataValidation>
    <dataValidation type="list" allowBlank="1" showInputMessage="1" showErrorMessage="1" sqref="C162">
      <formula1>Country!A2:A1000</formula1>
    </dataValidation>
    <dataValidation type="list" allowBlank="1" showInputMessage="1" showErrorMessage="1" sqref="C163">
      <formula1>Country!A2:A1000</formula1>
    </dataValidation>
    <dataValidation type="list" allowBlank="1" showInputMessage="1" showErrorMessage="1" sqref="C164">
      <formula1>Country!A2:A1000</formula1>
    </dataValidation>
    <dataValidation type="list" allowBlank="1" showInputMessage="1" showErrorMessage="1" sqref="C165">
      <formula1>Country!A2:A1000</formula1>
    </dataValidation>
    <dataValidation type="list" allowBlank="1" showInputMessage="1" showErrorMessage="1" sqref="C166">
      <formula1>Country!A2:A1000</formula1>
    </dataValidation>
    <dataValidation type="list" allowBlank="1" showInputMessage="1" showErrorMessage="1" sqref="C167">
      <formula1>Country!A2:A1000</formula1>
    </dataValidation>
    <dataValidation type="list" allowBlank="1" showInputMessage="1" showErrorMessage="1" sqref="C168">
      <formula1>Country!A2:A1000</formula1>
    </dataValidation>
    <dataValidation type="list" allowBlank="1" showInputMessage="1" showErrorMessage="1" sqref="C169">
      <formula1>Country!A2:A1000</formula1>
    </dataValidation>
    <dataValidation type="list" allowBlank="1" showInputMessage="1" showErrorMessage="1" sqref="C170">
      <formula1>Country!A2:A1000</formula1>
    </dataValidation>
    <dataValidation type="list" allowBlank="1" showInputMessage="1" showErrorMessage="1" sqref="C171">
      <formula1>Country!A2:A1000</formula1>
    </dataValidation>
    <dataValidation type="list" allowBlank="1" showInputMessage="1" showErrorMessage="1" sqref="C172">
      <formula1>Country!A2:A1000</formula1>
    </dataValidation>
    <dataValidation type="list" allowBlank="1" showInputMessage="1" showErrorMessage="1" sqref="C173">
      <formula1>Country!A2:A1000</formula1>
    </dataValidation>
    <dataValidation type="list" allowBlank="1" showInputMessage="1" showErrorMessage="1" sqref="C174">
      <formula1>Country!A2:A1000</formula1>
    </dataValidation>
    <dataValidation type="list" allowBlank="1" showInputMessage="1" showErrorMessage="1" sqref="C175">
      <formula1>Country!A2:A1000</formula1>
    </dataValidation>
    <dataValidation type="list" allowBlank="1" showInputMessage="1" showErrorMessage="1" sqref="C176">
      <formula1>Country!A2:A1000</formula1>
    </dataValidation>
    <dataValidation type="list" allowBlank="1" showInputMessage="1" showErrorMessage="1" sqref="C177">
      <formula1>Country!A2:A1000</formula1>
    </dataValidation>
    <dataValidation type="list" allowBlank="1" showInputMessage="1" showErrorMessage="1" sqref="C178">
      <formula1>Country!A2:A1000</formula1>
    </dataValidation>
    <dataValidation type="list" allowBlank="1" showInputMessage="1" showErrorMessage="1" sqref="C179">
      <formula1>Country!A2:A1000</formula1>
    </dataValidation>
    <dataValidation type="list" allowBlank="1" showInputMessage="1" showErrorMessage="1" sqref="C180">
      <formula1>Country!A2:A1000</formula1>
    </dataValidation>
    <dataValidation type="list" allowBlank="1" showInputMessage="1" showErrorMessage="1" sqref="C181">
      <formula1>Country!A2:A1000</formula1>
    </dataValidation>
    <dataValidation type="list" allowBlank="1" showInputMessage="1" showErrorMessage="1" sqref="C182">
      <formula1>Country!A2:A1000</formula1>
    </dataValidation>
    <dataValidation type="list" allowBlank="1" showInputMessage="1" showErrorMessage="1" sqref="C183">
      <formula1>Country!A2:A1000</formula1>
    </dataValidation>
    <dataValidation type="list" allowBlank="1" showInputMessage="1" showErrorMessage="1" sqref="C184">
      <formula1>Country!A2:A1000</formula1>
    </dataValidation>
    <dataValidation type="list" allowBlank="1" showInputMessage="1" showErrorMessage="1" sqref="C185">
      <formula1>Country!A2:A1000</formula1>
    </dataValidation>
    <dataValidation type="list" allowBlank="1" showInputMessage="1" showErrorMessage="1" sqref="C186">
      <formula1>Country!A2:A1000</formula1>
    </dataValidation>
    <dataValidation type="list" allowBlank="1" showInputMessage="1" showErrorMessage="1" sqref="C187">
      <formula1>Country!A2:A1000</formula1>
    </dataValidation>
    <dataValidation type="list" allowBlank="1" showInputMessage="1" showErrorMessage="1" sqref="C188">
      <formula1>Country!A2:A1000</formula1>
    </dataValidation>
    <dataValidation type="list" allowBlank="1" showInputMessage="1" showErrorMessage="1" sqref="C189">
      <formula1>Country!A2:A1000</formula1>
    </dataValidation>
    <dataValidation type="list" allowBlank="1" showInputMessage="1" showErrorMessage="1" sqref="C190">
      <formula1>Country!A2:A1000</formula1>
    </dataValidation>
    <dataValidation type="list" allowBlank="1" showInputMessage="1" showErrorMessage="1" sqref="C191">
      <formula1>Country!A2:A1000</formula1>
    </dataValidation>
    <dataValidation type="list" allowBlank="1" showInputMessage="1" showErrorMessage="1" sqref="C192">
      <formula1>Country!A2:A1000</formula1>
    </dataValidation>
    <dataValidation type="list" allowBlank="1" showInputMessage="1" showErrorMessage="1" sqref="C193">
      <formula1>Country!A2:A1000</formula1>
    </dataValidation>
    <dataValidation type="list" allowBlank="1" showInputMessage="1" showErrorMessage="1" sqref="C194">
      <formula1>Country!A2:A1000</formula1>
    </dataValidation>
    <dataValidation type="list" allowBlank="1" showInputMessage="1" showErrorMessage="1" sqref="C195">
      <formula1>Country!A2:A1000</formula1>
    </dataValidation>
    <dataValidation type="list" allowBlank="1" showInputMessage="1" showErrorMessage="1" sqref="C196">
      <formula1>Country!A2:A1000</formula1>
    </dataValidation>
    <dataValidation type="list" allowBlank="1" showInputMessage="1" showErrorMessage="1" sqref="C197">
      <formula1>Country!A2:A1000</formula1>
    </dataValidation>
    <dataValidation type="list" allowBlank="1" showInputMessage="1" showErrorMessage="1" sqref="C198">
      <formula1>Country!A2:A1000</formula1>
    </dataValidation>
    <dataValidation type="list" allowBlank="1" showInputMessage="1" showErrorMessage="1" sqref="C199">
      <formula1>Country!A2:A1000</formula1>
    </dataValidation>
    <dataValidation type="list" allowBlank="1" showInputMessage="1" showErrorMessage="1" sqref="C200">
      <formula1>Country!A2:A1000</formula1>
    </dataValidation>
    <dataValidation type="list" allowBlank="1" showInputMessage="1" showErrorMessage="1" sqref="C201">
      <formula1>Country!A2:A1000</formula1>
    </dataValidation>
    <dataValidation type="list" allowBlank="1" showInputMessage="1" showErrorMessage="1" sqref="C202">
      <formula1>Country!A2:A1000</formula1>
    </dataValidation>
    <dataValidation type="list" allowBlank="1" showInputMessage="1" showErrorMessage="1" sqref="C203">
      <formula1>Country!A2:A1000</formula1>
    </dataValidation>
    <dataValidation type="list" allowBlank="1" showInputMessage="1" showErrorMessage="1" sqref="C204">
      <formula1>Country!A2:A1000</formula1>
    </dataValidation>
    <dataValidation type="list" allowBlank="1" showInputMessage="1" showErrorMessage="1" sqref="C205">
      <formula1>Country!A2:A1000</formula1>
    </dataValidation>
    <dataValidation type="list" allowBlank="1" showInputMessage="1" showErrorMessage="1" sqref="C206">
      <formula1>Country!A2:A1000</formula1>
    </dataValidation>
    <dataValidation type="list" allowBlank="1" showInputMessage="1" showErrorMessage="1" sqref="C207">
      <formula1>Country!A2:A1000</formula1>
    </dataValidation>
    <dataValidation type="list" allowBlank="1" showInputMessage="1" showErrorMessage="1" sqref="C208">
      <formula1>Country!A2:A1000</formula1>
    </dataValidation>
    <dataValidation type="list" allowBlank="1" showInputMessage="1" showErrorMessage="1" sqref="C209">
      <formula1>Country!A2:A1000</formula1>
    </dataValidation>
    <dataValidation type="list" allowBlank="1" showInputMessage="1" showErrorMessage="1" sqref="C210">
      <formula1>Country!A2:A1000</formula1>
    </dataValidation>
    <dataValidation type="list" allowBlank="1" showInputMessage="1" showErrorMessage="1" sqref="C211">
      <formula1>Country!A2:A1000</formula1>
    </dataValidation>
    <dataValidation type="list" allowBlank="1" showInputMessage="1" showErrorMessage="1" sqref="C212">
      <formula1>Country!A2:A1000</formula1>
    </dataValidation>
    <dataValidation type="list" allowBlank="1" showInputMessage="1" showErrorMessage="1" sqref="C213">
      <formula1>Country!A2:A1000</formula1>
    </dataValidation>
    <dataValidation type="list" allowBlank="1" showInputMessage="1" showErrorMessage="1" sqref="C214">
      <formula1>Country!A2:A1000</formula1>
    </dataValidation>
    <dataValidation type="list" allowBlank="1" showInputMessage="1" showErrorMessage="1" sqref="C215">
      <formula1>Country!A2:A1000</formula1>
    </dataValidation>
    <dataValidation type="list" allowBlank="1" showInputMessage="1" showErrorMessage="1" sqref="C216">
      <formula1>Country!A2:A1000</formula1>
    </dataValidation>
    <dataValidation type="list" allowBlank="1" showInputMessage="1" showErrorMessage="1" sqref="C217">
      <formula1>Country!A2:A1000</formula1>
    </dataValidation>
    <dataValidation type="list" allowBlank="1" showInputMessage="1" showErrorMessage="1" sqref="C218">
      <formula1>Country!A2:A1000</formula1>
    </dataValidation>
    <dataValidation type="list" allowBlank="1" showInputMessage="1" showErrorMessage="1" sqref="C219">
      <formula1>Country!A2:A1000</formula1>
    </dataValidation>
    <dataValidation type="list" allowBlank="1" showInputMessage="1" showErrorMessage="1" sqref="C220">
      <formula1>Country!A2:A1000</formula1>
    </dataValidation>
    <dataValidation type="list" allowBlank="1" showInputMessage="1" showErrorMessage="1" sqref="C221">
      <formula1>Country!A2:A1000</formula1>
    </dataValidation>
    <dataValidation type="list" allowBlank="1" showInputMessage="1" showErrorMessage="1" sqref="C222">
      <formula1>Country!A2:A1000</formula1>
    </dataValidation>
    <dataValidation type="list" allowBlank="1" showInputMessage="1" showErrorMessage="1" sqref="C223">
      <formula1>Country!A2:A1000</formula1>
    </dataValidation>
    <dataValidation type="list" allowBlank="1" showInputMessage="1" showErrorMessage="1" sqref="C224">
      <formula1>Country!A2:A1000</formula1>
    </dataValidation>
    <dataValidation type="list" allowBlank="1" showInputMessage="1" showErrorMessage="1" sqref="C225">
      <formula1>Country!A2:A1000</formula1>
    </dataValidation>
    <dataValidation type="list" allowBlank="1" showInputMessage="1" showErrorMessage="1" sqref="C226">
      <formula1>Country!A2:A1000</formula1>
    </dataValidation>
    <dataValidation type="list" allowBlank="1" showInputMessage="1" showErrorMessage="1" sqref="C227">
      <formula1>Country!A2:A1000</formula1>
    </dataValidation>
    <dataValidation type="list" allowBlank="1" showInputMessage="1" showErrorMessage="1" sqref="C228">
      <formula1>Country!A2:A1000</formula1>
    </dataValidation>
    <dataValidation type="list" allowBlank="1" showInputMessage="1" showErrorMessage="1" sqref="C229">
      <formula1>Country!A2:A1000</formula1>
    </dataValidation>
    <dataValidation type="list" allowBlank="1" showInputMessage="1" showErrorMessage="1" sqref="C230">
      <formula1>Country!A2:A1000</formula1>
    </dataValidation>
    <dataValidation type="list" allowBlank="1" showInputMessage="1" showErrorMessage="1" sqref="C231">
      <formula1>Country!A2:A1000</formula1>
    </dataValidation>
    <dataValidation type="list" allowBlank="1" showInputMessage="1" showErrorMessage="1" sqref="C232">
      <formula1>Country!A2:A1000</formula1>
    </dataValidation>
    <dataValidation type="list" allowBlank="1" showInputMessage="1" showErrorMessage="1" sqref="C233">
      <formula1>Country!A2:A1000</formula1>
    </dataValidation>
    <dataValidation type="list" allowBlank="1" showInputMessage="1" showErrorMessage="1" sqref="C234">
      <formula1>Country!A2:A1000</formula1>
    </dataValidation>
    <dataValidation type="list" allowBlank="1" showInputMessage="1" showErrorMessage="1" sqref="C235">
      <formula1>Country!A2:A1000</formula1>
    </dataValidation>
    <dataValidation type="list" allowBlank="1" showInputMessage="1" showErrorMessage="1" sqref="C236">
      <formula1>Country!A2:A1000</formula1>
    </dataValidation>
    <dataValidation type="list" allowBlank="1" showInputMessage="1" showErrorMessage="1" sqref="C237">
      <formula1>Country!A2:A1000</formula1>
    </dataValidation>
    <dataValidation type="list" allowBlank="1" showInputMessage="1" showErrorMessage="1" sqref="C238">
      <formula1>Country!A2:A1000</formula1>
    </dataValidation>
    <dataValidation type="list" allowBlank="1" showInputMessage="1" showErrorMessage="1" sqref="C239">
      <formula1>Country!A2:A1000</formula1>
    </dataValidation>
    <dataValidation type="list" allowBlank="1" showInputMessage="1" showErrorMessage="1" sqref="C240">
      <formula1>Country!A2:A1000</formula1>
    </dataValidation>
    <dataValidation type="list" allowBlank="1" showInputMessage="1" showErrorMessage="1" sqref="C241">
      <formula1>Country!A2:A1000</formula1>
    </dataValidation>
    <dataValidation type="list" allowBlank="1" showInputMessage="1" showErrorMessage="1" sqref="C242">
      <formula1>Country!A2:A1000</formula1>
    </dataValidation>
    <dataValidation type="list" allowBlank="1" showInputMessage="1" showErrorMessage="1" sqref="C243">
      <formula1>Country!A2:A1000</formula1>
    </dataValidation>
    <dataValidation type="list" allowBlank="1" showInputMessage="1" showErrorMessage="1" sqref="C244">
      <formula1>Country!A2:A1000</formula1>
    </dataValidation>
    <dataValidation type="list" allowBlank="1" showInputMessage="1" showErrorMessage="1" sqref="C245">
      <formula1>Country!A2:A1000</formula1>
    </dataValidation>
    <dataValidation type="list" allowBlank="1" showInputMessage="1" showErrorMessage="1" sqref="C246">
      <formula1>Country!A2:A1000</formula1>
    </dataValidation>
    <dataValidation type="list" allowBlank="1" showInputMessage="1" showErrorMessage="1" sqref="C247">
      <formula1>Country!A2:A1000</formula1>
    </dataValidation>
    <dataValidation type="list" allowBlank="1" showInputMessage="1" showErrorMessage="1" sqref="C248">
      <formula1>Country!A2:A1000</formula1>
    </dataValidation>
    <dataValidation type="list" allowBlank="1" showInputMessage="1" showErrorMessage="1" sqref="C249">
      <formula1>Country!A2:A1000</formula1>
    </dataValidation>
    <dataValidation type="list" allowBlank="1" showInputMessage="1" showErrorMessage="1" sqref="C250">
      <formula1>Country!A2:A1000</formula1>
    </dataValidation>
    <dataValidation type="list" allowBlank="1" showInputMessage="1" showErrorMessage="1" sqref="C251">
      <formula1>Country!A2:A1000</formula1>
    </dataValidation>
    <dataValidation type="list" allowBlank="1" showInputMessage="1" showErrorMessage="1" sqref="C252">
      <formula1>Country!A2:A1000</formula1>
    </dataValidation>
    <dataValidation type="list" allowBlank="1" showInputMessage="1" showErrorMessage="1" sqref="C253">
      <formula1>Country!A2:A1000</formula1>
    </dataValidation>
    <dataValidation type="list" allowBlank="1" showInputMessage="1" showErrorMessage="1" sqref="C254">
      <formula1>Country!A2:A1000</formula1>
    </dataValidation>
    <dataValidation type="list" allowBlank="1" showInputMessage="1" showErrorMessage="1" sqref="C255">
      <formula1>Country!A2:A1000</formula1>
    </dataValidation>
    <dataValidation type="list" allowBlank="1" showInputMessage="1" showErrorMessage="1" sqref="C256">
      <formula1>Country!A2:A1000</formula1>
    </dataValidation>
    <dataValidation type="list" allowBlank="1" showInputMessage="1" showErrorMessage="1" sqref="C257">
      <formula1>Country!A2:A1000</formula1>
    </dataValidation>
    <dataValidation type="list" allowBlank="1" showInputMessage="1" showErrorMessage="1" sqref="C258">
      <formula1>Country!A2:A1000</formula1>
    </dataValidation>
    <dataValidation type="list" allowBlank="1" showInputMessage="1" showErrorMessage="1" sqref="C259">
      <formula1>Country!A2:A1000</formula1>
    </dataValidation>
    <dataValidation type="list" allowBlank="1" showInputMessage="1" showErrorMessage="1" sqref="C260">
      <formula1>Country!A2:A1000</formula1>
    </dataValidation>
    <dataValidation type="list" allowBlank="1" showInputMessage="1" showErrorMessage="1" sqref="C261">
      <formula1>Country!A2:A1000</formula1>
    </dataValidation>
    <dataValidation type="list" allowBlank="1" showInputMessage="1" showErrorMessage="1" sqref="C262">
      <formula1>Country!A2:A1000</formula1>
    </dataValidation>
    <dataValidation type="list" allowBlank="1" showInputMessage="1" showErrorMessage="1" sqref="C263">
      <formula1>Country!A2:A1000</formula1>
    </dataValidation>
    <dataValidation type="list" allowBlank="1" showInputMessage="1" showErrorMessage="1" sqref="C264">
      <formula1>Country!A2:A1000</formula1>
    </dataValidation>
    <dataValidation type="list" allowBlank="1" showInputMessage="1" showErrorMessage="1" sqref="C265">
      <formula1>Country!A2:A1000</formula1>
    </dataValidation>
    <dataValidation type="list" allowBlank="1" showInputMessage="1" showErrorMessage="1" sqref="C266">
      <formula1>Country!A2:A1000</formula1>
    </dataValidation>
    <dataValidation type="list" allowBlank="1" showInputMessage="1" showErrorMessage="1" sqref="C267">
      <formula1>Country!A2:A1000</formula1>
    </dataValidation>
    <dataValidation type="list" allowBlank="1" showInputMessage="1" showErrorMessage="1" sqref="C268">
      <formula1>Country!A2:A1000</formula1>
    </dataValidation>
    <dataValidation type="list" allowBlank="1" showInputMessage="1" showErrorMessage="1" sqref="C269">
      <formula1>Country!A2:A1000</formula1>
    </dataValidation>
    <dataValidation type="list" allowBlank="1" showInputMessage="1" showErrorMessage="1" sqref="C270">
      <formula1>Country!A2:A1000</formula1>
    </dataValidation>
    <dataValidation type="list" allowBlank="1" showInputMessage="1" showErrorMessage="1" sqref="C271">
      <formula1>Country!A2:A1000</formula1>
    </dataValidation>
    <dataValidation type="list" allowBlank="1" showInputMessage="1" showErrorMessage="1" sqref="C272">
      <formula1>Country!A2:A1000</formula1>
    </dataValidation>
    <dataValidation type="list" allowBlank="1" showInputMessage="1" showErrorMessage="1" sqref="C273">
      <formula1>Country!A2:A1000</formula1>
    </dataValidation>
    <dataValidation type="list" allowBlank="1" showInputMessage="1" showErrorMessage="1" sqref="C274">
      <formula1>Country!A2:A1000</formula1>
    </dataValidation>
    <dataValidation type="list" allowBlank="1" showInputMessage="1" showErrorMessage="1" sqref="C275">
      <formula1>Country!A2:A1000</formula1>
    </dataValidation>
    <dataValidation type="list" allowBlank="1" showInputMessage="1" showErrorMessage="1" sqref="C276">
      <formula1>Country!A2:A1000</formula1>
    </dataValidation>
    <dataValidation type="list" allowBlank="1" showInputMessage="1" showErrorMessage="1" sqref="C277">
      <formula1>Country!A2:A1000</formula1>
    </dataValidation>
    <dataValidation type="list" allowBlank="1" showInputMessage="1" showErrorMessage="1" sqref="C278">
      <formula1>Country!A2:A1000</formula1>
    </dataValidation>
    <dataValidation type="list" allowBlank="1" showInputMessage="1" showErrorMessage="1" sqref="C279">
      <formula1>Country!A2:A1000</formula1>
    </dataValidation>
    <dataValidation type="list" allowBlank="1" showInputMessage="1" showErrorMessage="1" sqref="C280">
      <formula1>Country!A2:A1000</formula1>
    </dataValidation>
    <dataValidation type="list" allowBlank="1" showInputMessage="1" showErrorMessage="1" sqref="C281">
      <formula1>Country!A2:A1000</formula1>
    </dataValidation>
    <dataValidation type="list" allowBlank="1" showInputMessage="1" showErrorMessage="1" sqref="C282">
      <formula1>Country!A2:A1000</formula1>
    </dataValidation>
    <dataValidation type="list" allowBlank="1" showInputMessage="1" showErrorMessage="1" sqref="C283">
      <formula1>Country!A2:A1000</formula1>
    </dataValidation>
    <dataValidation type="list" allowBlank="1" showInputMessage="1" showErrorMessage="1" sqref="C284">
      <formula1>Country!A2:A1000</formula1>
    </dataValidation>
    <dataValidation type="list" allowBlank="1" showInputMessage="1" showErrorMessage="1" sqref="C285">
      <formula1>Country!A2:A1000</formula1>
    </dataValidation>
    <dataValidation type="list" allowBlank="1" showInputMessage="1" showErrorMessage="1" sqref="C286">
      <formula1>Country!A2:A1000</formula1>
    </dataValidation>
    <dataValidation type="list" allowBlank="1" showInputMessage="1" showErrorMessage="1" sqref="C287">
      <formula1>Country!A2:A1000</formula1>
    </dataValidation>
    <dataValidation type="list" allowBlank="1" showInputMessage="1" showErrorMessage="1" sqref="C288">
      <formula1>Country!A2:A1000</formula1>
    </dataValidation>
    <dataValidation type="list" allowBlank="1" showInputMessage="1" showErrorMessage="1" sqref="C289">
      <formula1>Country!A2:A1000</formula1>
    </dataValidation>
    <dataValidation type="list" allowBlank="1" showInputMessage="1" showErrorMessage="1" sqref="C290">
      <formula1>Country!A2:A1000</formula1>
    </dataValidation>
    <dataValidation type="list" allowBlank="1" showInputMessage="1" showErrorMessage="1" sqref="C291">
      <formula1>Country!A2:A1000</formula1>
    </dataValidation>
    <dataValidation type="list" allowBlank="1" showInputMessage="1" showErrorMessage="1" sqref="C292">
      <formula1>Country!A2:A1000</formula1>
    </dataValidation>
    <dataValidation type="list" allowBlank="1" showInputMessage="1" showErrorMessage="1" sqref="C293">
      <formula1>Country!A2:A1000</formula1>
    </dataValidation>
    <dataValidation type="list" allowBlank="1" showInputMessage="1" showErrorMessage="1" sqref="C294">
      <formula1>Country!A2:A1000</formula1>
    </dataValidation>
    <dataValidation type="list" allowBlank="1" showInputMessage="1" showErrorMessage="1" sqref="C295">
      <formula1>Country!A2:A1000</formula1>
    </dataValidation>
    <dataValidation type="list" allowBlank="1" showInputMessage="1" showErrorMessage="1" sqref="C296">
      <formula1>Country!A2:A1000</formula1>
    </dataValidation>
    <dataValidation type="list" allowBlank="1" showInputMessage="1" showErrorMessage="1" sqref="C297">
      <formula1>Country!A2:A1000</formula1>
    </dataValidation>
    <dataValidation type="list" allowBlank="1" showInputMessage="1" showErrorMessage="1" sqref="C298">
      <formula1>Country!A2:A1000</formula1>
    </dataValidation>
    <dataValidation type="list" allowBlank="1" showInputMessage="1" showErrorMessage="1" sqref="C299">
      <formula1>Country!A2:A1000</formula1>
    </dataValidation>
    <dataValidation type="list" allowBlank="1" showInputMessage="1" showErrorMessage="1" sqref="C300">
      <formula1>Country!A2:A1000</formula1>
    </dataValidation>
    <dataValidation type="list" allowBlank="1" showInputMessage="1" showErrorMessage="1" sqref="C301">
      <formula1>Country!A2:A1000</formula1>
    </dataValidation>
    <dataValidation type="list" allowBlank="1" showInputMessage="1" showErrorMessage="1" sqref="C302">
      <formula1>Country!A2:A1000</formula1>
    </dataValidation>
    <dataValidation type="list" allowBlank="1" showInputMessage="1" showErrorMessage="1" sqref="C303">
      <formula1>Country!A2:A1000</formula1>
    </dataValidation>
    <dataValidation type="list" allowBlank="1" showInputMessage="1" showErrorMessage="1" sqref="C304">
      <formula1>Country!A2:A1000</formula1>
    </dataValidation>
    <dataValidation type="list" allowBlank="1" showInputMessage="1" showErrorMessage="1" sqref="C305">
      <formula1>Country!A2:A1000</formula1>
    </dataValidation>
    <dataValidation type="list" allowBlank="1" showInputMessage="1" showErrorMessage="1" sqref="C306">
      <formula1>Country!A2:A1000</formula1>
    </dataValidation>
    <dataValidation type="list" allowBlank="1" showInputMessage="1" showErrorMessage="1" sqref="C307">
      <formula1>Country!A2:A1000</formula1>
    </dataValidation>
    <dataValidation type="list" allowBlank="1" showInputMessage="1" showErrorMessage="1" sqref="C308">
      <formula1>Country!A2:A1000</formula1>
    </dataValidation>
    <dataValidation type="list" allowBlank="1" showInputMessage="1" showErrorMessage="1" sqref="C309">
      <formula1>Country!A2:A1000</formula1>
    </dataValidation>
    <dataValidation type="list" allowBlank="1" showInputMessage="1" showErrorMessage="1" sqref="C310">
      <formula1>Country!A2:A1000</formula1>
    </dataValidation>
    <dataValidation type="list" allowBlank="1" showInputMessage="1" showErrorMessage="1" sqref="C311">
      <formula1>Country!A2:A1000</formula1>
    </dataValidation>
    <dataValidation type="list" allowBlank="1" showInputMessage="1" showErrorMessage="1" sqref="C312">
      <formula1>Country!A2:A1000</formula1>
    </dataValidation>
    <dataValidation type="list" allowBlank="1" showInputMessage="1" showErrorMessage="1" sqref="C313">
      <formula1>Country!A2:A1000</formula1>
    </dataValidation>
    <dataValidation type="list" allowBlank="1" showInputMessage="1" showErrorMessage="1" sqref="C314">
      <formula1>Country!A2:A1000</formula1>
    </dataValidation>
    <dataValidation type="list" allowBlank="1" showInputMessage="1" showErrorMessage="1" sqref="C315">
      <formula1>Country!A2:A1000</formula1>
    </dataValidation>
    <dataValidation type="list" allowBlank="1" showInputMessage="1" showErrorMessage="1" sqref="C316">
      <formula1>Country!A2:A1000</formula1>
    </dataValidation>
    <dataValidation type="list" allowBlank="1" showInputMessage="1" showErrorMessage="1" sqref="C317">
      <formula1>Country!A2:A1000</formula1>
    </dataValidation>
    <dataValidation type="list" allowBlank="1" showInputMessage="1" showErrorMessage="1" sqref="C318">
      <formula1>Country!A2:A1000</formula1>
    </dataValidation>
    <dataValidation type="list" allowBlank="1" showInputMessage="1" showErrorMessage="1" sqref="C319">
      <formula1>Country!A2:A1000</formula1>
    </dataValidation>
    <dataValidation type="list" allowBlank="1" showInputMessage="1" showErrorMessage="1" sqref="C320">
      <formula1>Country!A2:A1000</formula1>
    </dataValidation>
    <dataValidation type="list" allowBlank="1" showInputMessage="1" showErrorMessage="1" sqref="C321">
      <formula1>Country!A2:A1000</formula1>
    </dataValidation>
    <dataValidation type="list" allowBlank="1" showInputMessage="1" showErrorMessage="1" sqref="C322">
      <formula1>Country!A2:A1000</formula1>
    </dataValidation>
    <dataValidation type="list" allowBlank="1" showInputMessage="1" showErrorMessage="1" sqref="C323">
      <formula1>Country!A2:A1000</formula1>
    </dataValidation>
    <dataValidation type="list" allowBlank="1" showInputMessage="1" showErrorMessage="1" sqref="C324">
      <formula1>Country!A2:A1000</formula1>
    </dataValidation>
    <dataValidation type="list" allowBlank="1" showInputMessage="1" showErrorMessage="1" sqref="C325">
      <formula1>Country!A2:A1000</formula1>
    </dataValidation>
    <dataValidation type="list" allowBlank="1" showInputMessage="1" showErrorMessage="1" sqref="C326">
      <formula1>Country!A2:A1000</formula1>
    </dataValidation>
    <dataValidation type="list" allowBlank="1" showInputMessage="1" showErrorMessage="1" sqref="C327">
      <formula1>Country!A2:A1000</formula1>
    </dataValidation>
    <dataValidation type="list" allowBlank="1" showInputMessage="1" showErrorMessage="1" sqref="C328">
      <formula1>Country!A2:A1000</formula1>
    </dataValidation>
    <dataValidation type="list" allowBlank="1" showInputMessage="1" showErrorMessage="1" sqref="C329">
      <formula1>Country!A2:A1000</formula1>
    </dataValidation>
    <dataValidation type="list" allowBlank="1" showInputMessage="1" showErrorMessage="1" sqref="C330">
      <formula1>Country!A2:A1000</formula1>
    </dataValidation>
    <dataValidation type="list" allowBlank="1" showInputMessage="1" showErrorMessage="1" sqref="C331">
      <formula1>Country!A2:A1000</formula1>
    </dataValidation>
    <dataValidation type="list" allowBlank="1" showInputMessage="1" showErrorMessage="1" sqref="C332">
      <formula1>Country!A2:A1000</formula1>
    </dataValidation>
    <dataValidation type="list" allowBlank="1" showInputMessage="1" showErrorMessage="1" sqref="C333">
      <formula1>Country!A2:A1000</formula1>
    </dataValidation>
    <dataValidation type="list" allowBlank="1" showInputMessage="1" showErrorMessage="1" sqref="C334">
      <formula1>Country!A2:A1000</formula1>
    </dataValidation>
    <dataValidation type="list" allowBlank="1" showInputMessage="1" showErrorMessage="1" sqref="C335">
      <formula1>Country!A2:A1000</formula1>
    </dataValidation>
    <dataValidation type="list" allowBlank="1" showInputMessage="1" showErrorMessage="1" sqref="C336">
      <formula1>Country!A2:A1000</formula1>
    </dataValidation>
    <dataValidation type="list" allowBlank="1" showInputMessage="1" showErrorMessage="1" sqref="C337">
      <formula1>Country!A2:A1000</formula1>
    </dataValidation>
    <dataValidation type="list" allowBlank="1" showInputMessage="1" showErrorMessage="1" sqref="C338">
      <formula1>Country!A2:A1000</formula1>
    </dataValidation>
    <dataValidation type="list" allowBlank="1" showInputMessage="1" showErrorMessage="1" sqref="C339">
      <formula1>Country!A2:A1000</formula1>
    </dataValidation>
    <dataValidation type="list" allowBlank="1" showInputMessage="1" showErrorMessage="1" sqref="C340">
      <formula1>Country!A2:A1000</formula1>
    </dataValidation>
    <dataValidation type="list" allowBlank="1" showInputMessage="1" showErrorMessage="1" sqref="C341">
      <formula1>Country!A2:A1000</formula1>
    </dataValidation>
    <dataValidation type="list" allowBlank="1" showInputMessage="1" showErrorMessage="1" sqref="C342">
      <formula1>Country!A2:A1000</formula1>
    </dataValidation>
    <dataValidation type="list" allowBlank="1" showInputMessage="1" showErrorMessage="1" sqref="C343">
      <formula1>Country!A2:A1000</formula1>
    </dataValidation>
    <dataValidation type="list" allowBlank="1" showInputMessage="1" showErrorMessage="1" sqref="C344">
      <formula1>Country!A2:A1000</formula1>
    </dataValidation>
    <dataValidation type="list" allowBlank="1" showInputMessage="1" showErrorMessage="1" sqref="C345">
      <formula1>Country!A2:A1000</formula1>
    </dataValidation>
    <dataValidation type="list" allowBlank="1" showInputMessage="1" showErrorMessage="1" sqref="C346">
      <formula1>Country!A2:A1000</formula1>
    </dataValidation>
    <dataValidation type="list" allowBlank="1" showInputMessage="1" showErrorMessage="1" sqref="C347">
      <formula1>Country!A2:A1000</formula1>
    </dataValidation>
    <dataValidation type="list" allowBlank="1" showInputMessage="1" showErrorMessage="1" sqref="C348">
      <formula1>Country!A2:A1000</formula1>
    </dataValidation>
    <dataValidation type="list" allowBlank="1" showInputMessage="1" showErrorMessage="1" sqref="C349">
      <formula1>Country!A2:A1000</formula1>
    </dataValidation>
    <dataValidation type="list" allowBlank="1" showInputMessage="1" showErrorMessage="1" sqref="C350">
      <formula1>Country!A2:A1000</formula1>
    </dataValidation>
    <dataValidation type="list" allowBlank="1" showInputMessage="1" showErrorMessage="1" sqref="C351">
      <formula1>Country!A2:A1000</formula1>
    </dataValidation>
    <dataValidation type="list" allowBlank="1" showInputMessage="1" showErrorMessage="1" sqref="C352">
      <formula1>Country!A2:A1000</formula1>
    </dataValidation>
    <dataValidation type="list" allowBlank="1" showInputMessage="1" showErrorMessage="1" sqref="C353">
      <formula1>Country!A2:A1000</formula1>
    </dataValidation>
    <dataValidation type="list" allowBlank="1" showInputMessage="1" showErrorMessage="1" sqref="C354">
      <formula1>Country!A2:A1000</formula1>
    </dataValidation>
    <dataValidation type="list" allowBlank="1" showInputMessage="1" showErrorMessage="1" sqref="C355">
      <formula1>Country!A2:A1000</formula1>
    </dataValidation>
    <dataValidation type="list" allowBlank="1" showInputMessage="1" showErrorMessage="1" sqref="C356">
      <formula1>Country!A2:A1000</formula1>
    </dataValidation>
    <dataValidation type="list" allowBlank="1" showInputMessage="1" showErrorMessage="1" sqref="C357">
      <formula1>Country!A2:A1000</formula1>
    </dataValidation>
    <dataValidation type="list" allowBlank="1" showInputMessage="1" showErrorMessage="1" sqref="C358">
      <formula1>Country!A2:A1000</formula1>
    </dataValidation>
    <dataValidation type="list" allowBlank="1" showInputMessage="1" showErrorMessage="1" sqref="C359">
      <formula1>Country!A2:A1000</formula1>
    </dataValidation>
    <dataValidation type="list" allowBlank="1" showInputMessage="1" showErrorMessage="1" sqref="C360">
      <formula1>Country!A2:A1000</formula1>
    </dataValidation>
    <dataValidation type="list" allowBlank="1" showInputMessage="1" showErrorMessage="1" sqref="C361">
      <formula1>Country!A2:A1000</formula1>
    </dataValidation>
    <dataValidation type="list" allowBlank="1" showInputMessage="1" showErrorMessage="1" sqref="C362">
      <formula1>Country!A2:A1000</formula1>
    </dataValidation>
    <dataValidation type="list" allowBlank="1" showInputMessage="1" showErrorMessage="1" sqref="C363">
      <formula1>Country!A2:A1000</formula1>
    </dataValidation>
    <dataValidation type="list" allowBlank="1" showInputMessage="1" showErrorMessage="1" sqref="C364">
      <formula1>Country!A2:A1000</formula1>
    </dataValidation>
    <dataValidation type="list" allowBlank="1" showInputMessage="1" showErrorMessage="1" sqref="C365">
      <formula1>Country!A2:A1000</formula1>
    </dataValidation>
    <dataValidation type="list" allowBlank="1" showInputMessage="1" showErrorMessage="1" sqref="C366">
      <formula1>Country!A2:A1000</formula1>
    </dataValidation>
    <dataValidation type="list" allowBlank="1" showInputMessage="1" showErrorMessage="1" sqref="C367">
      <formula1>Country!A2:A1000</formula1>
    </dataValidation>
    <dataValidation type="list" allowBlank="1" showInputMessage="1" showErrorMessage="1" sqref="C368">
      <formula1>Country!A2:A1000</formula1>
    </dataValidation>
    <dataValidation type="list" allowBlank="1" showInputMessage="1" showErrorMessage="1" sqref="C369">
      <formula1>Country!A2:A1000</formula1>
    </dataValidation>
    <dataValidation type="list" allowBlank="1" showInputMessage="1" showErrorMessage="1" sqref="C370">
      <formula1>Country!A2:A1000</formula1>
    </dataValidation>
    <dataValidation type="list" allowBlank="1" showInputMessage="1" showErrorMessage="1" sqref="C371">
      <formula1>Country!A2:A1000</formula1>
    </dataValidation>
    <dataValidation type="list" allowBlank="1" showInputMessage="1" showErrorMessage="1" sqref="C372">
      <formula1>Country!A2:A1000</formula1>
    </dataValidation>
    <dataValidation type="list" allowBlank="1" showInputMessage="1" showErrorMessage="1" sqref="C373">
      <formula1>Country!A2:A1000</formula1>
    </dataValidation>
    <dataValidation type="list" allowBlank="1" showInputMessage="1" showErrorMessage="1" sqref="C374">
      <formula1>Country!A2:A1000</formula1>
    </dataValidation>
    <dataValidation type="list" allowBlank="1" showInputMessage="1" showErrorMessage="1" sqref="C375">
      <formula1>Country!A2:A1000</formula1>
    </dataValidation>
    <dataValidation type="list" allowBlank="1" showInputMessage="1" showErrorMessage="1" sqref="C376">
      <formula1>Country!A2:A1000</formula1>
    </dataValidation>
    <dataValidation type="list" allowBlank="1" showInputMessage="1" showErrorMessage="1" sqref="C377">
      <formula1>Country!A2:A1000</formula1>
    </dataValidation>
    <dataValidation type="list" allowBlank="1" showInputMessage="1" showErrorMessage="1" sqref="C378">
      <formula1>Country!A2:A1000</formula1>
    </dataValidation>
    <dataValidation type="list" allowBlank="1" showInputMessage="1" showErrorMessage="1" sqref="C379">
      <formula1>Country!A2:A1000</formula1>
    </dataValidation>
    <dataValidation type="list" allowBlank="1" showInputMessage="1" showErrorMessage="1" sqref="C380">
      <formula1>Country!A2:A1000</formula1>
    </dataValidation>
    <dataValidation type="list" allowBlank="1" showInputMessage="1" showErrorMessage="1" sqref="C381">
      <formula1>Country!A2:A1000</formula1>
    </dataValidation>
    <dataValidation type="list" allowBlank="1" showInputMessage="1" showErrorMessage="1" sqref="C382">
      <formula1>Country!A2:A1000</formula1>
    </dataValidation>
    <dataValidation type="list" allowBlank="1" showInputMessage="1" showErrorMessage="1" sqref="C383">
      <formula1>Country!A2:A1000</formula1>
    </dataValidation>
    <dataValidation type="list" allowBlank="1" showInputMessage="1" showErrorMessage="1" sqref="C384">
      <formula1>Country!A2:A1000</formula1>
    </dataValidation>
    <dataValidation type="list" allowBlank="1" showInputMessage="1" showErrorMessage="1" sqref="C385">
      <formula1>Country!A2:A1000</formula1>
    </dataValidation>
    <dataValidation type="list" allowBlank="1" showInputMessage="1" showErrorMessage="1" sqref="C386">
      <formula1>Country!A2:A1000</formula1>
    </dataValidation>
    <dataValidation type="list" allowBlank="1" showInputMessage="1" showErrorMessage="1" sqref="C387">
      <formula1>Country!A2:A1000</formula1>
    </dataValidation>
    <dataValidation type="list" allowBlank="1" showInputMessage="1" showErrorMessage="1" sqref="C388">
      <formula1>Country!A2:A1000</formula1>
    </dataValidation>
    <dataValidation type="list" allowBlank="1" showInputMessage="1" showErrorMessage="1" sqref="C389">
      <formula1>Country!A2:A1000</formula1>
    </dataValidation>
    <dataValidation type="list" allowBlank="1" showInputMessage="1" showErrorMessage="1" sqref="C390">
      <formula1>Country!A2:A1000</formula1>
    </dataValidation>
    <dataValidation type="list" allowBlank="1" showInputMessage="1" showErrorMessage="1" sqref="C391">
      <formula1>Country!A2:A1000</formula1>
    </dataValidation>
    <dataValidation type="list" allowBlank="1" showInputMessage="1" showErrorMessage="1" sqref="C392">
      <formula1>Country!A2:A1000</formula1>
    </dataValidation>
    <dataValidation type="list" allowBlank="1" showInputMessage="1" showErrorMessage="1" sqref="C393">
      <formula1>Country!A2:A1000</formula1>
    </dataValidation>
    <dataValidation type="list" allowBlank="1" showInputMessage="1" showErrorMessage="1" sqref="C394">
      <formula1>Country!A2:A1000</formula1>
    </dataValidation>
    <dataValidation type="list" allowBlank="1" showInputMessage="1" showErrorMessage="1" sqref="C395">
      <formula1>Country!A2:A1000</formula1>
    </dataValidation>
    <dataValidation type="list" allowBlank="1" showInputMessage="1" showErrorMessage="1" sqref="C396">
      <formula1>Country!A2:A1000</formula1>
    </dataValidation>
    <dataValidation type="list" allowBlank="1" showInputMessage="1" showErrorMessage="1" sqref="C397">
      <formula1>Country!A2:A1000</formula1>
    </dataValidation>
    <dataValidation type="list" allowBlank="1" showInputMessage="1" showErrorMessage="1" sqref="C398">
      <formula1>Country!A2:A1000</formula1>
    </dataValidation>
    <dataValidation type="list" allowBlank="1" showInputMessage="1" showErrorMessage="1" sqref="C399">
      <formula1>Country!A2:A1000</formula1>
    </dataValidation>
    <dataValidation type="list" allowBlank="1" showInputMessage="1" showErrorMessage="1" sqref="C400">
      <formula1>Country!A2:A1000</formula1>
    </dataValidation>
    <dataValidation type="list" allowBlank="1" showInputMessage="1" showErrorMessage="1" sqref="C401">
      <formula1>Country!A2:A1000</formula1>
    </dataValidation>
    <dataValidation type="list" allowBlank="1" showInputMessage="1" showErrorMessage="1" sqref="C402">
      <formula1>Country!A2:A1000</formula1>
    </dataValidation>
    <dataValidation type="list" allowBlank="1" showInputMessage="1" showErrorMessage="1" sqref="C403">
      <formula1>Country!A2:A1000</formula1>
    </dataValidation>
    <dataValidation type="list" allowBlank="1" showInputMessage="1" showErrorMessage="1" sqref="C404">
      <formula1>Country!A2:A1000</formula1>
    </dataValidation>
    <dataValidation type="list" allowBlank="1" showInputMessage="1" showErrorMessage="1" sqref="C405">
      <formula1>Country!A2:A1000</formula1>
    </dataValidation>
    <dataValidation type="list" allowBlank="1" showInputMessage="1" showErrorMessage="1" sqref="C406">
      <formula1>Country!A2:A1000</formula1>
    </dataValidation>
    <dataValidation type="list" allowBlank="1" showInputMessage="1" showErrorMessage="1" sqref="C407">
      <formula1>Country!A2:A1000</formula1>
    </dataValidation>
    <dataValidation type="list" allowBlank="1" showInputMessage="1" showErrorMessage="1" sqref="C408">
      <formula1>Country!A2:A1000</formula1>
    </dataValidation>
    <dataValidation type="list" allowBlank="1" showInputMessage="1" showErrorMessage="1" sqref="C409">
      <formula1>Country!A2:A1000</formula1>
    </dataValidation>
    <dataValidation type="list" allowBlank="1" showInputMessage="1" showErrorMessage="1" sqref="C410">
      <formula1>Country!A2:A1000</formula1>
    </dataValidation>
    <dataValidation type="list" allowBlank="1" showInputMessage="1" showErrorMessage="1" sqref="C411">
      <formula1>Country!A2:A1000</formula1>
    </dataValidation>
    <dataValidation type="list" allowBlank="1" showInputMessage="1" showErrorMessage="1" sqref="C412">
      <formula1>Country!A2:A1000</formula1>
    </dataValidation>
    <dataValidation type="list" allowBlank="1" showInputMessage="1" showErrorMessage="1" sqref="C413">
      <formula1>Country!A2:A1000</formula1>
    </dataValidation>
    <dataValidation type="list" allowBlank="1" showInputMessage="1" showErrorMessage="1" sqref="C414">
      <formula1>Country!A2:A1000</formula1>
    </dataValidation>
    <dataValidation type="list" allowBlank="1" showInputMessage="1" showErrorMessage="1" sqref="C415">
      <formula1>Country!A2:A1000</formula1>
    </dataValidation>
    <dataValidation type="list" allowBlank="1" showInputMessage="1" showErrorMessage="1" sqref="C416">
      <formula1>Country!A2:A1000</formula1>
    </dataValidation>
    <dataValidation type="list" allowBlank="1" showInputMessage="1" showErrorMessage="1" sqref="C417">
      <formula1>Country!A2:A1000</formula1>
    </dataValidation>
    <dataValidation type="list" allowBlank="1" showInputMessage="1" showErrorMessage="1" sqref="C418">
      <formula1>Country!A2:A1000</formula1>
    </dataValidation>
    <dataValidation type="list" allowBlank="1" showInputMessage="1" showErrorMessage="1" sqref="C419">
      <formula1>Country!A2:A1000</formula1>
    </dataValidation>
    <dataValidation type="list" allowBlank="1" showInputMessage="1" showErrorMessage="1" sqref="C420">
      <formula1>Country!A2:A1000</formula1>
    </dataValidation>
    <dataValidation type="list" allowBlank="1" showInputMessage="1" showErrorMessage="1" sqref="C421">
      <formula1>Country!A2:A1000</formula1>
    </dataValidation>
    <dataValidation type="list" allowBlank="1" showInputMessage="1" showErrorMessage="1" sqref="C422">
      <formula1>Country!A2:A1000</formula1>
    </dataValidation>
    <dataValidation type="list" allowBlank="1" showInputMessage="1" showErrorMessage="1" sqref="C423">
      <formula1>Country!A2:A1000</formula1>
    </dataValidation>
    <dataValidation type="list" allowBlank="1" showInputMessage="1" showErrorMessage="1" sqref="C424">
      <formula1>Country!A2:A1000</formula1>
    </dataValidation>
    <dataValidation type="list" allowBlank="1" showInputMessage="1" showErrorMessage="1" sqref="C425">
      <formula1>Country!A2:A1000</formula1>
    </dataValidation>
    <dataValidation type="list" allowBlank="1" showInputMessage="1" showErrorMessage="1" sqref="C426">
      <formula1>Country!A2:A1000</formula1>
    </dataValidation>
    <dataValidation type="list" allowBlank="1" showInputMessage="1" showErrorMessage="1" sqref="C427">
      <formula1>Country!A2:A1000</formula1>
    </dataValidation>
    <dataValidation type="list" allowBlank="1" showInputMessage="1" showErrorMessage="1" sqref="C428">
      <formula1>Country!A2:A1000</formula1>
    </dataValidation>
    <dataValidation type="list" allowBlank="1" showInputMessage="1" showErrorMessage="1" sqref="C429">
      <formula1>Country!A2:A1000</formula1>
    </dataValidation>
    <dataValidation type="list" allowBlank="1" showInputMessage="1" showErrorMessage="1" sqref="C430">
      <formula1>Country!A2:A1000</formula1>
    </dataValidation>
    <dataValidation type="list" allowBlank="1" showInputMessage="1" showErrorMessage="1" sqref="C431">
      <formula1>Country!A2:A1000</formula1>
    </dataValidation>
    <dataValidation type="list" allowBlank="1" showInputMessage="1" showErrorMessage="1" sqref="C432">
      <formula1>Country!A2:A1000</formula1>
    </dataValidation>
    <dataValidation type="list" allowBlank="1" showInputMessage="1" showErrorMessage="1" sqref="C433">
      <formula1>Country!A2:A1000</formula1>
    </dataValidation>
    <dataValidation type="list" allowBlank="1" showInputMessage="1" showErrorMessage="1" sqref="C434">
      <formula1>Country!A2:A1000</formula1>
    </dataValidation>
    <dataValidation type="list" allowBlank="1" showInputMessage="1" showErrorMessage="1" sqref="C435">
      <formula1>Country!A2:A1000</formula1>
    </dataValidation>
    <dataValidation type="list" allowBlank="1" showInputMessage="1" showErrorMessage="1" sqref="C436">
      <formula1>Country!A2:A1000</formula1>
    </dataValidation>
    <dataValidation type="list" allowBlank="1" showInputMessage="1" showErrorMessage="1" sqref="C437">
      <formula1>Country!A2:A1000</formula1>
    </dataValidation>
    <dataValidation type="list" allowBlank="1" showInputMessage="1" showErrorMessage="1" sqref="C438">
      <formula1>Country!A2:A1000</formula1>
    </dataValidation>
    <dataValidation type="list" allowBlank="1" showInputMessage="1" showErrorMessage="1" sqref="C439">
      <formula1>Country!A2:A1000</formula1>
    </dataValidation>
    <dataValidation type="list" allowBlank="1" showInputMessage="1" showErrorMessage="1" sqref="C440">
      <formula1>Country!A2:A1000</formula1>
    </dataValidation>
    <dataValidation type="list" allowBlank="1" showInputMessage="1" showErrorMessage="1" sqref="C441">
      <formula1>Country!A2:A1000</formula1>
    </dataValidation>
    <dataValidation type="list" allowBlank="1" showInputMessage="1" showErrorMessage="1" sqref="C442">
      <formula1>Country!A2:A1000</formula1>
    </dataValidation>
    <dataValidation type="list" allowBlank="1" showInputMessage="1" showErrorMessage="1" sqref="C443">
      <formula1>Country!A2:A1000</formula1>
    </dataValidation>
    <dataValidation type="list" allowBlank="1" showInputMessage="1" showErrorMessage="1" sqref="C444">
      <formula1>Country!A2:A1000</formula1>
    </dataValidation>
    <dataValidation type="list" allowBlank="1" showInputMessage="1" showErrorMessage="1" sqref="C445">
      <formula1>Country!A2:A1000</formula1>
    </dataValidation>
    <dataValidation type="list" allowBlank="1" showInputMessage="1" showErrorMessage="1" sqref="C446">
      <formula1>Country!A2:A1000</formula1>
    </dataValidation>
    <dataValidation type="list" allowBlank="1" showInputMessage="1" showErrorMessage="1" sqref="C447">
      <formula1>Country!A2:A1000</formula1>
    </dataValidation>
    <dataValidation type="list" allowBlank="1" showInputMessage="1" showErrorMessage="1" sqref="C448">
      <formula1>Country!A2:A1000</formula1>
    </dataValidation>
    <dataValidation type="list" allowBlank="1" showInputMessage="1" showErrorMessage="1" sqref="C449">
      <formula1>Country!A2:A1000</formula1>
    </dataValidation>
    <dataValidation type="list" allowBlank="1" showInputMessage="1" showErrorMessage="1" sqref="C450">
      <formula1>Country!A2:A1000</formula1>
    </dataValidation>
    <dataValidation type="list" allowBlank="1" showInputMessage="1" showErrorMessage="1" sqref="C451">
      <formula1>Country!A2:A1000</formula1>
    </dataValidation>
    <dataValidation type="list" allowBlank="1" showInputMessage="1" showErrorMessage="1" sqref="C452">
      <formula1>Country!A2:A1000</formula1>
    </dataValidation>
    <dataValidation type="list" allowBlank="1" showInputMessage="1" showErrorMessage="1" sqref="C453">
      <formula1>Country!A2:A1000</formula1>
    </dataValidation>
    <dataValidation type="list" allowBlank="1" showInputMessage="1" showErrorMessage="1" sqref="C454">
      <formula1>Country!A2:A1000</formula1>
    </dataValidation>
    <dataValidation type="list" allowBlank="1" showInputMessage="1" showErrorMessage="1" sqref="C455">
      <formula1>Country!A2:A1000</formula1>
    </dataValidation>
    <dataValidation type="list" allowBlank="1" showInputMessage="1" showErrorMessage="1" sqref="C456">
      <formula1>Country!A2:A1000</formula1>
    </dataValidation>
    <dataValidation type="list" allowBlank="1" showInputMessage="1" showErrorMessage="1" sqref="C457">
      <formula1>Country!A2:A1000</formula1>
    </dataValidation>
    <dataValidation type="list" allowBlank="1" showInputMessage="1" showErrorMessage="1" sqref="C458">
      <formula1>Country!A2:A1000</formula1>
    </dataValidation>
    <dataValidation type="list" allowBlank="1" showInputMessage="1" showErrorMessage="1" sqref="C459">
      <formula1>Country!A2:A1000</formula1>
    </dataValidation>
    <dataValidation type="list" allowBlank="1" showInputMessage="1" showErrorMessage="1" sqref="C460">
      <formula1>Country!A2:A1000</formula1>
    </dataValidation>
    <dataValidation type="list" allowBlank="1" showInputMessage="1" showErrorMessage="1" sqref="C461">
      <formula1>Country!A2:A1000</formula1>
    </dataValidation>
    <dataValidation type="list" allowBlank="1" showInputMessage="1" showErrorMessage="1" sqref="C462">
      <formula1>Country!A2:A1000</formula1>
    </dataValidation>
    <dataValidation type="list" allowBlank="1" showInputMessage="1" showErrorMessage="1" sqref="C463">
      <formula1>Country!A2:A1000</formula1>
    </dataValidation>
    <dataValidation type="list" allowBlank="1" showInputMessage="1" showErrorMessage="1" sqref="C464">
      <formula1>Country!A2:A1000</formula1>
    </dataValidation>
    <dataValidation type="list" allowBlank="1" showInputMessage="1" showErrorMessage="1" sqref="C465">
      <formula1>Country!A2:A1000</formula1>
    </dataValidation>
    <dataValidation type="list" allowBlank="1" showInputMessage="1" showErrorMessage="1" sqref="C466">
      <formula1>Country!A2:A1000</formula1>
    </dataValidation>
    <dataValidation type="list" allowBlank="1" showInputMessage="1" showErrorMessage="1" sqref="C467">
      <formula1>Country!A2:A1000</formula1>
    </dataValidation>
    <dataValidation type="list" allowBlank="1" showInputMessage="1" showErrorMessage="1" sqref="C468">
      <formula1>Country!A2:A1000</formula1>
    </dataValidation>
    <dataValidation type="list" allowBlank="1" showInputMessage="1" showErrorMessage="1" sqref="C469">
      <formula1>Country!A2:A1000</formula1>
    </dataValidation>
    <dataValidation type="list" allowBlank="1" showInputMessage="1" showErrorMessage="1" sqref="C470">
      <formula1>Country!A2:A1000</formula1>
    </dataValidation>
    <dataValidation type="list" allowBlank="1" showInputMessage="1" showErrorMessage="1" sqref="C471">
      <formula1>Country!A2:A1000</formula1>
    </dataValidation>
    <dataValidation type="list" allowBlank="1" showInputMessage="1" showErrorMessage="1" sqref="C472">
      <formula1>Country!A2:A1000</formula1>
    </dataValidation>
    <dataValidation type="list" allowBlank="1" showInputMessage="1" showErrorMessage="1" sqref="C473">
      <formula1>Country!A2:A1000</formula1>
    </dataValidation>
    <dataValidation type="list" allowBlank="1" showInputMessage="1" showErrorMessage="1" sqref="C474">
      <formula1>Country!A2:A1000</formula1>
    </dataValidation>
    <dataValidation type="list" allowBlank="1" showInputMessage="1" showErrorMessage="1" sqref="C475">
      <formula1>Country!A2:A1000</formula1>
    </dataValidation>
    <dataValidation type="list" allowBlank="1" showInputMessage="1" showErrorMessage="1" sqref="C476">
      <formula1>Country!A2:A1000</formula1>
    </dataValidation>
    <dataValidation type="list" allowBlank="1" showInputMessage="1" showErrorMessage="1" sqref="C477">
      <formula1>Country!A2:A1000</formula1>
    </dataValidation>
    <dataValidation type="list" allowBlank="1" showInputMessage="1" showErrorMessage="1" sqref="C478">
      <formula1>Country!A2:A1000</formula1>
    </dataValidation>
    <dataValidation type="list" allowBlank="1" showInputMessage="1" showErrorMessage="1" sqref="C479">
      <formula1>Country!A2:A1000</formula1>
    </dataValidation>
    <dataValidation type="list" allowBlank="1" showInputMessage="1" showErrorMessage="1" sqref="C480">
      <formula1>Country!A2:A1000</formula1>
    </dataValidation>
    <dataValidation type="list" allowBlank="1" showInputMessage="1" showErrorMessage="1" sqref="C481">
      <formula1>Country!A2:A1000</formula1>
    </dataValidation>
    <dataValidation type="list" allowBlank="1" showInputMessage="1" showErrorMessage="1" sqref="C482">
      <formula1>Country!A2:A1000</formula1>
    </dataValidation>
    <dataValidation type="list" allowBlank="1" showInputMessage="1" showErrorMessage="1" sqref="C483">
      <formula1>Country!A2:A1000</formula1>
    </dataValidation>
    <dataValidation type="list" allowBlank="1" showInputMessage="1" showErrorMessage="1" sqref="C484">
      <formula1>Country!A2:A1000</formula1>
    </dataValidation>
    <dataValidation type="list" allowBlank="1" showInputMessage="1" showErrorMessage="1" sqref="C485">
      <formula1>Country!A2:A1000</formula1>
    </dataValidation>
    <dataValidation type="list" allowBlank="1" showInputMessage="1" showErrorMessage="1" sqref="C486">
      <formula1>Country!A2:A1000</formula1>
    </dataValidation>
    <dataValidation type="list" allowBlank="1" showInputMessage="1" showErrorMessage="1" sqref="C487">
      <formula1>Country!A2:A1000</formula1>
    </dataValidation>
    <dataValidation type="list" allowBlank="1" showInputMessage="1" showErrorMessage="1" sqref="C488">
      <formula1>Country!A2:A1000</formula1>
    </dataValidation>
    <dataValidation type="list" allowBlank="1" showInputMessage="1" showErrorMessage="1" sqref="C489">
      <formula1>Country!A2:A1000</formula1>
    </dataValidation>
    <dataValidation type="list" allowBlank="1" showInputMessage="1" showErrorMessage="1" sqref="C490">
      <formula1>Country!A2:A1000</formula1>
    </dataValidation>
    <dataValidation type="list" allowBlank="1" showInputMessage="1" showErrorMessage="1" sqref="C491">
      <formula1>Country!A2:A1000</formula1>
    </dataValidation>
    <dataValidation type="list" allowBlank="1" showInputMessage="1" showErrorMessage="1" sqref="C492">
      <formula1>Country!A2:A1000</formula1>
    </dataValidation>
    <dataValidation type="list" allowBlank="1" showInputMessage="1" showErrorMessage="1" sqref="C493">
      <formula1>Country!A2:A1000</formula1>
    </dataValidation>
    <dataValidation type="list" allowBlank="1" showInputMessage="1" showErrorMessage="1" sqref="C494">
      <formula1>Country!A2:A1000</formula1>
    </dataValidation>
    <dataValidation type="list" allowBlank="1" showInputMessage="1" showErrorMessage="1" sqref="C495">
      <formula1>Country!A2:A1000</formula1>
    </dataValidation>
    <dataValidation type="list" allowBlank="1" showInputMessage="1" showErrorMessage="1" sqref="C496">
      <formula1>Country!A2:A1000</formula1>
    </dataValidation>
    <dataValidation type="list" allowBlank="1" showInputMessage="1" showErrorMessage="1" sqref="C497">
      <formula1>Country!A2:A1000</formula1>
    </dataValidation>
    <dataValidation type="list" allowBlank="1" showInputMessage="1" showErrorMessage="1" sqref="C498">
      <formula1>Country!A2:A1000</formula1>
    </dataValidation>
    <dataValidation type="list" allowBlank="1" showInputMessage="1" showErrorMessage="1" sqref="C499">
      <formula1>Country!A2:A1000</formula1>
    </dataValidation>
    <dataValidation type="list" allowBlank="1" showInputMessage="1" showErrorMessage="1" sqref="C500">
      <formula1>Country!A2:A1000</formula1>
    </dataValidation>
    <dataValidation type="list" allowBlank="1" showInputMessage="1" showErrorMessage="1" sqref="C501">
      <formula1>Country!A2:A1000</formula1>
    </dataValidation>
    <dataValidation type="list" allowBlank="1" showInputMessage="1" showErrorMessage="1" sqref="C502">
      <formula1>Country!A2:A1000</formula1>
    </dataValidation>
    <dataValidation type="list" allowBlank="1" showInputMessage="1" showErrorMessage="1" sqref="C503">
      <formula1>Country!A2:A1000</formula1>
    </dataValidation>
    <dataValidation type="list" allowBlank="1" showInputMessage="1" showErrorMessage="1" sqref="C504">
      <formula1>Country!A2:A1000</formula1>
    </dataValidation>
    <dataValidation type="list" allowBlank="1" showInputMessage="1" showErrorMessage="1" sqref="C505">
      <formula1>Country!A2:A1000</formula1>
    </dataValidation>
    <dataValidation type="list" allowBlank="1" showInputMessage="1" showErrorMessage="1" sqref="C506">
      <formula1>Country!A2:A1000</formula1>
    </dataValidation>
    <dataValidation type="list" allowBlank="1" showInputMessage="1" showErrorMessage="1" sqref="C507">
      <formula1>Country!A2:A1000</formula1>
    </dataValidation>
    <dataValidation type="list" allowBlank="1" showInputMessage="1" showErrorMessage="1" sqref="C508">
      <formula1>Country!A2:A1000</formula1>
    </dataValidation>
    <dataValidation type="list" allowBlank="1" showInputMessage="1" showErrorMessage="1" sqref="C509">
      <formula1>Country!A2:A1000</formula1>
    </dataValidation>
    <dataValidation type="list" allowBlank="1" showInputMessage="1" showErrorMessage="1" sqref="C510">
      <formula1>Country!A2:A1000</formula1>
    </dataValidation>
    <dataValidation type="list" allowBlank="1" showInputMessage="1" showErrorMessage="1" sqref="C511">
      <formula1>Country!A2:A1000</formula1>
    </dataValidation>
    <dataValidation type="list" allowBlank="1" showInputMessage="1" showErrorMessage="1" sqref="C512">
      <formula1>Country!A2:A1000</formula1>
    </dataValidation>
    <dataValidation type="list" allowBlank="1" showInputMessage="1" showErrorMessage="1" sqref="C513">
      <formula1>Country!A2:A1000</formula1>
    </dataValidation>
    <dataValidation type="list" allowBlank="1" showInputMessage="1" showErrorMessage="1" sqref="C514">
      <formula1>Country!A2:A1000</formula1>
    </dataValidation>
    <dataValidation type="list" allowBlank="1" showInputMessage="1" showErrorMessage="1" sqref="C515">
      <formula1>Country!A2:A1000</formula1>
    </dataValidation>
    <dataValidation type="list" allowBlank="1" showInputMessage="1" showErrorMessage="1" sqref="C516">
      <formula1>Country!A2:A1000</formula1>
    </dataValidation>
    <dataValidation type="list" allowBlank="1" showInputMessage="1" showErrorMessage="1" sqref="C517">
      <formula1>Country!A2:A1000</formula1>
    </dataValidation>
    <dataValidation type="list" allowBlank="1" showInputMessage="1" showErrorMessage="1" sqref="C518">
      <formula1>Country!A2:A1000</formula1>
    </dataValidation>
    <dataValidation type="list" allowBlank="1" showInputMessage="1" showErrorMessage="1" sqref="C519">
      <formula1>Country!A2:A1000</formula1>
    </dataValidation>
    <dataValidation type="list" allowBlank="1" showInputMessage="1" showErrorMessage="1" sqref="C520">
      <formula1>Country!A2:A1000</formula1>
    </dataValidation>
    <dataValidation type="list" allowBlank="1" showInputMessage="1" showErrorMessage="1" sqref="C521">
      <formula1>Country!A2:A1000</formula1>
    </dataValidation>
    <dataValidation type="list" allowBlank="1" showInputMessage="1" showErrorMessage="1" sqref="C522">
      <formula1>Country!A2:A1000</formula1>
    </dataValidation>
    <dataValidation type="list" allowBlank="1" showInputMessage="1" showErrorMessage="1" sqref="C523">
      <formula1>Country!A2:A1000</formula1>
    </dataValidation>
    <dataValidation type="list" allowBlank="1" showInputMessage="1" showErrorMessage="1" sqref="C524">
      <formula1>Country!A2:A1000</formula1>
    </dataValidation>
    <dataValidation type="list" allowBlank="1" showInputMessage="1" showErrorMessage="1" sqref="C525">
      <formula1>Country!A2:A1000</formula1>
    </dataValidation>
    <dataValidation type="list" allowBlank="1" showInputMessage="1" showErrorMessage="1" sqref="C526">
      <formula1>Country!A2:A1000</formula1>
    </dataValidation>
    <dataValidation type="list" allowBlank="1" showInputMessage="1" showErrorMessage="1" sqref="C527">
      <formula1>Country!A2:A1000</formula1>
    </dataValidation>
    <dataValidation type="list" allowBlank="1" showInputMessage="1" showErrorMessage="1" sqref="C528">
      <formula1>Country!A2:A1000</formula1>
    </dataValidation>
    <dataValidation type="list" allowBlank="1" showInputMessage="1" showErrorMessage="1" sqref="C529">
      <formula1>Country!A2:A1000</formula1>
    </dataValidation>
    <dataValidation type="list" allowBlank="1" showInputMessage="1" showErrorMessage="1" sqref="C530">
      <formula1>Country!A2:A1000</formula1>
    </dataValidation>
    <dataValidation type="list" allowBlank="1" showInputMessage="1" showErrorMessage="1" sqref="C531">
      <formula1>Country!A2:A1000</formula1>
    </dataValidation>
    <dataValidation type="list" allowBlank="1" showInputMessage="1" showErrorMessage="1" sqref="C532">
      <formula1>Country!A2:A1000</formula1>
    </dataValidation>
    <dataValidation type="list" allowBlank="1" showInputMessage="1" showErrorMessage="1" sqref="C533">
      <formula1>Country!A2:A1000</formula1>
    </dataValidation>
    <dataValidation type="list" allowBlank="1" showInputMessage="1" showErrorMessage="1" sqref="C534">
      <formula1>Country!A2:A1000</formula1>
    </dataValidation>
    <dataValidation type="list" allowBlank="1" showInputMessage="1" showErrorMessage="1" sqref="C535">
      <formula1>Country!A2:A1000</formula1>
    </dataValidation>
    <dataValidation type="list" allowBlank="1" showInputMessage="1" showErrorMessage="1" sqref="C536">
      <formula1>Country!A2:A1000</formula1>
    </dataValidation>
    <dataValidation type="list" allowBlank="1" showInputMessage="1" showErrorMessage="1" sqref="C537">
      <formula1>Country!A2:A1000</formula1>
    </dataValidation>
    <dataValidation type="list" allowBlank="1" showInputMessage="1" showErrorMessage="1" sqref="C538">
      <formula1>Country!A2:A1000</formula1>
    </dataValidation>
    <dataValidation type="list" allowBlank="1" showInputMessage="1" showErrorMessage="1" sqref="C539">
      <formula1>Country!A2:A1000</formula1>
    </dataValidation>
    <dataValidation type="list" allowBlank="1" showInputMessage="1" showErrorMessage="1" sqref="C540">
      <formula1>Country!A2:A1000</formula1>
    </dataValidation>
    <dataValidation type="list" allowBlank="1" showInputMessage="1" showErrorMessage="1" sqref="C541">
      <formula1>Country!A2:A1000</formula1>
    </dataValidation>
    <dataValidation type="list" allowBlank="1" showInputMessage="1" showErrorMessage="1" sqref="C542">
      <formula1>Country!A2:A1000</formula1>
    </dataValidation>
    <dataValidation type="list" allowBlank="1" showInputMessage="1" showErrorMessage="1" sqref="C543">
      <formula1>Country!A2:A1000</formula1>
    </dataValidation>
    <dataValidation type="list" allowBlank="1" showInputMessage="1" showErrorMessage="1" sqref="C544">
      <formula1>Country!A2:A1000</formula1>
    </dataValidation>
    <dataValidation type="list" allowBlank="1" showInputMessage="1" showErrorMessage="1" sqref="C545">
      <formula1>Country!A2:A1000</formula1>
    </dataValidation>
    <dataValidation type="list" allowBlank="1" showInputMessage="1" showErrorMessage="1" sqref="C546">
      <formula1>Country!A2:A1000</formula1>
    </dataValidation>
    <dataValidation type="list" allowBlank="1" showInputMessage="1" showErrorMessage="1" sqref="C547">
      <formula1>Country!A2:A1000</formula1>
    </dataValidation>
    <dataValidation type="list" allowBlank="1" showInputMessage="1" showErrorMessage="1" sqref="C548">
      <formula1>Country!A2:A1000</formula1>
    </dataValidation>
    <dataValidation type="list" allowBlank="1" showInputMessage="1" showErrorMessage="1" sqref="C549">
      <formula1>Country!A2:A1000</formula1>
    </dataValidation>
    <dataValidation type="list" allowBlank="1" showInputMessage="1" showErrorMessage="1" sqref="C550">
      <formula1>Country!A2:A1000</formula1>
    </dataValidation>
    <dataValidation type="list" allowBlank="1" showInputMessage="1" showErrorMessage="1" sqref="C551">
      <formula1>Country!A2:A1000</formula1>
    </dataValidation>
    <dataValidation type="list" allowBlank="1" showInputMessage="1" showErrorMessage="1" sqref="C552">
      <formula1>Country!A2:A1000</formula1>
    </dataValidation>
    <dataValidation type="list" allowBlank="1" showInputMessage="1" showErrorMessage="1" sqref="C553">
      <formula1>Country!A2:A1000</formula1>
    </dataValidation>
    <dataValidation type="list" allowBlank="1" showInputMessage="1" showErrorMessage="1" sqref="C554">
      <formula1>Country!A2:A1000</formula1>
    </dataValidation>
    <dataValidation type="list" allowBlank="1" showInputMessage="1" showErrorMessage="1" sqref="C555">
      <formula1>Country!A2:A1000</formula1>
    </dataValidation>
    <dataValidation type="list" allowBlank="1" showInputMessage="1" showErrorMessage="1" sqref="C556">
      <formula1>Country!A2:A1000</formula1>
    </dataValidation>
    <dataValidation type="list" allowBlank="1" showInputMessage="1" showErrorMessage="1" sqref="C557">
      <formula1>Country!A2:A1000</formula1>
    </dataValidation>
    <dataValidation type="list" allowBlank="1" showInputMessage="1" showErrorMessage="1" sqref="C558">
      <formula1>Country!A2:A1000</formula1>
    </dataValidation>
    <dataValidation type="list" allowBlank="1" showInputMessage="1" showErrorMessage="1" sqref="C559">
      <formula1>Country!A2:A1000</formula1>
    </dataValidation>
    <dataValidation type="list" allowBlank="1" showInputMessage="1" showErrorMessage="1" sqref="C560">
      <formula1>Country!A2:A1000</formula1>
    </dataValidation>
    <dataValidation type="list" allowBlank="1" showInputMessage="1" showErrorMessage="1" sqref="C561">
      <formula1>Country!A2:A1000</formula1>
    </dataValidation>
    <dataValidation type="list" allowBlank="1" showInputMessage="1" showErrorMessage="1" sqref="C562">
      <formula1>Country!A2:A1000</formula1>
    </dataValidation>
    <dataValidation type="list" allowBlank="1" showInputMessage="1" showErrorMessage="1" sqref="C563">
      <formula1>Country!A2:A1000</formula1>
    </dataValidation>
    <dataValidation type="list" allowBlank="1" showInputMessage="1" showErrorMessage="1" sqref="C564">
      <formula1>Country!A2:A1000</formula1>
    </dataValidation>
    <dataValidation type="list" allowBlank="1" showInputMessage="1" showErrorMessage="1" sqref="C565">
      <formula1>Country!A2:A1000</formula1>
    </dataValidation>
    <dataValidation type="list" allowBlank="1" showInputMessage="1" showErrorMessage="1" sqref="C566">
      <formula1>Country!A2:A1000</formula1>
    </dataValidation>
    <dataValidation type="list" allowBlank="1" showInputMessage="1" showErrorMessage="1" sqref="C567">
      <formula1>Country!A2:A1000</formula1>
    </dataValidation>
    <dataValidation type="list" allowBlank="1" showInputMessage="1" showErrorMessage="1" sqref="C568">
      <formula1>Country!A2:A1000</formula1>
    </dataValidation>
    <dataValidation type="list" allowBlank="1" showInputMessage="1" showErrorMessage="1" sqref="C569">
      <formula1>Country!A2:A1000</formula1>
    </dataValidation>
    <dataValidation type="list" allowBlank="1" showInputMessage="1" showErrorMessage="1" sqref="C570">
      <formula1>Country!A2:A1000</formula1>
    </dataValidation>
    <dataValidation type="list" allowBlank="1" showInputMessage="1" showErrorMessage="1" sqref="C571">
      <formula1>Country!A2:A1000</formula1>
    </dataValidation>
    <dataValidation type="list" allowBlank="1" showInputMessage="1" showErrorMessage="1" sqref="C572">
      <formula1>Country!A2:A1000</formula1>
    </dataValidation>
    <dataValidation type="list" allowBlank="1" showInputMessage="1" showErrorMessage="1" sqref="C573">
      <formula1>Country!A2:A1000</formula1>
    </dataValidation>
    <dataValidation type="list" allowBlank="1" showInputMessage="1" showErrorMessage="1" sqref="C574">
      <formula1>Country!A2:A1000</formula1>
    </dataValidation>
    <dataValidation type="list" allowBlank="1" showInputMessage="1" showErrorMessage="1" sqref="C575">
      <formula1>Country!A2:A1000</formula1>
    </dataValidation>
    <dataValidation type="list" allowBlank="1" showInputMessage="1" showErrorMessage="1" sqref="C576">
      <formula1>Country!A2:A1000</formula1>
    </dataValidation>
    <dataValidation type="list" allowBlank="1" showInputMessage="1" showErrorMessage="1" sqref="C577">
      <formula1>Country!A2:A1000</formula1>
    </dataValidation>
    <dataValidation type="list" allowBlank="1" showInputMessage="1" showErrorMessage="1" sqref="C578">
      <formula1>Country!A2:A1000</formula1>
    </dataValidation>
    <dataValidation type="list" allowBlank="1" showInputMessage="1" showErrorMessage="1" sqref="C579">
      <formula1>Country!A2:A1000</formula1>
    </dataValidation>
    <dataValidation type="list" allowBlank="1" showInputMessage="1" showErrorMessage="1" sqref="C580">
      <formula1>Country!A2:A1000</formula1>
    </dataValidation>
    <dataValidation type="list" allowBlank="1" showInputMessage="1" showErrorMessage="1" sqref="C581">
      <formula1>Country!A2:A1000</formula1>
    </dataValidation>
    <dataValidation type="list" allowBlank="1" showInputMessage="1" showErrorMessage="1" sqref="C582">
      <formula1>Country!A2:A1000</formula1>
    </dataValidation>
    <dataValidation type="list" allowBlank="1" showInputMessage="1" showErrorMessage="1" sqref="C583">
      <formula1>Country!A2:A1000</formula1>
    </dataValidation>
    <dataValidation type="list" allowBlank="1" showInputMessage="1" showErrorMessage="1" sqref="C584">
      <formula1>Country!A2:A1000</formula1>
    </dataValidation>
    <dataValidation type="list" allowBlank="1" showInputMessage="1" showErrorMessage="1" sqref="C585">
      <formula1>Country!A2:A1000</formula1>
    </dataValidation>
    <dataValidation type="list" allowBlank="1" showInputMessage="1" showErrorMessage="1" sqref="C586">
      <formula1>Country!A2:A1000</formula1>
    </dataValidation>
    <dataValidation type="list" allowBlank="1" showInputMessage="1" showErrorMessage="1" sqref="C587">
      <formula1>Country!A2:A1000</formula1>
    </dataValidation>
    <dataValidation type="list" allowBlank="1" showInputMessage="1" showErrorMessage="1" sqref="C588">
      <formula1>Country!A2:A1000</formula1>
    </dataValidation>
    <dataValidation type="list" allowBlank="1" showInputMessage="1" showErrorMessage="1" sqref="C589">
      <formula1>Country!A2:A1000</formula1>
    </dataValidation>
    <dataValidation type="list" allowBlank="1" showInputMessage="1" showErrorMessage="1" sqref="C590">
      <formula1>Country!A2:A1000</formula1>
    </dataValidation>
    <dataValidation type="list" allowBlank="1" showInputMessage="1" showErrorMessage="1" sqref="C591">
      <formula1>Country!A2:A1000</formula1>
    </dataValidation>
    <dataValidation type="list" allowBlank="1" showInputMessage="1" showErrorMessage="1" sqref="C592">
      <formula1>Country!A2:A1000</formula1>
    </dataValidation>
    <dataValidation type="list" allowBlank="1" showInputMessage="1" showErrorMessage="1" sqref="C593">
      <formula1>Country!A2:A1000</formula1>
    </dataValidation>
    <dataValidation type="list" allowBlank="1" showInputMessage="1" showErrorMessage="1" sqref="C594">
      <formula1>Country!A2:A1000</formula1>
    </dataValidation>
    <dataValidation type="list" allowBlank="1" showInputMessage="1" showErrorMessage="1" sqref="C595">
      <formula1>Country!A2:A1000</formula1>
    </dataValidation>
    <dataValidation type="list" allowBlank="1" showInputMessage="1" showErrorMessage="1" sqref="C596">
      <formula1>Country!A2:A1000</formula1>
    </dataValidation>
    <dataValidation type="list" allowBlank="1" showInputMessage="1" showErrorMessage="1" sqref="C597">
      <formula1>Country!A2:A1000</formula1>
    </dataValidation>
    <dataValidation type="list" allowBlank="1" showInputMessage="1" showErrorMessage="1" sqref="C598">
      <formula1>Country!A2:A1000</formula1>
    </dataValidation>
    <dataValidation type="list" allowBlank="1" showInputMessage="1" showErrorMessage="1" sqref="C599">
      <formula1>Country!A2:A1000</formula1>
    </dataValidation>
    <dataValidation type="list" allowBlank="1" showInputMessage="1" showErrorMessage="1" sqref="C600">
      <formula1>Country!A2:A1000</formula1>
    </dataValidation>
    <dataValidation type="list" allowBlank="1" showInputMessage="1" showErrorMessage="1" sqref="C601">
      <formula1>Country!A2:A1000</formula1>
    </dataValidation>
    <dataValidation type="list" allowBlank="1" showInputMessage="1" showErrorMessage="1" sqref="C602">
      <formula1>Country!A2:A1000</formula1>
    </dataValidation>
    <dataValidation type="list" allowBlank="1" showInputMessage="1" showErrorMessage="1" sqref="C603">
      <formula1>Country!A2:A1000</formula1>
    </dataValidation>
    <dataValidation type="list" allowBlank="1" showInputMessage="1" showErrorMessage="1" sqref="C604">
      <formula1>Country!A2:A1000</formula1>
    </dataValidation>
    <dataValidation type="list" allowBlank="1" showInputMessage="1" showErrorMessage="1" sqref="C605">
      <formula1>Country!A2:A1000</formula1>
    </dataValidation>
    <dataValidation type="list" allowBlank="1" showInputMessage="1" showErrorMessage="1" sqref="C606">
      <formula1>Country!A2:A1000</formula1>
    </dataValidation>
    <dataValidation type="list" allowBlank="1" showInputMessage="1" showErrorMessage="1" sqref="C607">
      <formula1>Country!A2:A1000</formula1>
    </dataValidation>
    <dataValidation type="list" allowBlank="1" showInputMessage="1" showErrorMessage="1" sqref="C608">
      <formula1>Country!A2:A1000</formula1>
    </dataValidation>
    <dataValidation type="list" allowBlank="1" showInputMessage="1" showErrorMessage="1" sqref="C609">
      <formula1>Country!A2:A1000</formula1>
    </dataValidation>
    <dataValidation type="list" allowBlank="1" showInputMessage="1" showErrorMessage="1" sqref="C610">
      <formula1>Country!A2:A1000</formula1>
    </dataValidation>
    <dataValidation type="list" allowBlank="1" showInputMessage="1" showErrorMessage="1" sqref="C611">
      <formula1>Country!A2:A1000</formula1>
    </dataValidation>
    <dataValidation type="list" allowBlank="1" showInputMessage="1" showErrorMessage="1" sqref="C612">
      <formula1>Country!A2:A1000</formula1>
    </dataValidation>
    <dataValidation type="list" allowBlank="1" showInputMessage="1" showErrorMessage="1" sqref="C613">
      <formula1>Country!A2:A1000</formula1>
    </dataValidation>
    <dataValidation type="list" allowBlank="1" showInputMessage="1" showErrorMessage="1" sqref="C614">
      <formula1>Country!A2:A1000</formula1>
    </dataValidation>
    <dataValidation type="list" allowBlank="1" showInputMessage="1" showErrorMessage="1" sqref="C615">
      <formula1>Country!A2:A1000</formula1>
    </dataValidation>
    <dataValidation type="list" allowBlank="1" showInputMessage="1" showErrorMessage="1" sqref="C616">
      <formula1>Country!A2:A1000</formula1>
    </dataValidation>
    <dataValidation type="list" allowBlank="1" showInputMessage="1" showErrorMessage="1" sqref="C617">
      <formula1>Country!A2:A1000</formula1>
    </dataValidation>
    <dataValidation type="list" allowBlank="1" showInputMessage="1" showErrorMessage="1" sqref="C618">
      <formula1>Country!A2:A1000</formula1>
    </dataValidation>
    <dataValidation type="list" allowBlank="1" showInputMessage="1" showErrorMessage="1" sqref="C619">
      <formula1>Country!A2:A1000</formula1>
    </dataValidation>
    <dataValidation type="list" allowBlank="1" showInputMessage="1" showErrorMessage="1" sqref="C620">
      <formula1>Country!A2:A1000</formula1>
    </dataValidation>
    <dataValidation type="list" allowBlank="1" showInputMessage="1" showErrorMessage="1" sqref="C621">
      <formula1>Country!A2:A1000</formula1>
    </dataValidation>
    <dataValidation type="list" allowBlank="1" showInputMessage="1" showErrorMessage="1" sqref="C622">
      <formula1>Country!A2:A1000</formula1>
    </dataValidation>
    <dataValidation type="list" allowBlank="1" showInputMessage="1" showErrorMessage="1" sqref="C623">
      <formula1>Country!A2:A1000</formula1>
    </dataValidation>
    <dataValidation type="list" allowBlank="1" showInputMessage="1" showErrorMessage="1" sqref="C624">
      <formula1>Country!A2:A1000</formula1>
    </dataValidation>
    <dataValidation type="list" allowBlank="1" showInputMessage="1" showErrorMessage="1" sqref="C625">
      <formula1>Country!A2:A1000</formula1>
    </dataValidation>
    <dataValidation type="list" allowBlank="1" showInputMessage="1" showErrorMessage="1" sqref="C626">
      <formula1>Country!A2:A1000</formula1>
    </dataValidation>
    <dataValidation type="list" allowBlank="1" showInputMessage="1" showErrorMessage="1" sqref="C627">
      <formula1>Country!A2:A1000</formula1>
    </dataValidation>
    <dataValidation type="list" allowBlank="1" showInputMessage="1" showErrorMessage="1" sqref="C628">
      <formula1>Country!A2:A1000</formula1>
    </dataValidation>
    <dataValidation type="list" allowBlank="1" showInputMessage="1" showErrorMessage="1" sqref="C629">
      <formula1>Country!A2:A1000</formula1>
    </dataValidation>
    <dataValidation type="list" allowBlank="1" showInputMessage="1" showErrorMessage="1" sqref="C630">
      <formula1>Country!A2:A1000</formula1>
    </dataValidation>
    <dataValidation type="list" allowBlank="1" showInputMessage="1" showErrorMessage="1" sqref="C631">
      <formula1>Country!A2:A1000</formula1>
    </dataValidation>
    <dataValidation type="list" allowBlank="1" showInputMessage="1" showErrorMessage="1" sqref="C632">
      <formula1>Country!A2:A1000</formula1>
    </dataValidation>
    <dataValidation type="list" allowBlank="1" showInputMessage="1" showErrorMessage="1" sqref="C633">
      <formula1>Country!A2:A1000</formula1>
    </dataValidation>
    <dataValidation type="list" allowBlank="1" showInputMessage="1" showErrorMessage="1" sqref="C634">
      <formula1>Country!A2:A1000</formula1>
    </dataValidation>
    <dataValidation type="list" allowBlank="1" showInputMessage="1" showErrorMessage="1" sqref="C635">
      <formula1>Country!A2:A1000</formula1>
    </dataValidation>
    <dataValidation type="list" allowBlank="1" showInputMessage="1" showErrorMessage="1" sqref="C636">
      <formula1>Country!A2:A1000</formula1>
    </dataValidation>
    <dataValidation type="list" allowBlank="1" showInputMessage="1" showErrorMessage="1" sqref="C637">
      <formula1>Country!A2:A1000</formula1>
    </dataValidation>
    <dataValidation type="list" allowBlank="1" showInputMessage="1" showErrorMessage="1" sqref="C638">
      <formula1>Country!A2:A1000</formula1>
    </dataValidation>
    <dataValidation type="list" allowBlank="1" showInputMessage="1" showErrorMessage="1" sqref="C639">
      <formula1>Country!A2:A1000</formula1>
    </dataValidation>
    <dataValidation type="list" allowBlank="1" showInputMessage="1" showErrorMessage="1" sqref="C640">
      <formula1>Country!A2:A1000</formula1>
    </dataValidation>
    <dataValidation type="list" allowBlank="1" showInputMessage="1" showErrorMessage="1" sqref="C641">
      <formula1>Country!A2:A1000</formula1>
    </dataValidation>
    <dataValidation type="list" allowBlank="1" showInputMessage="1" showErrorMessage="1" sqref="C642">
      <formula1>Country!A2:A1000</formula1>
    </dataValidation>
    <dataValidation type="list" allowBlank="1" showInputMessage="1" showErrorMessage="1" sqref="C643">
      <formula1>Country!A2:A1000</formula1>
    </dataValidation>
    <dataValidation type="list" allowBlank="1" showInputMessage="1" showErrorMessage="1" sqref="C644">
      <formula1>Country!A2:A1000</formula1>
    </dataValidation>
    <dataValidation type="list" allowBlank="1" showInputMessage="1" showErrorMessage="1" sqref="C645">
      <formula1>Country!A2:A1000</formula1>
    </dataValidation>
    <dataValidation type="list" allowBlank="1" showInputMessage="1" showErrorMessage="1" sqref="C646">
      <formula1>Country!A2:A1000</formula1>
    </dataValidation>
    <dataValidation type="list" allowBlank="1" showInputMessage="1" showErrorMessage="1" sqref="C647">
      <formula1>Country!A2:A1000</formula1>
    </dataValidation>
    <dataValidation type="list" allowBlank="1" showInputMessage="1" showErrorMessage="1" sqref="C648">
      <formula1>Country!A2:A1000</formula1>
    </dataValidation>
    <dataValidation type="list" allowBlank="1" showInputMessage="1" showErrorMessage="1" sqref="C649">
      <formula1>Country!A2:A1000</formula1>
    </dataValidation>
    <dataValidation type="list" allowBlank="1" showInputMessage="1" showErrorMessage="1" sqref="C650">
      <formula1>Country!A2:A1000</formula1>
    </dataValidation>
    <dataValidation type="list" allowBlank="1" showInputMessage="1" showErrorMessage="1" sqref="C651">
      <formula1>Country!A2:A1000</formula1>
    </dataValidation>
    <dataValidation type="list" allowBlank="1" showInputMessage="1" showErrorMessage="1" sqref="C652">
      <formula1>Country!A2:A1000</formula1>
    </dataValidation>
    <dataValidation type="list" allowBlank="1" showInputMessage="1" showErrorMessage="1" sqref="C653">
      <formula1>Country!A2:A1000</formula1>
    </dataValidation>
    <dataValidation type="list" allowBlank="1" showInputMessage="1" showErrorMessage="1" sqref="C654">
      <formula1>Country!A2:A1000</formula1>
    </dataValidation>
    <dataValidation type="list" allowBlank="1" showInputMessage="1" showErrorMessage="1" sqref="C655">
      <formula1>Country!A2:A1000</formula1>
    </dataValidation>
    <dataValidation type="list" allowBlank="1" showInputMessage="1" showErrorMessage="1" sqref="C656">
      <formula1>Country!A2:A1000</formula1>
    </dataValidation>
    <dataValidation type="list" allowBlank="1" showInputMessage="1" showErrorMessage="1" sqref="C657">
      <formula1>Country!A2:A1000</formula1>
    </dataValidation>
    <dataValidation type="list" allowBlank="1" showInputMessage="1" showErrorMessage="1" sqref="C658">
      <formula1>Country!A2:A1000</formula1>
    </dataValidation>
    <dataValidation type="list" allowBlank="1" showInputMessage="1" showErrorMessage="1" sqref="C659">
      <formula1>Country!A2:A1000</formula1>
    </dataValidation>
    <dataValidation type="list" allowBlank="1" showInputMessage="1" showErrorMessage="1" sqref="C660">
      <formula1>Country!A2:A1000</formula1>
    </dataValidation>
    <dataValidation type="list" allowBlank="1" showInputMessage="1" showErrorMessage="1" sqref="C661">
      <formula1>Country!A2:A1000</formula1>
    </dataValidation>
    <dataValidation type="list" allowBlank="1" showInputMessage="1" showErrorMessage="1" sqref="C662">
      <formula1>Country!A2:A1000</formula1>
    </dataValidation>
    <dataValidation type="list" allowBlank="1" showInputMessage="1" showErrorMessage="1" sqref="C663">
      <formula1>Country!A2:A1000</formula1>
    </dataValidation>
    <dataValidation type="list" allowBlank="1" showInputMessage="1" showErrorMessage="1" sqref="C664">
      <formula1>Country!A2:A1000</formula1>
    </dataValidation>
    <dataValidation type="list" allowBlank="1" showInputMessage="1" showErrorMessage="1" sqref="C665">
      <formula1>Country!A2:A1000</formula1>
    </dataValidation>
    <dataValidation type="list" allowBlank="1" showInputMessage="1" showErrorMessage="1" sqref="C666">
      <formula1>Country!A2:A1000</formula1>
    </dataValidation>
    <dataValidation type="list" allowBlank="1" showInputMessage="1" showErrorMessage="1" sqref="C667">
      <formula1>Country!A2:A1000</formula1>
    </dataValidation>
    <dataValidation type="list" allowBlank="1" showInputMessage="1" showErrorMessage="1" sqref="C668">
      <formula1>Country!A2:A1000</formula1>
    </dataValidation>
    <dataValidation type="list" allowBlank="1" showInputMessage="1" showErrorMessage="1" sqref="C669">
      <formula1>Country!A2:A1000</formula1>
    </dataValidation>
    <dataValidation type="list" allowBlank="1" showInputMessage="1" showErrorMessage="1" sqref="C670">
      <formula1>Country!A2:A1000</formula1>
    </dataValidation>
    <dataValidation type="list" allowBlank="1" showInputMessage="1" showErrorMessage="1" sqref="C671">
      <formula1>Country!A2:A1000</formula1>
    </dataValidation>
    <dataValidation type="list" allowBlank="1" showInputMessage="1" showErrorMessage="1" sqref="C672">
      <formula1>Country!A2:A1000</formula1>
    </dataValidation>
    <dataValidation type="list" allowBlank="1" showInputMessage="1" showErrorMessage="1" sqref="C673">
      <formula1>Country!A2:A1000</formula1>
    </dataValidation>
    <dataValidation type="list" allowBlank="1" showInputMessage="1" showErrorMessage="1" sqref="C674">
      <formula1>Country!A2:A1000</formula1>
    </dataValidation>
    <dataValidation type="list" allowBlank="1" showInputMessage="1" showErrorMessage="1" sqref="C675">
      <formula1>Country!A2:A1000</formula1>
    </dataValidation>
    <dataValidation type="list" allowBlank="1" showInputMessage="1" showErrorMessage="1" sqref="C676">
      <formula1>Country!A2:A1000</formula1>
    </dataValidation>
    <dataValidation type="list" allowBlank="1" showInputMessage="1" showErrorMessage="1" sqref="C677">
      <formula1>Country!A2:A1000</formula1>
    </dataValidation>
    <dataValidation type="list" allowBlank="1" showInputMessage="1" showErrorMessage="1" sqref="C678">
      <formula1>Country!A2:A1000</formula1>
    </dataValidation>
    <dataValidation type="list" allowBlank="1" showInputMessage="1" showErrorMessage="1" sqref="C679">
      <formula1>Country!A2:A1000</formula1>
    </dataValidation>
    <dataValidation type="list" allowBlank="1" showInputMessage="1" showErrorMessage="1" sqref="C680">
      <formula1>Country!A2:A1000</formula1>
    </dataValidation>
    <dataValidation type="list" allowBlank="1" showInputMessage="1" showErrorMessage="1" sqref="C681">
      <formula1>Country!A2:A1000</formula1>
    </dataValidation>
    <dataValidation type="list" allowBlank="1" showInputMessage="1" showErrorMessage="1" sqref="C682">
      <formula1>Country!A2:A1000</formula1>
    </dataValidation>
    <dataValidation type="list" allowBlank="1" showInputMessage="1" showErrorMessage="1" sqref="C683">
      <formula1>Country!A2:A1000</formula1>
    </dataValidation>
    <dataValidation type="list" allowBlank="1" showInputMessage="1" showErrorMessage="1" sqref="C684">
      <formula1>Country!A2:A1000</formula1>
    </dataValidation>
    <dataValidation type="list" allowBlank="1" showInputMessage="1" showErrorMessage="1" sqref="C685">
      <formula1>Country!A2:A1000</formula1>
    </dataValidation>
    <dataValidation type="list" allowBlank="1" showInputMessage="1" showErrorMessage="1" sqref="C686">
      <formula1>Country!A2:A1000</formula1>
    </dataValidation>
    <dataValidation type="list" allowBlank="1" showInputMessage="1" showErrorMessage="1" sqref="C687">
      <formula1>Country!A2:A1000</formula1>
    </dataValidation>
    <dataValidation type="list" allowBlank="1" showInputMessage="1" showErrorMessage="1" sqref="C688">
      <formula1>Country!A2:A1000</formula1>
    </dataValidation>
    <dataValidation type="list" allowBlank="1" showInputMessage="1" showErrorMessage="1" sqref="C689">
      <formula1>Country!A2:A1000</formula1>
    </dataValidation>
    <dataValidation type="list" allowBlank="1" showInputMessage="1" showErrorMessage="1" sqref="C690">
      <formula1>Country!A2:A1000</formula1>
    </dataValidation>
    <dataValidation type="list" allowBlank="1" showInputMessage="1" showErrorMessage="1" sqref="C691">
      <formula1>Country!A2:A1000</formula1>
    </dataValidation>
    <dataValidation type="list" allowBlank="1" showInputMessage="1" showErrorMessage="1" sqref="C692">
      <formula1>Country!A2:A1000</formula1>
    </dataValidation>
    <dataValidation type="list" allowBlank="1" showInputMessage="1" showErrorMessage="1" sqref="C693">
      <formula1>Country!A2:A1000</formula1>
    </dataValidation>
    <dataValidation type="list" allowBlank="1" showInputMessage="1" showErrorMessage="1" sqref="C694">
      <formula1>Country!A2:A1000</formula1>
    </dataValidation>
    <dataValidation type="list" allowBlank="1" showInputMessage="1" showErrorMessage="1" sqref="C695">
      <formula1>Country!A2:A1000</formula1>
    </dataValidation>
    <dataValidation type="list" allowBlank="1" showInputMessage="1" showErrorMessage="1" sqref="C696">
      <formula1>Country!A2:A1000</formula1>
    </dataValidation>
    <dataValidation type="list" allowBlank="1" showInputMessage="1" showErrorMessage="1" sqref="C697">
      <formula1>Country!A2:A1000</formula1>
    </dataValidation>
    <dataValidation type="list" allowBlank="1" showInputMessage="1" showErrorMessage="1" sqref="C698">
      <formula1>Country!A2:A1000</formula1>
    </dataValidation>
    <dataValidation type="list" allowBlank="1" showInputMessage="1" showErrorMessage="1" sqref="C699">
      <formula1>Country!A2:A1000</formula1>
    </dataValidation>
    <dataValidation type="list" allowBlank="1" showInputMessage="1" showErrorMessage="1" sqref="C700">
      <formula1>Country!A2:A1000</formula1>
    </dataValidation>
    <dataValidation type="list" allowBlank="1" showInputMessage="1" showErrorMessage="1" sqref="C701">
      <formula1>Country!A2:A1000</formula1>
    </dataValidation>
    <dataValidation type="list" allowBlank="1" showInputMessage="1" showErrorMessage="1" sqref="C702">
      <formula1>Country!A2:A1000</formula1>
    </dataValidation>
    <dataValidation type="list" allowBlank="1" showInputMessage="1" showErrorMessage="1" sqref="C703">
      <formula1>Country!A2:A1000</formula1>
    </dataValidation>
    <dataValidation type="list" allowBlank="1" showInputMessage="1" showErrorMessage="1" sqref="C704">
      <formula1>Country!A2:A1000</formula1>
    </dataValidation>
    <dataValidation type="list" allowBlank="1" showInputMessage="1" showErrorMessage="1" sqref="C705">
      <formula1>Country!A2:A1000</formula1>
    </dataValidation>
    <dataValidation type="list" allowBlank="1" showInputMessage="1" showErrorMessage="1" sqref="C706">
      <formula1>Country!A2:A1000</formula1>
    </dataValidation>
    <dataValidation type="list" allowBlank="1" showInputMessage="1" showErrorMessage="1" sqref="C707">
      <formula1>Country!A2:A1000</formula1>
    </dataValidation>
    <dataValidation type="list" allowBlank="1" showInputMessage="1" showErrorMessage="1" sqref="C708">
      <formula1>Country!A2:A1000</formula1>
    </dataValidation>
    <dataValidation type="list" allowBlank="1" showInputMessage="1" showErrorMessage="1" sqref="C709">
      <formula1>Country!A2:A1000</formula1>
    </dataValidation>
    <dataValidation type="list" allowBlank="1" showInputMessage="1" showErrorMessage="1" sqref="C710">
      <formula1>Country!A2:A1000</formula1>
    </dataValidation>
    <dataValidation type="list" allowBlank="1" showInputMessage="1" showErrorMessage="1" sqref="C711">
      <formula1>Country!A2:A1000</formula1>
    </dataValidation>
    <dataValidation type="list" allowBlank="1" showInputMessage="1" showErrorMessage="1" sqref="C712">
      <formula1>Country!A2:A1000</formula1>
    </dataValidation>
    <dataValidation type="list" allowBlank="1" showInputMessage="1" showErrorMessage="1" sqref="C713">
      <formula1>Country!A2:A1000</formula1>
    </dataValidation>
    <dataValidation type="list" allowBlank="1" showInputMessage="1" showErrorMessage="1" sqref="C714">
      <formula1>Country!A2:A1000</formula1>
    </dataValidation>
    <dataValidation type="list" allowBlank="1" showInputMessage="1" showErrorMessage="1" sqref="C715">
      <formula1>Country!A2:A1000</formula1>
    </dataValidation>
    <dataValidation type="list" allowBlank="1" showInputMessage="1" showErrorMessage="1" sqref="C716">
      <formula1>Country!A2:A1000</formula1>
    </dataValidation>
    <dataValidation type="list" allowBlank="1" showInputMessage="1" showErrorMessage="1" sqref="C717">
      <formula1>Country!A2:A1000</formula1>
    </dataValidation>
    <dataValidation type="list" allowBlank="1" showInputMessage="1" showErrorMessage="1" sqref="C718">
      <formula1>Country!A2:A1000</formula1>
    </dataValidation>
    <dataValidation type="list" allowBlank="1" showInputMessage="1" showErrorMessage="1" sqref="C719">
      <formula1>Country!A2:A1000</formula1>
    </dataValidation>
    <dataValidation type="list" allowBlank="1" showInputMessage="1" showErrorMessage="1" sqref="C720">
      <formula1>Country!A2:A1000</formula1>
    </dataValidation>
    <dataValidation type="list" allowBlank="1" showInputMessage="1" showErrorMessage="1" sqref="C721">
      <formula1>Country!A2:A1000</formula1>
    </dataValidation>
    <dataValidation type="list" allowBlank="1" showInputMessage="1" showErrorMessage="1" sqref="C722">
      <formula1>Country!A2:A1000</formula1>
    </dataValidation>
    <dataValidation type="list" allowBlank="1" showInputMessage="1" showErrorMessage="1" sqref="C723">
      <formula1>Country!A2:A1000</formula1>
    </dataValidation>
    <dataValidation type="list" allowBlank="1" showInputMessage="1" showErrorMessage="1" sqref="C724">
      <formula1>Country!A2:A1000</formula1>
    </dataValidation>
    <dataValidation type="list" allowBlank="1" showInputMessage="1" showErrorMessage="1" sqref="C725">
      <formula1>Country!A2:A1000</formula1>
    </dataValidation>
    <dataValidation type="list" allowBlank="1" showInputMessage="1" showErrorMessage="1" sqref="C726">
      <formula1>Country!A2:A1000</formula1>
    </dataValidation>
    <dataValidation type="list" allowBlank="1" showInputMessage="1" showErrorMessage="1" sqref="C727">
      <formula1>Country!A2:A1000</formula1>
    </dataValidation>
    <dataValidation type="list" allowBlank="1" showInputMessage="1" showErrorMessage="1" sqref="C728">
      <formula1>Country!A2:A1000</formula1>
    </dataValidation>
    <dataValidation type="list" allowBlank="1" showInputMessage="1" showErrorMessage="1" sqref="C729">
      <formula1>Country!A2:A1000</formula1>
    </dataValidation>
    <dataValidation type="list" allowBlank="1" showInputMessage="1" showErrorMessage="1" sqref="C730">
      <formula1>Country!A2:A1000</formula1>
    </dataValidation>
    <dataValidation type="list" allowBlank="1" showInputMessage="1" showErrorMessage="1" sqref="C731">
      <formula1>Country!A2:A1000</formula1>
    </dataValidation>
    <dataValidation type="list" allowBlank="1" showInputMessage="1" showErrorMessage="1" sqref="C732">
      <formula1>Country!A2:A1000</formula1>
    </dataValidation>
    <dataValidation type="list" allowBlank="1" showInputMessage="1" showErrorMessage="1" sqref="C733">
      <formula1>Country!A2:A1000</formula1>
    </dataValidation>
    <dataValidation type="list" allowBlank="1" showInputMessage="1" showErrorMessage="1" sqref="C734">
      <formula1>Country!A2:A1000</formula1>
    </dataValidation>
    <dataValidation type="list" allowBlank="1" showInputMessage="1" showErrorMessage="1" sqref="C735">
      <formula1>Country!A2:A1000</formula1>
    </dataValidation>
    <dataValidation type="list" allowBlank="1" showInputMessage="1" showErrorMessage="1" sqref="C736">
      <formula1>Country!A2:A1000</formula1>
    </dataValidation>
    <dataValidation type="list" allowBlank="1" showInputMessage="1" showErrorMessage="1" sqref="C737">
      <formula1>Country!A2:A1000</formula1>
    </dataValidation>
    <dataValidation type="list" allowBlank="1" showInputMessage="1" showErrorMessage="1" sqref="C738">
      <formula1>Country!A2:A1000</formula1>
    </dataValidation>
    <dataValidation type="list" allowBlank="1" showInputMessage="1" showErrorMessage="1" sqref="C739">
      <formula1>Country!A2:A1000</formula1>
    </dataValidation>
    <dataValidation type="list" allowBlank="1" showInputMessage="1" showErrorMessage="1" sqref="C740">
      <formula1>Country!A2:A1000</formula1>
    </dataValidation>
    <dataValidation type="list" allowBlank="1" showInputMessage="1" showErrorMessage="1" sqref="C741">
      <formula1>Country!A2:A1000</formula1>
    </dataValidation>
    <dataValidation type="list" allowBlank="1" showInputMessage="1" showErrorMessage="1" sqref="C742">
      <formula1>Country!A2:A1000</formula1>
    </dataValidation>
    <dataValidation type="list" allowBlank="1" showInputMessage="1" showErrorMessage="1" sqref="C743">
      <formula1>Country!A2:A1000</formula1>
    </dataValidation>
    <dataValidation type="list" allowBlank="1" showInputMessage="1" showErrorMessage="1" sqref="C744">
      <formula1>Country!A2:A1000</formula1>
    </dataValidation>
    <dataValidation type="list" allowBlank="1" showInputMessage="1" showErrorMessage="1" sqref="C745">
      <formula1>Country!A2:A1000</formula1>
    </dataValidation>
    <dataValidation type="list" allowBlank="1" showInputMessage="1" showErrorMessage="1" sqref="C746">
      <formula1>Country!A2:A1000</formula1>
    </dataValidation>
    <dataValidation type="list" allowBlank="1" showInputMessage="1" showErrorMessage="1" sqref="C747">
      <formula1>Country!A2:A1000</formula1>
    </dataValidation>
    <dataValidation type="list" allowBlank="1" showInputMessage="1" showErrorMessage="1" sqref="C748">
      <formula1>Country!A2:A1000</formula1>
    </dataValidation>
    <dataValidation type="list" allowBlank="1" showInputMessage="1" showErrorMessage="1" sqref="C749">
      <formula1>Country!A2:A1000</formula1>
    </dataValidation>
    <dataValidation type="list" allowBlank="1" showInputMessage="1" showErrorMessage="1" sqref="C750">
      <formula1>Country!A2:A1000</formula1>
    </dataValidation>
    <dataValidation type="list" allowBlank="1" showInputMessage="1" showErrorMessage="1" sqref="C751">
      <formula1>Country!A2:A1000</formula1>
    </dataValidation>
    <dataValidation type="list" allowBlank="1" showInputMessage="1" showErrorMessage="1" sqref="C752">
      <formula1>Country!A2:A1000</formula1>
    </dataValidation>
    <dataValidation type="list" allowBlank="1" showInputMessage="1" showErrorMessage="1" sqref="C753">
      <formula1>Country!A2:A1000</formula1>
    </dataValidation>
    <dataValidation type="list" allowBlank="1" showInputMessage="1" showErrorMessage="1" sqref="C754">
      <formula1>Country!A2:A1000</formula1>
    </dataValidation>
    <dataValidation type="list" allowBlank="1" showInputMessage="1" showErrorMessage="1" sqref="C755">
      <formula1>Country!A2:A1000</formula1>
    </dataValidation>
    <dataValidation type="list" allowBlank="1" showInputMessage="1" showErrorMessage="1" sqref="C756">
      <formula1>Country!A2:A1000</formula1>
    </dataValidation>
    <dataValidation type="list" allowBlank="1" showInputMessage="1" showErrorMessage="1" sqref="C757">
      <formula1>Country!A2:A1000</formula1>
    </dataValidation>
    <dataValidation type="list" allowBlank="1" showInputMessage="1" showErrorMessage="1" sqref="C758">
      <formula1>Country!A2:A1000</formula1>
    </dataValidation>
    <dataValidation type="list" allowBlank="1" showInputMessage="1" showErrorMessage="1" sqref="C759">
      <formula1>Country!A2:A1000</formula1>
    </dataValidation>
    <dataValidation type="list" allowBlank="1" showInputMessage="1" showErrorMessage="1" sqref="C760">
      <formula1>Country!A2:A1000</formula1>
    </dataValidation>
    <dataValidation type="list" allowBlank="1" showInputMessage="1" showErrorMessage="1" sqref="C761">
      <formula1>Country!A2:A1000</formula1>
    </dataValidation>
    <dataValidation type="list" allowBlank="1" showInputMessage="1" showErrorMessage="1" sqref="C762">
      <formula1>Country!A2:A1000</formula1>
    </dataValidation>
    <dataValidation type="list" allowBlank="1" showInputMessage="1" showErrorMessage="1" sqref="C763">
      <formula1>Country!A2:A1000</formula1>
    </dataValidation>
    <dataValidation type="list" allowBlank="1" showInputMessage="1" showErrorMessage="1" sqref="C764">
      <formula1>Country!A2:A1000</formula1>
    </dataValidation>
    <dataValidation type="list" allowBlank="1" showInputMessage="1" showErrorMessage="1" sqref="C765">
      <formula1>Country!A2:A1000</formula1>
    </dataValidation>
    <dataValidation type="list" allowBlank="1" showInputMessage="1" showErrorMessage="1" sqref="C766">
      <formula1>Country!A2:A1000</formula1>
    </dataValidation>
    <dataValidation type="list" allowBlank="1" showInputMessage="1" showErrorMessage="1" sqref="C767">
      <formula1>Country!A2:A1000</formula1>
    </dataValidation>
    <dataValidation type="list" allowBlank="1" showInputMessage="1" showErrorMessage="1" sqref="C768">
      <formula1>Country!A2:A1000</formula1>
    </dataValidation>
    <dataValidation type="list" allowBlank="1" showInputMessage="1" showErrorMessage="1" sqref="C769">
      <formula1>Country!A2:A1000</formula1>
    </dataValidation>
    <dataValidation type="list" allowBlank="1" showInputMessage="1" showErrorMessage="1" sqref="C770">
      <formula1>Country!A2:A1000</formula1>
    </dataValidation>
    <dataValidation type="list" allowBlank="1" showInputMessage="1" showErrorMessage="1" sqref="C771">
      <formula1>Country!A2:A1000</formula1>
    </dataValidation>
    <dataValidation type="list" allowBlank="1" showInputMessage="1" showErrorMessage="1" sqref="C772">
      <formula1>Country!A2:A1000</formula1>
    </dataValidation>
    <dataValidation type="list" allowBlank="1" showInputMessage="1" showErrorMessage="1" sqref="C773">
      <formula1>Country!A2:A1000</formula1>
    </dataValidation>
    <dataValidation type="list" allowBlank="1" showInputMessage="1" showErrorMessage="1" sqref="C774">
      <formula1>Country!A2:A1000</formula1>
    </dataValidation>
    <dataValidation type="list" allowBlank="1" showInputMessage="1" showErrorMessage="1" sqref="C775">
      <formula1>Country!A2:A1000</formula1>
    </dataValidation>
    <dataValidation type="list" allowBlank="1" showInputMessage="1" showErrorMessage="1" sqref="C776">
      <formula1>Country!A2:A1000</formula1>
    </dataValidation>
    <dataValidation type="list" allowBlank="1" showInputMessage="1" showErrorMessage="1" sqref="C777">
      <formula1>Country!A2:A1000</formula1>
    </dataValidation>
    <dataValidation type="list" allowBlank="1" showInputMessage="1" showErrorMessage="1" sqref="C778">
      <formula1>Country!A2:A1000</formula1>
    </dataValidation>
    <dataValidation type="list" allowBlank="1" showInputMessage="1" showErrorMessage="1" sqref="C779">
      <formula1>Country!A2:A1000</formula1>
    </dataValidation>
    <dataValidation type="list" allowBlank="1" showInputMessage="1" showErrorMessage="1" sqref="C780">
      <formula1>Country!A2:A1000</formula1>
    </dataValidation>
    <dataValidation type="list" allowBlank="1" showInputMessage="1" showErrorMessage="1" sqref="C781">
      <formula1>Country!A2:A1000</formula1>
    </dataValidation>
    <dataValidation type="list" allowBlank="1" showInputMessage="1" showErrorMessage="1" sqref="C782">
      <formula1>Country!A2:A1000</formula1>
    </dataValidation>
    <dataValidation type="list" allowBlank="1" showInputMessage="1" showErrorMessage="1" sqref="C783">
      <formula1>Country!A2:A1000</formula1>
    </dataValidation>
    <dataValidation type="list" allowBlank="1" showInputMessage="1" showErrorMessage="1" sqref="C784">
      <formula1>Country!A2:A1000</formula1>
    </dataValidation>
    <dataValidation type="list" allowBlank="1" showInputMessage="1" showErrorMessage="1" sqref="C785">
      <formula1>Country!A2:A1000</formula1>
    </dataValidation>
    <dataValidation type="list" allowBlank="1" showInputMessage="1" showErrorMessage="1" sqref="C786">
      <formula1>Country!A2:A1000</formula1>
    </dataValidation>
    <dataValidation type="list" allowBlank="1" showInputMessage="1" showErrorMessage="1" sqref="C787">
      <formula1>Country!A2:A1000</formula1>
    </dataValidation>
    <dataValidation type="list" allowBlank="1" showInputMessage="1" showErrorMessage="1" sqref="C788">
      <formula1>Country!A2:A1000</formula1>
    </dataValidation>
    <dataValidation type="list" allowBlank="1" showInputMessage="1" showErrorMessage="1" sqref="C789">
      <formula1>Country!A2:A1000</formula1>
    </dataValidation>
    <dataValidation type="list" allowBlank="1" showInputMessage="1" showErrorMessage="1" sqref="C790">
      <formula1>Country!A2:A1000</formula1>
    </dataValidation>
    <dataValidation type="list" allowBlank="1" showInputMessage="1" showErrorMessage="1" sqref="C791">
      <formula1>Country!A2:A1000</formula1>
    </dataValidation>
    <dataValidation type="list" allowBlank="1" showInputMessage="1" showErrorMessage="1" sqref="C792">
      <formula1>Country!A2:A1000</formula1>
    </dataValidation>
    <dataValidation type="list" allowBlank="1" showInputMessage="1" showErrorMessage="1" sqref="C793">
      <formula1>Country!A2:A1000</formula1>
    </dataValidation>
    <dataValidation type="list" allowBlank="1" showInputMessage="1" showErrorMessage="1" sqref="C794">
      <formula1>Country!A2:A1000</formula1>
    </dataValidation>
    <dataValidation type="list" allowBlank="1" showInputMessage="1" showErrorMessage="1" sqref="C795">
      <formula1>Country!A2:A1000</formula1>
    </dataValidation>
    <dataValidation type="list" allowBlank="1" showInputMessage="1" showErrorMessage="1" sqref="C796">
      <formula1>Country!A2:A1000</formula1>
    </dataValidation>
    <dataValidation type="list" allowBlank="1" showInputMessage="1" showErrorMessage="1" sqref="C797">
      <formula1>Country!A2:A1000</formula1>
    </dataValidation>
    <dataValidation type="list" allowBlank="1" showInputMessage="1" showErrorMessage="1" sqref="C798">
      <formula1>Country!A2:A1000</formula1>
    </dataValidation>
    <dataValidation type="list" allowBlank="1" showInputMessage="1" showErrorMessage="1" sqref="C799">
      <formula1>Country!A2:A1000</formula1>
    </dataValidation>
    <dataValidation type="list" allowBlank="1" showInputMessage="1" showErrorMessage="1" sqref="C800">
      <formula1>Country!A2:A1000</formula1>
    </dataValidation>
    <dataValidation type="list" allowBlank="1" showInputMessage="1" showErrorMessage="1" sqref="C801">
      <formula1>Country!A2:A1000</formula1>
    </dataValidation>
    <dataValidation type="list" allowBlank="1" showInputMessage="1" showErrorMessage="1" sqref="C802">
      <formula1>Country!A2:A1000</formula1>
    </dataValidation>
    <dataValidation type="list" allowBlank="1" showInputMessage="1" showErrorMessage="1" sqref="C803">
      <formula1>Country!A2:A1000</formula1>
    </dataValidation>
    <dataValidation type="list" allowBlank="1" showInputMessage="1" showErrorMessage="1" sqref="C804">
      <formula1>Country!A2:A1000</formula1>
    </dataValidation>
    <dataValidation type="list" allowBlank="1" showInputMessage="1" showErrorMessage="1" sqref="C805">
      <formula1>Country!A2:A1000</formula1>
    </dataValidation>
    <dataValidation type="list" allowBlank="1" showInputMessage="1" showErrorMessage="1" sqref="C806">
      <formula1>Country!A2:A1000</formula1>
    </dataValidation>
    <dataValidation type="list" allowBlank="1" showInputMessage="1" showErrorMessage="1" sqref="C807">
      <formula1>Country!A2:A1000</formula1>
    </dataValidation>
    <dataValidation type="list" allowBlank="1" showInputMessage="1" showErrorMessage="1" sqref="C808">
      <formula1>Country!A2:A1000</formula1>
    </dataValidation>
    <dataValidation type="list" allowBlank="1" showInputMessage="1" showErrorMessage="1" sqref="C809">
      <formula1>Country!A2:A1000</formula1>
    </dataValidation>
    <dataValidation type="list" allowBlank="1" showInputMessage="1" showErrorMessage="1" sqref="C810">
      <formula1>Country!A2:A1000</formula1>
    </dataValidation>
    <dataValidation type="list" allowBlank="1" showInputMessage="1" showErrorMessage="1" sqref="C811">
      <formula1>Country!A2:A1000</formula1>
    </dataValidation>
    <dataValidation type="list" allowBlank="1" showInputMessage="1" showErrorMessage="1" sqref="C812">
      <formula1>Country!A2:A1000</formula1>
    </dataValidation>
    <dataValidation type="list" allowBlank="1" showInputMessage="1" showErrorMessage="1" sqref="C813">
      <formula1>Country!A2:A1000</formula1>
    </dataValidation>
    <dataValidation type="list" allowBlank="1" showInputMessage="1" showErrorMessage="1" sqref="C814">
      <formula1>Country!A2:A1000</formula1>
    </dataValidation>
    <dataValidation type="list" allowBlank="1" showInputMessage="1" showErrorMessage="1" sqref="C815">
      <formula1>Country!A2:A1000</formula1>
    </dataValidation>
    <dataValidation type="list" allowBlank="1" showInputMessage="1" showErrorMessage="1" sqref="C816">
      <formula1>Country!A2:A1000</formula1>
    </dataValidation>
    <dataValidation type="list" allowBlank="1" showInputMessage="1" showErrorMessage="1" sqref="C817">
      <formula1>Country!A2:A1000</formula1>
    </dataValidation>
    <dataValidation type="list" allowBlank="1" showInputMessage="1" showErrorMessage="1" sqref="C818">
      <formula1>Country!A2:A1000</formula1>
    </dataValidation>
    <dataValidation type="list" allowBlank="1" showInputMessage="1" showErrorMessage="1" sqref="C819">
      <formula1>Country!A2:A1000</formula1>
    </dataValidation>
    <dataValidation type="list" allowBlank="1" showInputMessage="1" showErrorMessage="1" sqref="C820">
      <formula1>Country!A2:A1000</formula1>
    </dataValidation>
    <dataValidation type="list" allowBlank="1" showInputMessage="1" showErrorMessage="1" sqref="C821">
      <formula1>Country!A2:A1000</formula1>
    </dataValidation>
    <dataValidation type="list" allowBlank="1" showInputMessage="1" showErrorMessage="1" sqref="C822">
      <formula1>Country!A2:A1000</formula1>
    </dataValidation>
    <dataValidation type="list" allowBlank="1" showInputMessage="1" showErrorMessage="1" sqref="C823">
      <formula1>Country!A2:A1000</formula1>
    </dataValidation>
    <dataValidation type="list" allowBlank="1" showInputMessage="1" showErrorMessage="1" sqref="C824">
      <formula1>Country!A2:A1000</formula1>
    </dataValidation>
    <dataValidation type="list" allowBlank="1" showInputMessage="1" showErrorMessage="1" sqref="C825">
      <formula1>Country!A2:A1000</formula1>
    </dataValidation>
    <dataValidation type="list" allowBlank="1" showInputMessage="1" showErrorMessage="1" sqref="C826">
      <formula1>Country!A2:A1000</formula1>
    </dataValidation>
    <dataValidation type="list" allowBlank="1" showInputMessage="1" showErrorMessage="1" sqref="C827">
      <formula1>Country!A2:A1000</formula1>
    </dataValidation>
    <dataValidation type="list" allowBlank="1" showInputMessage="1" showErrorMessage="1" sqref="C828">
      <formula1>Country!A2:A1000</formula1>
    </dataValidation>
    <dataValidation type="list" allowBlank="1" showInputMessage="1" showErrorMessage="1" sqref="C829">
      <formula1>Country!A2:A1000</formula1>
    </dataValidation>
    <dataValidation type="list" allowBlank="1" showInputMessage="1" showErrorMessage="1" sqref="C830">
      <formula1>Country!A2:A1000</formula1>
    </dataValidation>
    <dataValidation type="list" allowBlank="1" showInputMessage="1" showErrorMessage="1" sqref="C831">
      <formula1>Country!A2:A1000</formula1>
    </dataValidation>
    <dataValidation type="list" allowBlank="1" showInputMessage="1" showErrorMessage="1" sqref="C832">
      <formula1>Country!A2:A1000</formula1>
    </dataValidation>
    <dataValidation type="list" allowBlank="1" showInputMessage="1" showErrorMessage="1" sqref="C833">
      <formula1>Country!A2:A1000</formula1>
    </dataValidation>
    <dataValidation type="list" allowBlank="1" showInputMessage="1" showErrorMessage="1" sqref="C834">
      <formula1>Country!A2:A1000</formula1>
    </dataValidation>
    <dataValidation type="list" allowBlank="1" showInputMessage="1" showErrorMessage="1" sqref="C835">
      <formula1>Country!A2:A1000</formula1>
    </dataValidation>
    <dataValidation type="list" allowBlank="1" showInputMessage="1" showErrorMessage="1" sqref="C836">
      <formula1>Country!A2:A1000</formula1>
    </dataValidation>
    <dataValidation type="list" allowBlank="1" showInputMessage="1" showErrorMessage="1" sqref="C837">
      <formula1>Country!A2:A1000</formula1>
    </dataValidation>
    <dataValidation type="list" allowBlank="1" showInputMessage="1" showErrorMessage="1" sqref="C838">
      <formula1>Country!A2:A1000</formula1>
    </dataValidation>
    <dataValidation type="list" allowBlank="1" showInputMessage="1" showErrorMessage="1" sqref="C839">
      <formula1>Country!A2:A1000</formula1>
    </dataValidation>
    <dataValidation type="list" allowBlank="1" showInputMessage="1" showErrorMessage="1" sqref="C840">
      <formula1>Country!A2:A1000</formula1>
    </dataValidation>
    <dataValidation type="list" allowBlank="1" showInputMessage="1" showErrorMessage="1" sqref="C841">
      <formula1>Country!A2:A1000</formula1>
    </dataValidation>
    <dataValidation type="list" allowBlank="1" showInputMessage="1" showErrorMessage="1" sqref="C842">
      <formula1>Country!A2:A1000</formula1>
    </dataValidation>
    <dataValidation type="list" allowBlank="1" showInputMessage="1" showErrorMessage="1" sqref="C843">
      <formula1>Country!A2:A1000</formula1>
    </dataValidation>
    <dataValidation type="list" allowBlank="1" showInputMessage="1" showErrorMessage="1" sqref="C844">
      <formula1>Country!A2:A1000</formula1>
    </dataValidation>
    <dataValidation type="list" allowBlank="1" showInputMessage="1" showErrorMessage="1" sqref="C845">
      <formula1>Country!A2:A1000</formula1>
    </dataValidation>
    <dataValidation type="list" allowBlank="1" showInputMessage="1" showErrorMessage="1" sqref="C846">
      <formula1>Country!A2:A1000</formula1>
    </dataValidation>
    <dataValidation type="list" allowBlank="1" showInputMessage="1" showErrorMessage="1" sqref="C847">
      <formula1>Country!A2:A1000</formula1>
    </dataValidation>
    <dataValidation type="list" allowBlank="1" showInputMessage="1" showErrorMessage="1" sqref="C848">
      <formula1>Country!A2:A1000</formula1>
    </dataValidation>
    <dataValidation type="list" allowBlank="1" showInputMessage="1" showErrorMessage="1" sqref="C849">
      <formula1>Country!A2:A1000</formula1>
    </dataValidation>
    <dataValidation type="list" allowBlank="1" showInputMessage="1" showErrorMessage="1" sqref="C850">
      <formula1>Country!A2:A1000</formula1>
    </dataValidation>
    <dataValidation type="list" allowBlank="1" showInputMessage="1" showErrorMessage="1" sqref="C851">
      <formula1>Country!A2:A1000</formula1>
    </dataValidation>
    <dataValidation type="list" allowBlank="1" showInputMessage="1" showErrorMessage="1" sqref="C852">
      <formula1>Country!A2:A1000</formula1>
    </dataValidation>
    <dataValidation type="list" allowBlank="1" showInputMessage="1" showErrorMessage="1" sqref="C853">
      <formula1>Country!A2:A1000</formula1>
    </dataValidation>
    <dataValidation type="list" allowBlank="1" showInputMessage="1" showErrorMessage="1" sqref="C854">
      <formula1>Country!A2:A1000</formula1>
    </dataValidation>
    <dataValidation type="list" allowBlank="1" showInputMessage="1" showErrorMessage="1" sqref="C855">
      <formula1>Country!A2:A1000</formula1>
    </dataValidation>
    <dataValidation type="list" allowBlank="1" showInputMessage="1" showErrorMessage="1" sqref="C856">
      <formula1>Country!A2:A1000</formula1>
    </dataValidation>
    <dataValidation type="list" allowBlank="1" showInputMessage="1" showErrorMessage="1" sqref="C857">
      <formula1>Country!A2:A1000</formula1>
    </dataValidation>
    <dataValidation type="list" allowBlank="1" showInputMessage="1" showErrorMessage="1" sqref="C858">
      <formula1>Country!A2:A1000</formula1>
    </dataValidation>
    <dataValidation type="list" allowBlank="1" showInputMessage="1" showErrorMessage="1" sqref="C859">
      <formula1>Country!A2:A1000</formula1>
    </dataValidation>
    <dataValidation type="list" allowBlank="1" showInputMessage="1" showErrorMessage="1" sqref="C860">
      <formula1>Country!A2:A1000</formula1>
    </dataValidation>
    <dataValidation type="list" allowBlank="1" showInputMessage="1" showErrorMessage="1" sqref="C861">
      <formula1>Country!A2:A1000</formula1>
    </dataValidation>
    <dataValidation type="list" allowBlank="1" showInputMessage="1" showErrorMessage="1" sqref="C862">
      <formula1>Country!A2:A1000</formula1>
    </dataValidation>
    <dataValidation type="list" allowBlank="1" showInputMessage="1" showErrorMessage="1" sqref="C863">
      <formula1>Country!A2:A1000</formula1>
    </dataValidation>
    <dataValidation type="list" allowBlank="1" showInputMessage="1" showErrorMessage="1" sqref="C864">
      <formula1>Country!A2:A1000</formula1>
    </dataValidation>
    <dataValidation type="list" allowBlank="1" showInputMessage="1" showErrorMessage="1" sqref="C865">
      <formula1>Country!A2:A1000</formula1>
    </dataValidation>
    <dataValidation type="list" allowBlank="1" showInputMessage="1" showErrorMessage="1" sqref="C866">
      <formula1>Country!A2:A1000</formula1>
    </dataValidation>
    <dataValidation type="list" allowBlank="1" showInputMessage="1" showErrorMessage="1" sqref="C867">
      <formula1>Country!A2:A1000</formula1>
    </dataValidation>
    <dataValidation type="list" allowBlank="1" showInputMessage="1" showErrorMessage="1" sqref="C868">
      <formula1>Country!A2:A1000</formula1>
    </dataValidation>
    <dataValidation type="list" allowBlank="1" showInputMessage="1" showErrorMessage="1" sqref="C869">
      <formula1>Country!A2:A1000</formula1>
    </dataValidation>
    <dataValidation type="list" allowBlank="1" showInputMessage="1" showErrorMessage="1" sqref="C870">
      <formula1>Country!A2:A1000</formula1>
    </dataValidation>
    <dataValidation type="list" allowBlank="1" showInputMessage="1" showErrorMessage="1" sqref="C871">
      <formula1>Country!A2:A1000</formula1>
    </dataValidation>
    <dataValidation type="list" allowBlank="1" showInputMessage="1" showErrorMessage="1" sqref="C872">
      <formula1>Country!A2:A1000</formula1>
    </dataValidation>
    <dataValidation type="list" allowBlank="1" showInputMessage="1" showErrorMessage="1" sqref="C873">
      <formula1>Country!A2:A1000</formula1>
    </dataValidation>
    <dataValidation type="list" allowBlank="1" showInputMessage="1" showErrorMessage="1" sqref="C874">
      <formula1>Country!A2:A1000</formula1>
    </dataValidation>
    <dataValidation type="list" allowBlank="1" showInputMessage="1" showErrorMessage="1" sqref="C875">
      <formula1>Country!A2:A1000</formula1>
    </dataValidation>
    <dataValidation type="list" allowBlank="1" showInputMessage="1" showErrorMessage="1" sqref="C876">
      <formula1>Country!A2:A1000</formula1>
    </dataValidation>
    <dataValidation type="list" allowBlank="1" showInputMessage="1" showErrorMessage="1" sqref="C877">
      <formula1>Country!A2:A1000</formula1>
    </dataValidation>
    <dataValidation type="list" allowBlank="1" showInputMessage="1" showErrorMessage="1" sqref="C878">
      <formula1>Country!A2:A1000</formula1>
    </dataValidation>
    <dataValidation type="list" allowBlank="1" showInputMessage="1" showErrorMessage="1" sqref="C879">
      <formula1>Country!A2:A1000</formula1>
    </dataValidation>
    <dataValidation type="list" allowBlank="1" showInputMessage="1" showErrorMessage="1" sqref="C880">
      <formula1>Country!A2:A1000</formula1>
    </dataValidation>
    <dataValidation type="list" allowBlank="1" showInputMessage="1" showErrorMessage="1" sqref="C881">
      <formula1>Country!A2:A1000</formula1>
    </dataValidation>
    <dataValidation type="list" allowBlank="1" showInputMessage="1" showErrorMessage="1" sqref="C882">
      <formula1>Country!A2:A1000</formula1>
    </dataValidation>
    <dataValidation type="list" allowBlank="1" showInputMessage="1" showErrorMessage="1" sqref="C883">
      <formula1>Country!A2:A1000</formula1>
    </dataValidation>
    <dataValidation type="list" allowBlank="1" showInputMessage="1" showErrorMessage="1" sqref="C884">
      <formula1>Country!A2:A1000</formula1>
    </dataValidation>
    <dataValidation type="list" allowBlank="1" showInputMessage="1" showErrorMessage="1" sqref="C885">
      <formula1>Country!A2:A1000</formula1>
    </dataValidation>
    <dataValidation type="list" allowBlank="1" showInputMessage="1" showErrorMessage="1" sqref="C886">
      <formula1>Country!A2:A1000</formula1>
    </dataValidation>
    <dataValidation type="list" allowBlank="1" showInputMessage="1" showErrorMessage="1" sqref="C887">
      <formula1>Country!A2:A1000</formula1>
    </dataValidation>
    <dataValidation type="list" allowBlank="1" showInputMessage="1" showErrorMessage="1" sqref="C888">
      <formula1>Country!A2:A1000</formula1>
    </dataValidation>
    <dataValidation type="list" allowBlank="1" showInputMessage="1" showErrorMessage="1" sqref="C889">
      <formula1>Country!A2:A1000</formula1>
    </dataValidation>
    <dataValidation type="list" allowBlank="1" showInputMessage="1" showErrorMessage="1" sqref="C890">
      <formula1>Country!A2:A1000</formula1>
    </dataValidation>
    <dataValidation type="list" allowBlank="1" showInputMessage="1" showErrorMessage="1" sqref="C891">
      <formula1>Country!A2:A1000</formula1>
    </dataValidation>
    <dataValidation type="list" allowBlank="1" showInputMessage="1" showErrorMessage="1" sqref="C892">
      <formula1>Country!A2:A1000</formula1>
    </dataValidation>
    <dataValidation type="list" allowBlank="1" showInputMessage="1" showErrorMessage="1" sqref="C893">
      <formula1>Country!A2:A1000</formula1>
    </dataValidation>
    <dataValidation type="list" allowBlank="1" showInputMessage="1" showErrorMessage="1" sqref="C894">
      <formula1>Country!A2:A1000</formula1>
    </dataValidation>
    <dataValidation type="list" allowBlank="1" showInputMessage="1" showErrorMessage="1" sqref="C895">
      <formula1>Country!A2:A1000</formula1>
    </dataValidation>
    <dataValidation type="list" allowBlank="1" showInputMessage="1" showErrorMessage="1" sqref="C896">
      <formula1>Country!A2:A1000</formula1>
    </dataValidation>
    <dataValidation type="list" allowBlank="1" showInputMessage="1" showErrorMessage="1" sqref="C897">
      <formula1>Country!A2:A1000</formula1>
    </dataValidation>
    <dataValidation type="list" allowBlank="1" showInputMessage="1" showErrorMessage="1" sqref="C898">
      <formula1>Country!A2:A1000</formula1>
    </dataValidation>
    <dataValidation type="list" allowBlank="1" showInputMessage="1" showErrorMessage="1" sqref="C899">
      <formula1>Country!A2:A1000</formula1>
    </dataValidation>
    <dataValidation type="list" allowBlank="1" showInputMessage="1" showErrorMessage="1" sqref="C900">
      <formula1>Country!A2:A1000</formula1>
    </dataValidation>
    <dataValidation type="list" allowBlank="1" showInputMessage="1" showErrorMessage="1" sqref="C901">
      <formula1>Country!A2:A1000</formula1>
    </dataValidation>
    <dataValidation type="list" allowBlank="1" showInputMessage="1" showErrorMessage="1" sqref="C902">
      <formula1>Country!A2:A1000</formula1>
    </dataValidation>
    <dataValidation type="list" allowBlank="1" showInputMessage="1" showErrorMessage="1" sqref="C903">
      <formula1>Country!A2:A1000</formula1>
    </dataValidation>
    <dataValidation type="list" allowBlank="1" showInputMessage="1" showErrorMessage="1" sqref="C904">
      <formula1>Country!A2:A1000</formula1>
    </dataValidation>
    <dataValidation type="list" allowBlank="1" showInputMessage="1" showErrorMessage="1" sqref="C905">
      <formula1>Country!A2:A1000</formula1>
    </dataValidation>
    <dataValidation type="list" allowBlank="1" showInputMessage="1" showErrorMessage="1" sqref="C906">
      <formula1>Country!A2:A1000</formula1>
    </dataValidation>
    <dataValidation type="list" allowBlank="1" showInputMessage="1" showErrorMessage="1" sqref="C907">
      <formula1>Country!A2:A1000</formula1>
    </dataValidation>
    <dataValidation type="list" allowBlank="1" showInputMessage="1" showErrorMessage="1" sqref="C908">
      <formula1>Country!A2:A1000</formula1>
    </dataValidation>
    <dataValidation type="list" allowBlank="1" showInputMessage="1" showErrorMessage="1" sqref="C909">
      <formula1>Country!A2:A1000</formula1>
    </dataValidation>
    <dataValidation type="list" allowBlank="1" showInputMessage="1" showErrorMessage="1" sqref="C910">
      <formula1>Country!A2:A1000</formula1>
    </dataValidation>
    <dataValidation type="list" allowBlank="1" showInputMessage="1" showErrorMessage="1" sqref="C911">
      <formula1>Country!A2:A1000</formula1>
    </dataValidation>
    <dataValidation type="list" allowBlank="1" showInputMessage="1" showErrorMessage="1" sqref="C912">
      <formula1>Country!A2:A1000</formula1>
    </dataValidation>
    <dataValidation type="list" allowBlank="1" showInputMessage="1" showErrorMessage="1" sqref="C913">
      <formula1>Country!A2:A1000</formula1>
    </dataValidation>
    <dataValidation type="list" allowBlank="1" showInputMessage="1" showErrorMessage="1" sqref="C914">
      <formula1>Country!A2:A1000</formula1>
    </dataValidation>
    <dataValidation type="list" allowBlank="1" showInputMessage="1" showErrorMessage="1" sqref="C915">
      <formula1>Country!A2:A1000</formula1>
    </dataValidation>
    <dataValidation type="list" allowBlank="1" showInputMessage="1" showErrorMessage="1" sqref="C916">
      <formula1>Country!A2:A1000</formula1>
    </dataValidation>
    <dataValidation type="list" allowBlank="1" showInputMessage="1" showErrorMessage="1" sqref="C917">
      <formula1>Country!A2:A1000</formula1>
    </dataValidation>
    <dataValidation type="list" allowBlank="1" showInputMessage="1" showErrorMessage="1" sqref="C918">
      <formula1>Country!A2:A1000</formula1>
    </dataValidation>
    <dataValidation type="list" allowBlank="1" showInputMessage="1" showErrorMessage="1" sqref="C919">
      <formula1>Country!A2:A1000</formula1>
    </dataValidation>
    <dataValidation type="list" allowBlank="1" showInputMessage="1" showErrorMessage="1" sqref="C920">
      <formula1>Country!A2:A1000</formula1>
    </dataValidation>
    <dataValidation type="list" allowBlank="1" showInputMessage="1" showErrorMessage="1" sqref="C921">
      <formula1>Country!A2:A1000</formula1>
    </dataValidation>
    <dataValidation type="list" allowBlank="1" showInputMessage="1" showErrorMessage="1" sqref="C922">
      <formula1>Country!A2:A1000</formula1>
    </dataValidation>
    <dataValidation type="list" allowBlank="1" showInputMessage="1" showErrorMessage="1" sqref="C923">
      <formula1>Country!A2:A1000</formula1>
    </dataValidation>
    <dataValidation type="list" allowBlank="1" showInputMessage="1" showErrorMessage="1" sqref="C924">
      <formula1>Country!A2:A1000</formula1>
    </dataValidation>
    <dataValidation type="list" allowBlank="1" showInputMessage="1" showErrorMessage="1" sqref="C925">
      <formula1>Country!A2:A1000</formula1>
    </dataValidation>
    <dataValidation type="list" allowBlank="1" showInputMessage="1" showErrorMessage="1" sqref="C926">
      <formula1>Country!A2:A1000</formula1>
    </dataValidation>
    <dataValidation type="list" allowBlank="1" showInputMessage="1" showErrorMessage="1" sqref="C927">
      <formula1>Country!A2:A1000</formula1>
    </dataValidation>
    <dataValidation type="list" allowBlank="1" showInputMessage="1" showErrorMessage="1" sqref="C928">
      <formula1>Country!A2:A1000</formula1>
    </dataValidation>
    <dataValidation type="list" allowBlank="1" showInputMessage="1" showErrorMessage="1" sqref="C929">
      <formula1>Country!A2:A1000</formula1>
    </dataValidation>
    <dataValidation type="list" allowBlank="1" showInputMessage="1" showErrorMessage="1" sqref="C930">
      <formula1>Country!A2:A1000</formula1>
    </dataValidation>
    <dataValidation type="list" allowBlank="1" showInputMessage="1" showErrorMessage="1" sqref="C931">
      <formula1>Country!A2:A1000</formula1>
    </dataValidation>
    <dataValidation type="list" allowBlank="1" showInputMessage="1" showErrorMessage="1" sqref="C932">
      <formula1>Country!A2:A1000</formula1>
    </dataValidation>
    <dataValidation type="list" allowBlank="1" showInputMessage="1" showErrorMessage="1" sqref="C933">
      <formula1>Country!A2:A1000</formula1>
    </dataValidation>
    <dataValidation type="list" allowBlank="1" showInputMessage="1" showErrorMessage="1" sqref="C934">
      <formula1>Country!A2:A1000</formula1>
    </dataValidation>
    <dataValidation type="list" allowBlank="1" showInputMessage="1" showErrorMessage="1" sqref="C935">
      <formula1>Country!A2:A1000</formula1>
    </dataValidation>
    <dataValidation type="list" allowBlank="1" showInputMessage="1" showErrorMessage="1" sqref="C936">
      <formula1>Country!A2:A1000</formula1>
    </dataValidation>
    <dataValidation type="list" allowBlank="1" showInputMessage="1" showErrorMessage="1" sqref="C937">
      <formula1>Country!A2:A1000</formula1>
    </dataValidation>
    <dataValidation type="list" allowBlank="1" showInputMessage="1" showErrorMessage="1" sqref="C938">
      <formula1>Country!A2:A1000</formula1>
    </dataValidation>
    <dataValidation type="list" allowBlank="1" showInputMessage="1" showErrorMessage="1" sqref="C939">
      <formula1>Country!A2:A1000</formula1>
    </dataValidation>
    <dataValidation type="list" allowBlank="1" showInputMessage="1" showErrorMessage="1" sqref="C940">
      <formula1>Country!A2:A1000</formula1>
    </dataValidation>
    <dataValidation type="list" allowBlank="1" showInputMessage="1" showErrorMessage="1" sqref="C941">
      <formula1>Country!A2:A1000</formula1>
    </dataValidation>
    <dataValidation type="list" allowBlank="1" showInputMessage="1" showErrorMessage="1" sqref="C942">
      <formula1>Country!A2:A1000</formula1>
    </dataValidation>
    <dataValidation type="list" allowBlank="1" showInputMessage="1" showErrorMessage="1" sqref="C943">
      <formula1>Country!A2:A1000</formula1>
    </dataValidation>
    <dataValidation type="list" allowBlank="1" showInputMessage="1" showErrorMessage="1" sqref="C944">
      <formula1>Country!A2:A1000</formula1>
    </dataValidation>
    <dataValidation type="list" allowBlank="1" showInputMessage="1" showErrorMessage="1" sqref="C945">
      <formula1>Country!A2:A1000</formula1>
    </dataValidation>
    <dataValidation type="list" allowBlank="1" showInputMessage="1" showErrorMessage="1" sqref="C946">
      <formula1>Country!A2:A1000</formula1>
    </dataValidation>
    <dataValidation type="list" allowBlank="1" showInputMessage="1" showErrorMessage="1" sqref="C947">
      <formula1>Country!A2:A1000</formula1>
    </dataValidation>
    <dataValidation type="list" allowBlank="1" showInputMessage="1" showErrorMessage="1" sqref="C948">
      <formula1>Country!A2:A1000</formula1>
    </dataValidation>
    <dataValidation type="list" allowBlank="1" showInputMessage="1" showErrorMessage="1" sqref="C949">
      <formula1>Country!A2:A1000</formula1>
    </dataValidation>
    <dataValidation type="list" allowBlank="1" showInputMessage="1" showErrorMessage="1" sqref="C950">
      <formula1>Country!A2:A1000</formula1>
    </dataValidation>
    <dataValidation type="list" allowBlank="1" showInputMessage="1" showErrorMessage="1" sqref="C951">
      <formula1>Country!A2:A1000</formula1>
    </dataValidation>
    <dataValidation type="list" allowBlank="1" showInputMessage="1" showErrorMessage="1" sqref="C952">
      <formula1>Country!A2:A1000</formula1>
    </dataValidation>
    <dataValidation type="list" allowBlank="1" showInputMessage="1" showErrorMessage="1" sqref="C953">
      <formula1>Country!A2:A1000</formula1>
    </dataValidation>
    <dataValidation type="list" allowBlank="1" showInputMessage="1" showErrorMessage="1" sqref="C954">
      <formula1>Country!A2:A1000</formula1>
    </dataValidation>
    <dataValidation type="list" allowBlank="1" showInputMessage="1" showErrorMessage="1" sqref="C955">
      <formula1>Country!A2:A1000</formula1>
    </dataValidation>
    <dataValidation type="list" allowBlank="1" showInputMessage="1" showErrorMessage="1" sqref="C956">
      <formula1>Country!A2:A1000</formula1>
    </dataValidation>
    <dataValidation type="list" allowBlank="1" showInputMessage="1" showErrorMessage="1" sqref="C957">
      <formula1>Country!A2:A1000</formula1>
    </dataValidation>
    <dataValidation type="list" allowBlank="1" showInputMessage="1" showErrorMessage="1" sqref="C958">
      <formula1>Country!A2:A1000</formula1>
    </dataValidation>
    <dataValidation type="list" allowBlank="1" showInputMessage="1" showErrorMessage="1" sqref="C959">
      <formula1>Country!A2:A1000</formula1>
    </dataValidation>
    <dataValidation type="list" allowBlank="1" showInputMessage="1" showErrorMessage="1" sqref="C960">
      <formula1>Country!A2:A1000</formula1>
    </dataValidation>
    <dataValidation type="list" allowBlank="1" showInputMessage="1" showErrorMessage="1" sqref="C961">
      <formula1>Country!A2:A1000</formula1>
    </dataValidation>
    <dataValidation type="list" allowBlank="1" showInputMessage="1" showErrorMessage="1" sqref="C962">
      <formula1>Country!A2:A1000</formula1>
    </dataValidation>
    <dataValidation type="list" allowBlank="1" showInputMessage="1" showErrorMessage="1" sqref="C963">
      <formula1>Country!A2:A1000</formula1>
    </dataValidation>
    <dataValidation type="list" allowBlank="1" showInputMessage="1" showErrorMessage="1" sqref="C964">
      <formula1>Country!A2:A1000</formula1>
    </dataValidation>
    <dataValidation type="list" allowBlank="1" showInputMessage="1" showErrorMessage="1" sqref="C965">
      <formula1>Country!A2:A1000</formula1>
    </dataValidation>
    <dataValidation type="list" allowBlank="1" showInputMessage="1" showErrorMessage="1" sqref="C966">
      <formula1>Country!A2:A1000</formula1>
    </dataValidation>
    <dataValidation type="list" allowBlank="1" showInputMessage="1" showErrorMessage="1" sqref="C967">
      <formula1>Country!A2:A1000</formula1>
    </dataValidation>
    <dataValidation type="list" allowBlank="1" showInputMessage="1" showErrorMessage="1" sqref="C968">
      <formula1>Country!A2:A1000</formula1>
    </dataValidation>
    <dataValidation type="list" allowBlank="1" showInputMessage="1" showErrorMessage="1" sqref="C969">
      <formula1>Country!A2:A1000</formula1>
    </dataValidation>
    <dataValidation type="list" allowBlank="1" showInputMessage="1" showErrorMessage="1" sqref="C970">
      <formula1>Country!A2:A1000</formula1>
    </dataValidation>
    <dataValidation type="list" allowBlank="1" showInputMessage="1" showErrorMessage="1" sqref="C971">
      <formula1>Country!A2:A1000</formula1>
    </dataValidation>
    <dataValidation type="list" allowBlank="1" showInputMessage="1" showErrorMessage="1" sqref="C972">
      <formula1>Country!A2:A1000</formula1>
    </dataValidation>
    <dataValidation type="list" allowBlank="1" showInputMessage="1" showErrorMessage="1" sqref="C973">
      <formula1>Country!A2:A1000</formula1>
    </dataValidation>
    <dataValidation type="list" allowBlank="1" showInputMessage="1" showErrorMessage="1" sqref="C974">
      <formula1>Country!A2:A1000</formula1>
    </dataValidation>
    <dataValidation type="list" allowBlank="1" showInputMessage="1" showErrorMessage="1" sqref="C975">
      <formula1>Country!A2:A1000</formula1>
    </dataValidation>
    <dataValidation type="list" allowBlank="1" showInputMessage="1" showErrorMessage="1" sqref="C976">
      <formula1>Country!A2:A1000</formula1>
    </dataValidation>
    <dataValidation type="list" allowBlank="1" showInputMessage="1" showErrorMessage="1" sqref="C977">
      <formula1>Country!A2:A1000</formula1>
    </dataValidation>
    <dataValidation type="list" allowBlank="1" showInputMessage="1" showErrorMessage="1" sqref="C978">
      <formula1>Country!A2:A1000</formula1>
    </dataValidation>
    <dataValidation type="list" allowBlank="1" showInputMessage="1" showErrorMessage="1" sqref="C979">
      <formula1>Country!A2:A1000</formula1>
    </dataValidation>
    <dataValidation type="list" allowBlank="1" showInputMessage="1" showErrorMessage="1" sqref="C980">
      <formula1>Country!A2:A1000</formula1>
    </dataValidation>
    <dataValidation type="list" allowBlank="1" showInputMessage="1" showErrorMessage="1" sqref="C981">
      <formula1>Country!A2:A1000</formula1>
    </dataValidation>
    <dataValidation type="list" allowBlank="1" showInputMessage="1" showErrorMessage="1" sqref="C982">
      <formula1>Country!A2:A1000</formula1>
    </dataValidation>
    <dataValidation type="list" allowBlank="1" showInputMessage="1" showErrorMessage="1" sqref="C983">
      <formula1>Country!A2:A1000</formula1>
    </dataValidation>
    <dataValidation type="list" allowBlank="1" showInputMessage="1" showErrorMessage="1" sqref="C984">
      <formula1>Country!A2:A1000</formula1>
    </dataValidation>
    <dataValidation type="list" allowBlank="1" showInputMessage="1" showErrorMessage="1" sqref="C985">
      <formula1>Country!A2:A1000</formula1>
    </dataValidation>
    <dataValidation type="list" allowBlank="1" showInputMessage="1" showErrorMessage="1" sqref="C986">
      <formula1>Country!A2:A1000</formula1>
    </dataValidation>
    <dataValidation type="list" allowBlank="1" showInputMessage="1" showErrorMessage="1" sqref="C987">
      <formula1>Country!A2:A1000</formula1>
    </dataValidation>
    <dataValidation type="list" allowBlank="1" showInputMessage="1" showErrorMessage="1" sqref="C988">
      <formula1>Country!A2:A1000</formula1>
    </dataValidation>
    <dataValidation type="list" allowBlank="1" showInputMessage="1" showErrorMessage="1" sqref="C989">
      <formula1>Country!A2:A1000</formula1>
    </dataValidation>
    <dataValidation type="list" allowBlank="1" showInputMessage="1" showErrorMessage="1" sqref="C990">
      <formula1>Country!A2:A1000</formula1>
    </dataValidation>
    <dataValidation type="list" allowBlank="1" showInputMessage="1" showErrorMessage="1" sqref="C991">
      <formula1>Country!A2:A1000</formula1>
    </dataValidation>
    <dataValidation type="list" allowBlank="1" showInputMessage="1" showErrorMessage="1" sqref="C992">
      <formula1>Country!A2:A1000</formula1>
    </dataValidation>
    <dataValidation type="list" allowBlank="1" showInputMessage="1" showErrorMessage="1" sqref="C993">
      <formula1>Country!A2:A1000</formula1>
    </dataValidation>
    <dataValidation type="list" allowBlank="1" showInputMessage="1" showErrorMessage="1" sqref="C994">
      <formula1>Country!A2:A1000</formula1>
    </dataValidation>
    <dataValidation type="list" allowBlank="1" showInputMessage="1" showErrorMessage="1" sqref="C995">
      <formula1>Country!A2:A1000</formula1>
    </dataValidation>
    <dataValidation type="list" allowBlank="1" showInputMessage="1" showErrorMessage="1" sqref="C996">
      <formula1>Country!A2:A1000</formula1>
    </dataValidation>
    <dataValidation type="list" allowBlank="1" showInputMessage="1" showErrorMessage="1" sqref="C997">
      <formula1>Country!A2:A1000</formula1>
    </dataValidation>
    <dataValidation type="list" allowBlank="1" showInputMessage="1" showErrorMessage="1" sqref="C998">
      <formula1>Country!A2:A1000</formula1>
    </dataValidation>
    <dataValidation type="list" allowBlank="1" showInputMessage="1" showErrorMessage="1" sqref="C999">
      <formula1>Country!A2:A1000</formula1>
    </dataValidation>
    <dataValidation type="list" allowBlank="1" showInputMessage="1" showErrorMessage="1" sqref="C1000">
      <formula1>Country!A2:A1000</formula1>
    </dataValidation>
    <dataValidation type="list" allowBlank="1" showInputMessage="1" showErrorMessage="1" sqref="C1001">
      <formula1>Country!A2:A1000</formula1>
    </dataValidation>
    <dataValidation type="list" allowBlank="1" showInputMessage="1" showErrorMessage="1" sqref="D2">
      <formula1>PriceAreaConnection!A2:A1000</formula1>
    </dataValidation>
    <dataValidation type="list" allowBlank="1" showInputMessage="1" showErrorMessage="1" sqref="D3">
      <formula1>PriceAreaConnection!A2:A1000</formula1>
    </dataValidation>
    <dataValidation type="list" allowBlank="1" showInputMessage="1" showErrorMessage="1" sqref="D4">
      <formula1>PriceAreaConnection!A2:A1000</formula1>
    </dataValidation>
    <dataValidation type="list" allowBlank="1" showInputMessage="1" showErrorMessage="1" sqref="D5">
      <formula1>PriceAreaConnection!A2:A1000</formula1>
    </dataValidation>
    <dataValidation type="list" allowBlank="1" showInputMessage="1" showErrorMessage="1" sqref="D6">
      <formula1>PriceAreaConnection!A2:A1000</formula1>
    </dataValidation>
    <dataValidation type="list" allowBlank="1" showInputMessage="1" showErrorMessage="1" sqref="D7">
      <formula1>PriceAreaConnection!A2:A1000</formula1>
    </dataValidation>
    <dataValidation type="list" allowBlank="1" showInputMessage="1" showErrorMessage="1" sqref="D8">
      <formula1>PriceAreaConnection!A2:A1000</formula1>
    </dataValidation>
    <dataValidation type="list" allowBlank="1" showInputMessage="1" showErrorMessage="1" sqref="D9">
      <formula1>PriceAreaConnection!A2:A1000</formula1>
    </dataValidation>
    <dataValidation type="list" allowBlank="1" showInputMessage="1" showErrorMessage="1" sqref="D10">
      <formula1>PriceAreaConnection!A2:A1000</formula1>
    </dataValidation>
    <dataValidation type="list" allowBlank="1" showInputMessage="1" showErrorMessage="1" sqref="D11">
      <formula1>PriceAreaConnection!A2:A1000</formula1>
    </dataValidation>
    <dataValidation type="list" allowBlank="1" showInputMessage="1" showErrorMessage="1" sqref="D12">
      <formula1>PriceAreaConnection!A2:A1000</formula1>
    </dataValidation>
    <dataValidation type="list" allowBlank="1" showInputMessage="1" showErrorMessage="1" sqref="D13">
      <formula1>PriceAreaConnection!A2:A1000</formula1>
    </dataValidation>
    <dataValidation type="list" allowBlank="1" showInputMessage="1" showErrorMessage="1" sqref="D14">
      <formula1>PriceAreaConnection!A2:A1000</formula1>
    </dataValidation>
    <dataValidation type="list" allowBlank="1" showInputMessage="1" showErrorMessage="1" sqref="D15">
      <formula1>PriceAreaConnection!A2:A1000</formula1>
    </dataValidation>
    <dataValidation type="list" allowBlank="1" showInputMessage="1" showErrorMessage="1" sqref="D16">
      <formula1>PriceAreaConnection!A2:A1000</formula1>
    </dataValidation>
    <dataValidation type="list" allowBlank="1" showInputMessage="1" showErrorMessage="1" sqref="D17">
      <formula1>PriceAreaConnection!A2:A1000</formula1>
    </dataValidation>
    <dataValidation type="list" allowBlank="1" showInputMessage="1" showErrorMessage="1" sqref="D18">
      <formula1>PriceAreaConnection!A2:A1000</formula1>
    </dataValidation>
    <dataValidation type="list" allowBlank="1" showInputMessage="1" showErrorMessage="1" sqref="D19">
      <formula1>PriceAreaConnection!A2:A1000</formula1>
    </dataValidation>
    <dataValidation type="list" allowBlank="1" showInputMessage="1" showErrorMessage="1" sqref="D20">
      <formula1>PriceAreaConnection!A2:A1000</formula1>
    </dataValidation>
    <dataValidation type="list" allowBlank="1" showInputMessage="1" showErrorMessage="1" sqref="D21">
      <formula1>PriceAreaConnection!A2:A1000</formula1>
    </dataValidation>
    <dataValidation type="list" allowBlank="1" showInputMessage="1" showErrorMessage="1" sqref="D22">
      <formula1>PriceAreaConnection!A2:A1000</formula1>
    </dataValidation>
    <dataValidation type="list" allowBlank="1" showInputMessage="1" showErrorMessage="1" sqref="D23">
      <formula1>PriceAreaConnection!A2:A1000</formula1>
    </dataValidation>
    <dataValidation type="list" allowBlank="1" showInputMessage="1" showErrorMessage="1" sqref="D24">
      <formula1>PriceAreaConnection!A2:A1000</formula1>
    </dataValidation>
    <dataValidation type="list" allowBlank="1" showInputMessage="1" showErrorMessage="1" sqref="D25">
      <formula1>PriceAreaConnection!A2:A1000</formula1>
    </dataValidation>
    <dataValidation type="list" allowBlank="1" showInputMessage="1" showErrorMessage="1" sqref="D26">
      <formula1>PriceAreaConnection!A2:A1000</formula1>
    </dataValidation>
    <dataValidation type="list" allowBlank="1" showInputMessage="1" showErrorMessage="1" sqref="D27">
      <formula1>PriceAreaConnection!A2:A1000</formula1>
    </dataValidation>
    <dataValidation type="list" allowBlank="1" showInputMessage="1" showErrorMessage="1" sqref="D28">
      <formula1>PriceAreaConnection!A2:A1000</formula1>
    </dataValidation>
    <dataValidation type="list" allowBlank="1" showInputMessage="1" showErrorMessage="1" sqref="D29">
      <formula1>PriceAreaConnection!A2:A1000</formula1>
    </dataValidation>
    <dataValidation type="list" allowBlank="1" showInputMessage="1" showErrorMessage="1" sqref="D30">
      <formula1>PriceAreaConnection!A2:A1000</formula1>
    </dataValidation>
    <dataValidation type="list" allowBlank="1" showInputMessage="1" showErrorMessage="1" sqref="D31">
      <formula1>PriceAreaConnection!A2:A1000</formula1>
    </dataValidation>
    <dataValidation type="list" allowBlank="1" showInputMessage="1" showErrorMessage="1" sqref="D32">
      <formula1>PriceAreaConnection!A2:A1000</formula1>
    </dataValidation>
    <dataValidation type="list" allowBlank="1" showInputMessage="1" showErrorMessage="1" sqref="D33">
      <formula1>PriceAreaConnection!A2:A1000</formula1>
    </dataValidation>
    <dataValidation type="list" allowBlank="1" showInputMessage="1" showErrorMessage="1" sqref="D34">
      <formula1>PriceAreaConnection!A2:A1000</formula1>
    </dataValidation>
    <dataValidation type="list" allowBlank="1" showInputMessage="1" showErrorMessage="1" sqref="D35">
      <formula1>PriceAreaConnection!A2:A1000</formula1>
    </dataValidation>
    <dataValidation type="list" allowBlank="1" showInputMessage="1" showErrorMessage="1" sqref="D36">
      <formula1>PriceAreaConnection!A2:A1000</formula1>
    </dataValidation>
    <dataValidation type="list" allowBlank="1" showInputMessage="1" showErrorMessage="1" sqref="D37">
      <formula1>PriceAreaConnection!A2:A1000</formula1>
    </dataValidation>
    <dataValidation type="list" allowBlank="1" showInputMessage="1" showErrorMessage="1" sqref="D38">
      <formula1>PriceAreaConnection!A2:A1000</formula1>
    </dataValidation>
    <dataValidation type="list" allowBlank="1" showInputMessage="1" showErrorMessage="1" sqref="D39">
      <formula1>PriceAreaConnection!A2:A1000</formula1>
    </dataValidation>
    <dataValidation type="list" allowBlank="1" showInputMessage="1" showErrorMessage="1" sqref="D40">
      <formula1>PriceAreaConnection!A2:A1000</formula1>
    </dataValidation>
    <dataValidation type="list" allowBlank="1" showInputMessage="1" showErrorMessage="1" sqref="D41">
      <formula1>PriceAreaConnection!A2:A1000</formula1>
    </dataValidation>
    <dataValidation type="list" allowBlank="1" showInputMessage="1" showErrorMessage="1" sqref="D42">
      <formula1>PriceAreaConnection!A2:A1000</formula1>
    </dataValidation>
    <dataValidation type="list" allowBlank="1" showInputMessage="1" showErrorMessage="1" sqref="D43">
      <formula1>PriceAreaConnection!A2:A1000</formula1>
    </dataValidation>
    <dataValidation type="list" allowBlank="1" showInputMessage="1" showErrorMessage="1" sqref="D44">
      <formula1>PriceAreaConnection!A2:A1000</formula1>
    </dataValidation>
    <dataValidation type="list" allowBlank="1" showInputMessage="1" showErrorMessage="1" sqref="D45">
      <formula1>PriceAreaConnection!A2:A1000</formula1>
    </dataValidation>
    <dataValidation type="list" allowBlank="1" showInputMessage="1" showErrorMessage="1" sqref="D46">
      <formula1>PriceAreaConnection!A2:A1000</formula1>
    </dataValidation>
    <dataValidation type="list" allowBlank="1" showInputMessage="1" showErrorMessage="1" sqref="D47">
      <formula1>PriceAreaConnection!A2:A1000</formula1>
    </dataValidation>
    <dataValidation type="list" allowBlank="1" showInputMessage="1" showErrorMessage="1" sqref="D48">
      <formula1>PriceAreaConnection!A2:A1000</formula1>
    </dataValidation>
    <dataValidation type="list" allowBlank="1" showInputMessage="1" showErrorMessage="1" sqref="D49">
      <formula1>PriceAreaConnection!A2:A1000</formula1>
    </dataValidation>
    <dataValidation type="list" allowBlank="1" showInputMessage="1" showErrorMessage="1" sqref="D50">
      <formula1>PriceAreaConnection!A2:A1000</formula1>
    </dataValidation>
    <dataValidation type="list" allowBlank="1" showInputMessage="1" showErrorMessage="1" sqref="D51">
      <formula1>PriceAreaConnection!A2:A1000</formula1>
    </dataValidation>
    <dataValidation type="list" allowBlank="1" showInputMessage="1" showErrorMessage="1" sqref="D52">
      <formula1>PriceAreaConnection!A2:A1000</formula1>
    </dataValidation>
    <dataValidation type="list" allowBlank="1" showInputMessage="1" showErrorMessage="1" sqref="D53">
      <formula1>PriceAreaConnection!A2:A1000</formula1>
    </dataValidation>
    <dataValidation type="list" allowBlank="1" showInputMessage="1" showErrorMessage="1" sqref="D54">
      <formula1>PriceAreaConnection!A2:A1000</formula1>
    </dataValidation>
    <dataValidation type="list" allowBlank="1" showInputMessage="1" showErrorMessage="1" sqref="D55">
      <formula1>PriceAreaConnection!A2:A1000</formula1>
    </dataValidation>
    <dataValidation type="list" allowBlank="1" showInputMessage="1" showErrorMessage="1" sqref="D56">
      <formula1>PriceAreaConnection!A2:A1000</formula1>
    </dataValidation>
    <dataValidation type="list" allowBlank="1" showInputMessage="1" showErrorMessage="1" sqref="D57">
      <formula1>PriceAreaConnection!A2:A1000</formula1>
    </dataValidation>
    <dataValidation type="list" allowBlank="1" showInputMessage="1" showErrorMessage="1" sqref="D58">
      <formula1>PriceAreaConnection!A2:A1000</formula1>
    </dataValidation>
    <dataValidation type="list" allowBlank="1" showInputMessage="1" showErrorMessage="1" sqref="D59">
      <formula1>PriceAreaConnection!A2:A1000</formula1>
    </dataValidation>
    <dataValidation type="list" allowBlank="1" showInputMessage="1" showErrorMessage="1" sqref="D60">
      <formula1>PriceAreaConnection!A2:A1000</formula1>
    </dataValidation>
    <dataValidation type="list" allowBlank="1" showInputMessage="1" showErrorMessage="1" sqref="D61">
      <formula1>PriceAreaConnection!A2:A1000</formula1>
    </dataValidation>
    <dataValidation type="list" allowBlank="1" showInputMessage="1" showErrorMessage="1" sqref="D62">
      <formula1>PriceAreaConnection!A2:A1000</formula1>
    </dataValidation>
    <dataValidation type="list" allowBlank="1" showInputMessage="1" showErrorMessage="1" sqref="D63">
      <formula1>PriceAreaConnection!A2:A1000</formula1>
    </dataValidation>
    <dataValidation type="list" allowBlank="1" showInputMessage="1" showErrorMessage="1" sqref="D64">
      <formula1>PriceAreaConnection!A2:A1000</formula1>
    </dataValidation>
    <dataValidation type="list" allowBlank="1" showInputMessage="1" showErrorMessage="1" sqref="D65">
      <formula1>PriceAreaConnection!A2:A1000</formula1>
    </dataValidation>
    <dataValidation type="list" allowBlank="1" showInputMessage="1" showErrorMessage="1" sqref="D66">
      <formula1>PriceAreaConnection!A2:A1000</formula1>
    </dataValidation>
    <dataValidation type="list" allowBlank="1" showInputMessage="1" showErrorMessage="1" sqref="D67">
      <formula1>PriceAreaConnection!A2:A1000</formula1>
    </dataValidation>
    <dataValidation type="list" allowBlank="1" showInputMessage="1" showErrorMessage="1" sqref="D68">
      <formula1>PriceAreaConnection!A2:A1000</formula1>
    </dataValidation>
    <dataValidation type="list" allowBlank="1" showInputMessage="1" showErrorMessage="1" sqref="D69">
      <formula1>PriceAreaConnection!A2:A1000</formula1>
    </dataValidation>
    <dataValidation type="list" allowBlank="1" showInputMessage="1" showErrorMessage="1" sqref="D70">
      <formula1>PriceAreaConnection!A2:A1000</formula1>
    </dataValidation>
    <dataValidation type="list" allowBlank="1" showInputMessage="1" showErrorMessage="1" sqref="D71">
      <formula1>PriceAreaConnection!A2:A1000</formula1>
    </dataValidation>
    <dataValidation type="list" allowBlank="1" showInputMessage="1" showErrorMessage="1" sqref="D72">
      <formula1>PriceAreaConnection!A2:A1000</formula1>
    </dataValidation>
    <dataValidation type="list" allowBlank="1" showInputMessage="1" showErrorMessage="1" sqref="D73">
      <formula1>PriceAreaConnection!A2:A1000</formula1>
    </dataValidation>
    <dataValidation type="list" allowBlank="1" showInputMessage="1" showErrorMessage="1" sqref="D74">
      <formula1>PriceAreaConnection!A2:A1000</formula1>
    </dataValidation>
    <dataValidation type="list" allowBlank="1" showInputMessage="1" showErrorMessage="1" sqref="D75">
      <formula1>PriceAreaConnection!A2:A1000</formula1>
    </dataValidation>
    <dataValidation type="list" allowBlank="1" showInputMessage="1" showErrorMessage="1" sqref="D76">
      <formula1>PriceAreaConnection!A2:A1000</formula1>
    </dataValidation>
    <dataValidation type="list" allowBlank="1" showInputMessage="1" showErrorMessage="1" sqref="D77">
      <formula1>PriceAreaConnection!A2:A1000</formula1>
    </dataValidation>
    <dataValidation type="list" allowBlank="1" showInputMessage="1" showErrorMessage="1" sqref="D78">
      <formula1>PriceAreaConnection!A2:A1000</formula1>
    </dataValidation>
    <dataValidation type="list" allowBlank="1" showInputMessage="1" showErrorMessage="1" sqref="D79">
      <formula1>PriceAreaConnection!A2:A1000</formula1>
    </dataValidation>
    <dataValidation type="list" allowBlank="1" showInputMessage="1" showErrorMessage="1" sqref="D80">
      <formula1>PriceAreaConnection!A2:A1000</formula1>
    </dataValidation>
    <dataValidation type="list" allowBlank="1" showInputMessage="1" showErrorMessage="1" sqref="D81">
      <formula1>PriceAreaConnection!A2:A1000</formula1>
    </dataValidation>
    <dataValidation type="list" allowBlank="1" showInputMessage="1" showErrorMessage="1" sqref="D82">
      <formula1>PriceAreaConnection!A2:A1000</formula1>
    </dataValidation>
    <dataValidation type="list" allowBlank="1" showInputMessage="1" showErrorMessage="1" sqref="D83">
      <formula1>PriceAreaConnection!A2:A1000</formula1>
    </dataValidation>
    <dataValidation type="list" allowBlank="1" showInputMessage="1" showErrorMessage="1" sqref="D84">
      <formula1>PriceAreaConnection!A2:A1000</formula1>
    </dataValidation>
    <dataValidation type="list" allowBlank="1" showInputMessage="1" showErrorMessage="1" sqref="D85">
      <formula1>PriceAreaConnection!A2:A1000</formula1>
    </dataValidation>
    <dataValidation type="list" allowBlank="1" showInputMessage="1" showErrorMessage="1" sqref="D86">
      <formula1>PriceAreaConnection!A2:A1000</formula1>
    </dataValidation>
    <dataValidation type="list" allowBlank="1" showInputMessage="1" showErrorMessage="1" sqref="D87">
      <formula1>PriceAreaConnection!A2:A1000</formula1>
    </dataValidation>
    <dataValidation type="list" allowBlank="1" showInputMessage="1" showErrorMessage="1" sqref="D88">
      <formula1>PriceAreaConnection!A2:A1000</formula1>
    </dataValidation>
    <dataValidation type="list" allowBlank="1" showInputMessage="1" showErrorMessage="1" sqref="D89">
      <formula1>PriceAreaConnection!A2:A1000</formula1>
    </dataValidation>
    <dataValidation type="list" allowBlank="1" showInputMessage="1" showErrorMessage="1" sqref="D90">
      <formula1>PriceAreaConnection!A2:A1000</formula1>
    </dataValidation>
    <dataValidation type="list" allowBlank="1" showInputMessage="1" showErrorMessage="1" sqref="D91">
      <formula1>PriceAreaConnection!A2:A1000</formula1>
    </dataValidation>
    <dataValidation type="list" allowBlank="1" showInputMessage="1" showErrorMessage="1" sqref="D92">
      <formula1>PriceAreaConnection!A2:A1000</formula1>
    </dataValidation>
    <dataValidation type="list" allowBlank="1" showInputMessage="1" showErrorMessage="1" sqref="D93">
      <formula1>PriceAreaConnection!A2:A1000</formula1>
    </dataValidation>
    <dataValidation type="list" allowBlank="1" showInputMessage="1" showErrorMessage="1" sqref="D94">
      <formula1>PriceAreaConnection!A2:A1000</formula1>
    </dataValidation>
    <dataValidation type="list" allowBlank="1" showInputMessage="1" showErrorMessage="1" sqref="D95">
      <formula1>PriceAreaConnection!A2:A1000</formula1>
    </dataValidation>
    <dataValidation type="list" allowBlank="1" showInputMessage="1" showErrorMessage="1" sqref="D96">
      <formula1>PriceAreaConnection!A2:A1000</formula1>
    </dataValidation>
    <dataValidation type="list" allowBlank="1" showInputMessage="1" showErrorMessage="1" sqref="D97">
      <formula1>PriceAreaConnection!A2:A1000</formula1>
    </dataValidation>
    <dataValidation type="list" allowBlank="1" showInputMessage="1" showErrorMessage="1" sqref="D98">
      <formula1>PriceAreaConnection!A2:A1000</formula1>
    </dataValidation>
    <dataValidation type="list" allowBlank="1" showInputMessage="1" showErrorMessage="1" sqref="D99">
      <formula1>PriceAreaConnection!A2:A1000</formula1>
    </dataValidation>
    <dataValidation type="list" allowBlank="1" showInputMessage="1" showErrorMessage="1" sqref="D100">
      <formula1>PriceAreaConnection!A2:A1000</formula1>
    </dataValidation>
    <dataValidation type="list" allowBlank="1" showInputMessage="1" showErrorMessage="1" sqref="D101">
      <formula1>PriceAreaConnection!A2:A1000</formula1>
    </dataValidation>
    <dataValidation type="list" allowBlank="1" showInputMessage="1" showErrorMessage="1" sqref="D102">
      <formula1>PriceAreaConnection!A2:A1000</formula1>
    </dataValidation>
    <dataValidation type="list" allowBlank="1" showInputMessage="1" showErrorMessage="1" sqref="D103">
      <formula1>PriceAreaConnection!A2:A1000</formula1>
    </dataValidation>
    <dataValidation type="list" allowBlank="1" showInputMessage="1" showErrorMessage="1" sqref="D104">
      <formula1>PriceAreaConnection!A2:A1000</formula1>
    </dataValidation>
    <dataValidation type="list" allowBlank="1" showInputMessage="1" showErrorMessage="1" sqref="D105">
      <formula1>PriceAreaConnection!A2:A1000</formula1>
    </dataValidation>
    <dataValidation type="list" allowBlank="1" showInputMessage="1" showErrorMessage="1" sqref="D106">
      <formula1>PriceAreaConnection!A2:A1000</formula1>
    </dataValidation>
    <dataValidation type="list" allowBlank="1" showInputMessage="1" showErrorMessage="1" sqref="D107">
      <formula1>PriceAreaConnection!A2:A1000</formula1>
    </dataValidation>
    <dataValidation type="list" allowBlank="1" showInputMessage="1" showErrorMessage="1" sqref="D108">
      <formula1>PriceAreaConnection!A2:A1000</formula1>
    </dataValidation>
    <dataValidation type="list" allowBlank="1" showInputMessage="1" showErrorMessage="1" sqref="D109">
      <formula1>PriceAreaConnection!A2:A1000</formula1>
    </dataValidation>
    <dataValidation type="list" allowBlank="1" showInputMessage="1" showErrorMessage="1" sqref="D110">
      <formula1>PriceAreaConnection!A2:A1000</formula1>
    </dataValidation>
    <dataValidation type="list" allowBlank="1" showInputMessage="1" showErrorMessage="1" sqref="D111">
      <formula1>PriceAreaConnection!A2:A1000</formula1>
    </dataValidation>
    <dataValidation type="list" allowBlank="1" showInputMessage="1" showErrorMessage="1" sqref="D112">
      <formula1>PriceAreaConnection!A2:A1000</formula1>
    </dataValidation>
    <dataValidation type="list" allowBlank="1" showInputMessage="1" showErrorMessage="1" sqref="D113">
      <formula1>PriceAreaConnection!A2:A1000</formula1>
    </dataValidation>
    <dataValidation type="list" allowBlank="1" showInputMessage="1" showErrorMessage="1" sqref="D114">
      <formula1>PriceAreaConnection!A2:A1000</formula1>
    </dataValidation>
    <dataValidation type="list" allowBlank="1" showInputMessage="1" showErrorMessage="1" sqref="D115">
      <formula1>PriceAreaConnection!A2:A1000</formula1>
    </dataValidation>
    <dataValidation type="list" allowBlank="1" showInputMessage="1" showErrorMessage="1" sqref="D116">
      <formula1>PriceAreaConnection!A2:A1000</formula1>
    </dataValidation>
    <dataValidation type="list" allowBlank="1" showInputMessage="1" showErrorMessage="1" sqref="D117">
      <formula1>PriceAreaConnection!A2:A1000</formula1>
    </dataValidation>
    <dataValidation type="list" allowBlank="1" showInputMessage="1" showErrorMessage="1" sqref="D118">
      <formula1>PriceAreaConnection!A2:A1000</formula1>
    </dataValidation>
    <dataValidation type="list" allowBlank="1" showInputMessage="1" showErrorMessage="1" sqref="D119">
      <formula1>PriceAreaConnection!A2:A1000</formula1>
    </dataValidation>
    <dataValidation type="list" allowBlank="1" showInputMessage="1" showErrorMessage="1" sqref="D120">
      <formula1>PriceAreaConnection!A2:A1000</formula1>
    </dataValidation>
    <dataValidation type="list" allowBlank="1" showInputMessage="1" showErrorMessage="1" sqref="D121">
      <formula1>PriceAreaConnection!A2:A1000</formula1>
    </dataValidation>
    <dataValidation type="list" allowBlank="1" showInputMessage="1" showErrorMessage="1" sqref="D122">
      <formula1>PriceAreaConnection!A2:A1000</formula1>
    </dataValidation>
    <dataValidation type="list" allowBlank="1" showInputMessage="1" showErrorMessage="1" sqref="D123">
      <formula1>PriceAreaConnection!A2:A1000</formula1>
    </dataValidation>
    <dataValidation type="list" allowBlank="1" showInputMessage="1" showErrorMessage="1" sqref="D124">
      <formula1>PriceAreaConnection!A2:A1000</formula1>
    </dataValidation>
    <dataValidation type="list" allowBlank="1" showInputMessage="1" showErrorMessage="1" sqref="D125">
      <formula1>PriceAreaConnection!A2:A1000</formula1>
    </dataValidation>
    <dataValidation type="list" allowBlank="1" showInputMessage="1" showErrorMessage="1" sqref="D126">
      <formula1>PriceAreaConnection!A2:A1000</formula1>
    </dataValidation>
    <dataValidation type="list" allowBlank="1" showInputMessage="1" showErrorMessage="1" sqref="D127">
      <formula1>PriceAreaConnection!A2:A1000</formula1>
    </dataValidation>
    <dataValidation type="list" allowBlank="1" showInputMessage="1" showErrorMessage="1" sqref="D128">
      <formula1>PriceAreaConnection!A2:A1000</formula1>
    </dataValidation>
    <dataValidation type="list" allowBlank="1" showInputMessage="1" showErrorMessage="1" sqref="D129">
      <formula1>PriceAreaConnection!A2:A1000</formula1>
    </dataValidation>
    <dataValidation type="list" allowBlank="1" showInputMessage="1" showErrorMessage="1" sqref="D130">
      <formula1>PriceAreaConnection!A2:A1000</formula1>
    </dataValidation>
    <dataValidation type="list" allowBlank="1" showInputMessage="1" showErrorMessage="1" sqref="D131">
      <formula1>PriceAreaConnection!A2:A1000</formula1>
    </dataValidation>
    <dataValidation type="list" allowBlank="1" showInputMessage="1" showErrorMessage="1" sqref="D132">
      <formula1>PriceAreaConnection!A2:A1000</formula1>
    </dataValidation>
    <dataValidation type="list" allowBlank="1" showInputMessage="1" showErrorMessage="1" sqref="D133">
      <formula1>PriceAreaConnection!A2:A1000</formula1>
    </dataValidation>
    <dataValidation type="list" allowBlank="1" showInputMessage="1" showErrorMessage="1" sqref="D134">
      <formula1>PriceAreaConnection!A2:A1000</formula1>
    </dataValidation>
    <dataValidation type="list" allowBlank="1" showInputMessage="1" showErrorMessage="1" sqref="D135">
      <formula1>PriceAreaConnection!A2:A1000</formula1>
    </dataValidation>
    <dataValidation type="list" allowBlank="1" showInputMessage="1" showErrorMessage="1" sqref="D136">
      <formula1>PriceAreaConnection!A2:A1000</formula1>
    </dataValidation>
    <dataValidation type="list" allowBlank="1" showInputMessage="1" showErrorMessage="1" sqref="D137">
      <formula1>PriceAreaConnection!A2:A1000</formula1>
    </dataValidation>
    <dataValidation type="list" allowBlank="1" showInputMessage="1" showErrorMessage="1" sqref="D138">
      <formula1>PriceAreaConnection!A2:A1000</formula1>
    </dataValidation>
    <dataValidation type="list" allowBlank="1" showInputMessage="1" showErrorMessage="1" sqref="D139">
      <formula1>PriceAreaConnection!A2:A1000</formula1>
    </dataValidation>
    <dataValidation type="list" allowBlank="1" showInputMessage="1" showErrorMessage="1" sqref="D140">
      <formula1>PriceAreaConnection!A2:A1000</formula1>
    </dataValidation>
    <dataValidation type="list" allowBlank="1" showInputMessage="1" showErrorMessage="1" sqref="D141">
      <formula1>PriceAreaConnection!A2:A1000</formula1>
    </dataValidation>
    <dataValidation type="list" allowBlank="1" showInputMessage="1" showErrorMessage="1" sqref="D142">
      <formula1>PriceAreaConnection!A2:A1000</formula1>
    </dataValidation>
    <dataValidation type="list" allowBlank="1" showInputMessage="1" showErrorMessage="1" sqref="D143">
      <formula1>PriceAreaConnection!A2:A1000</formula1>
    </dataValidation>
    <dataValidation type="list" allowBlank="1" showInputMessage="1" showErrorMessage="1" sqref="D144">
      <formula1>PriceAreaConnection!A2:A1000</formula1>
    </dataValidation>
    <dataValidation type="list" allowBlank="1" showInputMessage="1" showErrorMessage="1" sqref="D145">
      <formula1>PriceAreaConnection!A2:A1000</formula1>
    </dataValidation>
    <dataValidation type="list" allowBlank="1" showInputMessage="1" showErrorMessage="1" sqref="D146">
      <formula1>PriceAreaConnection!A2:A1000</formula1>
    </dataValidation>
    <dataValidation type="list" allowBlank="1" showInputMessage="1" showErrorMessage="1" sqref="D147">
      <formula1>PriceAreaConnection!A2:A1000</formula1>
    </dataValidation>
    <dataValidation type="list" allowBlank="1" showInputMessage="1" showErrorMessage="1" sqref="D148">
      <formula1>PriceAreaConnection!A2:A1000</formula1>
    </dataValidation>
    <dataValidation type="list" allowBlank="1" showInputMessage="1" showErrorMessage="1" sqref="D149">
      <formula1>PriceAreaConnection!A2:A1000</formula1>
    </dataValidation>
    <dataValidation type="list" allowBlank="1" showInputMessage="1" showErrorMessage="1" sqref="D150">
      <formula1>PriceAreaConnection!A2:A1000</formula1>
    </dataValidation>
    <dataValidation type="list" allowBlank="1" showInputMessage="1" showErrorMessage="1" sqref="D151">
      <formula1>PriceAreaConnection!A2:A1000</formula1>
    </dataValidation>
    <dataValidation type="list" allowBlank="1" showInputMessage="1" showErrorMessage="1" sqref="D152">
      <formula1>PriceAreaConnection!A2:A1000</formula1>
    </dataValidation>
    <dataValidation type="list" allowBlank="1" showInputMessage="1" showErrorMessage="1" sqref="D153">
      <formula1>PriceAreaConnection!A2:A1000</formula1>
    </dataValidation>
    <dataValidation type="list" allowBlank="1" showInputMessage="1" showErrorMessage="1" sqref="D154">
      <formula1>PriceAreaConnection!A2:A1000</formula1>
    </dataValidation>
    <dataValidation type="list" allowBlank="1" showInputMessage="1" showErrorMessage="1" sqref="D155">
      <formula1>PriceAreaConnection!A2:A1000</formula1>
    </dataValidation>
    <dataValidation type="list" allowBlank="1" showInputMessage="1" showErrorMessage="1" sqref="D156">
      <formula1>PriceAreaConnection!A2:A1000</formula1>
    </dataValidation>
    <dataValidation type="list" allowBlank="1" showInputMessage="1" showErrorMessage="1" sqref="D157">
      <formula1>PriceAreaConnection!A2:A1000</formula1>
    </dataValidation>
    <dataValidation type="list" allowBlank="1" showInputMessage="1" showErrorMessage="1" sqref="D158">
      <formula1>PriceAreaConnection!A2:A1000</formula1>
    </dataValidation>
    <dataValidation type="list" allowBlank="1" showInputMessage="1" showErrorMessage="1" sqref="D159">
      <formula1>PriceAreaConnection!A2:A1000</formula1>
    </dataValidation>
    <dataValidation type="list" allowBlank="1" showInputMessage="1" showErrorMessage="1" sqref="D160">
      <formula1>PriceAreaConnection!A2:A1000</formula1>
    </dataValidation>
    <dataValidation type="list" allowBlank="1" showInputMessage="1" showErrorMessage="1" sqref="D161">
      <formula1>PriceAreaConnection!A2:A1000</formula1>
    </dataValidation>
    <dataValidation type="list" allowBlank="1" showInputMessage="1" showErrorMessage="1" sqref="D162">
      <formula1>PriceAreaConnection!A2:A1000</formula1>
    </dataValidation>
    <dataValidation type="list" allowBlank="1" showInputMessage="1" showErrorMessage="1" sqref="D163">
      <formula1>PriceAreaConnection!A2:A1000</formula1>
    </dataValidation>
    <dataValidation type="list" allowBlank="1" showInputMessage="1" showErrorMessage="1" sqref="D164">
      <formula1>PriceAreaConnection!A2:A1000</formula1>
    </dataValidation>
    <dataValidation type="list" allowBlank="1" showInputMessage="1" showErrorMessage="1" sqref="D165">
      <formula1>PriceAreaConnection!A2:A1000</formula1>
    </dataValidation>
    <dataValidation type="list" allowBlank="1" showInputMessage="1" showErrorMessage="1" sqref="D166">
      <formula1>PriceAreaConnection!A2:A1000</formula1>
    </dataValidation>
    <dataValidation type="list" allowBlank="1" showInputMessage="1" showErrorMessage="1" sqref="D167">
      <formula1>PriceAreaConnection!A2:A1000</formula1>
    </dataValidation>
    <dataValidation type="list" allowBlank="1" showInputMessage="1" showErrorMessage="1" sqref="D168">
      <formula1>PriceAreaConnection!A2:A1000</formula1>
    </dataValidation>
    <dataValidation type="list" allowBlank="1" showInputMessage="1" showErrorMessage="1" sqref="D169">
      <formula1>PriceAreaConnection!A2:A1000</formula1>
    </dataValidation>
    <dataValidation type="list" allowBlank="1" showInputMessage="1" showErrorMessage="1" sqref="D170">
      <formula1>PriceAreaConnection!A2:A1000</formula1>
    </dataValidation>
    <dataValidation type="list" allowBlank="1" showInputMessage="1" showErrorMessage="1" sqref="D171">
      <formula1>PriceAreaConnection!A2:A1000</formula1>
    </dataValidation>
    <dataValidation type="list" allowBlank="1" showInputMessage="1" showErrorMessage="1" sqref="D172">
      <formula1>PriceAreaConnection!A2:A1000</formula1>
    </dataValidation>
    <dataValidation type="list" allowBlank="1" showInputMessage="1" showErrorMessage="1" sqref="D173">
      <formula1>PriceAreaConnection!A2:A1000</formula1>
    </dataValidation>
    <dataValidation type="list" allowBlank="1" showInputMessage="1" showErrorMessage="1" sqref="D174">
      <formula1>PriceAreaConnection!A2:A1000</formula1>
    </dataValidation>
    <dataValidation type="list" allowBlank="1" showInputMessage="1" showErrorMessage="1" sqref="D175">
      <formula1>PriceAreaConnection!A2:A1000</formula1>
    </dataValidation>
    <dataValidation type="list" allowBlank="1" showInputMessage="1" showErrorMessage="1" sqref="D176">
      <formula1>PriceAreaConnection!A2:A1000</formula1>
    </dataValidation>
    <dataValidation type="list" allowBlank="1" showInputMessage="1" showErrorMessage="1" sqref="D177">
      <formula1>PriceAreaConnection!A2:A1000</formula1>
    </dataValidation>
    <dataValidation type="list" allowBlank="1" showInputMessage="1" showErrorMessage="1" sqref="D178">
      <formula1>PriceAreaConnection!A2:A1000</formula1>
    </dataValidation>
    <dataValidation type="list" allowBlank="1" showInputMessage="1" showErrorMessage="1" sqref="D179">
      <formula1>PriceAreaConnection!A2:A1000</formula1>
    </dataValidation>
    <dataValidation type="list" allowBlank="1" showInputMessage="1" showErrorMessage="1" sqref="D180">
      <formula1>PriceAreaConnection!A2:A1000</formula1>
    </dataValidation>
    <dataValidation type="list" allowBlank="1" showInputMessage="1" showErrorMessage="1" sqref="D181">
      <formula1>PriceAreaConnection!A2:A1000</formula1>
    </dataValidation>
    <dataValidation type="list" allowBlank="1" showInputMessage="1" showErrorMessage="1" sqref="D182">
      <formula1>PriceAreaConnection!A2:A1000</formula1>
    </dataValidation>
    <dataValidation type="list" allowBlank="1" showInputMessage="1" showErrorMessage="1" sqref="D183">
      <formula1>PriceAreaConnection!A2:A1000</formula1>
    </dataValidation>
    <dataValidation type="list" allowBlank="1" showInputMessage="1" showErrorMessage="1" sqref="D184">
      <formula1>PriceAreaConnection!A2:A1000</formula1>
    </dataValidation>
    <dataValidation type="list" allowBlank="1" showInputMessage="1" showErrorMessage="1" sqref="D185">
      <formula1>PriceAreaConnection!A2:A1000</formula1>
    </dataValidation>
    <dataValidation type="list" allowBlank="1" showInputMessage="1" showErrorMessage="1" sqref="D186">
      <formula1>PriceAreaConnection!A2:A1000</formula1>
    </dataValidation>
    <dataValidation type="list" allowBlank="1" showInputMessage="1" showErrorMessage="1" sqref="D187">
      <formula1>PriceAreaConnection!A2:A1000</formula1>
    </dataValidation>
    <dataValidation type="list" allowBlank="1" showInputMessage="1" showErrorMessage="1" sqref="D188">
      <formula1>PriceAreaConnection!A2:A1000</formula1>
    </dataValidation>
    <dataValidation type="list" allowBlank="1" showInputMessage="1" showErrorMessage="1" sqref="D189">
      <formula1>PriceAreaConnection!A2:A1000</formula1>
    </dataValidation>
    <dataValidation type="list" allowBlank="1" showInputMessage="1" showErrorMessage="1" sqref="D190">
      <formula1>PriceAreaConnection!A2:A1000</formula1>
    </dataValidation>
    <dataValidation type="list" allowBlank="1" showInputMessage="1" showErrorMessage="1" sqref="D191">
      <formula1>PriceAreaConnection!A2:A1000</formula1>
    </dataValidation>
    <dataValidation type="list" allowBlank="1" showInputMessage="1" showErrorMessage="1" sqref="D192">
      <formula1>PriceAreaConnection!A2:A1000</formula1>
    </dataValidation>
    <dataValidation type="list" allowBlank="1" showInputMessage="1" showErrorMessage="1" sqref="D193">
      <formula1>PriceAreaConnection!A2:A1000</formula1>
    </dataValidation>
    <dataValidation type="list" allowBlank="1" showInputMessage="1" showErrorMessage="1" sqref="D194">
      <formula1>PriceAreaConnection!A2:A1000</formula1>
    </dataValidation>
    <dataValidation type="list" allowBlank="1" showInputMessage="1" showErrorMessage="1" sqref="D195">
      <formula1>PriceAreaConnection!A2:A1000</formula1>
    </dataValidation>
    <dataValidation type="list" allowBlank="1" showInputMessage="1" showErrorMessage="1" sqref="D196">
      <formula1>PriceAreaConnection!A2:A1000</formula1>
    </dataValidation>
    <dataValidation type="list" allowBlank="1" showInputMessage="1" showErrorMessage="1" sqref="D197">
      <formula1>PriceAreaConnection!A2:A1000</formula1>
    </dataValidation>
    <dataValidation type="list" allowBlank="1" showInputMessage="1" showErrorMessage="1" sqref="D198">
      <formula1>PriceAreaConnection!A2:A1000</formula1>
    </dataValidation>
    <dataValidation type="list" allowBlank="1" showInputMessage="1" showErrorMessage="1" sqref="D199">
      <formula1>PriceAreaConnection!A2:A1000</formula1>
    </dataValidation>
    <dataValidation type="list" allowBlank="1" showInputMessage="1" showErrorMessage="1" sqref="D200">
      <formula1>PriceAreaConnection!A2:A1000</formula1>
    </dataValidation>
    <dataValidation type="list" allowBlank="1" showInputMessage="1" showErrorMessage="1" sqref="D201">
      <formula1>PriceAreaConnection!A2:A1000</formula1>
    </dataValidation>
    <dataValidation type="list" allowBlank="1" showInputMessage="1" showErrorMessage="1" sqref="D202">
      <formula1>PriceAreaConnection!A2:A1000</formula1>
    </dataValidation>
    <dataValidation type="list" allowBlank="1" showInputMessage="1" showErrorMessage="1" sqref="D203">
      <formula1>PriceAreaConnection!A2:A1000</formula1>
    </dataValidation>
    <dataValidation type="list" allowBlank="1" showInputMessage="1" showErrorMessage="1" sqref="D204">
      <formula1>PriceAreaConnection!A2:A1000</formula1>
    </dataValidation>
    <dataValidation type="list" allowBlank="1" showInputMessage="1" showErrorMessage="1" sqref="D205">
      <formula1>PriceAreaConnection!A2:A1000</formula1>
    </dataValidation>
    <dataValidation type="list" allowBlank="1" showInputMessage="1" showErrorMessage="1" sqref="D206">
      <formula1>PriceAreaConnection!A2:A1000</formula1>
    </dataValidation>
    <dataValidation type="list" allowBlank="1" showInputMessage="1" showErrorMessage="1" sqref="D207">
      <formula1>PriceAreaConnection!A2:A1000</formula1>
    </dataValidation>
    <dataValidation type="list" allowBlank="1" showInputMessage="1" showErrorMessage="1" sqref="D208">
      <formula1>PriceAreaConnection!A2:A1000</formula1>
    </dataValidation>
    <dataValidation type="list" allowBlank="1" showInputMessage="1" showErrorMessage="1" sqref="D209">
      <formula1>PriceAreaConnection!A2:A1000</formula1>
    </dataValidation>
    <dataValidation type="list" allowBlank="1" showInputMessage="1" showErrorMessage="1" sqref="D210">
      <formula1>PriceAreaConnection!A2:A1000</formula1>
    </dataValidation>
    <dataValidation type="list" allowBlank="1" showInputMessage="1" showErrorMessage="1" sqref="D211">
      <formula1>PriceAreaConnection!A2:A1000</formula1>
    </dataValidation>
    <dataValidation type="list" allowBlank="1" showInputMessage="1" showErrorMessage="1" sqref="D212">
      <formula1>PriceAreaConnection!A2:A1000</formula1>
    </dataValidation>
    <dataValidation type="list" allowBlank="1" showInputMessage="1" showErrorMessage="1" sqref="D213">
      <formula1>PriceAreaConnection!A2:A1000</formula1>
    </dataValidation>
    <dataValidation type="list" allowBlank="1" showInputMessage="1" showErrorMessage="1" sqref="D214">
      <formula1>PriceAreaConnection!A2:A1000</formula1>
    </dataValidation>
    <dataValidation type="list" allowBlank="1" showInputMessage="1" showErrorMessage="1" sqref="D215">
      <formula1>PriceAreaConnection!A2:A1000</formula1>
    </dataValidation>
    <dataValidation type="list" allowBlank="1" showInputMessage="1" showErrorMessage="1" sqref="D216">
      <formula1>PriceAreaConnection!A2:A1000</formula1>
    </dataValidation>
    <dataValidation type="list" allowBlank="1" showInputMessage="1" showErrorMessage="1" sqref="D217">
      <formula1>PriceAreaConnection!A2:A1000</formula1>
    </dataValidation>
    <dataValidation type="list" allowBlank="1" showInputMessage="1" showErrorMessage="1" sqref="D218">
      <formula1>PriceAreaConnection!A2:A1000</formula1>
    </dataValidation>
    <dataValidation type="list" allowBlank="1" showInputMessage="1" showErrorMessage="1" sqref="D219">
      <formula1>PriceAreaConnection!A2:A1000</formula1>
    </dataValidation>
    <dataValidation type="list" allowBlank="1" showInputMessage="1" showErrorMessage="1" sqref="D220">
      <formula1>PriceAreaConnection!A2:A1000</formula1>
    </dataValidation>
    <dataValidation type="list" allowBlank="1" showInputMessage="1" showErrorMessage="1" sqref="D221">
      <formula1>PriceAreaConnection!A2:A1000</formula1>
    </dataValidation>
    <dataValidation type="list" allowBlank="1" showInputMessage="1" showErrorMessage="1" sqref="D222">
      <formula1>PriceAreaConnection!A2:A1000</formula1>
    </dataValidation>
    <dataValidation type="list" allowBlank="1" showInputMessage="1" showErrorMessage="1" sqref="D223">
      <formula1>PriceAreaConnection!A2:A1000</formula1>
    </dataValidation>
    <dataValidation type="list" allowBlank="1" showInputMessage="1" showErrorMessage="1" sqref="D224">
      <formula1>PriceAreaConnection!A2:A1000</formula1>
    </dataValidation>
    <dataValidation type="list" allowBlank="1" showInputMessage="1" showErrorMessage="1" sqref="D225">
      <formula1>PriceAreaConnection!A2:A1000</formula1>
    </dataValidation>
    <dataValidation type="list" allowBlank="1" showInputMessage="1" showErrorMessage="1" sqref="D226">
      <formula1>PriceAreaConnection!A2:A1000</formula1>
    </dataValidation>
    <dataValidation type="list" allowBlank="1" showInputMessage="1" showErrorMessage="1" sqref="D227">
      <formula1>PriceAreaConnection!A2:A1000</formula1>
    </dataValidation>
    <dataValidation type="list" allowBlank="1" showInputMessage="1" showErrorMessage="1" sqref="D228">
      <formula1>PriceAreaConnection!A2:A1000</formula1>
    </dataValidation>
    <dataValidation type="list" allowBlank="1" showInputMessage="1" showErrorMessage="1" sqref="D229">
      <formula1>PriceAreaConnection!A2:A1000</formula1>
    </dataValidation>
    <dataValidation type="list" allowBlank="1" showInputMessage="1" showErrorMessage="1" sqref="D230">
      <formula1>PriceAreaConnection!A2:A1000</formula1>
    </dataValidation>
    <dataValidation type="list" allowBlank="1" showInputMessage="1" showErrorMessage="1" sqref="D231">
      <formula1>PriceAreaConnection!A2:A1000</formula1>
    </dataValidation>
    <dataValidation type="list" allowBlank="1" showInputMessage="1" showErrorMessage="1" sqref="D232">
      <formula1>PriceAreaConnection!A2:A1000</formula1>
    </dataValidation>
    <dataValidation type="list" allowBlank="1" showInputMessage="1" showErrorMessage="1" sqref="D233">
      <formula1>PriceAreaConnection!A2:A1000</formula1>
    </dataValidation>
    <dataValidation type="list" allowBlank="1" showInputMessage="1" showErrorMessage="1" sqref="D234">
      <formula1>PriceAreaConnection!A2:A1000</formula1>
    </dataValidation>
    <dataValidation type="list" allowBlank="1" showInputMessage="1" showErrorMessage="1" sqref="D235">
      <formula1>PriceAreaConnection!A2:A1000</formula1>
    </dataValidation>
    <dataValidation type="list" allowBlank="1" showInputMessage="1" showErrorMessage="1" sqref="D236">
      <formula1>PriceAreaConnection!A2:A1000</formula1>
    </dataValidation>
    <dataValidation type="list" allowBlank="1" showInputMessage="1" showErrorMessage="1" sqref="D237">
      <formula1>PriceAreaConnection!A2:A1000</formula1>
    </dataValidation>
    <dataValidation type="list" allowBlank="1" showInputMessage="1" showErrorMessage="1" sqref="D238">
      <formula1>PriceAreaConnection!A2:A1000</formula1>
    </dataValidation>
    <dataValidation type="list" allowBlank="1" showInputMessage="1" showErrorMessage="1" sqref="D239">
      <formula1>PriceAreaConnection!A2:A1000</formula1>
    </dataValidation>
    <dataValidation type="list" allowBlank="1" showInputMessage="1" showErrorMessage="1" sqref="D240">
      <formula1>PriceAreaConnection!A2:A1000</formula1>
    </dataValidation>
    <dataValidation type="list" allowBlank="1" showInputMessage="1" showErrorMessage="1" sqref="D241">
      <formula1>PriceAreaConnection!A2:A1000</formula1>
    </dataValidation>
    <dataValidation type="list" allowBlank="1" showInputMessage="1" showErrorMessage="1" sqref="D242">
      <formula1>PriceAreaConnection!A2:A1000</formula1>
    </dataValidation>
    <dataValidation type="list" allowBlank="1" showInputMessage="1" showErrorMessage="1" sqref="D243">
      <formula1>PriceAreaConnection!A2:A1000</formula1>
    </dataValidation>
    <dataValidation type="list" allowBlank="1" showInputMessage="1" showErrorMessage="1" sqref="D244">
      <formula1>PriceAreaConnection!A2:A1000</formula1>
    </dataValidation>
    <dataValidation type="list" allowBlank="1" showInputMessage="1" showErrorMessage="1" sqref="D245">
      <formula1>PriceAreaConnection!A2:A1000</formula1>
    </dataValidation>
    <dataValidation type="list" allowBlank="1" showInputMessage="1" showErrorMessage="1" sqref="D246">
      <formula1>PriceAreaConnection!A2:A1000</formula1>
    </dataValidation>
    <dataValidation type="list" allowBlank="1" showInputMessage="1" showErrorMessage="1" sqref="D247">
      <formula1>PriceAreaConnection!A2:A1000</formula1>
    </dataValidation>
    <dataValidation type="list" allowBlank="1" showInputMessage="1" showErrorMessage="1" sqref="D248">
      <formula1>PriceAreaConnection!A2:A1000</formula1>
    </dataValidation>
    <dataValidation type="list" allowBlank="1" showInputMessage="1" showErrorMessage="1" sqref="D249">
      <formula1>PriceAreaConnection!A2:A1000</formula1>
    </dataValidation>
    <dataValidation type="list" allowBlank="1" showInputMessage="1" showErrorMessage="1" sqref="D250">
      <formula1>PriceAreaConnection!A2:A1000</formula1>
    </dataValidation>
    <dataValidation type="list" allowBlank="1" showInputMessage="1" showErrorMessage="1" sqref="D251">
      <formula1>PriceAreaConnection!A2:A1000</formula1>
    </dataValidation>
    <dataValidation type="list" allowBlank="1" showInputMessage="1" showErrorMessage="1" sqref="D252">
      <formula1>PriceAreaConnection!A2:A1000</formula1>
    </dataValidation>
    <dataValidation type="list" allowBlank="1" showInputMessage="1" showErrorMessage="1" sqref="D253">
      <formula1>PriceAreaConnection!A2:A1000</formula1>
    </dataValidation>
    <dataValidation type="list" allowBlank="1" showInputMessage="1" showErrorMessage="1" sqref="D254">
      <formula1>PriceAreaConnection!A2:A1000</formula1>
    </dataValidation>
    <dataValidation type="list" allowBlank="1" showInputMessage="1" showErrorMessage="1" sqref="D255">
      <formula1>PriceAreaConnection!A2:A1000</formula1>
    </dataValidation>
    <dataValidation type="list" allowBlank="1" showInputMessage="1" showErrorMessage="1" sqref="D256">
      <formula1>PriceAreaConnection!A2:A1000</formula1>
    </dataValidation>
    <dataValidation type="list" allowBlank="1" showInputMessage="1" showErrorMessage="1" sqref="D257">
      <formula1>PriceAreaConnection!A2:A1000</formula1>
    </dataValidation>
    <dataValidation type="list" allowBlank="1" showInputMessage="1" showErrorMessage="1" sqref="D258">
      <formula1>PriceAreaConnection!A2:A1000</formula1>
    </dataValidation>
    <dataValidation type="list" allowBlank="1" showInputMessage="1" showErrorMessage="1" sqref="D259">
      <formula1>PriceAreaConnection!A2:A1000</formula1>
    </dataValidation>
    <dataValidation type="list" allowBlank="1" showInputMessage="1" showErrorMessage="1" sqref="D260">
      <formula1>PriceAreaConnection!A2:A1000</formula1>
    </dataValidation>
    <dataValidation type="list" allowBlank="1" showInputMessage="1" showErrorMessage="1" sqref="D261">
      <formula1>PriceAreaConnection!A2:A1000</formula1>
    </dataValidation>
    <dataValidation type="list" allowBlank="1" showInputMessage="1" showErrorMessage="1" sqref="D262">
      <formula1>PriceAreaConnection!A2:A1000</formula1>
    </dataValidation>
    <dataValidation type="list" allowBlank="1" showInputMessage="1" showErrorMessage="1" sqref="D263">
      <formula1>PriceAreaConnection!A2:A1000</formula1>
    </dataValidation>
    <dataValidation type="list" allowBlank="1" showInputMessage="1" showErrorMessage="1" sqref="D264">
      <formula1>PriceAreaConnection!A2:A1000</formula1>
    </dataValidation>
    <dataValidation type="list" allowBlank="1" showInputMessage="1" showErrorMessage="1" sqref="D265">
      <formula1>PriceAreaConnection!A2:A1000</formula1>
    </dataValidation>
    <dataValidation type="list" allowBlank="1" showInputMessage="1" showErrorMessage="1" sqref="D266">
      <formula1>PriceAreaConnection!A2:A1000</formula1>
    </dataValidation>
    <dataValidation type="list" allowBlank="1" showInputMessage="1" showErrorMessage="1" sqref="D267">
      <formula1>PriceAreaConnection!A2:A1000</formula1>
    </dataValidation>
    <dataValidation type="list" allowBlank="1" showInputMessage="1" showErrorMessage="1" sqref="D268">
      <formula1>PriceAreaConnection!A2:A1000</formula1>
    </dataValidation>
    <dataValidation type="list" allowBlank="1" showInputMessage="1" showErrorMessage="1" sqref="D269">
      <formula1>PriceAreaConnection!A2:A1000</formula1>
    </dataValidation>
    <dataValidation type="list" allowBlank="1" showInputMessage="1" showErrorMessage="1" sqref="D270">
      <formula1>PriceAreaConnection!A2:A1000</formula1>
    </dataValidation>
    <dataValidation type="list" allowBlank="1" showInputMessage="1" showErrorMessage="1" sqref="D271">
      <formula1>PriceAreaConnection!A2:A1000</formula1>
    </dataValidation>
    <dataValidation type="list" allowBlank="1" showInputMessage="1" showErrorMessage="1" sqref="D272">
      <formula1>PriceAreaConnection!A2:A1000</formula1>
    </dataValidation>
    <dataValidation type="list" allowBlank="1" showInputMessage="1" showErrorMessage="1" sqref="D273">
      <formula1>PriceAreaConnection!A2:A1000</formula1>
    </dataValidation>
    <dataValidation type="list" allowBlank="1" showInputMessage="1" showErrorMessage="1" sqref="D274">
      <formula1>PriceAreaConnection!A2:A1000</formula1>
    </dataValidation>
    <dataValidation type="list" allowBlank="1" showInputMessage="1" showErrorMessage="1" sqref="D275">
      <formula1>PriceAreaConnection!A2:A1000</formula1>
    </dataValidation>
    <dataValidation type="list" allowBlank="1" showInputMessage="1" showErrorMessage="1" sqref="D276">
      <formula1>PriceAreaConnection!A2:A1000</formula1>
    </dataValidation>
    <dataValidation type="list" allowBlank="1" showInputMessage="1" showErrorMessage="1" sqref="D277">
      <formula1>PriceAreaConnection!A2:A1000</formula1>
    </dataValidation>
    <dataValidation type="list" allowBlank="1" showInputMessage="1" showErrorMessage="1" sqref="D278">
      <formula1>PriceAreaConnection!A2:A1000</formula1>
    </dataValidation>
    <dataValidation type="list" allowBlank="1" showInputMessage="1" showErrorMessage="1" sqref="D279">
      <formula1>PriceAreaConnection!A2:A1000</formula1>
    </dataValidation>
    <dataValidation type="list" allowBlank="1" showInputMessage="1" showErrorMessage="1" sqref="D280">
      <formula1>PriceAreaConnection!A2:A1000</formula1>
    </dataValidation>
    <dataValidation type="list" allowBlank="1" showInputMessage="1" showErrorMessage="1" sqref="D281">
      <formula1>PriceAreaConnection!A2:A1000</formula1>
    </dataValidation>
    <dataValidation type="list" allowBlank="1" showInputMessage="1" showErrorMessage="1" sqref="D282">
      <formula1>PriceAreaConnection!A2:A1000</formula1>
    </dataValidation>
    <dataValidation type="list" allowBlank="1" showInputMessage="1" showErrorMessage="1" sqref="D283">
      <formula1>PriceAreaConnection!A2:A1000</formula1>
    </dataValidation>
    <dataValidation type="list" allowBlank="1" showInputMessage="1" showErrorMessage="1" sqref="D284">
      <formula1>PriceAreaConnection!A2:A1000</formula1>
    </dataValidation>
    <dataValidation type="list" allowBlank="1" showInputMessage="1" showErrorMessage="1" sqref="D285">
      <formula1>PriceAreaConnection!A2:A1000</formula1>
    </dataValidation>
    <dataValidation type="list" allowBlank="1" showInputMessage="1" showErrorMessage="1" sqref="D286">
      <formula1>PriceAreaConnection!A2:A1000</formula1>
    </dataValidation>
    <dataValidation type="list" allowBlank="1" showInputMessage="1" showErrorMessage="1" sqref="D287">
      <formula1>PriceAreaConnection!A2:A1000</formula1>
    </dataValidation>
    <dataValidation type="list" allowBlank="1" showInputMessage="1" showErrorMessage="1" sqref="D288">
      <formula1>PriceAreaConnection!A2:A1000</formula1>
    </dataValidation>
    <dataValidation type="list" allowBlank="1" showInputMessage="1" showErrorMessage="1" sqref="D289">
      <formula1>PriceAreaConnection!A2:A1000</formula1>
    </dataValidation>
    <dataValidation type="list" allowBlank="1" showInputMessage="1" showErrorMessage="1" sqref="D290">
      <formula1>PriceAreaConnection!A2:A1000</formula1>
    </dataValidation>
    <dataValidation type="list" allowBlank="1" showInputMessage="1" showErrorMessage="1" sqref="D291">
      <formula1>PriceAreaConnection!A2:A1000</formula1>
    </dataValidation>
    <dataValidation type="list" allowBlank="1" showInputMessage="1" showErrorMessage="1" sqref="D292">
      <formula1>PriceAreaConnection!A2:A1000</formula1>
    </dataValidation>
    <dataValidation type="list" allowBlank="1" showInputMessage="1" showErrorMessage="1" sqref="D293">
      <formula1>PriceAreaConnection!A2:A1000</formula1>
    </dataValidation>
    <dataValidation type="list" allowBlank="1" showInputMessage="1" showErrorMessage="1" sqref="D294">
      <formula1>PriceAreaConnection!A2:A1000</formula1>
    </dataValidation>
    <dataValidation type="list" allowBlank="1" showInputMessage="1" showErrorMessage="1" sqref="D295">
      <formula1>PriceAreaConnection!A2:A1000</formula1>
    </dataValidation>
    <dataValidation type="list" allowBlank="1" showInputMessage="1" showErrorMessage="1" sqref="D296">
      <formula1>PriceAreaConnection!A2:A1000</formula1>
    </dataValidation>
    <dataValidation type="list" allowBlank="1" showInputMessage="1" showErrorMessage="1" sqref="D297">
      <formula1>PriceAreaConnection!A2:A1000</formula1>
    </dataValidation>
    <dataValidation type="list" allowBlank="1" showInputMessage="1" showErrorMessage="1" sqref="D298">
      <formula1>PriceAreaConnection!A2:A1000</formula1>
    </dataValidation>
    <dataValidation type="list" allowBlank="1" showInputMessage="1" showErrorMessage="1" sqref="D299">
      <formula1>PriceAreaConnection!A2:A1000</formula1>
    </dataValidation>
    <dataValidation type="list" allowBlank="1" showInputMessage="1" showErrorMessage="1" sqref="D300">
      <formula1>PriceAreaConnection!A2:A1000</formula1>
    </dataValidation>
    <dataValidation type="list" allowBlank="1" showInputMessage="1" showErrorMessage="1" sqref="D301">
      <formula1>PriceAreaConnection!A2:A1000</formula1>
    </dataValidation>
    <dataValidation type="list" allowBlank="1" showInputMessage="1" showErrorMessage="1" sqref="D302">
      <formula1>PriceAreaConnection!A2:A1000</formula1>
    </dataValidation>
    <dataValidation type="list" allowBlank="1" showInputMessage="1" showErrorMessage="1" sqref="D303">
      <formula1>PriceAreaConnection!A2:A1000</formula1>
    </dataValidation>
    <dataValidation type="list" allowBlank="1" showInputMessage="1" showErrorMessage="1" sqref="D304">
      <formula1>PriceAreaConnection!A2:A1000</formula1>
    </dataValidation>
    <dataValidation type="list" allowBlank="1" showInputMessage="1" showErrorMessage="1" sqref="D305">
      <formula1>PriceAreaConnection!A2:A1000</formula1>
    </dataValidation>
    <dataValidation type="list" allowBlank="1" showInputMessage="1" showErrorMessage="1" sqref="D306">
      <formula1>PriceAreaConnection!A2:A1000</formula1>
    </dataValidation>
    <dataValidation type="list" allowBlank="1" showInputMessage="1" showErrorMessage="1" sqref="D307">
      <formula1>PriceAreaConnection!A2:A1000</formula1>
    </dataValidation>
    <dataValidation type="list" allowBlank="1" showInputMessage="1" showErrorMessage="1" sqref="D308">
      <formula1>PriceAreaConnection!A2:A1000</formula1>
    </dataValidation>
    <dataValidation type="list" allowBlank="1" showInputMessage="1" showErrorMessage="1" sqref="D309">
      <formula1>PriceAreaConnection!A2:A1000</formula1>
    </dataValidation>
    <dataValidation type="list" allowBlank="1" showInputMessage="1" showErrorMessage="1" sqref="D310">
      <formula1>PriceAreaConnection!A2:A1000</formula1>
    </dataValidation>
    <dataValidation type="list" allowBlank="1" showInputMessage="1" showErrorMessage="1" sqref="D311">
      <formula1>PriceAreaConnection!A2:A1000</formula1>
    </dataValidation>
    <dataValidation type="list" allowBlank="1" showInputMessage="1" showErrorMessage="1" sqref="D312">
      <formula1>PriceAreaConnection!A2:A1000</formula1>
    </dataValidation>
    <dataValidation type="list" allowBlank="1" showInputMessage="1" showErrorMessage="1" sqref="D313">
      <formula1>PriceAreaConnection!A2:A1000</formula1>
    </dataValidation>
    <dataValidation type="list" allowBlank="1" showInputMessage="1" showErrorMessage="1" sqref="D314">
      <formula1>PriceAreaConnection!A2:A1000</formula1>
    </dataValidation>
    <dataValidation type="list" allowBlank="1" showInputMessage="1" showErrorMessage="1" sqref="D315">
      <formula1>PriceAreaConnection!A2:A1000</formula1>
    </dataValidation>
    <dataValidation type="list" allowBlank="1" showInputMessage="1" showErrorMessage="1" sqref="D316">
      <formula1>PriceAreaConnection!A2:A1000</formula1>
    </dataValidation>
    <dataValidation type="list" allowBlank="1" showInputMessage="1" showErrorMessage="1" sqref="D317">
      <formula1>PriceAreaConnection!A2:A1000</formula1>
    </dataValidation>
    <dataValidation type="list" allowBlank="1" showInputMessage="1" showErrorMessage="1" sqref="D318">
      <formula1>PriceAreaConnection!A2:A1000</formula1>
    </dataValidation>
    <dataValidation type="list" allowBlank="1" showInputMessage="1" showErrorMessage="1" sqref="D319">
      <formula1>PriceAreaConnection!A2:A1000</formula1>
    </dataValidation>
    <dataValidation type="list" allowBlank="1" showInputMessage="1" showErrorMessage="1" sqref="D320">
      <formula1>PriceAreaConnection!A2:A1000</formula1>
    </dataValidation>
    <dataValidation type="list" allowBlank="1" showInputMessage="1" showErrorMessage="1" sqref="D321">
      <formula1>PriceAreaConnection!A2:A1000</formula1>
    </dataValidation>
    <dataValidation type="list" allowBlank="1" showInputMessage="1" showErrorMessage="1" sqref="D322">
      <formula1>PriceAreaConnection!A2:A1000</formula1>
    </dataValidation>
    <dataValidation type="list" allowBlank="1" showInputMessage="1" showErrorMessage="1" sqref="D323">
      <formula1>PriceAreaConnection!A2:A1000</formula1>
    </dataValidation>
    <dataValidation type="list" allowBlank="1" showInputMessage="1" showErrorMessage="1" sqref="D324">
      <formula1>PriceAreaConnection!A2:A1000</formula1>
    </dataValidation>
    <dataValidation type="list" allowBlank="1" showInputMessage="1" showErrorMessage="1" sqref="D325">
      <formula1>PriceAreaConnection!A2:A1000</formula1>
    </dataValidation>
    <dataValidation type="list" allowBlank="1" showInputMessage="1" showErrorMessage="1" sqref="D326">
      <formula1>PriceAreaConnection!A2:A1000</formula1>
    </dataValidation>
    <dataValidation type="list" allowBlank="1" showInputMessage="1" showErrorMessage="1" sqref="D327">
      <formula1>PriceAreaConnection!A2:A1000</formula1>
    </dataValidation>
    <dataValidation type="list" allowBlank="1" showInputMessage="1" showErrorMessage="1" sqref="D328">
      <formula1>PriceAreaConnection!A2:A1000</formula1>
    </dataValidation>
    <dataValidation type="list" allowBlank="1" showInputMessage="1" showErrorMessage="1" sqref="D329">
      <formula1>PriceAreaConnection!A2:A1000</formula1>
    </dataValidation>
    <dataValidation type="list" allowBlank="1" showInputMessage="1" showErrorMessage="1" sqref="D330">
      <formula1>PriceAreaConnection!A2:A1000</formula1>
    </dataValidation>
    <dataValidation type="list" allowBlank="1" showInputMessage="1" showErrorMessage="1" sqref="D331">
      <formula1>PriceAreaConnection!A2:A1000</formula1>
    </dataValidation>
    <dataValidation type="list" allowBlank="1" showInputMessage="1" showErrorMessage="1" sqref="D332">
      <formula1>PriceAreaConnection!A2:A1000</formula1>
    </dataValidation>
    <dataValidation type="list" allowBlank="1" showInputMessage="1" showErrorMessage="1" sqref="D333">
      <formula1>PriceAreaConnection!A2:A1000</formula1>
    </dataValidation>
    <dataValidation type="list" allowBlank="1" showInputMessage="1" showErrorMessage="1" sqref="D334">
      <formula1>PriceAreaConnection!A2:A1000</formula1>
    </dataValidation>
    <dataValidation type="list" allowBlank="1" showInputMessage="1" showErrorMessage="1" sqref="D335">
      <formula1>PriceAreaConnection!A2:A1000</formula1>
    </dataValidation>
    <dataValidation type="list" allowBlank="1" showInputMessage="1" showErrorMessage="1" sqref="D336">
      <formula1>PriceAreaConnection!A2:A1000</formula1>
    </dataValidation>
    <dataValidation type="list" allowBlank="1" showInputMessage="1" showErrorMessage="1" sqref="D337">
      <formula1>PriceAreaConnection!A2:A1000</formula1>
    </dataValidation>
    <dataValidation type="list" allowBlank="1" showInputMessage="1" showErrorMessage="1" sqref="D338">
      <formula1>PriceAreaConnection!A2:A1000</formula1>
    </dataValidation>
    <dataValidation type="list" allowBlank="1" showInputMessage="1" showErrorMessage="1" sqref="D339">
      <formula1>PriceAreaConnection!A2:A1000</formula1>
    </dataValidation>
    <dataValidation type="list" allowBlank="1" showInputMessage="1" showErrorMessage="1" sqref="D340">
      <formula1>PriceAreaConnection!A2:A1000</formula1>
    </dataValidation>
    <dataValidation type="list" allowBlank="1" showInputMessage="1" showErrorMessage="1" sqref="D341">
      <formula1>PriceAreaConnection!A2:A1000</formula1>
    </dataValidation>
    <dataValidation type="list" allowBlank="1" showInputMessage="1" showErrorMessage="1" sqref="D342">
      <formula1>PriceAreaConnection!A2:A1000</formula1>
    </dataValidation>
    <dataValidation type="list" allowBlank="1" showInputMessage="1" showErrorMessage="1" sqref="D343">
      <formula1>PriceAreaConnection!A2:A1000</formula1>
    </dataValidation>
    <dataValidation type="list" allowBlank="1" showInputMessage="1" showErrorMessage="1" sqref="D344">
      <formula1>PriceAreaConnection!A2:A1000</formula1>
    </dataValidation>
    <dataValidation type="list" allowBlank="1" showInputMessage="1" showErrorMessage="1" sqref="D345">
      <formula1>PriceAreaConnection!A2:A1000</formula1>
    </dataValidation>
    <dataValidation type="list" allowBlank="1" showInputMessage="1" showErrorMessage="1" sqref="D346">
      <formula1>PriceAreaConnection!A2:A1000</formula1>
    </dataValidation>
    <dataValidation type="list" allowBlank="1" showInputMessage="1" showErrorMessage="1" sqref="D347">
      <formula1>PriceAreaConnection!A2:A1000</formula1>
    </dataValidation>
    <dataValidation type="list" allowBlank="1" showInputMessage="1" showErrorMessage="1" sqref="D348">
      <formula1>PriceAreaConnection!A2:A1000</formula1>
    </dataValidation>
    <dataValidation type="list" allowBlank="1" showInputMessage="1" showErrorMessage="1" sqref="D349">
      <formula1>PriceAreaConnection!A2:A1000</formula1>
    </dataValidation>
    <dataValidation type="list" allowBlank="1" showInputMessage="1" showErrorMessage="1" sqref="D350">
      <formula1>PriceAreaConnection!A2:A1000</formula1>
    </dataValidation>
    <dataValidation type="list" allowBlank="1" showInputMessage="1" showErrorMessage="1" sqref="D351">
      <formula1>PriceAreaConnection!A2:A1000</formula1>
    </dataValidation>
    <dataValidation type="list" allowBlank="1" showInputMessage="1" showErrorMessage="1" sqref="D352">
      <formula1>PriceAreaConnection!A2:A1000</formula1>
    </dataValidation>
    <dataValidation type="list" allowBlank="1" showInputMessage="1" showErrorMessage="1" sqref="D353">
      <formula1>PriceAreaConnection!A2:A1000</formula1>
    </dataValidation>
    <dataValidation type="list" allowBlank="1" showInputMessage="1" showErrorMessage="1" sqref="D354">
      <formula1>PriceAreaConnection!A2:A1000</formula1>
    </dataValidation>
    <dataValidation type="list" allowBlank="1" showInputMessage="1" showErrorMessage="1" sqref="D355">
      <formula1>PriceAreaConnection!A2:A1000</formula1>
    </dataValidation>
    <dataValidation type="list" allowBlank="1" showInputMessage="1" showErrorMessage="1" sqref="D356">
      <formula1>PriceAreaConnection!A2:A1000</formula1>
    </dataValidation>
    <dataValidation type="list" allowBlank="1" showInputMessage="1" showErrorMessage="1" sqref="D357">
      <formula1>PriceAreaConnection!A2:A1000</formula1>
    </dataValidation>
    <dataValidation type="list" allowBlank="1" showInputMessage="1" showErrorMessage="1" sqref="D358">
      <formula1>PriceAreaConnection!A2:A1000</formula1>
    </dataValidation>
    <dataValidation type="list" allowBlank="1" showInputMessage="1" showErrorMessage="1" sqref="D359">
      <formula1>PriceAreaConnection!A2:A1000</formula1>
    </dataValidation>
    <dataValidation type="list" allowBlank="1" showInputMessage="1" showErrorMessage="1" sqref="D360">
      <formula1>PriceAreaConnection!A2:A1000</formula1>
    </dataValidation>
    <dataValidation type="list" allowBlank="1" showInputMessage="1" showErrorMessage="1" sqref="D361">
      <formula1>PriceAreaConnection!A2:A1000</formula1>
    </dataValidation>
    <dataValidation type="list" allowBlank="1" showInputMessage="1" showErrorMessage="1" sqref="D362">
      <formula1>PriceAreaConnection!A2:A1000</formula1>
    </dataValidation>
    <dataValidation type="list" allowBlank="1" showInputMessage="1" showErrorMessage="1" sqref="D363">
      <formula1>PriceAreaConnection!A2:A1000</formula1>
    </dataValidation>
    <dataValidation type="list" allowBlank="1" showInputMessage="1" showErrorMessage="1" sqref="D364">
      <formula1>PriceAreaConnection!A2:A1000</formula1>
    </dataValidation>
    <dataValidation type="list" allowBlank="1" showInputMessage="1" showErrorMessage="1" sqref="D365">
      <formula1>PriceAreaConnection!A2:A1000</formula1>
    </dataValidation>
    <dataValidation type="list" allowBlank="1" showInputMessage="1" showErrorMessage="1" sqref="D366">
      <formula1>PriceAreaConnection!A2:A1000</formula1>
    </dataValidation>
    <dataValidation type="list" allowBlank="1" showInputMessage="1" showErrorMessage="1" sqref="D367">
      <formula1>PriceAreaConnection!A2:A1000</formula1>
    </dataValidation>
    <dataValidation type="list" allowBlank="1" showInputMessage="1" showErrorMessage="1" sqref="D368">
      <formula1>PriceAreaConnection!A2:A1000</formula1>
    </dataValidation>
    <dataValidation type="list" allowBlank="1" showInputMessage="1" showErrorMessage="1" sqref="D369">
      <formula1>PriceAreaConnection!A2:A1000</formula1>
    </dataValidation>
    <dataValidation type="list" allowBlank="1" showInputMessage="1" showErrorMessage="1" sqref="D370">
      <formula1>PriceAreaConnection!A2:A1000</formula1>
    </dataValidation>
    <dataValidation type="list" allowBlank="1" showInputMessage="1" showErrorMessage="1" sqref="D371">
      <formula1>PriceAreaConnection!A2:A1000</formula1>
    </dataValidation>
    <dataValidation type="list" allowBlank="1" showInputMessage="1" showErrorMessage="1" sqref="D372">
      <formula1>PriceAreaConnection!A2:A1000</formula1>
    </dataValidation>
    <dataValidation type="list" allowBlank="1" showInputMessage="1" showErrorMessage="1" sqref="D373">
      <formula1>PriceAreaConnection!A2:A1000</formula1>
    </dataValidation>
    <dataValidation type="list" allowBlank="1" showInputMessage="1" showErrorMessage="1" sqref="D374">
      <formula1>PriceAreaConnection!A2:A1000</formula1>
    </dataValidation>
    <dataValidation type="list" allowBlank="1" showInputMessage="1" showErrorMessage="1" sqref="D375">
      <formula1>PriceAreaConnection!A2:A1000</formula1>
    </dataValidation>
    <dataValidation type="list" allowBlank="1" showInputMessage="1" showErrorMessage="1" sqref="D376">
      <formula1>PriceAreaConnection!A2:A1000</formula1>
    </dataValidation>
    <dataValidation type="list" allowBlank="1" showInputMessage="1" showErrorMessage="1" sqref="D377">
      <formula1>PriceAreaConnection!A2:A1000</formula1>
    </dataValidation>
    <dataValidation type="list" allowBlank="1" showInputMessage="1" showErrorMessage="1" sqref="D378">
      <formula1>PriceAreaConnection!A2:A1000</formula1>
    </dataValidation>
    <dataValidation type="list" allowBlank="1" showInputMessage="1" showErrorMessage="1" sqref="D379">
      <formula1>PriceAreaConnection!A2:A1000</formula1>
    </dataValidation>
    <dataValidation type="list" allowBlank="1" showInputMessage="1" showErrorMessage="1" sqref="D380">
      <formula1>PriceAreaConnection!A2:A1000</formula1>
    </dataValidation>
    <dataValidation type="list" allowBlank="1" showInputMessage="1" showErrorMessage="1" sqref="D381">
      <formula1>PriceAreaConnection!A2:A1000</formula1>
    </dataValidation>
    <dataValidation type="list" allowBlank="1" showInputMessage="1" showErrorMessage="1" sqref="D382">
      <formula1>PriceAreaConnection!A2:A1000</formula1>
    </dataValidation>
    <dataValidation type="list" allowBlank="1" showInputMessage="1" showErrorMessage="1" sqref="D383">
      <formula1>PriceAreaConnection!A2:A1000</formula1>
    </dataValidation>
    <dataValidation type="list" allowBlank="1" showInputMessage="1" showErrorMessage="1" sqref="D384">
      <formula1>PriceAreaConnection!A2:A1000</formula1>
    </dataValidation>
    <dataValidation type="list" allowBlank="1" showInputMessage="1" showErrorMessage="1" sqref="D385">
      <formula1>PriceAreaConnection!A2:A1000</formula1>
    </dataValidation>
    <dataValidation type="list" allowBlank="1" showInputMessage="1" showErrorMessage="1" sqref="D386">
      <formula1>PriceAreaConnection!A2:A1000</formula1>
    </dataValidation>
    <dataValidation type="list" allowBlank="1" showInputMessage="1" showErrorMessage="1" sqref="D387">
      <formula1>PriceAreaConnection!A2:A1000</formula1>
    </dataValidation>
    <dataValidation type="list" allowBlank="1" showInputMessage="1" showErrorMessage="1" sqref="D388">
      <formula1>PriceAreaConnection!A2:A1000</formula1>
    </dataValidation>
    <dataValidation type="list" allowBlank="1" showInputMessage="1" showErrorMessage="1" sqref="D389">
      <formula1>PriceAreaConnection!A2:A1000</formula1>
    </dataValidation>
    <dataValidation type="list" allowBlank="1" showInputMessage="1" showErrorMessage="1" sqref="D390">
      <formula1>PriceAreaConnection!A2:A1000</formula1>
    </dataValidation>
    <dataValidation type="list" allowBlank="1" showInputMessage="1" showErrorMessage="1" sqref="D391">
      <formula1>PriceAreaConnection!A2:A1000</formula1>
    </dataValidation>
    <dataValidation type="list" allowBlank="1" showInputMessage="1" showErrorMessage="1" sqref="D392">
      <formula1>PriceAreaConnection!A2:A1000</formula1>
    </dataValidation>
    <dataValidation type="list" allowBlank="1" showInputMessage="1" showErrorMessage="1" sqref="D393">
      <formula1>PriceAreaConnection!A2:A1000</formula1>
    </dataValidation>
    <dataValidation type="list" allowBlank="1" showInputMessage="1" showErrorMessage="1" sqref="D394">
      <formula1>PriceAreaConnection!A2:A1000</formula1>
    </dataValidation>
    <dataValidation type="list" allowBlank="1" showInputMessage="1" showErrorMessage="1" sqref="D395">
      <formula1>PriceAreaConnection!A2:A1000</formula1>
    </dataValidation>
    <dataValidation type="list" allowBlank="1" showInputMessage="1" showErrorMessage="1" sqref="D396">
      <formula1>PriceAreaConnection!A2:A1000</formula1>
    </dataValidation>
    <dataValidation type="list" allowBlank="1" showInputMessage="1" showErrorMessage="1" sqref="D397">
      <formula1>PriceAreaConnection!A2:A1000</formula1>
    </dataValidation>
    <dataValidation type="list" allowBlank="1" showInputMessage="1" showErrorMessage="1" sqref="D398">
      <formula1>PriceAreaConnection!A2:A1000</formula1>
    </dataValidation>
    <dataValidation type="list" allowBlank="1" showInputMessage="1" showErrorMessage="1" sqref="D399">
      <formula1>PriceAreaConnection!A2:A1000</formula1>
    </dataValidation>
    <dataValidation type="list" allowBlank="1" showInputMessage="1" showErrorMessage="1" sqref="D400">
      <formula1>PriceAreaConnection!A2:A1000</formula1>
    </dataValidation>
    <dataValidation type="list" allowBlank="1" showInputMessage="1" showErrorMessage="1" sqref="D401">
      <formula1>PriceAreaConnection!A2:A1000</formula1>
    </dataValidation>
    <dataValidation type="list" allowBlank="1" showInputMessage="1" showErrorMessage="1" sqref="D402">
      <formula1>PriceAreaConnection!A2:A1000</formula1>
    </dataValidation>
    <dataValidation type="list" allowBlank="1" showInputMessage="1" showErrorMessage="1" sqref="D403">
      <formula1>PriceAreaConnection!A2:A1000</formula1>
    </dataValidation>
    <dataValidation type="list" allowBlank="1" showInputMessage="1" showErrorMessage="1" sqref="D404">
      <formula1>PriceAreaConnection!A2:A1000</formula1>
    </dataValidation>
    <dataValidation type="list" allowBlank="1" showInputMessage="1" showErrorMessage="1" sqref="D405">
      <formula1>PriceAreaConnection!A2:A1000</formula1>
    </dataValidation>
    <dataValidation type="list" allowBlank="1" showInputMessage="1" showErrorMessage="1" sqref="D406">
      <formula1>PriceAreaConnection!A2:A1000</formula1>
    </dataValidation>
    <dataValidation type="list" allowBlank="1" showInputMessage="1" showErrorMessage="1" sqref="D407">
      <formula1>PriceAreaConnection!A2:A1000</formula1>
    </dataValidation>
    <dataValidation type="list" allowBlank="1" showInputMessage="1" showErrorMessage="1" sqref="D408">
      <formula1>PriceAreaConnection!A2:A1000</formula1>
    </dataValidation>
    <dataValidation type="list" allowBlank="1" showInputMessage="1" showErrorMessage="1" sqref="D409">
      <formula1>PriceAreaConnection!A2:A1000</formula1>
    </dataValidation>
    <dataValidation type="list" allowBlank="1" showInputMessage="1" showErrorMessage="1" sqref="D410">
      <formula1>PriceAreaConnection!A2:A1000</formula1>
    </dataValidation>
    <dataValidation type="list" allowBlank="1" showInputMessage="1" showErrorMessage="1" sqref="D411">
      <formula1>PriceAreaConnection!A2:A1000</formula1>
    </dataValidation>
    <dataValidation type="list" allowBlank="1" showInputMessage="1" showErrorMessage="1" sqref="D412">
      <formula1>PriceAreaConnection!A2:A1000</formula1>
    </dataValidation>
    <dataValidation type="list" allowBlank="1" showInputMessage="1" showErrorMessage="1" sqref="D413">
      <formula1>PriceAreaConnection!A2:A1000</formula1>
    </dataValidation>
    <dataValidation type="list" allowBlank="1" showInputMessage="1" showErrorMessage="1" sqref="D414">
      <formula1>PriceAreaConnection!A2:A1000</formula1>
    </dataValidation>
    <dataValidation type="list" allowBlank="1" showInputMessage="1" showErrorMessage="1" sqref="D415">
      <formula1>PriceAreaConnection!A2:A1000</formula1>
    </dataValidation>
    <dataValidation type="list" allowBlank="1" showInputMessage="1" showErrorMessage="1" sqref="D416">
      <formula1>PriceAreaConnection!A2:A1000</formula1>
    </dataValidation>
    <dataValidation type="list" allowBlank="1" showInputMessage="1" showErrorMessage="1" sqref="D417">
      <formula1>PriceAreaConnection!A2:A1000</formula1>
    </dataValidation>
    <dataValidation type="list" allowBlank="1" showInputMessage="1" showErrorMessage="1" sqref="D418">
      <formula1>PriceAreaConnection!A2:A1000</formula1>
    </dataValidation>
    <dataValidation type="list" allowBlank="1" showInputMessage="1" showErrorMessage="1" sqref="D419">
      <formula1>PriceAreaConnection!A2:A1000</formula1>
    </dataValidation>
    <dataValidation type="list" allowBlank="1" showInputMessage="1" showErrorMessage="1" sqref="D420">
      <formula1>PriceAreaConnection!A2:A1000</formula1>
    </dataValidation>
    <dataValidation type="list" allowBlank="1" showInputMessage="1" showErrorMessage="1" sqref="D421">
      <formula1>PriceAreaConnection!A2:A1000</formula1>
    </dataValidation>
    <dataValidation type="list" allowBlank="1" showInputMessage="1" showErrorMessage="1" sqref="D422">
      <formula1>PriceAreaConnection!A2:A1000</formula1>
    </dataValidation>
    <dataValidation type="list" allowBlank="1" showInputMessage="1" showErrorMessage="1" sqref="D423">
      <formula1>PriceAreaConnection!A2:A1000</formula1>
    </dataValidation>
    <dataValidation type="list" allowBlank="1" showInputMessage="1" showErrorMessage="1" sqref="D424">
      <formula1>PriceAreaConnection!A2:A1000</formula1>
    </dataValidation>
    <dataValidation type="list" allowBlank="1" showInputMessage="1" showErrorMessage="1" sqref="D425">
      <formula1>PriceAreaConnection!A2:A1000</formula1>
    </dataValidation>
    <dataValidation type="list" allowBlank="1" showInputMessage="1" showErrorMessage="1" sqref="D426">
      <formula1>PriceAreaConnection!A2:A1000</formula1>
    </dataValidation>
    <dataValidation type="list" allowBlank="1" showInputMessage="1" showErrorMessage="1" sqref="D427">
      <formula1>PriceAreaConnection!A2:A1000</formula1>
    </dataValidation>
    <dataValidation type="list" allowBlank="1" showInputMessage="1" showErrorMessage="1" sqref="D428">
      <formula1>PriceAreaConnection!A2:A1000</formula1>
    </dataValidation>
    <dataValidation type="list" allowBlank="1" showInputMessage="1" showErrorMessage="1" sqref="D429">
      <formula1>PriceAreaConnection!A2:A1000</formula1>
    </dataValidation>
    <dataValidation type="list" allowBlank="1" showInputMessage="1" showErrorMessage="1" sqref="D430">
      <formula1>PriceAreaConnection!A2:A1000</formula1>
    </dataValidation>
    <dataValidation type="list" allowBlank="1" showInputMessage="1" showErrorMessage="1" sqref="D431">
      <formula1>PriceAreaConnection!A2:A1000</formula1>
    </dataValidation>
    <dataValidation type="list" allowBlank="1" showInputMessage="1" showErrorMessage="1" sqref="D432">
      <formula1>PriceAreaConnection!A2:A1000</formula1>
    </dataValidation>
    <dataValidation type="list" allowBlank="1" showInputMessage="1" showErrorMessage="1" sqref="D433">
      <formula1>PriceAreaConnection!A2:A1000</formula1>
    </dataValidation>
    <dataValidation type="list" allowBlank="1" showInputMessage="1" showErrorMessage="1" sqref="D434">
      <formula1>PriceAreaConnection!A2:A1000</formula1>
    </dataValidation>
    <dataValidation type="list" allowBlank="1" showInputMessage="1" showErrorMessage="1" sqref="D435">
      <formula1>PriceAreaConnection!A2:A1000</formula1>
    </dataValidation>
    <dataValidation type="list" allowBlank="1" showInputMessage="1" showErrorMessage="1" sqref="D436">
      <formula1>PriceAreaConnection!A2:A1000</formula1>
    </dataValidation>
    <dataValidation type="list" allowBlank="1" showInputMessage="1" showErrorMessage="1" sqref="D437">
      <formula1>PriceAreaConnection!A2:A1000</formula1>
    </dataValidation>
    <dataValidation type="list" allowBlank="1" showInputMessage="1" showErrorMessage="1" sqref="D438">
      <formula1>PriceAreaConnection!A2:A1000</formula1>
    </dataValidation>
    <dataValidation type="list" allowBlank="1" showInputMessage="1" showErrorMessage="1" sqref="D439">
      <formula1>PriceAreaConnection!A2:A1000</formula1>
    </dataValidation>
    <dataValidation type="list" allowBlank="1" showInputMessage="1" showErrorMessage="1" sqref="D440">
      <formula1>PriceAreaConnection!A2:A1000</formula1>
    </dataValidation>
    <dataValidation type="list" allowBlank="1" showInputMessage="1" showErrorMessage="1" sqref="D441">
      <formula1>PriceAreaConnection!A2:A1000</formula1>
    </dataValidation>
    <dataValidation type="list" allowBlank="1" showInputMessage="1" showErrorMessage="1" sqref="D442">
      <formula1>PriceAreaConnection!A2:A1000</formula1>
    </dataValidation>
    <dataValidation type="list" allowBlank="1" showInputMessage="1" showErrorMessage="1" sqref="D443">
      <formula1>PriceAreaConnection!A2:A1000</formula1>
    </dataValidation>
    <dataValidation type="list" allowBlank="1" showInputMessage="1" showErrorMessage="1" sqref="D444">
      <formula1>PriceAreaConnection!A2:A1000</formula1>
    </dataValidation>
    <dataValidation type="list" allowBlank="1" showInputMessage="1" showErrorMessage="1" sqref="D445">
      <formula1>PriceAreaConnection!A2:A1000</formula1>
    </dataValidation>
    <dataValidation type="list" allowBlank="1" showInputMessage="1" showErrorMessage="1" sqref="D446">
      <formula1>PriceAreaConnection!A2:A1000</formula1>
    </dataValidation>
    <dataValidation type="list" allowBlank="1" showInputMessage="1" showErrorMessage="1" sqref="D447">
      <formula1>PriceAreaConnection!A2:A1000</formula1>
    </dataValidation>
    <dataValidation type="list" allowBlank="1" showInputMessage="1" showErrorMessage="1" sqref="D448">
      <formula1>PriceAreaConnection!A2:A1000</formula1>
    </dataValidation>
    <dataValidation type="list" allowBlank="1" showInputMessage="1" showErrorMessage="1" sqref="D449">
      <formula1>PriceAreaConnection!A2:A1000</formula1>
    </dataValidation>
    <dataValidation type="list" allowBlank="1" showInputMessage="1" showErrorMessage="1" sqref="D450">
      <formula1>PriceAreaConnection!A2:A1000</formula1>
    </dataValidation>
    <dataValidation type="list" allowBlank="1" showInputMessage="1" showErrorMessage="1" sqref="D451">
      <formula1>PriceAreaConnection!A2:A1000</formula1>
    </dataValidation>
    <dataValidation type="list" allowBlank="1" showInputMessage="1" showErrorMessage="1" sqref="D452">
      <formula1>PriceAreaConnection!A2:A1000</formula1>
    </dataValidation>
    <dataValidation type="list" allowBlank="1" showInputMessage="1" showErrorMessage="1" sqref="D453">
      <formula1>PriceAreaConnection!A2:A1000</formula1>
    </dataValidation>
    <dataValidation type="list" allowBlank="1" showInputMessage="1" showErrorMessage="1" sqref="D454">
      <formula1>PriceAreaConnection!A2:A1000</formula1>
    </dataValidation>
    <dataValidation type="list" allowBlank="1" showInputMessage="1" showErrorMessage="1" sqref="D455">
      <formula1>PriceAreaConnection!A2:A1000</formula1>
    </dataValidation>
    <dataValidation type="list" allowBlank="1" showInputMessage="1" showErrorMessage="1" sqref="D456">
      <formula1>PriceAreaConnection!A2:A1000</formula1>
    </dataValidation>
    <dataValidation type="list" allowBlank="1" showInputMessage="1" showErrorMessage="1" sqref="D457">
      <formula1>PriceAreaConnection!A2:A1000</formula1>
    </dataValidation>
    <dataValidation type="list" allowBlank="1" showInputMessage="1" showErrorMessage="1" sqref="D458">
      <formula1>PriceAreaConnection!A2:A1000</formula1>
    </dataValidation>
    <dataValidation type="list" allowBlank="1" showInputMessage="1" showErrorMessage="1" sqref="D459">
      <formula1>PriceAreaConnection!A2:A1000</formula1>
    </dataValidation>
    <dataValidation type="list" allowBlank="1" showInputMessage="1" showErrorMessage="1" sqref="D460">
      <formula1>PriceAreaConnection!A2:A1000</formula1>
    </dataValidation>
    <dataValidation type="list" allowBlank="1" showInputMessage="1" showErrorMessage="1" sqref="D461">
      <formula1>PriceAreaConnection!A2:A1000</formula1>
    </dataValidation>
    <dataValidation type="list" allowBlank="1" showInputMessage="1" showErrorMessage="1" sqref="D462">
      <formula1>PriceAreaConnection!A2:A1000</formula1>
    </dataValidation>
    <dataValidation type="list" allowBlank="1" showInputMessage="1" showErrorMessage="1" sqref="D463">
      <formula1>PriceAreaConnection!A2:A1000</formula1>
    </dataValidation>
    <dataValidation type="list" allowBlank="1" showInputMessage="1" showErrorMessage="1" sqref="D464">
      <formula1>PriceAreaConnection!A2:A1000</formula1>
    </dataValidation>
    <dataValidation type="list" allowBlank="1" showInputMessage="1" showErrorMessage="1" sqref="D465">
      <formula1>PriceAreaConnection!A2:A1000</formula1>
    </dataValidation>
    <dataValidation type="list" allowBlank="1" showInputMessage="1" showErrorMessage="1" sqref="D466">
      <formula1>PriceAreaConnection!A2:A1000</formula1>
    </dataValidation>
    <dataValidation type="list" allowBlank="1" showInputMessage="1" showErrorMessage="1" sqref="D467">
      <formula1>PriceAreaConnection!A2:A1000</formula1>
    </dataValidation>
    <dataValidation type="list" allowBlank="1" showInputMessage="1" showErrorMessage="1" sqref="D468">
      <formula1>PriceAreaConnection!A2:A1000</formula1>
    </dataValidation>
    <dataValidation type="list" allowBlank="1" showInputMessage="1" showErrorMessage="1" sqref="D469">
      <formula1>PriceAreaConnection!A2:A1000</formula1>
    </dataValidation>
    <dataValidation type="list" allowBlank="1" showInputMessage="1" showErrorMessage="1" sqref="D470">
      <formula1>PriceAreaConnection!A2:A1000</formula1>
    </dataValidation>
    <dataValidation type="list" allowBlank="1" showInputMessage="1" showErrorMessage="1" sqref="D471">
      <formula1>PriceAreaConnection!A2:A1000</formula1>
    </dataValidation>
    <dataValidation type="list" allowBlank="1" showInputMessage="1" showErrorMessage="1" sqref="D472">
      <formula1>PriceAreaConnection!A2:A1000</formula1>
    </dataValidation>
    <dataValidation type="list" allowBlank="1" showInputMessage="1" showErrorMessage="1" sqref="D473">
      <formula1>PriceAreaConnection!A2:A1000</formula1>
    </dataValidation>
    <dataValidation type="list" allowBlank="1" showInputMessage="1" showErrorMessage="1" sqref="D474">
      <formula1>PriceAreaConnection!A2:A1000</formula1>
    </dataValidation>
    <dataValidation type="list" allowBlank="1" showInputMessage="1" showErrorMessage="1" sqref="D475">
      <formula1>PriceAreaConnection!A2:A1000</formula1>
    </dataValidation>
    <dataValidation type="list" allowBlank="1" showInputMessage="1" showErrorMessage="1" sqref="D476">
      <formula1>PriceAreaConnection!A2:A1000</formula1>
    </dataValidation>
    <dataValidation type="list" allowBlank="1" showInputMessage="1" showErrorMessage="1" sqref="D477">
      <formula1>PriceAreaConnection!A2:A1000</formula1>
    </dataValidation>
    <dataValidation type="list" allowBlank="1" showInputMessage="1" showErrorMessage="1" sqref="D478">
      <formula1>PriceAreaConnection!A2:A1000</formula1>
    </dataValidation>
    <dataValidation type="list" allowBlank="1" showInputMessage="1" showErrorMessage="1" sqref="D479">
      <formula1>PriceAreaConnection!A2:A1000</formula1>
    </dataValidation>
    <dataValidation type="list" allowBlank="1" showInputMessage="1" showErrorMessage="1" sqref="D480">
      <formula1>PriceAreaConnection!A2:A1000</formula1>
    </dataValidation>
    <dataValidation type="list" allowBlank="1" showInputMessage="1" showErrorMessage="1" sqref="D481">
      <formula1>PriceAreaConnection!A2:A1000</formula1>
    </dataValidation>
    <dataValidation type="list" allowBlank="1" showInputMessage="1" showErrorMessage="1" sqref="D482">
      <formula1>PriceAreaConnection!A2:A1000</formula1>
    </dataValidation>
    <dataValidation type="list" allowBlank="1" showInputMessage="1" showErrorMessage="1" sqref="D483">
      <formula1>PriceAreaConnection!A2:A1000</formula1>
    </dataValidation>
    <dataValidation type="list" allowBlank="1" showInputMessage="1" showErrorMessage="1" sqref="D484">
      <formula1>PriceAreaConnection!A2:A1000</formula1>
    </dataValidation>
    <dataValidation type="list" allowBlank="1" showInputMessage="1" showErrorMessage="1" sqref="D485">
      <formula1>PriceAreaConnection!A2:A1000</formula1>
    </dataValidation>
    <dataValidation type="list" allowBlank="1" showInputMessage="1" showErrorMessage="1" sqref="D486">
      <formula1>PriceAreaConnection!A2:A1000</formula1>
    </dataValidation>
    <dataValidation type="list" allowBlank="1" showInputMessage="1" showErrorMessage="1" sqref="D487">
      <formula1>PriceAreaConnection!A2:A1000</formula1>
    </dataValidation>
    <dataValidation type="list" allowBlank="1" showInputMessage="1" showErrorMessage="1" sqref="D488">
      <formula1>PriceAreaConnection!A2:A1000</formula1>
    </dataValidation>
    <dataValidation type="list" allowBlank="1" showInputMessage="1" showErrorMessage="1" sqref="D489">
      <formula1>PriceAreaConnection!A2:A1000</formula1>
    </dataValidation>
    <dataValidation type="list" allowBlank="1" showInputMessage="1" showErrorMessage="1" sqref="D490">
      <formula1>PriceAreaConnection!A2:A1000</formula1>
    </dataValidation>
    <dataValidation type="list" allowBlank="1" showInputMessage="1" showErrorMessage="1" sqref="D491">
      <formula1>PriceAreaConnection!A2:A1000</formula1>
    </dataValidation>
    <dataValidation type="list" allowBlank="1" showInputMessage="1" showErrorMessage="1" sqref="D492">
      <formula1>PriceAreaConnection!A2:A1000</formula1>
    </dataValidation>
    <dataValidation type="list" allowBlank="1" showInputMessage="1" showErrorMessage="1" sqref="D493">
      <formula1>PriceAreaConnection!A2:A1000</formula1>
    </dataValidation>
    <dataValidation type="list" allowBlank="1" showInputMessage="1" showErrorMessage="1" sqref="D494">
      <formula1>PriceAreaConnection!A2:A1000</formula1>
    </dataValidation>
    <dataValidation type="list" allowBlank="1" showInputMessage="1" showErrorMessage="1" sqref="D495">
      <formula1>PriceAreaConnection!A2:A1000</formula1>
    </dataValidation>
    <dataValidation type="list" allowBlank="1" showInputMessage="1" showErrorMessage="1" sqref="D496">
      <formula1>PriceAreaConnection!A2:A1000</formula1>
    </dataValidation>
    <dataValidation type="list" allowBlank="1" showInputMessage="1" showErrorMessage="1" sqref="D497">
      <formula1>PriceAreaConnection!A2:A1000</formula1>
    </dataValidation>
    <dataValidation type="list" allowBlank="1" showInputMessage="1" showErrorMessage="1" sqref="D498">
      <formula1>PriceAreaConnection!A2:A1000</formula1>
    </dataValidation>
    <dataValidation type="list" allowBlank="1" showInputMessage="1" showErrorMessage="1" sqref="D499">
      <formula1>PriceAreaConnection!A2:A1000</formula1>
    </dataValidation>
    <dataValidation type="list" allowBlank="1" showInputMessage="1" showErrorMessage="1" sqref="D500">
      <formula1>PriceAreaConnection!A2:A1000</formula1>
    </dataValidation>
    <dataValidation type="list" allowBlank="1" showInputMessage="1" showErrorMessage="1" sqref="D501">
      <formula1>PriceAreaConnection!A2:A1000</formula1>
    </dataValidation>
    <dataValidation type="list" allowBlank="1" showInputMessage="1" showErrorMessage="1" sqref="D502">
      <formula1>PriceAreaConnection!A2:A1000</formula1>
    </dataValidation>
    <dataValidation type="list" allowBlank="1" showInputMessage="1" showErrorMessage="1" sqref="D503">
      <formula1>PriceAreaConnection!A2:A1000</formula1>
    </dataValidation>
    <dataValidation type="list" allowBlank="1" showInputMessage="1" showErrorMessage="1" sqref="D504">
      <formula1>PriceAreaConnection!A2:A1000</formula1>
    </dataValidation>
    <dataValidation type="list" allowBlank="1" showInputMessage="1" showErrorMessage="1" sqref="D505">
      <formula1>PriceAreaConnection!A2:A1000</formula1>
    </dataValidation>
    <dataValidation type="list" allowBlank="1" showInputMessage="1" showErrorMessage="1" sqref="D506">
      <formula1>PriceAreaConnection!A2:A1000</formula1>
    </dataValidation>
    <dataValidation type="list" allowBlank="1" showInputMessage="1" showErrorMessage="1" sqref="D507">
      <formula1>PriceAreaConnection!A2:A1000</formula1>
    </dataValidation>
    <dataValidation type="list" allowBlank="1" showInputMessage="1" showErrorMessage="1" sqref="D508">
      <formula1>PriceAreaConnection!A2:A1000</formula1>
    </dataValidation>
    <dataValidation type="list" allowBlank="1" showInputMessage="1" showErrorMessage="1" sqref="D509">
      <formula1>PriceAreaConnection!A2:A1000</formula1>
    </dataValidation>
    <dataValidation type="list" allowBlank="1" showInputMessage="1" showErrorMessage="1" sqref="D510">
      <formula1>PriceAreaConnection!A2:A1000</formula1>
    </dataValidation>
    <dataValidation type="list" allowBlank="1" showInputMessage="1" showErrorMessage="1" sqref="D511">
      <formula1>PriceAreaConnection!A2:A1000</formula1>
    </dataValidation>
    <dataValidation type="list" allowBlank="1" showInputMessage="1" showErrorMessage="1" sqref="D512">
      <formula1>PriceAreaConnection!A2:A1000</formula1>
    </dataValidation>
    <dataValidation type="list" allowBlank="1" showInputMessage="1" showErrorMessage="1" sqref="D513">
      <formula1>PriceAreaConnection!A2:A1000</formula1>
    </dataValidation>
    <dataValidation type="list" allowBlank="1" showInputMessage="1" showErrorMessage="1" sqref="D514">
      <formula1>PriceAreaConnection!A2:A1000</formula1>
    </dataValidation>
    <dataValidation type="list" allowBlank="1" showInputMessage="1" showErrorMessage="1" sqref="D515">
      <formula1>PriceAreaConnection!A2:A1000</formula1>
    </dataValidation>
    <dataValidation type="list" allowBlank="1" showInputMessage="1" showErrorMessage="1" sqref="D516">
      <formula1>PriceAreaConnection!A2:A1000</formula1>
    </dataValidation>
    <dataValidation type="list" allowBlank="1" showInputMessage="1" showErrorMessage="1" sqref="D517">
      <formula1>PriceAreaConnection!A2:A1000</formula1>
    </dataValidation>
    <dataValidation type="list" allowBlank="1" showInputMessage="1" showErrorMessage="1" sqref="D518">
      <formula1>PriceAreaConnection!A2:A1000</formula1>
    </dataValidation>
    <dataValidation type="list" allowBlank="1" showInputMessage="1" showErrorMessage="1" sqref="D519">
      <formula1>PriceAreaConnection!A2:A1000</formula1>
    </dataValidation>
    <dataValidation type="list" allowBlank="1" showInputMessage="1" showErrorMessage="1" sqref="D520">
      <formula1>PriceAreaConnection!A2:A1000</formula1>
    </dataValidation>
    <dataValidation type="list" allowBlank="1" showInputMessage="1" showErrorMessage="1" sqref="D521">
      <formula1>PriceAreaConnection!A2:A1000</formula1>
    </dataValidation>
    <dataValidation type="list" allowBlank="1" showInputMessage="1" showErrorMessage="1" sqref="D522">
      <formula1>PriceAreaConnection!A2:A1000</formula1>
    </dataValidation>
    <dataValidation type="list" allowBlank="1" showInputMessage="1" showErrorMessage="1" sqref="D523">
      <formula1>PriceAreaConnection!A2:A1000</formula1>
    </dataValidation>
    <dataValidation type="list" allowBlank="1" showInputMessage="1" showErrorMessage="1" sqref="D524">
      <formula1>PriceAreaConnection!A2:A1000</formula1>
    </dataValidation>
    <dataValidation type="list" allowBlank="1" showInputMessage="1" showErrorMessage="1" sqref="D525">
      <formula1>PriceAreaConnection!A2:A1000</formula1>
    </dataValidation>
    <dataValidation type="list" allowBlank="1" showInputMessage="1" showErrorMessage="1" sqref="D526">
      <formula1>PriceAreaConnection!A2:A1000</formula1>
    </dataValidation>
    <dataValidation type="list" allowBlank="1" showInputMessage="1" showErrorMessage="1" sqref="D527">
      <formula1>PriceAreaConnection!A2:A1000</formula1>
    </dataValidation>
    <dataValidation type="list" allowBlank="1" showInputMessage="1" showErrorMessage="1" sqref="D528">
      <formula1>PriceAreaConnection!A2:A1000</formula1>
    </dataValidation>
    <dataValidation type="list" allowBlank="1" showInputMessage="1" showErrorMessage="1" sqref="D529">
      <formula1>PriceAreaConnection!A2:A1000</formula1>
    </dataValidation>
    <dataValidation type="list" allowBlank="1" showInputMessage="1" showErrorMessage="1" sqref="D530">
      <formula1>PriceAreaConnection!A2:A1000</formula1>
    </dataValidation>
    <dataValidation type="list" allowBlank="1" showInputMessage="1" showErrorMessage="1" sqref="D531">
      <formula1>PriceAreaConnection!A2:A1000</formula1>
    </dataValidation>
    <dataValidation type="list" allowBlank="1" showInputMessage="1" showErrorMessage="1" sqref="D532">
      <formula1>PriceAreaConnection!A2:A1000</formula1>
    </dataValidation>
    <dataValidation type="list" allowBlank="1" showInputMessage="1" showErrorMessage="1" sqref="D533">
      <formula1>PriceAreaConnection!A2:A1000</formula1>
    </dataValidation>
    <dataValidation type="list" allowBlank="1" showInputMessage="1" showErrorMessage="1" sqref="D534">
      <formula1>PriceAreaConnection!A2:A1000</formula1>
    </dataValidation>
    <dataValidation type="list" allowBlank="1" showInputMessage="1" showErrorMessage="1" sqref="D535">
      <formula1>PriceAreaConnection!A2:A1000</formula1>
    </dataValidation>
    <dataValidation type="list" allowBlank="1" showInputMessage="1" showErrorMessage="1" sqref="D536">
      <formula1>PriceAreaConnection!A2:A1000</formula1>
    </dataValidation>
    <dataValidation type="list" allowBlank="1" showInputMessage="1" showErrorMessage="1" sqref="D537">
      <formula1>PriceAreaConnection!A2:A1000</formula1>
    </dataValidation>
    <dataValidation type="list" allowBlank="1" showInputMessage="1" showErrorMessage="1" sqref="D538">
      <formula1>PriceAreaConnection!A2:A1000</formula1>
    </dataValidation>
    <dataValidation type="list" allowBlank="1" showInputMessage="1" showErrorMessage="1" sqref="D539">
      <formula1>PriceAreaConnection!A2:A1000</formula1>
    </dataValidation>
    <dataValidation type="list" allowBlank="1" showInputMessage="1" showErrorMessage="1" sqref="D540">
      <formula1>PriceAreaConnection!A2:A1000</formula1>
    </dataValidation>
    <dataValidation type="list" allowBlank="1" showInputMessage="1" showErrorMessage="1" sqref="D541">
      <formula1>PriceAreaConnection!A2:A1000</formula1>
    </dataValidation>
    <dataValidation type="list" allowBlank="1" showInputMessage="1" showErrorMessage="1" sqref="D542">
      <formula1>PriceAreaConnection!A2:A1000</formula1>
    </dataValidation>
    <dataValidation type="list" allowBlank="1" showInputMessage="1" showErrorMessage="1" sqref="D543">
      <formula1>PriceAreaConnection!A2:A1000</formula1>
    </dataValidation>
    <dataValidation type="list" allowBlank="1" showInputMessage="1" showErrorMessage="1" sqref="D544">
      <formula1>PriceAreaConnection!A2:A1000</formula1>
    </dataValidation>
    <dataValidation type="list" allowBlank="1" showInputMessage="1" showErrorMessage="1" sqref="D545">
      <formula1>PriceAreaConnection!A2:A1000</formula1>
    </dataValidation>
    <dataValidation type="list" allowBlank="1" showInputMessage="1" showErrorMessage="1" sqref="D546">
      <formula1>PriceAreaConnection!A2:A1000</formula1>
    </dataValidation>
    <dataValidation type="list" allowBlank="1" showInputMessage="1" showErrorMessage="1" sqref="D547">
      <formula1>PriceAreaConnection!A2:A1000</formula1>
    </dataValidation>
    <dataValidation type="list" allowBlank="1" showInputMessage="1" showErrorMessage="1" sqref="D548">
      <formula1>PriceAreaConnection!A2:A1000</formula1>
    </dataValidation>
    <dataValidation type="list" allowBlank="1" showInputMessage="1" showErrorMessage="1" sqref="D549">
      <formula1>PriceAreaConnection!A2:A1000</formula1>
    </dataValidation>
    <dataValidation type="list" allowBlank="1" showInputMessage="1" showErrorMessage="1" sqref="D550">
      <formula1>PriceAreaConnection!A2:A1000</formula1>
    </dataValidation>
    <dataValidation type="list" allowBlank="1" showInputMessage="1" showErrorMessage="1" sqref="D551">
      <formula1>PriceAreaConnection!A2:A1000</formula1>
    </dataValidation>
    <dataValidation type="list" allowBlank="1" showInputMessage="1" showErrorMessage="1" sqref="D552">
      <formula1>PriceAreaConnection!A2:A1000</formula1>
    </dataValidation>
    <dataValidation type="list" allowBlank="1" showInputMessage="1" showErrorMessage="1" sqref="D553">
      <formula1>PriceAreaConnection!A2:A1000</formula1>
    </dataValidation>
    <dataValidation type="list" allowBlank="1" showInputMessage="1" showErrorMessage="1" sqref="D554">
      <formula1>PriceAreaConnection!A2:A1000</formula1>
    </dataValidation>
    <dataValidation type="list" allowBlank="1" showInputMessage="1" showErrorMessage="1" sqref="D555">
      <formula1>PriceAreaConnection!A2:A1000</formula1>
    </dataValidation>
    <dataValidation type="list" allowBlank="1" showInputMessage="1" showErrorMessage="1" sqref="D556">
      <formula1>PriceAreaConnection!A2:A1000</formula1>
    </dataValidation>
    <dataValidation type="list" allowBlank="1" showInputMessage="1" showErrorMessage="1" sqref="D557">
      <formula1>PriceAreaConnection!A2:A1000</formula1>
    </dataValidation>
    <dataValidation type="list" allowBlank="1" showInputMessage="1" showErrorMessage="1" sqref="D558">
      <formula1>PriceAreaConnection!A2:A1000</formula1>
    </dataValidation>
    <dataValidation type="list" allowBlank="1" showInputMessage="1" showErrorMessage="1" sqref="D559">
      <formula1>PriceAreaConnection!A2:A1000</formula1>
    </dataValidation>
    <dataValidation type="list" allowBlank="1" showInputMessage="1" showErrorMessage="1" sqref="D560">
      <formula1>PriceAreaConnection!A2:A1000</formula1>
    </dataValidation>
    <dataValidation type="list" allowBlank="1" showInputMessage="1" showErrorMessage="1" sqref="D561">
      <formula1>PriceAreaConnection!A2:A1000</formula1>
    </dataValidation>
    <dataValidation type="list" allowBlank="1" showInputMessage="1" showErrorMessage="1" sqref="D562">
      <formula1>PriceAreaConnection!A2:A1000</formula1>
    </dataValidation>
    <dataValidation type="list" allowBlank="1" showInputMessage="1" showErrorMessage="1" sqref="D563">
      <formula1>PriceAreaConnection!A2:A1000</formula1>
    </dataValidation>
    <dataValidation type="list" allowBlank="1" showInputMessage="1" showErrorMessage="1" sqref="D564">
      <formula1>PriceAreaConnection!A2:A1000</formula1>
    </dataValidation>
    <dataValidation type="list" allowBlank="1" showInputMessage="1" showErrorMessage="1" sqref="D565">
      <formula1>PriceAreaConnection!A2:A1000</formula1>
    </dataValidation>
    <dataValidation type="list" allowBlank="1" showInputMessage="1" showErrorMessage="1" sqref="D566">
      <formula1>PriceAreaConnection!A2:A1000</formula1>
    </dataValidation>
    <dataValidation type="list" allowBlank="1" showInputMessage="1" showErrorMessage="1" sqref="D567">
      <formula1>PriceAreaConnection!A2:A1000</formula1>
    </dataValidation>
    <dataValidation type="list" allowBlank="1" showInputMessage="1" showErrorMessage="1" sqref="D568">
      <formula1>PriceAreaConnection!A2:A1000</formula1>
    </dataValidation>
    <dataValidation type="list" allowBlank="1" showInputMessage="1" showErrorMessage="1" sqref="D569">
      <formula1>PriceAreaConnection!A2:A1000</formula1>
    </dataValidation>
    <dataValidation type="list" allowBlank="1" showInputMessage="1" showErrorMessage="1" sqref="D570">
      <formula1>PriceAreaConnection!A2:A1000</formula1>
    </dataValidation>
    <dataValidation type="list" allowBlank="1" showInputMessage="1" showErrorMessage="1" sqref="D571">
      <formula1>PriceAreaConnection!A2:A1000</formula1>
    </dataValidation>
    <dataValidation type="list" allowBlank="1" showInputMessage="1" showErrorMessage="1" sqref="D572">
      <formula1>PriceAreaConnection!A2:A1000</formula1>
    </dataValidation>
    <dataValidation type="list" allowBlank="1" showInputMessage="1" showErrorMessage="1" sqref="D573">
      <formula1>PriceAreaConnection!A2:A1000</formula1>
    </dataValidation>
    <dataValidation type="list" allowBlank="1" showInputMessage="1" showErrorMessage="1" sqref="D574">
      <formula1>PriceAreaConnection!A2:A1000</formula1>
    </dataValidation>
    <dataValidation type="list" allowBlank="1" showInputMessage="1" showErrorMessage="1" sqref="D575">
      <formula1>PriceAreaConnection!A2:A1000</formula1>
    </dataValidation>
    <dataValidation type="list" allowBlank="1" showInputMessage="1" showErrorMessage="1" sqref="D576">
      <formula1>PriceAreaConnection!A2:A1000</formula1>
    </dataValidation>
    <dataValidation type="list" allowBlank="1" showInputMessage="1" showErrorMessage="1" sqref="D577">
      <formula1>PriceAreaConnection!A2:A1000</formula1>
    </dataValidation>
    <dataValidation type="list" allowBlank="1" showInputMessage="1" showErrorMessage="1" sqref="D578">
      <formula1>PriceAreaConnection!A2:A1000</formula1>
    </dataValidation>
    <dataValidation type="list" allowBlank="1" showInputMessage="1" showErrorMessage="1" sqref="D579">
      <formula1>PriceAreaConnection!A2:A1000</formula1>
    </dataValidation>
    <dataValidation type="list" allowBlank="1" showInputMessage="1" showErrorMessage="1" sqref="D580">
      <formula1>PriceAreaConnection!A2:A1000</formula1>
    </dataValidation>
    <dataValidation type="list" allowBlank="1" showInputMessage="1" showErrorMessage="1" sqref="D581">
      <formula1>PriceAreaConnection!A2:A1000</formula1>
    </dataValidation>
    <dataValidation type="list" allowBlank="1" showInputMessage="1" showErrorMessage="1" sqref="D582">
      <formula1>PriceAreaConnection!A2:A1000</formula1>
    </dataValidation>
    <dataValidation type="list" allowBlank="1" showInputMessage="1" showErrorMessage="1" sqref="D583">
      <formula1>PriceAreaConnection!A2:A1000</formula1>
    </dataValidation>
    <dataValidation type="list" allowBlank="1" showInputMessage="1" showErrorMessage="1" sqref="D584">
      <formula1>PriceAreaConnection!A2:A1000</formula1>
    </dataValidation>
    <dataValidation type="list" allowBlank="1" showInputMessage="1" showErrorMessage="1" sqref="D585">
      <formula1>PriceAreaConnection!A2:A1000</formula1>
    </dataValidation>
    <dataValidation type="list" allowBlank="1" showInputMessage="1" showErrorMessage="1" sqref="D586">
      <formula1>PriceAreaConnection!A2:A1000</formula1>
    </dataValidation>
    <dataValidation type="list" allowBlank="1" showInputMessage="1" showErrorMessage="1" sqref="D587">
      <formula1>PriceAreaConnection!A2:A1000</formula1>
    </dataValidation>
    <dataValidation type="list" allowBlank="1" showInputMessage="1" showErrorMessage="1" sqref="D588">
      <formula1>PriceAreaConnection!A2:A1000</formula1>
    </dataValidation>
    <dataValidation type="list" allowBlank="1" showInputMessage="1" showErrorMessage="1" sqref="D589">
      <formula1>PriceAreaConnection!A2:A1000</formula1>
    </dataValidation>
    <dataValidation type="list" allowBlank="1" showInputMessage="1" showErrorMessage="1" sqref="D590">
      <formula1>PriceAreaConnection!A2:A1000</formula1>
    </dataValidation>
    <dataValidation type="list" allowBlank="1" showInputMessage="1" showErrorMessage="1" sqref="D591">
      <formula1>PriceAreaConnection!A2:A1000</formula1>
    </dataValidation>
    <dataValidation type="list" allowBlank="1" showInputMessage="1" showErrorMessage="1" sqref="D592">
      <formula1>PriceAreaConnection!A2:A1000</formula1>
    </dataValidation>
    <dataValidation type="list" allowBlank="1" showInputMessage="1" showErrorMessage="1" sqref="D593">
      <formula1>PriceAreaConnection!A2:A1000</formula1>
    </dataValidation>
    <dataValidation type="list" allowBlank="1" showInputMessage="1" showErrorMessage="1" sqref="D594">
      <formula1>PriceAreaConnection!A2:A1000</formula1>
    </dataValidation>
    <dataValidation type="list" allowBlank="1" showInputMessage="1" showErrorMessage="1" sqref="D595">
      <formula1>PriceAreaConnection!A2:A1000</formula1>
    </dataValidation>
    <dataValidation type="list" allowBlank="1" showInputMessage="1" showErrorMessage="1" sqref="D596">
      <formula1>PriceAreaConnection!A2:A1000</formula1>
    </dataValidation>
    <dataValidation type="list" allowBlank="1" showInputMessage="1" showErrorMessage="1" sqref="D597">
      <formula1>PriceAreaConnection!A2:A1000</formula1>
    </dataValidation>
    <dataValidation type="list" allowBlank="1" showInputMessage="1" showErrorMessage="1" sqref="D598">
      <formula1>PriceAreaConnection!A2:A1000</formula1>
    </dataValidation>
    <dataValidation type="list" allowBlank="1" showInputMessage="1" showErrorMessage="1" sqref="D599">
      <formula1>PriceAreaConnection!A2:A1000</formula1>
    </dataValidation>
    <dataValidation type="list" allowBlank="1" showInputMessage="1" showErrorMessage="1" sqref="D600">
      <formula1>PriceAreaConnection!A2:A1000</formula1>
    </dataValidation>
    <dataValidation type="list" allowBlank="1" showInputMessage="1" showErrorMessage="1" sqref="D601">
      <formula1>PriceAreaConnection!A2:A1000</formula1>
    </dataValidation>
    <dataValidation type="list" allowBlank="1" showInputMessage="1" showErrorMessage="1" sqref="D602">
      <formula1>PriceAreaConnection!A2:A1000</formula1>
    </dataValidation>
    <dataValidation type="list" allowBlank="1" showInputMessage="1" showErrorMessage="1" sqref="D603">
      <formula1>PriceAreaConnection!A2:A1000</formula1>
    </dataValidation>
    <dataValidation type="list" allowBlank="1" showInputMessage="1" showErrorMessage="1" sqref="D604">
      <formula1>PriceAreaConnection!A2:A1000</formula1>
    </dataValidation>
    <dataValidation type="list" allowBlank="1" showInputMessage="1" showErrorMessage="1" sqref="D605">
      <formula1>PriceAreaConnection!A2:A1000</formula1>
    </dataValidation>
    <dataValidation type="list" allowBlank="1" showInputMessage="1" showErrorMessage="1" sqref="D606">
      <formula1>PriceAreaConnection!A2:A1000</formula1>
    </dataValidation>
    <dataValidation type="list" allowBlank="1" showInputMessage="1" showErrorMessage="1" sqref="D607">
      <formula1>PriceAreaConnection!A2:A1000</formula1>
    </dataValidation>
    <dataValidation type="list" allowBlank="1" showInputMessage="1" showErrorMessage="1" sqref="D608">
      <formula1>PriceAreaConnection!A2:A1000</formula1>
    </dataValidation>
    <dataValidation type="list" allowBlank="1" showInputMessage="1" showErrorMessage="1" sqref="D609">
      <formula1>PriceAreaConnection!A2:A1000</formula1>
    </dataValidation>
    <dataValidation type="list" allowBlank="1" showInputMessage="1" showErrorMessage="1" sqref="D610">
      <formula1>PriceAreaConnection!A2:A1000</formula1>
    </dataValidation>
    <dataValidation type="list" allowBlank="1" showInputMessage="1" showErrorMessage="1" sqref="D611">
      <formula1>PriceAreaConnection!A2:A1000</formula1>
    </dataValidation>
    <dataValidation type="list" allowBlank="1" showInputMessage="1" showErrorMessage="1" sqref="D612">
      <formula1>PriceAreaConnection!A2:A1000</formula1>
    </dataValidation>
    <dataValidation type="list" allowBlank="1" showInputMessage="1" showErrorMessage="1" sqref="D613">
      <formula1>PriceAreaConnection!A2:A1000</formula1>
    </dataValidation>
    <dataValidation type="list" allowBlank="1" showInputMessage="1" showErrorMessage="1" sqref="D614">
      <formula1>PriceAreaConnection!A2:A1000</formula1>
    </dataValidation>
    <dataValidation type="list" allowBlank="1" showInputMessage="1" showErrorMessage="1" sqref="D615">
      <formula1>PriceAreaConnection!A2:A1000</formula1>
    </dataValidation>
    <dataValidation type="list" allowBlank="1" showInputMessage="1" showErrorMessage="1" sqref="D616">
      <formula1>PriceAreaConnection!A2:A1000</formula1>
    </dataValidation>
    <dataValidation type="list" allowBlank="1" showInputMessage="1" showErrorMessage="1" sqref="D617">
      <formula1>PriceAreaConnection!A2:A1000</formula1>
    </dataValidation>
    <dataValidation type="list" allowBlank="1" showInputMessage="1" showErrorMessage="1" sqref="D618">
      <formula1>PriceAreaConnection!A2:A1000</formula1>
    </dataValidation>
    <dataValidation type="list" allowBlank="1" showInputMessage="1" showErrorMessage="1" sqref="D619">
      <formula1>PriceAreaConnection!A2:A1000</formula1>
    </dataValidation>
    <dataValidation type="list" allowBlank="1" showInputMessage="1" showErrorMessage="1" sqref="D620">
      <formula1>PriceAreaConnection!A2:A1000</formula1>
    </dataValidation>
    <dataValidation type="list" allowBlank="1" showInputMessage="1" showErrorMessage="1" sqref="D621">
      <formula1>PriceAreaConnection!A2:A1000</formula1>
    </dataValidation>
    <dataValidation type="list" allowBlank="1" showInputMessage="1" showErrorMessage="1" sqref="D622">
      <formula1>PriceAreaConnection!A2:A1000</formula1>
    </dataValidation>
    <dataValidation type="list" allowBlank="1" showInputMessage="1" showErrorMessage="1" sqref="D623">
      <formula1>PriceAreaConnection!A2:A1000</formula1>
    </dataValidation>
    <dataValidation type="list" allowBlank="1" showInputMessage="1" showErrorMessage="1" sqref="D624">
      <formula1>PriceAreaConnection!A2:A1000</formula1>
    </dataValidation>
    <dataValidation type="list" allowBlank="1" showInputMessage="1" showErrorMessage="1" sqref="D625">
      <formula1>PriceAreaConnection!A2:A1000</formula1>
    </dataValidation>
    <dataValidation type="list" allowBlank="1" showInputMessage="1" showErrorMessage="1" sqref="D626">
      <formula1>PriceAreaConnection!A2:A1000</formula1>
    </dataValidation>
    <dataValidation type="list" allowBlank="1" showInputMessage="1" showErrorMessage="1" sqref="D627">
      <formula1>PriceAreaConnection!A2:A1000</formula1>
    </dataValidation>
    <dataValidation type="list" allowBlank="1" showInputMessage="1" showErrorMessage="1" sqref="D628">
      <formula1>PriceAreaConnection!A2:A1000</formula1>
    </dataValidation>
    <dataValidation type="list" allowBlank="1" showInputMessage="1" showErrorMessage="1" sqref="D629">
      <formula1>PriceAreaConnection!A2:A1000</formula1>
    </dataValidation>
    <dataValidation type="list" allowBlank="1" showInputMessage="1" showErrorMessage="1" sqref="D630">
      <formula1>PriceAreaConnection!A2:A1000</formula1>
    </dataValidation>
    <dataValidation type="list" allowBlank="1" showInputMessage="1" showErrorMessage="1" sqref="D631">
      <formula1>PriceAreaConnection!A2:A1000</formula1>
    </dataValidation>
    <dataValidation type="list" allowBlank="1" showInputMessage="1" showErrorMessage="1" sqref="D632">
      <formula1>PriceAreaConnection!A2:A1000</formula1>
    </dataValidation>
    <dataValidation type="list" allowBlank="1" showInputMessage="1" showErrorMessage="1" sqref="D633">
      <formula1>PriceAreaConnection!A2:A1000</formula1>
    </dataValidation>
    <dataValidation type="list" allowBlank="1" showInputMessage="1" showErrorMessage="1" sqref="D634">
      <formula1>PriceAreaConnection!A2:A1000</formula1>
    </dataValidation>
    <dataValidation type="list" allowBlank="1" showInputMessage="1" showErrorMessage="1" sqref="D635">
      <formula1>PriceAreaConnection!A2:A1000</formula1>
    </dataValidation>
    <dataValidation type="list" allowBlank="1" showInputMessage="1" showErrorMessage="1" sqref="D636">
      <formula1>PriceAreaConnection!A2:A1000</formula1>
    </dataValidation>
    <dataValidation type="list" allowBlank="1" showInputMessage="1" showErrorMessage="1" sqref="D637">
      <formula1>PriceAreaConnection!A2:A1000</formula1>
    </dataValidation>
    <dataValidation type="list" allowBlank="1" showInputMessage="1" showErrorMessage="1" sqref="D638">
      <formula1>PriceAreaConnection!A2:A1000</formula1>
    </dataValidation>
    <dataValidation type="list" allowBlank="1" showInputMessage="1" showErrorMessage="1" sqref="D639">
      <formula1>PriceAreaConnection!A2:A1000</formula1>
    </dataValidation>
    <dataValidation type="list" allowBlank="1" showInputMessage="1" showErrorMessage="1" sqref="D640">
      <formula1>PriceAreaConnection!A2:A1000</formula1>
    </dataValidation>
    <dataValidation type="list" allowBlank="1" showInputMessage="1" showErrorMessage="1" sqref="D641">
      <formula1>PriceAreaConnection!A2:A1000</formula1>
    </dataValidation>
    <dataValidation type="list" allowBlank="1" showInputMessage="1" showErrorMessage="1" sqref="D642">
      <formula1>PriceAreaConnection!A2:A1000</formula1>
    </dataValidation>
    <dataValidation type="list" allowBlank="1" showInputMessage="1" showErrorMessage="1" sqref="D643">
      <formula1>PriceAreaConnection!A2:A1000</formula1>
    </dataValidation>
    <dataValidation type="list" allowBlank="1" showInputMessage="1" showErrorMessage="1" sqref="D644">
      <formula1>PriceAreaConnection!A2:A1000</formula1>
    </dataValidation>
    <dataValidation type="list" allowBlank="1" showInputMessage="1" showErrorMessage="1" sqref="D645">
      <formula1>PriceAreaConnection!A2:A1000</formula1>
    </dataValidation>
    <dataValidation type="list" allowBlank="1" showInputMessage="1" showErrorMessage="1" sqref="D646">
      <formula1>PriceAreaConnection!A2:A1000</formula1>
    </dataValidation>
    <dataValidation type="list" allowBlank="1" showInputMessage="1" showErrorMessage="1" sqref="D647">
      <formula1>PriceAreaConnection!A2:A1000</formula1>
    </dataValidation>
    <dataValidation type="list" allowBlank="1" showInputMessage="1" showErrorMessage="1" sqref="D648">
      <formula1>PriceAreaConnection!A2:A1000</formula1>
    </dataValidation>
    <dataValidation type="list" allowBlank="1" showInputMessage="1" showErrorMessage="1" sqref="D649">
      <formula1>PriceAreaConnection!A2:A1000</formula1>
    </dataValidation>
    <dataValidation type="list" allowBlank="1" showInputMessage="1" showErrorMessage="1" sqref="D650">
      <formula1>PriceAreaConnection!A2:A1000</formula1>
    </dataValidation>
    <dataValidation type="list" allowBlank="1" showInputMessage="1" showErrorMessage="1" sqref="D651">
      <formula1>PriceAreaConnection!A2:A1000</formula1>
    </dataValidation>
    <dataValidation type="list" allowBlank="1" showInputMessage="1" showErrorMessage="1" sqref="D652">
      <formula1>PriceAreaConnection!A2:A1000</formula1>
    </dataValidation>
    <dataValidation type="list" allowBlank="1" showInputMessage="1" showErrorMessage="1" sqref="D653">
      <formula1>PriceAreaConnection!A2:A1000</formula1>
    </dataValidation>
    <dataValidation type="list" allowBlank="1" showInputMessage="1" showErrorMessage="1" sqref="D654">
      <formula1>PriceAreaConnection!A2:A1000</formula1>
    </dataValidation>
    <dataValidation type="list" allowBlank="1" showInputMessage="1" showErrorMessage="1" sqref="D655">
      <formula1>PriceAreaConnection!A2:A1000</formula1>
    </dataValidation>
    <dataValidation type="list" allowBlank="1" showInputMessage="1" showErrorMessage="1" sqref="D656">
      <formula1>PriceAreaConnection!A2:A1000</formula1>
    </dataValidation>
    <dataValidation type="list" allowBlank="1" showInputMessage="1" showErrorMessage="1" sqref="D657">
      <formula1>PriceAreaConnection!A2:A1000</formula1>
    </dataValidation>
    <dataValidation type="list" allowBlank="1" showInputMessage="1" showErrorMessage="1" sqref="D658">
      <formula1>PriceAreaConnection!A2:A1000</formula1>
    </dataValidation>
    <dataValidation type="list" allowBlank="1" showInputMessage="1" showErrorMessage="1" sqref="D659">
      <formula1>PriceAreaConnection!A2:A1000</formula1>
    </dataValidation>
    <dataValidation type="list" allowBlank="1" showInputMessage="1" showErrorMessage="1" sqref="D660">
      <formula1>PriceAreaConnection!A2:A1000</formula1>
    </dataValidation>
    <dataValidation type="list" allowBlank="1" showInputMessage="1" showErrorMessage="1" sqref="D661">
      <formula1>PriceAreaConnection!A2:A1000</formula1>
    </dataValidation>
    <dataValidation type="list" allowBlank="1" showInputMessage="1" showErrorMessage="1" sqref="D662">
      <formula1>PriceAreaConnection!A2:A1000</formula1>
    </dataValidation>
    <dataValidation type="list" allowBlank="1" showInputMessage="1" showErrorMessage="1" sqref="D663">
      <formula1>PriceAreaConnection!A2:A1000</formula1>
    </dataValidation>
    <dataValidation type="list" allowBlank="1" showInputMessage="1" showErrorMessage="1" sqref="D664">
      <formula1>PriceAreaConnection!A2:A1000</formula1>
    </dataValidation>
    <dataValidation type="list" allowBlank="1" showInputMessage="1" showErrorMessage="1" sqref="D665">
      <formula1>PriceAreaConnection!A2:A1000</formula1>
    </dataValidation>
    <dataValidation type="list" allowBlank="1" showInputMessage="1" showErrorMessage="1" sqref="D666">
      <formula1>PriceAreaConnection!A2:A1000</formula1>
    </dataValidation>
    <dataValidation type="list" allowBlank="1" showInputMessage="1" showErrorMessage="1" sqref="D667">
      <formula1>PriceAreaConnection!A2:A1000</formula1>
    </dataValidation>
    <dataValidation type="list" allowBlank="1" showInputMessage="1" showErrorMessage="1" sqref="D668">
      <formula1>PriceAreaConnection!A2:A1000</formula1>
    </dataValidation>
    <dataValidation type="list" allowBlank="1" showInputMessage="1" showErrorMessage="1" sqref="D669">
      <formula1>PriceAreaConnection!A2:A1000</formula1>
    </dataValidation>
    <dataValidation type="list" allowBlank="1" showInputMessage="1" showErrorMessage="1" sqref="D670">
      <formula1>PriceAreaConnection!A2:A1000</formula1>
    </dataValidation>
    <dataValidation type="list" allowBlank="1" showInputMessage="1" showErrorMessage="1" sqref="D671">
      <formula1>PriceAreaConnection!A2:A1000</formula1>
    </dataValidation>
    <dataValidation type="list" allowBlank="1" showInputMessage="1" showErrorMessage="1" sqref="D672">
      <formula1>PriceAreaConnection!A2:A1000</formula1>
    </dataValidation>
    <dataValidation type="list" allowBlank="1" showInputMessage="1" showErrorMessage="1" sqref="D673">
      <formula1>PriceAreaConnection!A2:A1000</formula1>
    </dataValidation>
    <dataValidation type="list" allowBlank="1" showInputMessage="1" showErrorMessage="1" sqref="D674">
      <formula1>PriceAreaConnection!A2:A1000</formula1>
    </dataValidation>
    <dataValidation type="list" allowBlank="1" showInputMessage="1" showErrorMessage="1" sqref="D675">
      <formula1>PriceAreaConnection!A2:A1000</formula1>
    </dataValidation>
    <dataValidation type="list" allowBlank="1" showInputMessage="1" showErrorMessage="1" sqref="D676">
      <formula1>PriceAreaConnection!A2:A1000</formula1>
    </dataValidation>
    <dataValidation type="list" allowBlank="1" showInputMessage="1" showErrorMessage="1" sqref="D677">
      <formula1>PriceAreaConnection!A2:A1000</formula1>
    </dataValidation>
    <dataValidation type="list" allowBlank="1" showInputMessage="1" showErrorMessage="1" sqref="D678">
      <formula1>PriceAreaConnection!A2:A1000</formula1>
    </dataValidation>
    <dataValidation type="list" allowBlank="1" showInputMessage="1" showErrorMessage="1" sqref="D679">
      <formula1>PriceAreaConnection!A2:A1000</formula1>
    </dataValidation>
    <dataValidation type="list" allowBlank="1" showInputMessage="1" showErrorMessage="1" sqref="D680">
      <formula1>PriceAreaConnection!A2:A1000</formula1>
    </dataValidation>
    <dataValidation type="list" allowBlank="1" showInputMessage="1" showErrorMessage="1" sqref="D681">
      <formula1>PriceAreaConnection!A2:A1000</formula1>
    </dataValidation>
    <dataValidation type="list" allowBlank="1" showInputMessage="1" showErrorMessage="1" sqref="D682">
      <formula1>PriceAreaConnection!A2:A1000</formula1>
    </dataValidation>
    <dataValidation type="list" allowBlank="1" showInputMessage="1" showErrorMessage="1" sqref="D683">
      <formula1>PriceAreaConnection!A2:A1000</formula1>
    </dataValidation>
    <dataValidation type="list" allowBlank="1" showInputMessage="1" showErrorMessage="1" sqref="D684">
      <formula1>PriceAreaConnection!A2:A1000</formula1>
    </dataValidation>
    <dataValidation type="list" allowBlank="1" showInputMessage="1" showErrorMessage="1" sqref="D685">
      <formula1>PriceAreaConnection!A2:A1000</formula1>
    </dataValidation>
    <dataValidation type="list" allowBlank="1" showInputMessage="1" showErrorMessage="1" sqref="D686">
      <formula1>PriceAreaConnection!A2:A1000</formula1>
    </dataValidation>
    <dataValidation type="list" allowBlank="1" showInputMessage="1" showErrorMessage="1" sqref="D687">
      <formula1>PriceAreaConnection!A2:A1000</formula1>
    </dataValidation>
    <dataValidation type="list" allowBlank="1" showInputMessage="1" showErrorMessage="1" sqref="D688">
      <formula1>PriceAreaConnection!A2:A1000</formula1>
    </dataValidation>
    <dataValidation type="list" allowBlank="1" showInputMessage="1" showErrorMessage="1" sqref="D689">
      <formula1>PriceAreaConnection!A2:A1000</formula1>
    </dataValidation>
    <dataValidation type="list" allowBlank="1" showInputMessage="1" showErrorMessage="1" sqref="D690">
      <formula1>PriceAreaConnection!A2:A1000</formula1>
    </dataValidation>
    <dataValidation type="list" allowBlank="1" showInputMessage="1" showErrorMessage="1" sqref="D691">
      <formula1>PriceAreaConnection!A2:A1000</formula1>
    </dataValidation>
    <dataValidation type="list" allowBlank="1" showInputMessage="1" showErrorMessage="1" sqref="D692">
      <formula1>PriceAreaConnection!A2:A1000</formula1>
    </dataValidation>
    <dataValidation type="list" allowBlank="1" showInputMessage="1" showErrorMessage="1" sqref="D693">
      <formula1>PriceAreaConnection!A2:A1000</formula1>
    </dataValidation>
    <dataValidation type="list" allowBlank="1" showInputMessage="1" showErrorMessage="1" sqref="D694">
      <formula1>PriceAreaConnection!A2:A1000</formula1>
    </dataValidation>
    <dataValidation type="list" allowBlank="1" showInputMessage="1" showErrorMessage="1" sqref="D695">
      <formula1>PriceAreaConnection!A2:A1000</formula1>
    </dataValidation>
    <dataValidation type="list" allowBlank="1" showInputMessage="1" showErrorMessage="1" sqref="D696">
      <formula1>PriceAreaConnection!A2:A1000</formula1>
    </dataValidation>
    <dataValidation type="list" allowBlank="1" showInputMessage="1" showErrorMessage="1" sqref="D697">
      <formula1>PriceAreaConnection!A2:A1000</formula1>
    </dataValidation>
    <dataValidation type="list" allowBlank="1" showInputMessage="1" showErrorMessage="1" sqref="D698">
      <formula1>PriceAreaConnection!A2:A1000</formula1>
    </dataValidation>
    <dataValidation type="list" allowBlank="1" showInputMessage="1" showErrorMessage="1" sqref="D699">
      <formula1>PriceAreaConnection!A2:A1000</formula1>
    </dataValidation>
    <dataValidation type="list" allowBlank="1" showInputMessage="1" showErrorMessage="1" sqref="D700">
      <formula1>PriceAreaConnection!A2:A1000</formula1>
    </dataValidation>
    <dataValidation type="list" allowBlank="1" showInputMessage="1" showErrorMessage="1" sqref="D701">
      <formula1>PriceAreaConnection!A2:A1000</formula1>
    </dataValidation>
    <dataValidation type="list" allowBlank="1" showInputMessage="1" showErrorMessage="1" sqref="D702">
      <formula1>PriceAreaConnection!A2:A1000</formula1>
    </dataValidation>
    <dataValidation type="list" allowBlank="1" showInputMessage="1" showErrorMessage="1" sqref="D703">
      <formula1>PriceAreaConnection!A2:A1000</formula1>
    </dataValidation>
    <dataValidation type="list" allowBlank="1" showInputMessage="1" showErrorMessage="1" sqref="D704">
      <formula1>PriceAreaConnection!A2:A1000</formula1>
    </dataValidation>
    <dataValidation type="list" allowBlank="1" showInputMessage="1" showErrorMessage="1" sqref="D705">
      <formula1>PriceAreaConnection!A2:A1000</formula1>
    </dataValidation>
    <dataValidation type="list" allowBlank="1" showInputMessage="1" showErrorMessage="1" sqref="D706">
      <formula1>PriceAreaConnection!A2:A1000</formula1>
    </dataValidation>
    <dataValidation type="list" allowBlank="1" showInputMessage="1" showErrorMessage="1" sqref="D707">
      <formula1>PriceAreaConnection!A2:A1000</formula1>
    </dataValidation>
    <dataValidation type="list" allowBlank="1" showInputMessage="1" showErrorMessage="1" sqref="D708">
      <formula1>PriceAreaConnection!A2:A1000</formula1>
    </dataValidation>
    <dataValidation type="list" allowBlank="1" showInputMessage="1" showErrorMessage="1" sqref="D709">
      <formula1>PriceAreaConnection!A2:A1000</formula1>
    </dataValidation>
    <dataValidation type="list" allowBlank="1" showInputMessage="1" showErrorMessage="1" sqref="D710">
      <formula1>PriceAreaConnection!A2:A1000</formula1>
    </dataValidation>
    <dataValidation type="list" allowBlank="1" showInputMessage="1" showErrorMessage="1" sqref="D711">
      <formula1>PriceAreaConnection!A2:A1000</formula1>
    </dataValidation>
    <dataValidation type="list" allowBlank="1" showInputMessage="1" showErrorMessage="1" sqref="D712">
      <formula1>PriceAreaConnection!A2:A1000</formula1>
    </dataValidation>
    <dataValidation type="list" allowBlank="1" showInputMessage="1" showErrorMessage="1" sqref="D713">
      <formula1>PriceAreaConnection!A2:A1000</formula1>
    </dataValidation>
    <dataValidation type="list" allowBlank="1" showInputMessage="1" showErrorMessage="1" sqref="D714">
      <formula1>PriceAreaConnection!A2:A1000</formula1>
    </dataValidation>
    <dataValidation type="list" allowBlank="1" showInputMessage="1" showErrorMessage="1" sqref="D715">
      <formula1>PriceAreaConnection!A2:A1000</formula1>
    </dataValidation>
    <dataValidation type="list" allowBlank="1" showInputMessage="1" showErrorMessage="1" sqref="D716">
      <formula1>PriceAreaConnection!A2:A1000</formula1>
    </dataValidation>
    <dataValidation type="list" allowBlank="1" showInputMessage="1" showErrorMessage="1" sqref="D717">
      <formula1>PriceAreaConnection!A2:A1000</formula1>
    </dataValidation>
    <dataValidation type="list" allowBlank="1" showInputMessage="1" showErrorMessage="1" sqref="D718">
      <formula1>PriceAreaConnection!A2:A1000</formula1>
    </dataValidation>
    <dataValidation type="list" allowBlank="1" showInputMessage="1" showErrorMessage="1" sqref="D719">
      <formula1>PriceAreaConnection!A2:A1000</formula1>
    </dataValidation>
    <dataValidation type="list" allowBlank="1" showInputMessage="1" showErrorMessage="1" sqref="D720">
      <formula1>PriceAreaConnection!A2:A1000</formula1>
    </dataValidation>
    <dataValidation type="list" allowBlank="1" showInputMessage="1" showErrorMessage="1" sqref="D721">
      <formula1>PriceAreaConnection!A2:A1000</formula1>
    </dataValidation>
    <dataValidation type="list" allowBlank="1" showInputMessage="1" showErrorMessage="1" sqref="D722">
      <formula1>PriceAreaConnection!A2:A1000</formula1>
    </dataValidation>
    <dataValidation type="list" allowBlank="1" showInputMessage="1" showErrorMessage="1" sqref="D723">
      <formula1>PriceAreaConnection!A2:A1000</formula1>
    </dataValidation>
    <dataValidation type="list" allowBlank="1" showInputMessage="1" showErrorMessage="1" sqref="D724">
      <formula1>PriceAreaConnection!A2:A1000</formula1>
    </dataValidation>
    <dataValidation type="list" allowBlank="1" showInputMessage="1" showErrorMessage="1" sqref="D725">
      <formula1>PriceAreaConnection!A2:A1000</formula1>
    </dataValidation>
    <dataValidation type="list" allowBlank="1" showInputMessage="1" showErrorMessage="1" sqref="D726">
      <formula1>PriceAreaConnection!A2:A1000</formula1>
    </dataValidation>
    <dataValidation type="list" allowBlank="1" showInputMessage="1" showErrorMessage="1" sqref="D727">
      <formula1>PriceAreaConnection!A2:A1000</formula1>
    </dataValidation>
    <dataValidation type="list" allowBlank="1" showInputMessage="1" showErrorMessage="1" sqref="D728">
      <formula1>PriceAreaConnection!A2:A1000</formula1>
    </dataValidation>
    <dataValidation type="list" allowBlank="1" showInputMessage="1" showErrorMessage="1" sqref="D729">
      <formula1>PriceAreaConnection!A2:A1000</formula1>
    </dataValidation>
    <dataValidation type="list" allowBlank="1" showInputMessage="1" showErrorMessage="1" sqref="D730">
      <formula1>PriceAreaConnection!A2:A1000</formula1>
    </dataValidation>
    <dataValidation type="list" allowBlank="1" showInputMessage="1" showErrorMessage="1" sqref="D731">
      <formula1>PriceAreaConnection!A2:A1000</formula1>
    </dataValidation>
    <dataValidation type="list" allowBlank="1" showInputMessage="1" showErrorMessage="1" sqref="D732">
      <formula1>PriceAreaConnection!A2:A1000</formula1>
    </dataValidation>
    <dataValidation type="list" allowBlank="1" showInputMessage="1" showErrorMessage="1" sqref="D733">
      <formula1>PriceAreaConnection!A2:A1000</formula1>
    </dataValidation>
    <dataValidation type="list" allowBlank="1" showInputMessage="1" showErrorMessage="1" sqref="D734">
      <formula1>PriceAreaConnection!A2:A1000</formula1>
    </dataValidation>
    <dataValidation type="list" allowBlank="1" showInputMessage="1" showErrorMessage="1" sqref="D735">
      <formula1>PriceAreaConnection!A2:A1000</formula1>
    </dataValidation>
    <dataValidation type="list" allowBlank="1" showInputMessage="1" showErrorMessage="1" sqref="D736">
      <formula1>PriceAreaConnection!A2:A1000</formula1>
    </dataValidation>
    <dataValidation type="list" allowBlank="1" showInputMessage="1" showErrorMessage="1" sqref="D737">
      <formula1>PriceAreaConnection!A2:A1000</formula1>
    </dataValidation>
    <dataValidation type="list" allowBlank="1" showInputMessage="1" showErrorMessage="1" sqref="D738">
      <formula1>PriceAreaConnection!A2:A1000</formula1>
    </dataValidation>
    <dataValidation type="list" allowBlank="1" showInputMessage="1" showErrorMessage="1" sqref="D739">
      <formula1>PriceAreaConnection!A2:A1000</formula1>
    </dataValidation>
    <dataValidation type="list" allowBlank="1" showInputMessage="1" showErrorMessage="1" sqref="D740">
      <formula1>PriceAreaConnection!A2:A1000</formula1>
    </dataValidation>
    <dataValidation type="list" allowBlank="1" showInputMessage="1" showErrorMessage="1" sqref="D741">
      <formula1>PriceAreaConnection!A2:A1000</formula1>
    </dataValidation>
    <dataValidation type="list" allowBlank="1" showInputMessage="1" showErrorMessage="1" sqref="D742">
      <formula1>PriceAreaConnection!A2:A1000</formula1>
    </dataValidation>
    <dataValidation type="list" allowBlank="1" showInputMessage="1" showErrorMessage="1" sqref="D743">
      <formula1>PriceAreaConnection!A2:A1000</formula1>
    </dataValidation>
    <dataValidation type="list" allowBlank="1" showInputMessage="1" showErrorMessage="1" sqref="D744">
      <formula1>PriceAreaConnection!A2:A1000</formula1>
    </dataValidation>
    <dataValidation type="list" allowBlank="1" showInputMessage="1" showErrorMessage="1" sqref="D745">
      <formula1>PriceAreaConnection!A2:A1000</formula1>
    </dataValidation>
    <dataValidation type="list" allowBlank="1" showInputMessage="1" showErrorMessage="1" sqref="D746">
      <formula1>PriceAreaConnection!A2:A1000</formula1>
    </dataValidation>
    <dataValidation type="list" allowBlank="1" showInputMessage="1" showErrorMessage="1" sqref="D747">
      <formula1>PriceAreaConnection!A2:A1000</formula1>
    </dataValidation>
    <dataValidation type="list" allowBlank="1" showInputMessage="1" showErrorMessage="1" sqref="D748">
      <formula1>PriceAreaConnection!A2:A1000</formula1>
    </dataValidation>
    <dataValidation type="list" allowBlank="1" showInputMessage="1" showErrorMessage="1" sqref="D749">
      <formula1>PriceAreaConnection!A2:A1000</formula1>
    </dataValidation>
    <dataValidation type="list" allowBlank="1" showInputMessage="1" showErrorMessage="1" sqref="D750">
      <formula1>PriceAreaConnection!A2:A1000</formula1>
    </dataValidation>
    <dataValidation type="list" allowBlank="1" showInputMessage="1" showErrorMessage="1" sqref="D751">
      <formula1>PriceAreaConnection!A2:A1000</formula1>
    </dataValidation>
    <dataValidation type="list" allowBlank="1" showInputMessage="1" showErrorMessage="1" sqref="D752">
      <formula1>PriceAreaConnection!A2:A1000</formula1>
    </dataValidation>
    <dataValidation type="list" allowBlank="1" showInputMessage="1" showErrorMessage="1" sqref="D753">
      <formula1>PriceAreaConnection!A2:A1000</formula1>
    </dataValidation>
    <dataValidation type="list" allowBlank="1" showInputMessage="1" showErrorMessage="1" sqref="D754">
      <formula1>PriceAreaConnection!A2:A1000</formula1>
    </dataValidation>
    <dataValidation type="list" allowBlank="1" showInputMessage="1" showErrorMessage="1" sqref="D755">
      <formula1>PriceAreaConnection!A2:A1000</formula1>
    </dataValidation>
    <dataValidation type="list" allowBlank="1" showInputMessage="1" showErrorMessage="1" sqref="D756">
      <formula1>PriceAreaConnection!A2:A1000</formula1>
    </dataValidation>
    <dataValidation type="list" allowBlank="1" showInputMessage="1" showErrorMessage="1" sqref="D757">
      <formula1>PriceAreaConnection!A2:A1000</formula1>
    </dataValidation>
    <dataValidation type="list" allowBlank="1" showInputMessage="1" showErrorMessage="1" sqref="D758">
      <formula1>PriceAreaConnection!A2:A1000</formula1>
    </dataValidation>
    <dataValidation type="list" allowBlank="1" showInputMessage="1" showErrorMessage="1" sqref="D759">
      <formula1>PriceAreaConnection!A2:A1000</formula1>
    </dataValidation>
    <dataValidation type="list" allowBlank="1" showInputMessage="1" showErrorMessage="1" sqref="D760">
      <formula1>PriceAreaConnection!A2:A1000</formula1>
    </dataValidation>
    <dataValidation type="list" allowBlank="1" showInputMessage="1" showErrorMessage="1" sqref="D761">
      <formula1>PriceAreaConnection!A2:A1000</formula1>
    </dataValidation>
    <dataValidation type="list" allowBlank="1" showInputMessage="1" showErrorMessage="1" sqref="D762">
      <formula1>PriceAreaConnection!A2:A1000</formula1>
    </dataValidation>
    <dataValidation type="list" allowBlank="1" showInputMessage="1" showErrorMessage="1" sqref="D763">
      <formula1>PriceAreaConnection!A2:A1000</formula1>
    </dataValidation>
    <dataValidation type="list" allowBlank="1" showInputMessage="1" showErrorMessage="1" sqref="D764">
      <formula1>PriceAreaConnection!A2:A1000</formula1>
    </dataValidation>
    <dataValidation type="list" allowBlank="1" showInputMessage="1" showErrorMessage="1" sqref="D765">
      <formula1>PriceAreaConnection!A2:A1000</formula1>
    </dataValidation>
    <dataValidation type="list" allowBlank="1" showInputMessage="1" showErrorMessage="1" sqref="D766">
      <formula1>PriceAreaConnection!A2:A1000</formula1>
    </dataValidation>
    <dataValidation type="list" allowBlank="1" showInputMessage="1" showErrorMessage="1" sqref="D767">
      <formula1>PriceAreaConnection!A2:A1000</formula1>
    </dataValidation>
    <dataValidation type="list" allowBlank="1" showInputMessage="1" showErrorMessage="1" sqref="D768">
      <formula1>PriceAreaConnection!A2:A1000</formula1>
    </dataValidation>
    <dataValidation type="list" allowBlank="1" showInputMessage="1" showErrorMessage="1" sqref="D769">
      <formula1>PriceAreaConnection!A2:A1000</formula1>
    </dataValidation>
    <dataValidation type="list" allowBlank="1" showInputMessage="1" showErrorMessage="1" sqref="D770">
      <formula1>PriceAreaConnection!A2:A1000</formula1>
    </dataValidation>
    <dataValidation type="list" allowBlank="1" showInputMessage="1" showErrorMessage="1" sqref="D771">
      <formula1>PriceAreaConnection!A2:A1000</formula1>
    </dataValidation>
    <dataValidation type="list" allowBlank="1" showInputMessage="1" showErrorMessage="1" sqref="D772">
      <formula1>PriceAreaConnection!A2:A1000</formula1>
    </dataValidation>
    <dataValidation type="list" allowBlank="1" showInputMessage="1" showErrorMessage="1" sqref="D773">
      <formula1>PriceAreaConnection!A2:A1000</formula1>
    </dataValidation>
    <dataValidation type="list" allowBlank="1" showInputMessage="1" showErrorMessage="1" sqref="D774">
      <formula1>PriceAreaConnection!A2:A1000</formula1>
    </dataValidation>
    <dataValidation type="list" allowBlank="1" showInputMessage="1" showErrorMessage="1" sqref="D775">
      <formula1>PriceAreaConnection!A2:A1000</formula1>
    </dataValidation>
    <dataValidation type="list" allowBlank="1" showInputMessage="1" showErrorMessage="1" sqref="D776">
      <formula1>PriceAreaConnection!A2:A1000</formula1>
    </dataValidation>
    <dataValidation type="list" allowBlank="1" showInputMessage="1" showErrorMessage="1" sqref="D777">
      <formula1>PriceAreaConnection!A2:A1000</formula1>
    </dataValidation>
    <dataValidation type="list" allowBlank="1" showInputMessage="1" showErrorMessage="1" sqref="D778">
      <formula1>PriceAreaConnection!A2:A1000</formula1>
    </dataValidation>
    <dataValidation type="list" allowBlank="1" showInputMessage="1" showErrorMessage="1" sqref="D779">
      <formula1>PriceAreaConnection!A2:A1000</formula1>
    </dataValidation>
    <dataValidation type="list" allowBlank="1" showInputMessage="1" showErrorMessage="1" sqref="D780">
      <formula1>PriceAreaConnection!A2:A1000</formula1>
    </dataValidation>
    <dataValidation type="list" allowBlank="1" showInputMessage="1" showErrorMessage="1" sqref="D781">
      <formula1>PriceAreaConnection!A2:A1000</formula1>
    </dataValidation>
    <dataValidation type="list" allowBlank="1" showInputMessage="1" showErrorMessage="1" sqref="D782">
      <formula1>PriceAreaConnection!A2:A1000</formula1>
    </dataValidation>
    <dataValidation type="list" allowBlank="1" showInputMessage="1" showErrorMessage="1" sqref="D783">
      <formula1>PriceAreaConnection!A2:A1000</formula1>
    </dataValidation>
    <dataValidation type="list" allowBlank="1" showInputMessage="1" showErrorMessage="1" sqref="D784">
      <formula1>PriceAreaConnection!A2:A1000</formula1>
    </dataValidation>
    <dataValidation type="list" allowBlank="1" showInputMessage="1" showErrorMessage="1" sqref="D785">
      <formula1>PriceAreaConnection!A2:A1000</formula1>
    </dataValidation>
    <dataValidation type="list" allowBlank="1" showInputMessage="1" showErrorMessage="1" sqref="D786">
      <formula1>PriceAreaConnection!A2:A1000</formula1>
    </dataValidation>
    <dataValidation type="list" allowBlank="1" showInputMessage="1" showErrorMessage="1" sqref="D787">
      <formula1>PriceAreaConnection!A2:A1000</formula1>
    </dataValidation>
    <dataValidation type="list" allowBlank="1" showInputMessage="1" showErrorMessage="1" sqref="D788">
      <formula1>PriceAreaConnection!A2:A1000</formula1>
    </dataValidation>
    <dataValidation type="list" allowBlank="1" showInputMessage="1" showErrorMessage="1" sqref="D789">
      <formula1>PriceAreaConnection!A2:A1000</formula1>
    </dataValidation>
    <dataValidation type="list" allowBlank="1" showInputMessage="1" showErrorMessage="1" sqref="D790">
      <formula1>PriceAreaConnection!A2:A1000</formula1>
    </dataValidation>
    <dataValidation type="list" allowBlank="1" showInputMessage="1" showErrorMessage="1" sqref="D791">
      <formula1>PriceAreaConnection!A2:A1000</formula1>
    </dataValidation>
    <dataValidation type="list" allowBlank="1" showInputMessage="1" showErrorMessage="1" sqref="D792">
      <formula1>PriceAreaConnection!A2:A1000</formula1>
    </dataValidation>
    <dataValidation type="list" allowBlank="1" showInputMessage="1" showErrorMessage="1" sqref="D793">
      <formula1>PriceAreaConnection!A2:A1000</formula1>
    </dataValidation>
    <dataValidation type="list" allowBlank="1" showInputMessage="1" showErrorMessage="1" sqref="D794">
      <formula1>PriceAreaConnection!A2:A1000</formula1>
    </dataValidation>
    <dataValidation type="list" allowBlank="1" showInputMessage="1" showErrorMessage="1" sqref="D795">
      <formula1>PriceAreaConnection!A2:A1000</formula1>
    </dataValidation>
    <dataValidation type="list" allowBlank="1" showInputMessage="1" showErrorMessage="1" sqref="D796">
      <formula1>PriceAreaConnection!A2:A1000</formula1>
    </dataValidation>
    <dataValidation type="list" allowBlank="1" showInputMessage="1" showErrorMessage="1" sqref="D797">
      <formula1>PriceAreaConnection!A2:A1000</formula1>
    </dataValidation>
    <dataValidation type="list" allowBlank="1" showInputMessage="1" showErrorMessage="1" sqref="D798">
      <formula1>PriceAreaConnection!A2:A1000</formula1>
    </dataValidation>
    <dataValidation type="list" allowBlank="1" showInputMessage="1" showErrorMessage="1" sqref="D799">
      <formula1>PriceAreaConnection!A2:A1000</formula1>
    </dataValidation>
    <dataValidation type="list" allowBlank="1" showInputMessage="1" showErrorMessage="1" sqref="D800">
      <formula1>PriceAreaConnection!A2:A1000</formula1>
    </dataValidation>
    <dataValidation type="list" allowBlank="1" showInputMessage="1" showErrorMessage="1" sqref="D801">
      <formula1>PriceAreaConnection!A2:A1000</formula1>
    </dataValidation>
    <dataValidation type="list" allowBlank="1" showInputMessage="1" showErrorMessage="1" sqref="D802">
      <formula1>PriceAreaConnection!A2:A1000</formula1>
    </dataValidation>
    <dataValidation type="list" allowBlank="1" showInputMessage="1" showErrorMessage="1" sqref="D803">
      <formula1>PriceAreaConnection!A2:A1000</formula1>
    </dataValidation>
    <dataValidation type="list" allowBlank="1" showInputMessage="1" showErrorMessage="1" sqref="D804">
      <formula1>PriceAreaConnection!A2:A1000</formula1>
    </dataValidation>
    <dataValidation type="list" allowBlank="1" showInputMessage="1" showErrorMessage="1" sqref="D805">
      <formula1>PriceAreaConnection!A2:A1000</formula1>
    </dataValidation>
    <dataValidation type="list" allowBlank="1" showInputMessage="1" showErrorMessage="1" sqref="D806">
      <formula1>PriceAreaConnection!A2:A1000</formula1>
    </dataValidation>
    <dataValidation type="list" allowBlank="1" showInputMessage="1" showErrorMessage="1" sqref="D807">
      <formula1>PriceAreaConnection!A2:A1000</formula1>
    </dataValidation>
    <dataValidation type="list" allowBlank="1" showInputMessage="1" showErrorMessage="1" sqref="D808">
      <formula1>PriceAreaConnection!A2:A1000</formula1>
    </dataValidation>
    <dataValidation type="list" allowBlank="1" showInputMessage="1" showErrorMessage="1" sqref="D809">
      <formula1>PriceAreaConnection!A2:A1000</formula1>
    </dataValidation>
    <dataValidation type="list" allowBlank="1" showInputMessage="1" showErrorMessage="1" sqref="D810">
      <formula1>PriceAreaConnection!A2:A1000</formula1>
    </dataValidation>
    <dataValidation type="list" allowBlank="1" showInputMessage="1" showErrorMessage="1" sqref="D811">
      <formula1>PriceAreaConnection!A2:A1000</formula1>
    </dataValidation>
    <dataValidation type="list" allowBlank="1" showInputMessage="1" showErrorMessage="1" sqref="D812">
      <formula1>PriceAreaConnection!A2:A1000</formula1>
    </dataValidation>
    <dataValidation type="list" allowBlank="1" showInputMessage="1" showErrorMessage="1" sqref="D813">
      <formula1>PriceAreaConnection!A2:A1000</formula1>
    </dataValidation>
    <dataValidation type="list" allowBlank="1" showInputMessage="1" showErrorMessage="1" sqref="D814">
      <formula1>PriceAreaConnection!A2:A1000</formula1>
    </dataValidation>
    <dataValidation type="list" allowBlank="1" showInputMessage="1" showErrorMessage="1" sqref="D815">
      <formula1>PriceAreaConnection!A2:A1000</formula1>
    </dataValidation>
    <dataValidation type="list" allowBlank="1" showInputMessage="1" showErrorMessage="1" sqref="D816">
      <formula1>PriceAreaConnection!A2:A1000</formula1>
    </dataValidation>
    <dataValidation type="list" allowBlank="1" showInputMessage="1" showErrorMessage="1" sqref="D817">
      <formula1>PriceAreaConnection!A2:A1000</formula1>
    </dataValidation>
    <dataValidation type="list" allowBlank="1" showInputMessage="1" showErrorMessage="1" sqref="D818">
      <formula1>PriceAreaConnection!A2:A1000</formula1>
    </dataValidation>
    <dataValidation type="list" allowBlank="1" showInputMessage="1" showErrorMessage="1" sqref="D819">
      <formula1>PriceAreaConnection!A2:A1000</formula1>
    </dataValidation>
    <dataValidation type="list" allowBlank="1" showInputMessage="1" showErrorMessage="1" sqref="D820">
      <formula1>PriceAreaConnection!A2:A1000</formula1>
    </dataValidation>
    <dataValidation type="list" allowBlank="1" showInputMessage="1" showErrorMessage="1" sqref="D821">
      <formula1>PriceAreaConnection!A2:A1000</formula1>
    </dataValidation>
    <dataValidation type="list" allowBlank="1" showInputMessage="1" showErrorMessage="1" sqref="D822">
      <formula1>PriceAreaConnection!A2:A1000</formula1>
    </dataValidation>
    <dataValidation type="list" allowBlank="1" showInputMessage="1" showErrorMessage="1" sqref="D823">
      <formula1>PriceAreaConnection!A2:A1000</formula1>
    </dataValidation>
    <dataValidation type="list" allowBlank="1" showInputMessage="1" showErrorMessage="1" sqref="D824">
      <formula1>PriceAreaConnection!A2:A1000</formula1>
    </dataValidation>
    <dataValidation type="list" allowBlank="1" showInputMessage="1" showErrorMessage="1" sqref="D825">
      <formula1>PriceAreaConnection!A2:A1000</formula1>
    </dataValidation>
    <dataValidation type="list" allowBlank="1" showInputMessage="1" showErrorMessage="1" sqref="D826">
      <formula1>PriceAreaConnection!A2:A1000</formula1>
    </dataValidation>
    <dataValidation type="list" allowBlank="1" showInputMessage="1" showErrorMessage="1" sqref="D827">
      <formula1>PriceAreaConnection!A2:A1000</formula1>
    </dataValidation>
    <dataValidation type="list" allowBlank="1" showInputMessage="1" showErrorMessage="1" sqref="D828">
      <formula1>PriceAreaConnection!A2:A1000</formula1>
    </dataValidation>
    <dataValidation type="list" allowBlank="1" showInputMessage="1" showErrorMessage="1" sqref="D829">
      <formula1>PriceAreaConnection!A2:A1000</formula1>
    </dataValidation>
    <dataValidation type="list" allowBlank="1" showInputMessage="1" showErrorMessage="1" sqref="D830">
      <formula1>PriceAreaConnection!A2:A1000</formula1>
    </dataValidation>
    <dataValidation type="list" allowBlank="1" showInputMessage="1" showErrorMessage="1" sqref="D831">
      <formula1>PriceAreaConnection!A2:A1000</formula1>
    </dataValidation>
    <dataValidation type="list" allowBlank="1" showInputMessage="1" showErrorMessage="1" sqref="D832">
      <formula1>PriceAreaConnection!A2:A1000</formula1>
    </dataValidation>
    <dataValidation type="list" allowBlank="1" showInputMessage="1" showErrorMessage="1" sqref="D833">
      <formula1>PriceAreaConnection!A2:A1000</formula1>
    </dataValidation>
    <dataValidation type="list" allowBlank="1" showInputMessage="1" showErrorMessage="1" sqref="D834">
      <formula1>PriceAreaConnection!A2:A1000</formula1>
    </dataValidation>
    <dataValidation type="list" allowBlank="1" showInputMessage="1" showErrorMessage="1" sqref="D835">
      <formula1>PriceAreaConnection!A2:A1000</formula1>
    </dataValidation>
    <dataValidation type="list" allowBlank="1" showInputMessage="1" showErrorMessage="1" sqref="D836">
      <formula1>PriceAreaConnection!A2:A1000</formula1>
    </dataValidation>
    <dataValidation type="list" allowBlank="1" showInputMessage="1" showErrorMessage="1" sqref="D837">
      <formula1>PriceAreaConnection!A2:A1000</formula1>
    </dataValidation>
    <dataValidation type="list" allowBlank="1" showInputMessage="1" showErrorMessage="1" sqref="D838">
      <formula1>PriceAreaConnection!A2:A1000</formula1>
    </dataValidation>
    <dataValidation type="list" allowBlank="1" showInputMessage="1" showErrorMessage="1" sqref="D839">
      <formula1>PriceAreaConnection!A2:A1000</formula1>
    </dataValidation>
    <dataValidation type="list" allowBlank="1" showInputMessage="1" showErrorMessage="1" sqref="D840">
      <formula1>PriceAreaConnection!A2:A1000</formula1>
    </dataValidation>
    <dataValidation type="list" allowBlank="1" showInputMessage="1" showErrorMessage="1" sqref="D841">
      <formula1>PriceAreaConnection!A2:A1000</formula1>
    </dataValidation>
    <dataValidation type="list" allowBlank="1" showInputMessage="1" showErrorMessage="1" sqref="D842">
      <formula1>PriceAreaConnection!A2:A1000</formula1>
    </dataValidation>
    <dataValidation type="list" allowBlank="1" showInputMessage="1" showErrorMessage="1" sqref="D843">
      <formula1>PriceAreaConnection!A2:A1000</formula1>
    </dataValidation>
    <dataValidation type="list" allowBlank="1" showInputMessage="1" showErrorMessage="1" sqref="D844">
      <formula1>PriceAreaConnection!A2:A1000</formula1>
    </dataValidation>
    <dataValidation type="list" allowBlank="1" showInputMessage="1" showErrorMessage="1" sqref="D845">
      <formula1>PriceAreaConnection!A2:A1000</formula1>
    </dataValidation>
    <dataValidation type="list" allowBlank="1" showInputMessage="1" showErrorMessage="1" sqref="D846">
      <formula1>PriceAreaConnection!A2:A1000</formula1>
    </dataValidation>
    <dataValidation type="list" allowBlank="1" showInputMessage="1" showErrorMessage="1" sqref="D847">
      <formula1>PriceAreaConnection!A2:A1000</formula1>
    </dataValidation>
    <dataValidation type="list" allowBlank="1" showInputMessage="1" showErrorMessage="1" sqref="D848">
      <formula1>PriceAreaConnection!A2:A1000</formula1>
    </dataValidation>
    <dataValidation type="list" allowBlank="1" showInputMessage="1" showErrorMessage="1" sqref="D849">
      <formula1>PriceAreaConnection!A2:A1000</formula1>
    </dataValidation>
    <dataValidation type="list" allowBlank="1" showInputMessage="1" showErrorMessage="1" sqref="D850">
      <formula1>PriceAreaConnection!A2:A1000</formula1>
    </dataValidation>
    <dataValidation type="list" allowBlank="1" showInputMessage="1" showErrorMessage="1" sqref="D851">
      <formula1>PriceAreaConnection!A2:A1000</formula1>
    </dataValidation>
    <dataValidation type="list" allowBlank="1" showInputMessage="1" showErrorMessage="1" sqref="D852">
      <formula1>PriceAreaConnection!A2:A1000</formula1>
    </dataValidation>
    <dataValidation type="list" allowBlank="1" showInputMessage="1" showErrorMessage="1" sqref="D853">
      <formula1>PriceAreaConnection!A2:A1000</formula1>
    </dataValidation>
    <dataValidation type="list" allowBlank="1" showInputMessage="1" showErrorMessage="1" sqref="D854">
      <formula1>PriceAreaConnection!A2:A1000</formula1>
    </dataValidation>
    <dataValidation type="list" allowBlank="1" showInputMessage="1" showErrorMessage="1" sqref="D855">
      <formula1>PriceAreaConnection!A2:A1000</formula1>
    </dataValidation>
    <dataValidation type="list" allowBlank="1" showInputMessage="1" showErrorMessage="1" sqref="D856">
      <formula1>PriceAreaConnection!A2:A1000</formula1>
    </dataValidation>
    <dataValidation type="list" allowBlank="1" showInputMessage="1" showErrorMessage="1" sqref="D857">
      <formula1>PriceAreaConnection!A2:A1000</formula1>
    </dataValidation>
    <dataValidation type="list" allowBlank="1" showInputMessage="1" showErrorMessage="1" sqref="D858">
      <formula1>PriceAreaConnection!A2:A1000</formula1>
    </dataValidation>
    <dataValidation type="list" allowBlank="1" showInputMessage="1" showErrorMessage="1" sqref="D859">
      <formula1>PriceAreaConnection!A2:A1000</formula1>
    </dataValidation>
    <dataValidation type="list" allowBlank="1" showInputMessage="1" showErrorMessage="1" sqref="D860">
      <formula1>PriceAreaConnection!A2:A1000</formula1>
    </dataValidation>
    <dataValidation type="list" allowBlank="1" showInputMessage="1" showErrorMessage="1" sqref="D861">
      <formula1>PriceAreaConnection!A2:A1000</formula1>
    </dataValidation>
    <dataValidation type="list" allowBlank="1" showInputMessage="1" showErrorMessage="1" sqref="D862">
      <formula1>PriceAreaConnection!A2:A1000</formula1>
    </dataValidation>
    <dataValidation type="list" allowBlank="1" showInputMessage="1" showErrorMessage="1" sqref="D863">
      <formula1>PriceAreaConnection!A2:A1000</formula1>
    </dataValidation>
    <dataValidation type="list" allowBlank="1" showInputMessage="1" showErrorMessage="1" sqref="D864">
      <formula1>PriceAreaConnection!A2:A1000</formula1>
    </dataValidation>
    <dataValidation type="list" allowBlank="1" showInputMessage="1" showErrorMessage="1" sqref="D865">
      <formula1>PriceAreaConnection!A2:A1000</formula1>
    </dataValidation>
    <dataValidation type="list" allowBlank="1" showInputMessage="1" showErrorMessage="1" sqref="D866">
      <formula1>PriceAreaConnection!A2:A1000</formula1>
    </dataValidation>
    <dataValidation type="list" allowBlank="1" showInputMessage="1" showErrorMessage="1" sqref="D867">
      <formula1>PriceAreaConnection!A2:A1000</formula1>
    </dataValidation>
    <dataValidation type="list" allowBlank="1" showInputMessage="1" showErrorMessage="1" sqref="D868">
      <formula1>PriceAreaConnection!A2:A1000</formula1>
    </dataValidation>
    <dataValidation type="list" allowBlank="1" showInputMessage="1" showErrorMessage="1" sqref="D869">
      <formula1>PriceAreaConnection!A2:A1000</formula1>
    </dataValidation>
    <dataValidation type="list" allowBlank="1" showInputMessage="1" showErrorMessage="1" sqref="D870">
      <formula1>PriceAreaConnection!A2:A1000</formula1>
    </dataValidation>
    <dataValidation type="list" allowBlank="1" showInputMessage="1" showErrorMessage="1" sqref="D871">
      <formula1>PriceAreaConnection!A2:A1000</formula1>
    </dataValidation>
    <dataValidation type="list" allowBlank="1" showInputMessage="1" showErrorMessage="1" sqref="D872">
      <formula1>PriceAreaConnection!A2:A1000</formula1>
    </dataValidation>
    <dataValidation type="list" allowBlank="1" showInputMessage="1" showErrorMessage="1" sqref="D873">
      <formula1>PriceAreaConnection!A2:A1000</formula1>
    </dataValidation>
    <dataValidation type="list" allowBlank="1" showInputMessage="1" showErrorMessage="1" sqref="D874">
      <formula1>PriceAreaConnection!A2:A1000</formula1>
    </dataValidation>
    <dataValidation type="list" allowBlank="1" showInputMessage="1" showErrorMessage="1" sqref="D875">
      <formula1>PriceAreaConnection!A2:A1000</formula1>
    </dataValidation>
    <dataValidation type="list" allowBlank="1" showInputMessage="1" showErrorMessage="1" sqref="D876">
      <formula1>PriceAreaConnection!A2:A1000</formula1>
    </dataValidation>
    <dataValidation type="list" allowBlank="1" showInputMessage="1" showErrorMessage="1" sqref="D877">
      <formula1>PriceAreaConnection!A2:A1000</formula1>
    </dataValidation>
    <dataValidation type="list" allowBlank="1" showInputMessage="1" showErrorMessage="1" sqref="D878">
      <formula1>PriceAreaConnection!A2:A1000</formula1>
    </dataValidation>
    <dataValidation type="list" allowBlank="1" showInputMessage="1" showErrorMessage="1" sqref="D879">
      <formula1>PriceAreaConnection!A2:A1000</formula1>
    </dataValidation>
    <dataValidation type="list" allowBlank="1" showInputMessage="1" showErrorMessage="1" sqref="D880">
      <formula1>PriceAreaConnection!A2:A1000</formula1>
    </dataValidation>
    <dataValidation type="list" allowBlank="1" showInputMessage="1" showErrorMessage="1" sqref="D881">
      <formula1>PriceAreaConnection!A2:A1000</formula1>
    </dataValidation>
    <dataValidation type="list" allowBlank="1" showInputMessage="1" showErrorMessage="1" sqref="D882">
      <formula1>PriceAreaConnection!A2:A1000</formula1>
    </dataValidation>
    <dataValidation type="list" allowBlank="1" showInputMessage="1" showErrorMessage="1" sqref="D883">
      <formula1>PriceAreaConnection!A2:A1000</formula1>
    </dataValidation>
    <dataValidation type="list" allowBlank="1" showInputMessage="1" showErrorMessage="1" sqref="D884">
      <formula1>PriceAreaConnection!A2:A1000</formula1>
    </dataValidation>
    <dataValidation type="list" allowBlank="1" showInputMessage="1" showErrorMessage="1" sqref="D885">
      <formula1>PriceAreaConnection!A2:A1000</formula1>
    </dataValidation>
    <dataValidation type="list" allowBlank="1" showInputMessage="1" showErrorMessage="1" sqref="D886">
      <formula1>PriceAreaConnection!A2:A1000</formula1>
    </dataValidation>
    <dataValidation type="list" allowBlank="1" showInputMessage="1" showErrorMessage="1" sqref="D887">
      <formula1>PriceAreaConnection!A2:A1000</formula1>
    </dataValidation>
    <dataValidation type="list" allowBlank="1" showInputMessage="1" showErrorMessage="1" sqref="D888">
      <formula1>PriceAreaConnection!A2:A1000</formula1>
    </dataValidation>
    <dataValidation type="list" allowBlank="1" showInputMessage="1" showErrorMessage="1" sqref="D889">
      <formula1>PriceAreaConnection!A2:A1000</formula1>
    </dataValidation>
    <dataValidation type="list" allowBlank="1" showInputMessage="1" showErrorMessage="1" sqref="D890">
      <formula1>PriceAreaConnection!A2:A1000</formula1>
    </dataValidation>
    <dataValidation type="list" allowBlank="1" showInputMessage="1" showErrorMessage="1" sqref="D891">
      <formula1>PriceAreaConnection!A2:A1000</formula1>
    </dataValidation>
    <dataValidation type="list" allowBlank="1" showInputMessage="1" showErrorMessage="1" sqref="D892">
      <formula1>PriceAreaConnection!A2:A1000</formula1>
    </dataValidation>
    <dataValidation type="list" allowBlank="1" showInputMessage="1" showErrorMessage="1" sqref="D893">
      <formula1>PriceAreaConnection!A2:A1000</formula1>
    </dataValidation>
    <dataValidation type="list" allowBlank="1" showInputMessage="1" showErrorMessage="1" sqref="D894">
      <formula1>PriceAreaConnection!A2:A1000</formula1>
    </dataValidation>
    <dataValidation type="list" allowBlank="1" showInputMessage="1" showErrorMessage="1" sqref="D895">
      <formula1>PriceAreaConnection!A2:A1000</formula1>
    </dataValidation>
    <dataValidation type="list" allowBlank="1" showInputMessage="1" showErrorMessage="1" sqref="D896">
      <formula1>PriceAreaConnection!A2:A1000</formula1>
    </dataValidation>
    <dataValidation type="list" allowBlank="1" showInputMessage="1" showErrorMessage="1" sqref="D897">
      <formula1>PriceAreaConnection!A2:A1000</formula1>
    </dataValidation>
    <dataValidation type="list" allowBlank="1" showInputMessage="1" showErrorMessage="1" sqref="D898">
      <formula1>PriceAreaConnection!A2:A1000</formula1>
    </dataValidation>
    <dataValidation type="list" allowBlank="1" showInputMessage="1" showErrorMessage="1" sqref="D899">
      <formula1>PriceAreaConnection!A2:A1000</formula1>
    </dataValidation>
    <dataValidation type="list" allowBlank="1" showInputMessage="1" showErrorMessage="1" sqref="D900">
      <formula1>PriceAreaConnection!A2:A1000</formula1>
    </dataValidation>
    <dataValidation type="list" allowBlank="1" showInputMessage="1" showErrorMessage="1" sqref="D901">
      <formula1>PriceAreaConnection!A2:A1000</formula1>
    </dataValidation>
    <dataValidation type="list" allowBlank="1" showInputMessage="1" showErrorMessage="1" sqref="D902">
      <formula1>PriceAreaConnection!A2:A1000</formula1>
    </dataValidation>
    <dataValidation type="list" allowBlank="1" showInputMessage="1" showErrorMessage="1" sqref="D903">
      <formula1>PriceAreaConnection!A2:A1000</formula1>
    </dataValidation>
    <dataValidation type="list" allowBlank="1" showInputMessage="1" showErrorMessage="1" sqref="D904">
      <formula1>PriceAreaConnection!A2:A1000</formula1>
    </dataValidation>
    <dataValidation type="list" allowBlank="1" showInputMessage="1" showErrorMessage="1" sqref="D905">
      <formula1>PriceAreaConnection!A2:A1000</formula1>
    </dataValidation>
    <dataValidation type="list" allowBlank="1" showInputMessage="1" showErrorMessage="1" sqref="D906">
      <formula1>PriceAreaConnection!A2:A1000</formula1>
    </dataValidation>
    <dataValidation type="list" allowBlank="1" showInputMessage="1" showErrorMessage="1" sqref="D907">
      <formula1>PriceAreaConnection!A2:A1000</formula1>
    </dataValidation>
    <dataValidation type="list" allowBlank="1" showInputMessage="1" showErrorMessage="1" sqref="D908">
      <formula1>PriceAreaConnection!A2:A1000</formula1>
    </dataValidation>
    <dataValidation type="list" allowBlank="1" showInputMessage="1" showErrorMessage="1" sqref="D909">
      <formula1>PriceAreaConnection!A2:A1000</formula1>
    </dataValidation>
    <dataValidation type="list" allowBlank="1" showInputMessage="1" showErrorMessage="1" sqref="D910">
      <formula1>PriceAreaConnection!A2:A1000</formula1>
    </dataValidation>
    <dataValidation type="list" allowBlank="1" showInputMessage="1" showErrorMessage="1" sqref="D911">
      <formula1>PriceAreaConnection!A2:A1000</formula1>
    </dataValidation>
    <dataValidation type="list" allowBlank="1" showInputMessage="1" showErrorMessage="1" sqref="D912">
      <formula1>PriceAreaConnection!A2:A1000</formula1>
    </dataValidation>
    <dataValidation type="list" allowBlank="1" showInputMessage="1" showErrorMessage="1" sqref="D913">
      <formula1>PriceAreaConnection!A2:A1000</formula1>
    </dataValidation>
    <dataValidation type="list" allowBlank="1" showInputMessage="1" showErrorMessage="1" sqref="D914">
      <formula1>PriceAreaConnection!A2:A1000</formula1>
    </dataValidation>
    <dataValidation type="list" allowBlank="1" showInputMessage="1" showErrorMessage="1" sqref="D915">
      <formula1>PriceAreaConnection!A2:A1000</formula1>
    </dataValidation>
    <dataValidation type="list" allowBlank="1" showInputMessage="1" showErrorMessage="1" sqref="D916">
      <formula1>PriceAreaConnection!A2:A1000</formula1>
    </dataValidation>
    <dataValidation type="list" allowBlank="1" showInputMessage="1" showErrorMessage="1" sqref="D917">
      <formula1>PriceAreaConnection!A2:A1000</formula1>
    </dataValidation>
    <dataValidation type="list" allowBlank="1" showInputMessage="1" showErrorMessage="1" sqref="D918">
      <formula1>PriceAreaConnection!A2:A1000</formula1>
    </dataValidation>
    <dataValidation type="list" allowBlank="1" showInputMessage="1" showErrorMessage="1" sqref="D919">
      <formula1>PriceAreaConnection!A2:A1000</formula1>
    </dataValidation>
    <dataValidation type="list" allowBlank="1" showInputMessage="1" showErrorMessage="1" sqref="D920">
      <formula1>PriceAreaConnection!A2:A1000</formula1>
    </dataValidation>
    <dataValidation type="list" allowBlank="1" showInputMessage="1" showErrorMessage="1" sqref="D921">
      <formula1>PriceAreaConnection!A2:A1000</formula1>
    </dataValidation>
    <dataValidation type="list" allowBlank="1" showInputMessage="1" showErrorMessage="1" sqref="D922">
      <formula1>PriceAreaConnection!A2:A1000</formula1>
    </dataValidation>
    <dataValidation type="list" allowBlank="1" showInputMessage="1" showErrorMessage="1" sqref="D923">
      <formula1>PriceAreaConnection!A2:A1000</formula1>
    </dataValidation>
    <dataValidation type="list" allowBlank="1" showInputMessage="1" showErrorMessage="1" sqref="D924">
      <formula1>PriceAreaConnection!A2:A1000</formula1>
    </dataValidation>
    <dataValidation type="list" allowBlank="1" showInputMessage="1" showErrorMessage="1" sqref="D925">
      <formula1>PriceAreaConnection!A2:A1000</formula1>
    </dataValidation>
    <dataValidation type="list" allowBlank="1" showInputMessage="1" showErrorMessage="1" sqref="D926">
      <formula1>PriceAreaConnection!A2:A1000</formula1>
    </dataValidation>
    <dataValidation type="list" allowBlank="1" showInputMessage="1" showErrorMessage="1" sqref="D927">
      <formula1>PriceAreaConnection!A2:A1000</formula1>
    </dataValidation>
    <dataValidation type="list" allowBlank="1" showInputMessage="1" showErrorMessage="1" sqref="D928">
      <formula1>PriceAreaConnection!A2:A1000</formula1>
    </dataValidation>
    <dataValidation type="list" allowBlank="1" showInputMessage="1" showErrorMessage="1" sqref="D929">
      <formula1>PriceAreaConnection!A2:A1000</formula1>
    </dataValidation>
    <dataValidation type="list" allowBlank="1" showInputMessage="1" showErrorMessage="1" sqref="D930">
      <formula1>PriceAreaConnection!A2:A1000</formula1>
    </dataValidation>
    <dataValidation type="list" allowBlank="1" showInputMessage="1" showErrorMessage="1" sqref="D931">
      <formula1>PriceAreaConnection!A2:A1000</formula1>
    </dataValidation>
    <dataValidation type="list" allowBlank="1" showInputMessage="1" showErrorMessage="1" sqref="D932">
      <formula1>PriceAreaConnection!A2:A1000</formula1>
    </dataValidation>
    <dataValidation type="list" allowBlank="1" showInputMessage="1" showErrorMessage="1" sqref="D933">
      <formula1>PriceAreaConnection!A2:A1000</formula1>
    </dataValidation>
    <dataValidation type="list" allowBlank="1" showInputMessage="1" showErrorMessage="1" sqref="D934">
      <formula1>PriceAreaConnection!A2:A1000</formula1>
    </dataValidation>
    <dataValidation type="list" allowBlank="1" showInputMessage="1" showErrorMessage="1" sqref="D935">
      <formula1>PriceAreaConnection!A2:A1000</formula1>
    </dataValidation>
    <dataValidation type="list" allowBlank="1" showInputMessage="1" showErrorMessage="1" sqref="D936">
      <formula1>PriceAreaConnection!A2:A1000</formula1>
    </dataValidation>
    <dataValidation type="list" allowBlank="1" showInputMessage="1" showErrorMessage="1" sqref="D937">
      <formula1>PriceAreaConnection!A2:A1000</formula1>
    </dataValidation>
    <dataValidation type="list" allowBlank="1" showInputMessage="1" showErrorMessage="1" sqref="D938">
      <formula1>PriceAreaConnection!A2:A1000</formula1>
    </dataValidation>
    <dataValidation type="list" allowBlank="1" showInputMessage="1" showErrorMessage="1" sqref="D939">
      <formula1>PriceAreaConnection!A2:A1000</formula1>
    </dataValidation>
    <dataValidation type="list" allowBlank="1" showInputMessage="1" showErrorMessage="1" sqref="D940">
      <formula1>PriceAreaConnection!A2:A1000</formula1>
    </dataValidation>
    <dataValidation type="list" allowBlank="1" showInputMessage="1" showErrorMessage="1" sqref="D941">
      <formula1>PriceAreaConnection!A2:A1000</formula1>
    </dataValidation>
    <dataValidation type="list" allowBlank="1" showInputMessage="1" showErrorMessage="1" sqref="D942">
      <formula1>PriceAreaConnection!A2:A1000</formula1>
    </dataValidation>
    <dataValidation type="list" allowBlank="1" showInputMessage="1" showErrorMessage="1" sqref="D943">
      <formula1>PriceAreaConnection!A2:A1000</formula1>
    </dataValidation>
    <dataValidation type="list" allowBlank="1" showInputMessage="1" showErrorMessage="1" sqref="D944">
      <formula1>PriceAreaConnection!A2:A1000</formula1>
    </dataValidation>
    <dataValidation type="list" allowBlank="1" showInputMessage="1" showErrorMessage="1" sqref="D945">
      <formula1>PriceAreaConnection!A2:A1000</formula1>
    </dataValidation>
    <dataValidation type="list" allowBlank="1" showInputMessage="1" showErrorMessage="1" sqref="D946">
      <formula1>PriceAreaConnection!A2:A1000</formula1>
    </dataValidation>
    <dataValidation type="list" allowBlank="1" showInputMessage="1" showErrorMessage="1" sqref="D947">
      <formula1>PriceAreaConnection!A2:A1000</formula1>
    </dataValidation>
    <dataValidation type="list" allowBlank="1" showInputMessage="1" showErrorMessage="1" sqref="D948">
      <formula1>PriceAreaConnection!A2:A1000</formula1>
    </dataValidation>
    <dataValidation type="list" allowBlank="1" showInputMessage="1" showErrorMessage="1" sqref="D949">
      <formula1>PriceAreaConnection!A2:A1000</formula1>
    </dataValidation>
    <dataValidation type="list" allowBlank="1" showInputMessage="1" showErrorMessage="1" sqref="D950">
      <formula1>PriceAreaConnection!A2:A1000</formula1>
    </dataValidation>
    <dataValidation type="list" allowBlank="1" showInputMessage="1" showErrorMessage="1" sqref="D951">
      <formula1>PriceAreaConnection!A2:A1000</formula1>
    </dataValidation>
    <dataValidation type="list" allowBlank="1" showInputMessage="1" showErrorMessage="1" sqref="D952">
      <formula1>PriceAreaConnection!A2:A1000</formula1>
    </dataValidation>
    <dataValidation type="list" allowBlank="1" showInputMessage="1" showErrorMessage="1" sqref="D953">
      <formula1>PriceAreaConnection!A2:A1000</formula1>
    </dataValidation>
    <dataValidation type="list" allowBlank="1" showInputMessage="1" showErrorMessage="1" sqref="D954">
      <formula1>PriceAreaConnection!A2:A1000</formula1>
    </dataValidation>
    <dataValidation type="list" allowBlank="1" showInputMessage="1" showErrorMessage="1" sqref="D955">
      <formula1>PriceAreaConnection!A2:A1000</formula1>
    </dataValidation>
    <dataValidation type="list" allowBlank="1" showInputMessage="1" showErrorMessage="1" sqref="D956">
      <formula1>PriceAreaConnection!A2:A1000</formula1>
    </dataValidation>
    <dataValidation type="list" allowBlank="1" showInputMessage="1" showErrorMessage="1" sqref="D957">
      <formula1>PriceAreaConnection!A2:A1000</formula1>
    </dataValidation>
    <dataValidation type="list" allowBlank="1" showInputMessage="1" showErrorMessage="1" sqref="D958">
      <formula1>PriceAreaConnection!A2:A1000</formula1>
    </dataValidation>
    <dataValidation type="list" allowBlank="1" showInputMessage="1" showErrorMessage="1" sqref="D959">
      <formula1>PriceAreaConnection!A2:A1000</formula1>
    </dataValidation>
    <dataValidation type="list" allowBlank="1" showInputMessage="1" showErrorMessage="1" sqref="D960">
      <formula1>PriceAreaConnection!A2:A1000</formula1>
    </dataValidation>
    <dataValidation type="list" allowBlank="1" showInputMessage="1" showErrorMessage="1" sqref="D961">
      <formula1>PriceAreaConnection!A2:A1000</formula1>
    </dataValidation>
    <dataValidation type="list" allowBlank="1" showInputMessage="1" showErrorMessage="1" sqref="D962">
      <formula1>PriceAreaConnection!A2:A1000</formula1>
    </dataValidation>
    <dataValidation type="list" allowBlank="1" showInputMessage="1" showErrorMessage="1" sqref="D963">
      <formula1>PriceAreaConnection!A2:A1000</formula1>
    </dataValidation>
    <dataValidation type="list" allowBlank="1" showInputMessage="1" showErrorMessage="1" sqref="D964">
      <formula1>PriceAreaConnection!A2:A1000</formula1>
    </dataValidation>
    <dataValidation type="list" allowBlank="1" showInputMessage="1" showErrorMessage="1" sqref="D965">
      <formula1>PriceAreaConnection!A2:A1000</formula1>
    </dataValidation>
    <dataValidation type="list" allowBlank="1" showInputMessage="1" showErrorMessage="1" sqref="D966">
      <formula1>PriceAreaConnection!A2:A1000</formula1>
    </dataValidation>
    <dataValidation type="list" allowBlank="1" showInputMessage="1" showErrorMessage="1" sqref="D967">
      <formula1>PriceAreaConnection!A2:A1000</formula1>
    </dataValidation>
    <dataValidation type="list" allowBlank="1" showInputMessage="1" showErrorMessage="1" sqref="D968">
      <formula1>PriceAreaConnection!A2:A1000</formula1>
    </dataValidation>
    <dataValidation type="list" allowBlank="1" showInputMessage="1" showErrorMessage="1" sqref="D969">
      <formula1>PriceAreaConnection!A2:A1000</formula1>
    </dataValidation>
    <dataValidation type="list" allowBlank="1" showInputMessage="1" showErrorMessage="1" sqref="D970">
      <formula1>PriceAreaConnection!A2:A1000</formula1>
    </dataValidation>
    <dataValidation type="list" allowBlank="1" showInputMessage="1" showErrorMessage="1" sqref="D971">
      <formula1>PriceAreaConnection!A2:A1000</formula1>
    </dataValidation>
    <dataValidation type="list" allowBlank="1" showInputMessage="1" showErrorMessage="1" sqref="D972">
      <formula1>PriceAreaConnection!A2:A1000</formula1>
    </dataValidation>
    <dataValidation type="list" allowBlank="1" showInputMessage="1" showErrorMessage="1" sqref="D973">
      <formula1>PriceAreaConnection!A2:A1000</formula1>
    </dataValidation>
    <dataValidation type="list" allowBlank="1" showInputMessage="1" showErrorMessage="1" sqref="D974">
      <formula1>PriceAreaConnection!A2:A1000</formula1>
    </dataValidation>
    <dataValidation type="list" allowBlank="1" showInputMessage="1" showErrorMessage="1" sqref="D975">
      <formula1>PriceAreaConnection!A2:A1000</formula1>
    </dataValidation>
    <dataValidation type="list" allowBlank="1" showInputMessage="1" showErrorMessage="1" sqref="D976">
      <formula1>PriceAreaConnection!A2:A1000</formula1>
    </dataValidation>
    <dataValidation type="list" allowBlank="1" showInputMessage="1" showErrorMessage="1" sqref="D977">
      <formula1>PriceAreaConnection!A2:A1000</formula1>
    </dataValidation>
    <dataValidation type="list" allowBlank="1" showInputMessage="1" showErrorMessage="1" sqref="D978">
      <formula1>PriceAreaConnection!A2:A1000</formula1>
    </dataValidation>
    <dataValidation type="list" allowBlank="1" showInputMessage="1" showErrorMessage="1" sqref="D979">
      <formula1>PriceAreaConnection!A2:A1000</formula1>
    </dataValidation>
    <dataValidation type="list" allowBlank="1" showInputMessage="1" showErrorMessage="1" sqref="D980">
      <formula1>PriceAreaConnection!A2:A1000</formula1>
    </dataValidation>
    <dataValidation type="list" allowBlank="1" showInputMessage="1" showErrorMessage="1" sqref="D981">
      <formula1>PriceAreaConnection!A2:A1000</formula1>
    </dataValidation>
    <dataValidation type="list" allowBlank="1" showInputMessage="1" showErrorMessage="1" sqref="D982">
      <formula1>PriceAreaConnection!A2:A1000</formula1>
    </dataValidation>
    <dataValidation type="list" allowBlank="1" showInputMessage="1" showErrorMessage="1" sqref="D983">
      <formula1>PriceAreaConnection!A2:A1000</formula1>
    </dataValidation>
    <dataValidation type="list" allowBlank="1" showInputMessage="1" showErrorMessage="1" sqref="D984">
      <formula1>PriceAreaConnection!A2:A1000</formula1>
    </dataValidation>
    <dataValidation type="list" allowBlank="1" showInputMessage="1" showErrorMessage="1" sqref="D985">
      <formula1>PriceAreaConnection!A2:A1000</formula1>
    </dataValidation>
    <dataValidation type="list" allowBlank="1" showInputMessage="1" showErrorMessage="1" sqref="D986">
      <formula1>PriceAreaConnection!A2:A1000</formula1>
    </dataValidation>
    <dataValidation type="list" allowBlank="1" showInputMessage="1" showErrorMessage="1" sqref="D987">
      <formula1>PriceAreaConnection!A2:A1000</formula1>
    </dataValidation>
    <dataValidation type="list" allowBlank="1" showInputMessage="1" showErrorMessage="1" sqref="D988">
      <formula1>PriceAreaConnection!A2:A1000</formula1>
    </dataValidation>
    <dataValidation type="list" allowBlank="1" showInputMessage="1" showErrorMessage="1" sqref="D989">
      <formula1>PriceAreaConnection!A2:A1000</formula1>
    </dataValidation>
    <dataValidation type="list" allowBlank="1" showInputMessage="1" showErrorMessage="1" sqref="D990">
      <formula1>PriceAreaConnection!A2:A1000</formula1>
    </dataValidation>
    <dataValidation type="list" allowBlank="1" showInputMessage="1" showErrorMessage="1" sqref="D991">
      <formula1>PriceAreaConnection!A2:A1000</formula1>
    </dataValidation>
    <dataValidation type="list" allowBlank="1" showInputMessage="1" showErrorMessage="1" sqref="D992">
      <formula1>PriceAreaConnection!A2:A1000</formula1>
    </dataValidation>
    <dataValidation type="list" allowBlank="1" showInputMessage="1" showErrorMessage="1" sqref="D993">
      <formula1>PriceAreaConnection!A2:A1000</formula1>
    </dataValidation>
    <dataValidation type="list" allowBlank="1" showInputMessage="1" showErrorMessage="1" sqref="D994">
      <formula1>PriceAreaConnection!A2:A1000</formula1>
    </dataValidation>
    <dataValidation type="list" allowBlank="1" showInputMessage="1" showErrorMessage="1" sqref="D995">
      <formula1>PriceAreaConnection!A2:A1000</formula1>
    </dataValidation>
    <dataValidation type="list" allowBlank="1" showInputMessage="1" showErrorMessage="1" sqref="D996">
      <formula1>PriceAreaConnection!A2:A1000</formula1>
    </dataValidation>
    <dataValidation type="list" allowBlank="1" showInputMessage="1" showErrorMessage="1" sqref="D997">
      <formula1>PriceAreaConnection!A2:A1000</formula1>
    </dataValidation>
    <dataValidation type="list" allowBlank="1" showInputMessage="1" showErrorMessage="1" sqref="D998">
      <formula1>PriceAreaConnection!A2:A1000</formula1>
    </dataValidation>
    <dataValidation type="list" allowBlank="1" showInputMessage="1" showErrorMessage="1" sqref="D999">
      <formula1>PriceAreaConnection!A2:A1000</formula1>
    </dataValidation>
    <dataValidation type="list" allowBlank="1" showInputMessage="1" showErrorMessage="1" sqref="D1000">
      <formula1>PriceAreaConnection!A2:A1000</formula1>
    </dataValidation>
    <dataValidation type="list" allowBlank="1" showInputMessage="1" showErrorMessage="1" sqref="D1001">
      <formula1>PriceAreaConnection!A2:A1000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1"/>
  <sheetViews>
    <sheetView workbookViewId="0"/>
  </sheetViews>
  <sheetFormatPr defaultRowHeight="15"/>
  <cols>
    <col min="1" max="3" width="30.7109375" customWidth="1"/>
  </cols>
  <sheetData>
    <row r="1" spans="1:3">
      <c r="A1" s="1" t="s">
        <v>0</v>
      </c>
      <c r="B1" s="2" t="s">
        <v>1</v>
      </c>
      <c r="C1" s="2" t="s">
        <v>6</v>
      </c>
    </row>
    <row r="2" spans="1:3">
      <c r="A2">
        <f>IF(ISBLANK(B2), "","PriceAreaConnection-1")</f>
        <v>0</v>
      </c>
    </row>
    <row r="3" spans="1:3">
      <c r="A3">
        <f>IF(ISBLANK(B3), "","PriceAreaConnection-2")</f>
        <v>0</v>
      </c>
    </row>
    <row r="4" spans="1:3">
      <c r="A4">
        <f>IF(ISBLANK(B4), "","PriceAreaConnection-3")</f>
        <v>0</v>
      </c>
    </row>
    <row r="5" spans="1:3">
      <c r="A5">
        <f>IF(ISBLANK(B5), "","PriceAreaConnection-4")</f>
        <v>0</v>
      </c>
    </row>
    <row r="6" spans="1:3">
      <c r="A6">
        <f>IF(ISBLANK(B6), "","PriceAreaConnection-5")</f>
        <v>0</v>
      </c>
    </row>
    <row r="7" spans="1:3">
      <c r="A7">
        <f>IF(ISBLANK(B7), "","PriceAreaConnection-6")</f>
        <v>0</v>
      </c>
    </row>
    <row r="8" spans="1:3">
      <c r="A8">
        <f>IF(ISBLANK(B8), "","PriceAreaConnection-7")</f>
        <v>0</v>
      </c>
    </row>
    <row r="9" spans="1:3">
      <c r="A9">
        <f>IF(ISBLANK(B9), "","PriceAreaConnection-8")</f>
        <v>0</v>
      </c>
    </row>
    <row r="10" spans="1:3">
      <c r="A10">
        <f>IF(ISBLANK(B10), "","PriceAreaConnection-9")</f>
        <v>0</v>
      </c>
    </row>
    <row r="11" spans="1:3">
      <c r="A11">
        <f>IF(ISBLANK(B11), "","PriceAreaConnection-10")</f>
        <v>0</v>
      </c>
    </row>
    <row r="12" spans="1:3">
      <c r="A12">
        <f>IF(ISBLANK(B12), "","PriceAreaConnection-11")</f>
        <v>0</v>
      </c>
    </row>
    <row r="13" spans="1:3">
      <c r="A13">
        <f>IF(ISBLANK(B13), "","PriceAreaConnection-12")</f>
        <v>0</v>
      </c>
    </row>
    <row r="14" spans="1:3">
      <c r="A14">
        <f>IF(ISBLANK(B14), "","PriceAreaConnection-13")</f>
        <v>0</v>
      </c>
    </row>
    <row r="15" spans="1:3">
      <c r="A15">
        <f>IF(ISBLANK(B15), "","PriceAreaConnection-14")</f>
        <v>0</v>
      </c>
    </row>
    <row r="16" spans="1:3">
      <c r="A16">
        <f>IF(ISBLANK(B16), "","PriceAreaConnection-15")</f>
        <v>0</v>
      </c>
    </row>
    <row r="17" spans="1:1">
      <c r="A17">
        <f>IF(ISBLANK(B17), "","PriceAreaConnection-16")</f>
        <v>0</v>
      </c>
    </row>
    <row r="18" spans="1:1">
      <c r="A18">
        <f>IF(ISBLANK(B18), "","PriceAreaConnection-17")</f>
        <v>0</v>
      </c>
    </row>
    <row r="19" spans="1:1">
      <c r="A19">
        <f>IF(ISBLANK(B19), "","PriceAreaConnection-18")</f>
        <v>0</v>
      </c>
    </row>
    <row r="20" spans="1:1">
      <c r="A20">
        <f>IF(ISBLANK(B20), "","PriceAreaConnection-19")</f>
        <v>0</v>
      </c>
    </row>
    <row r="21" spans="1:1">
      <c r="A21">
        <f>IF(ISBLANK(B21), "","PriceAreaConnection-20")</f>
        <v>0</v>
      </c>
    </row>
    <row r="22" spans="1:1">
      <c r="A22">
        <f>IF(ISBLANK(B22), "","PriceAreaConnection-21")</f>
        <v>0</v>
      </c>
    </row>
    <row r="23" spans="1:1">
      <c r="A23">
        <f>IF(ISBLANK(B23), "","PriceAreaConnection-22")</f>
        <v>0</v>
      </c>
    </row>
    <row r="24" spans="1:1">
      <c r="A24">
        <f>IF(ISBLANK(B24), "","PriceAreaConnection-23")</f>
        <v>0</v>
      </c>
    </row>
    <row r="25" spans="1:1">
      <c r="A25">
        <f>IF(ISBLANK(B25), "","PriceAreaConnection-24")</f>
        <v>0</v>
      </c>
    </row>
    <row r="26" spans="1:1">
      <c r="A26">
        <f>IF(ISBLANK(B26), "","PriceAreaConnection-25")</f>
        <v>0</v>
      </c>
    </row>
    <row r="27" spans="1:1">
      <c r="A27">
        <f>IF(ISBLANK(B27), "","PriceAreaConnection-26")</f>
        <v>0</v>
      </c>
    </row>
    <row r="28" spans="1:1">
      <c r="A28">
        <f>IF(ISBLANK(B28), "","PriceAreaConnection-27")</f>
        <v>0</v>
      </c>
    </row>
    <row r="29" spans="1:1">
      <c r="A29">
        <f>IF(ISBLANK(B29), "","PriceAreaConnection-28")</f>
        <v>0</v>
      </c>
    </row>
    <row r="30" spans="1:1">
      <c r="A30">
        <f>IF(ISBLANK(B30), "","PriceAreaConnection-29")</f>
        <v>0</v>
      </c>
    </row>
    <row r="31" spans="1:1">
      <c r="A31">
        <f>IF(ISBLANK(B31), "","PriceAreaConnection-30")</f>
        <v>0</v>
      </c>
    </row>
    <row r="32" spans="1:1">
      <c r="A32">
        <f>IF(ISBLANK(B32), "","PriceAreaConnection-31")</f>
        <v>0</v>
      </c>
    </row>
    <row r="33" spans="1:1">
      <c r="A33">
        <f>IF(ISBLANK(B33), "","PriceAreaConnection-32")</f>
        <v>0</v>
      </c>
    </row>
    <row r="34" spans="1:1">
      <c r="A34">
        <f>IF(ISBLANK(B34), "","PriceAreaConnection-33")</f>
        <v>0</v>
      </c>
    </row>
    <row r="35" spans="1:1">
      <c r="A35">
        <f>IF(ISBLANK(B35), "","PriceAreaConnection-34")</f>
        <v>0</v>
      </c>
    </row>
    <row r="36" spans="1:1">
      <c r="A36">
        <f>IF(ISBLANK(B36), "","PriceAreaConnection-35")</f>
        <v>0</v>
      </c>
    </row>
    <row r="37" spans="1:1">
      <c r="A37">
        <f>IF(ISBLANK(B37), "","PriceAreaConnection-36")</f>
        <v>0</v>
      </c>
    </row>
    <row r="38" spans="1:1">
      <c r="A38">
        <f>IF(ISBLANK(B38), "","PriceAreaConnection-37")</f>
        <v>0</v>
      </c>
    </row>
    <row r="39" spans="1:1">
      <c r="A39">
        <f>IF(ISBLANK(B39), "","PriceAreaConnection-38")</f>
        <v>0</v>
      </c>
    </row>
    <row r="40" spans="1:1">
      <c r="A40">
        <f>IF(ISBLANK(B40), "","PriceAreaConnection-39")</f>
        <v>0</v>
      </c>
    </row>
    <row r="41" spans="1:1">
      <c r="A41">
        <f>IF(ISBLANK(B41), "","PriceAreaConnection-40")</f>
        <v>0</v>
      </c>
    </row>
    <row r="42" spans="1:1">
      <c r="A42">
        <f>IF(ISBLANK(B42), "","PriceAreaConnection-41")</f>
        <v>0</v>
      </c>
    </row>
    <row r="43" spans="1:1">
      <c r="A43">
        <f>IF(ISBLANK(B43), "","PriceAreaConnection-42")</f>
        <v>0</v>
      </c>
    </row>
    <row r="44" spans="1:1">
      <c r="A44">
        <f>IF(ISBLANK(B44), "","PriceAreaConnection-43")</f>
        <v>0</v>
      </c>
    </row>
    <row r="45" spans="1:1">
      <c r="A45">
        <f>IF(ISBLANK(B45), "","PriceAreaConnection-44")</f>
        <v>0</v>
      </c>
    </row>
    <row r="46" spans="1:1">
      <c r="A46">
        <f>IF(ISBLANK(B46), "","PriceAreaConnection-45")</f>
        <v>0</v>
      </c>
    </row>
    <row r="47" spans="1:1">
      <c r="A47">
        <f>IF(ISBLANK(B47), "","PriceAreaConnection-46")</f>
        <v>0</v>
      </c>
    </row>
    <row r="48" spans="1:1">
      <c r="A48">
        <f>IF(ISBLANK(B48), "","PriceAreaConnection-47")</f>
        <v>0</v>
      </c>
    </row>
    <row r="49" spans="1:1">
      <c r="A49">
        <f>IF(ISBLANK(B49), "","PriceAreaConnection-48")</f>
        <v>0</v>
      </c>
    </row>
    <row r="50" spans="1:1">
      <c r="A50">
        <f>IF(ISBLANK(B50), "","PriceAreaConnection-49")</f>
        <v>0</v>
      </c>
    </row>
    <row r="51" spans="1:1">
      <c r="A51">
        <f>IF(ISBLANK(B51), "","PriceAreaConnection-50")</f>
        <v>0</v>
      </c>
    </row>
    <row r="52" spans="1:1">
      <c r="A52">
        <f>IF(ISBLANK(B52), "","PriceAreaConnection-51")</f>
        <v>0</v>
      </c>
    </row>
    <row r="53" spans="1:1">
      <c r="A53">
        <f>IF(ISBLANK(B53), "","PriceAreaConnection-52")</f>
        <v>0</v>
      </c>
    </row>
    <row r="54" spans="1:1">
      <c r="A54">
        <f>IF(ISBLANK(B54), "","PriceAreaConnection-53")</f>
        <v>0</v>
      </c>
    </row>
    <row r="55" spans="1:1">
      <c r="A55">
        <f>IF(ISBLANK(B55), "","PriceAreaConnection-54")</f>
        <v>0</v>
      </c>
    </row>
    <row r="56" spans="1:1">
      <c r="A56">
        <f>IF(ISBLANK(B56), "","PriceAreaConnection-55")</f>
        <v>0</v>
      </c>
    </row>
    <row r="57" spans="1:1">
      <c r="A57">
        <f>IF(ISBLANK(B57), "","PriceAreaConnection-56")</f>
        <v>0</v>
      </c>
    </row>
    <row r="58" spans="1:1">
      <c r="A58">
        <f>IF(ISBLANK(B58), "","PriceAreaConnection-57")</f>
        <v>0</v>
      </c>
    </row>
    <row r="59" spans="1:1">
      <c r="A59">
        <f>IF(ISBLANK(B59), "","PriceAreaConnection-58")</f>
        <v>0</v>
      </c>
    </row>
    <row r="60" spans="1:1">
      <c r="A60">
        <f>IF(ISBLANK(B60), "","PriceAreaConnection-59")</f>
        <v>0</v>
      </c>
    </row>
    <row r="61" spans="1:1">
      <c r="A61">
        <f>IF(ISBLANK(B61), "","PriceAreaConnection-60")</f>
        <v>0</v>
      </c>
    </row>
    <row r="62" spans="1:1">
      <c r="A62">
        <f>IF(ISBLANK(B62), "","PriceAreaConnection-61")</f>
        <v>0</v>
      </c>
    </row>
    <row r="63" spans="1:1">
      <c r="A63">
        <f>IF(ISBLANK(B63), "","PriceAreaConnection-62")</f>
        <v>0</v>
      </c>
    </row>
    <row r="64" spans="1:1">
      <c r="A64">
        <f>IF(ISBLANK(B64), "","PriceAreaConnection-63")</f>
        <v>0</v>
      </c>
    </row>
    <row r="65" spans="1:1">
      <c r="A65">
        <f>IF(ISBLANK(B65), "","PriceAreaConnection-64")</f>
        <v>0</v>
      </c>
    </row>
    <row r="66" spans="1:1">
      <c r="A66">
        <f>IF(ISBLANK(B66), "","PriceAreaConnection-65")</f>
        <v>0</v>
      </c>
    </row>
    <row r="67" spans="1:1">
      <c r="A67">
        <f>IF(ISBLANK(B67), "","PriceAreaConnection-66")</f>
        <v>0</v>
      </c>
    </row>
    <row r="68" spans="1:1">
      <c r="A68">
        <f>IF(ISBLANK(B68), "","PriceAreaConnection-67")</f>
        <v>0</v>
      </c>
    </row>
    <row r="69" spans="1:1">
      <c r="A69">
        <f>IF(ISBLANK(B69), "","PriceAreaConnection-68")</f>
        <v>0</v>
      </c>
    </row>
    <row r="70" spans="1:1">
      <c r="A70">
        <f>IF(ISBLANK(B70), "","PriceAreaConnection-69")</f>
        <v>0</v>
      </c>
    </row>
    <row r="71" spans="1:1">
      <c r="A71">
        <f>IF(ISBLANK(B71), "","PriceAreaConnection-70")</f>
        <v>0</v>
      </c>
    </row>
    <row r="72" spans="1:1">
      <c r="A72">
        <f>IF(ISBLANK(B72), "","PriceAreaConnection-71")</f>
        <v>0</v>
      </c>
    </row>
    <row r="73" spans="1:1">
      <c r="A73">
        <f>IF(ISBLANK(B73), "","PriceAreaConnection-72")</f>
        <v>0</v>
      </c>
    </row>
    <row r="74" spans="1:1">
      <c r="A74">
        <f>IF(ISBLANK(B74), "","PriceAreaConnection-73")</f>
        <v>0</v>
      </c>
    </row>
    <row r="75" spans="1:1">
      <c r="A75">
        <f>IF(ISBLANK(B75), "","PriceAreaConnection-74")</f>
        <v>0</v>
      </c>
    </row>
    <row r="76" spans="1:1">
      <c r="A76">
        <f>IF(ISBLANK(B76), "","PriceAreaConnection-75")</f>
        <v>0</v>
      </c>
    </row>
    <row r="77" spans="1:1">
      <c r="A77">
        <f>IF(ISBLANK(B77), "","PriceAreaConnection-76")</f>
        <v>0</v>
      </c>
    </row>
    <row r="78" spans="1:1">
      <c r="A78">
        <f>IF(ISBLANK(B78), "","PriceAreaConnection-77")</f>
        <v>0</v>
      </c>
    </row>
    <row r="79" spans="1:1">
      <c r="A79">
        <f>IF(ISBLANK(B79), "","PriceAreaConnection-78")</f>
        <v>0</v>
      </c>
    </row>
    <row r="80" spans="1:1">
      <c r="A80">
        <f>IF(ISBLANK(B80), "","PriceAreaConnection-79")</f>
        <v>0</v>
      </c>
    </row>
    <row r="81" spans="1:1">
      <c r="A81">
        <f>IF(ISBLANK(B81), "","PriceAreaConnection-80")</f>
        <v>0</v>
      </c>
    </row>
    <row r="82" spans="1:1">
      <c r="A82">
        <f>IF(ISBLANK(B82), "","PriceAreaConnection-81")</f>
        <v>0</v>
      </c>
    </row>
    <row r="83" spans="1:1">
      <c r="A83">
        <f>IF(ISBLANK(B83), "","PriceAreaConnection-82")</f>
        <v>0</v>
      </c>
    </row>
    <row r="84" spans="1:1">
      <c r="A84">
        <f>IF(ISBLANK(B84), "","PriceAreaConnection-83")</f>
        <v>0</v>
      </c>
    </row>
    <row r="85" spans="1:1">
      <c r="A85">
        <f>IF(ISBLANK(B85), "","PriceAreaConnection-84")</f>
        <v>0</v>
      </c>
    </row>
    <row r="86" spans="1:1">
      <c r="A86">
        <f>IF(ISBLANK(B86), "","PriceAreaConnection-85")</f>
        <v>0</v>
      </c>
    </row>
    <row r="87" spans="1:1">
      <c r="A87">
        <f>IF(ISBLANK(B87), "","PriceAreaConnection-86")</f>
        <v>0</v>
      </c>
    </row>
    <row r="88" spans="1:1">
      <c r="A88">
        <f>IF(ISBLANK(B88), "","PriceAreaConnection-87")</f>
        <v>0</v>
      </c>
    </row>
    <row r="89" spans="1:1">
      <c r="A89">
        <f>IF(ISBLANK(B89), "","PriceAreaConnection-88")</f>
        <v>0</v>
      </c>
    </row>
    <row r="90" spans="1:1">
      <c r="A90">
        <f>IF(ISBLANK(B90), "","PriceAreaConnection-89")</f>
        <v>0</v>
      </c>
    </row>
    <row r="91" spans="1:1">
      <c r="A91">
        <f>IF(ISBLANK(B91), "","PriceAreaConnection-90")</f>
        <v>0</v>
      </c>
    </row>
    <row r="92" spans="1:1">
      <c r="A92">
        <f>IF(ISBLANK(B92), "","PriceAreaConnection-91")</f>
        <v>0</v>
      </c>
    </row>
    <row r="93" spans="1:1">
      <c r="A93">
        <f>IF(ISBLANK(B93), "","PriceAreaConnection-92")</f>
        <v>0</v>
      </c>
    </row>
    <row r="94" spans="1:1">
      <c r="A94">
        <f>IF(ISBLANK(B94), "","PriceAreaConnection-93")</f>
        <v>0</v>
      </c>
    </row>
    <row r="95" spans="1:1">
      <c r="A95">
        <f>IF(ISBLANK(B95), "","PriceAreaConnection-94")</f>
        <v>0</v>
      </c>
    </row>
    <row r="96" spans="1:1">
      <c r="A96">
        <f>IF(ISBLANK(B96), "","PriceAreaConnection-95")</f>
        <v>0</v>
      </c>
    </row>
    <row r="97" spans="1:1">
      <c r="A97">
        <f>IF(ISBLANK(B97), "","PriceAreaConnection-96")</f>
        <v>0</v>
      </c>
    </row>
    <row r="98" spans="1:1">
      <c r="A98">
        <f>IF(ISBLANK(B98), "","PriceAreaConnection-97")</f>
        <v>0</v>
      </c>
    </row>
    <row r="99" spans="1:1">
      <c r="A99">
        <f>IF(ISBLANK(B99), "","PriceAreaConnection-98")</f>
        <v>0</v>
      </c>
    </row>
    <row r="100" spans="1:1">
      <c r="A100">
        <f>IF(ISBLANK(B100), "","PriceAreaConnection-99")</f>
        <v>0</v>
      </c>
    </row>
    <row r="101" spans="1:1">
      <c r="A101">
        <f>IF(ISBLANK(B101), "","PriceAreaConnection-100")</f>
        <v>0</v>
      </c>
    </row>
    <row r="102" spans="1:1">
      <c r="A102">
        <f>IF(ISBLANK(B102), "","PriceAreaConnection-101")</f>
        <v>0</v>
      </c>
    </row>
    <row r="103" spans="1:1">
      <c r="A103">
        <f>IF(ISBLANK(B103), "","PriceAreaConnection-102")</f>
        <v>0</v>
      </c>
    </row>
    <row r="104" spans="1:1">
      <c r="A104">
        <f>IF(ISBLANK(B104), "","PriceAreaConnection-103")</f>
        <v>0</v>
      </c>
    </row>
    <row r="105" spans="1:1">
      <c r="A105">
        <f>IF(ISBLANK(B105), "","PriceAreaConnection-104")</f>
        <v>0</v>
      </c>
    </row>
    <row r="106" spans="1:1">
      <c r="A106">
        <f>IF(ISBLANK(B106), "","PriceAreaConnection-105")</f>
        <v>0</v>
      </c>
    </row>
    <row r="107" spans="1:1">
      <c r="A107">
        <f>IF(ISBLANK(B107), "","PriceAreaConnection-106")</f>
        <v>0</v>
      </c>
    </row>
    <row r="108" spans="1:1">
      <c r="A108">
        <f>IF(ISBLANK(B108), "","PriceAreaConnection-107")</f>
        <v>0</v>
      </c>
    </row>
    <row r="109" spans="1:1">
      <c r="A109">
        <f>IF(ISBLANK(B109), "","PriceAreaConnection-108")</f>
        <v>0</v>
      </c>
    </row>
    <row r="110" spans="1:1">
      <c r="A110">
        <f>IF(ISBLANK(B110), "","PriceAreaConnection-109")</f>
        <v>0</v>
      </c>
    </row>
    <row r="111" spans="1:1">
      <c r="A111">
        <f>IF(ISBLANK(B111), "","PriceAreaConnection-110")</f>
        <v>0</v>
      </c>
    </row>
    <row r="112" spans="1:1">
      <c r="A112">
        <f>IF(ISBLANK(B112), "","PriceAreaConnection-111")</f>
        <v>0</v>
      </c>
    </row>
    <row r="113" spans="1:1">
      <c r="A113">
        <f>IF(ISBLANK(B113), "","PriceAreaConnection-112")</f>
        <v>0</v>
      </c>
    </row>
    <row r="114" spans="1:1">
      <c r="A114">
        <f>IF(ISBLANK(B114), "","PriceAreaConnection-113")</f>
        <v>0</v>
      </c>
    </row>
    <row r="115" spans="1:1">
      <c r="A115">
        <f>IF(ISBLANK(B115), "","PriceAreaConnection-114")</f>
        <v>0</v>
      </c>
    </row>
    <row r="116" spans="1:1">
      <c r="A116">
        <f>IF(ISBLANK(B116), "","PriceAreaConnection-115")</f>
        <v>0</v>
      </c>
    </row>
    <row r="117" spans="1:1">
      <c r="A117">
        <f>IF(ISBLANK(B117), "","PriceAreaConnection-116")</f>
        <v>0</v>
      </c>
    </row>
    <row r="118" spans="1:1">
      <c r="A118">
        <f>IF(ISBLANK(B118), "","PriceAreaConnection-117")</f>
        <v>0</v>
      </c>
    </row>
    <row r="119" spans="1:1">
      <c r="A119">
        <f>IF(ISBLANK(B119), "","PriceAreaConnection-118")</f>
        <v>0</v>
      </c>
    </row>
    <row r="120" spans="1:1">
      <c r="A120">
        <f>IF(ISBLANK(B120), "","PriceAreaConnection-119")</f>
        <v>0</v>
      </c>
    </row>
    <row r="121" spans="1:1">
      <c r="A121">
        <f>IF(ISBLANK(B121), "","PriceAreaConnection-120")</f>
        <v>0</v>
      </c>
    </row>
    <row r="122" spans="1:1">
      <c r="A122">
        <f>IF(ISBLANK(B122), "","PriceAreaConnection-121")</f>
        <v>0</v>
      </c>
    </row>
    <row r="123" spans="1:1">
      <c r="A123">
        <f>IF(ISBLANK(B123), "","PriceAreaConnection-122")</f>
        <v>0</v>
      </c>
    </row>
    <row r="124" spans="1:1">
      <c r="A124">
        <f>IF(ISBLANK(B124), "","PriceAreaConnection-123")</f>
        <v>0</v>
      </c>
    </row>
    <row r="125" spans="1:1">
      <c r="A125">
        <f>IF(ISBLANK(B125), "","PriceAreaConnection-124")</f>
        <v>0</v>
      </c>
    </row>
    <row r="126" spans="1:1">
      <c r="A126">
        <f>IF(ISBLANK(B126), "","PriceAreaConnection-125")</f>
        <v>0</v>
      </c>
    </row>
    <row r="127" spans="1:1">
      <c r="A127">
        <f>IF(ISBLANK(B127), "","PriceAreaConnection-126")</f>
        <v>0</v>
      </c>
    </row>
    <row r="128" spans="1:1">
      <c r="A128">
        <f>IF(ISBLANK(B128), "","PriceAreaConnection-127")</f>
        <v>0</v>
      </c>
    </row>
    <row r="129" spans="1:1">
      <c r="A129">
        <f>IF(ISBLANK(B129), "","PriceAreaConnection-128")</f>
        <v>0</v>
      </c>
    </row>
    <row r="130" spans="1:1">
      <c r="A130">
        <f>IF(ISBLANK(B130), "","PriceAreaConnection-129")</f>
        <v>0</v>
      </c>
    </row>
    <row r="131" spans="1:1">
      <c r="A131">
        <f>IF(ISBLANK(B131), "","PriceAreaConnection-130")</f>
        <v>0</v>
      </c>
    </row>
    <row r="132" spans="1:1">
      <c r="A132">
        <f>IF(ISBLANK(B132), "","PriceAreaConnection-131")</f>
        <v>0</v>
      </c>
    </row>
    <row r="133" spans="1:1">
      <c r="A133">
        <f>IF(ISBLANK(B133), "","PriceAreaConnection-132")</f>
        <v>0</v>
      </c>
    </row>
    <row r="134" spans="1:1">
      <c r="A134">
        <f>IF(ISBLANK(B134), "","PriceAreaConnection-133")</f>
        <v>0</v>
      </c>
    </row>
    <row r="135" spans="1:1">
      <c r="A135">
        <f>IF(ISBLANK(B135), "","PriceAreaConnection-134")</f>
        <v>0</v>
      </c>
    </row>
    <row r="136" spans="1:1">
      <c r="A136">
        <f>IF(ISBLANK(B136), "","PriceAreaConnection-135")</f>
        <v>0</v>
      </c>
    </row>
    <row r="137" spans="1:1">
      <c r="A137">
        <f>IF(ISBLANK(B137), "","PriceAreaConnection-136")</f>
        <v>0</v>
      </c>
    </row>
    <row r="138" spans="1:1">
      <c r="A138">
        <f>IF(ISBLANK(B138), "","PriceAreaConnection-137")</f>
        <v>0</v>
      </c>
    </row>
    <row r="139" spans="1:1">
      <c r="A139">
        <f>IF(ISBLANK(B139), "","PriceAreaConnection-138")</f>
        <v>0</v>
      </c>
    </row>
    <row r="140" spans="1:1">
      <c r="A140">
        <f>IF(ISBLANK(B140), "","PriceAreaConnection-139")</f>
        <v>0</v>
      </c>
    </row>
    <row r="141" spans="1:1">
      <c r="A141">
        <f>IF(ISBLANK(B141), "","PriceAreaConnection-140")</f>
        <v>0</v>
      </c>
    </row>
    <row r="142" spans="1:1">
      <c r="A142">
        <f>IF(ISBLANK(B142), "","PriceAreaConnection-141")</f>
        <v>0</v>
      </c>
    </row>
    <row r="143" spans="1:1">
      <c r="A143">
        <f>IF(ISBLANK(B143), "","PriceAreaConnection-142")</f>
        <v>0</v>
      </c>
    </row>
    <row r="144" spans="1:1">
      <c r="A144">
        <f>IF(ISBLANK(B144), "","PriceAreaConnection-143")</f>
        <v>0</v>
      </c>
    </row>
    <row r="145" spans="1:1">
      <c r="A145">
        <f>IF(ISBLANK(B145), "","PriceAreaConnection-144")</f>
        <v>0</v>
      </c>
    </row>
    <row r="146" spans="1:1">
      <c r="A146">
        <f>IF(ISBLANK(B146), "","PriceAreaConnection-145")</f>
        <v>0</v>
      </c>
    </row>
    <row r="147" spans="1:1">
      <c r="A147">
        <f>IF(ISBLANK(B147), "","PriceAreaConnection-146")</f>
        <v>0</v>
      </c>
    </row>
    <row r="148" spans="1:1">
      <c r="A148">
        <f>IF(ISBLANK(B148), "","PriceAreaConnection-147")</f>
        <v>0</v>
      </c>
    </row>
    <row r="149" spans="1:1">
      <c r="A149">
        <f>IF(ISBLANK(B149), "","PriceAreaConnection-148")</f>
        <v>0</v>
      </c>
    </row>
    <row r="150" spans="1:1">
      <c r="A150">
        <f>IF(ISBLANK(B150), "","PriceAreaConnection-149")</f>
        <v>0</v>
      </c>
    </row>
    <row r="151" spans="1:1">
      <c r="A151">
        <f>IF(ISBLANK(B151), "","PriceAreaConnection-150")</f>
        <v>0</v>
      </c>
    </row>
    <row r="152" spans="1:1">
      <c r="A152">
        <f>IF(ISBLANK(B152), "","PriceAreaConnection-151")</f>
        <v>0</v>
      </c>
    </row>
    <row r="153" spans="1:1">
      <c r="A153">
        <f>IF(ISBLANK(B153), "","PriceAreaConnection-152")</f>
        <v>0</v>
      </c>
    </row>
    <row r="154" spans="1:1">
      <c r="A154">
        <f>IF(ISBLANK(B154), "","PriceAreaConnection-153")</f>
        <v>0</v>
      </c>
    </row>
    <row r="155" spans="1:1">
      <c r="A155">
        <f>IF(ISBLANK(B155), "","PriceAreaConnection-154")</f>
        <v>0</v>
      </c>
    </row>
    <row r="156" spans="1:1">
      <c r="A156">
        <f>IF(ISBLANK(B156), "","PriceAreaConnection-155")</f>
        <v>0</v>
      </c>
    </row>
    <row r="157" spans="1:1">
      <c r="A157">
        <f>IF(ISBLANK(B157), "","PriceAreaConnection-156")</f>
        <v>0</v>
      </c>
    </row>
    <row r="158" spans="1:1">
      <c r="A158">
        <f>IF(ISBLANK(B158), "","PriceAreaConnection-157")</f>
        <v>0</v>
      </c>
    </row>
    <row r="159" spans="1:1">
      <c r="A159">
        <f>IF(ISBLANK(B159), "","PriceAreaConnection-158")</f>
        <v>0</v>
      </c>
    </row>
    <row r="160" spans="1:1">
      <c r="A160">
        <f>IF(ISBLANK(B160), "","PriceAreaConnection-159")</f>
        <v>0</v>
      </c>
    </row>
    <row r="161" spans="1:1">
      <c r="A161">
        <f>IF(ISBLANK(B161), "","PriceAreaConnection-160")</f>
        <v>0</v>
      </c>
    </row>
    <row r="162" spans="1:1">
      <c r="A162">
        <f>IF(ISBLANK(B162), "","PriceAreaConnection-161")</f>
        <v>0</v>
      </c>
    </row>
    <row r="163" spans="1:1">
      <c r="A163">
        <f>IF(ISBLANK(B163), "","PriceAreaConnection-162")</f>
        <v>0</v>
      </c>
    </row>
    <row r="164" spans="1:1">
      <c r="A164">
        <f>IF(ISBLANK(B164), "","PriceAreaConnection-163")</f>
        <v>0</v>
      </c>
    </row>
    <row r="165" spans="1:1">
      <c r="A165">
        <f>IF(ISBLANK(B165), "","PriceAreaConnection-164")</f>
        <v>0</v>
      </c>
    </row>
    <row r="166" spans="1:1">
      <c r="A166">
        <f>IF(ISBLANK(B166), "","PriceAreaConnection-165")</f>
        <v>0</v>
      </c>
    </row>
    <row r="167" spans="1:1">
      <c r="A167">
        <f>IF(ISBLANK(B167), "","PriceAreaConnection-166")</f>
        <v>0</v>
      </c>
    </row>
    <row r="168" spans="1:1">
      <c r="A168">
        <f>IF(ISBLANK(B168), "","PriceAreaConnection-167")</f>
        <v>0</v>
      </c>
    </row>
    <row r="169" spans="1:1">
      <c r="A169">
        <f>IF(ISBLANK(B169), "","PriceAreaConnection-168")</f>
        <v>0</v>
      </c>
    </row>
    <row r="170" spans="1:1">
      <c r="A170">
        <f>IF(ISBLANK(B170), "","PriceAreaConnection-169")</f>
        <v>0</v>
      </c>
    </row>
    <row r="171" spans="1:1">
      <c r="A171">
        <f>IF(ISBLANK(B171), "","PriceAreaConnection-170")</f>
        <v>0</v>
      </c>
    </row>
    <row r="172" spans="1:1">
      <c r="A172">
        <f>IF(ISBLANK(B172), "","PriceAreaConnection-171")</f>
        <v>0</v>
      </c>
    </row>
    <row r="173" spans="1:1">
      <c r="A173">
        <f>IF(ISBLANK(B173), "","PriceAreaConnection-172")</f>
        <v>0</v>
      </c>
    </row>
    <row r="174" spans="1:1">
      <c r="A174">
        <f>IF(ISBLANK(B174), "","PriceAreaConnection-173")</f>
        <v>0</v>
      </c>
    </row>
    <row r="175" spans="1:1">
      <c r="A175">
        <f>IF(ISBLANK(B175), "","PriceAreaConnection-174")</f>
        <v>0</v>
      </c>
    </row>
    <row r="176" spans="1:1">
      <c r="A176">
        <f>IF(ISBLANK(B176), "","PriceAreaConnection-175")</f>
        <v>0</v>
      </c>
    </row>
    <row r="177" spans="1:1">
      <c r="A177">
        <f>IF(ISBLANK(B177), "","PriceAreaConnection-176")</f>
        <v>0</v>
      </c>
    </row>
    <row r="178" spans="1:1">
      <c r="A178">
        <f>IF(ISBLANK(B178), "","PriceAreaConnection-177")</f>
        <v>0</v>
      </c>
    </row>
    <row r="179" spans="1:1">
      <c r="A179">
        <f>IF(ISBLANK(B179), "","PriceAreaConnection-178")</f>
        <v>0</v>
      </c>
    </row>
    <row r="180" spans="1:1">
      <c r="A180">
        <f>IF(ISBLANK(B180), "","PriceAreaConnection-179")</f>
        <v>0</v>
      </c>
    </row>
    <row r="181" spans="1:1">
      <c r="A181">
        <f>IF(ISBLANK(B181), "","PriceAreaConnection-180")</f>
        <v>0</v>
      </c>
    </row>
    <row r="182" spans="1:1">
      <c r="A182">
        <f>IF(ISBLANK(B182), "","PriceAreaConnection-181")</f>
        <v>0</v>
      </c>
    </row>
    <row r="183" spans="1:1">
      <c r="A183">
        <f>IF(ISBLANK(B183), "","PriceAreaConnection-182")</f>
        <v>0</v>
      </c>
    </row>
    <row r="184" spans="1:1">
      <c r="A184">
        <f>IF(ISBLANK(B184), "","PriceAreaConnection-183")</f>
        <v>0</v>
      </c>
    </row>
    <row r="185" spans="1:1">
      <c r="A185">
        <f>IF(ISBLANK(B185), "","PriceAreaConnection-184")</f>
        <v>0</v>
      </c>
    </row>
    <row r="186" spans="1:1">
      <c r="A186">
        <f>IF(ISBLANK(B186), "","PriceAreaConnection-185")</f>
        <v>0</v>
      </c>
    </row>
    <row r="187" spans="1:1">
      <c r="A187">
        <f>IF(ISBLANK(B187), "","PriceAreaConnection-186")</f>
        <v>0</v>
      </c>
    </row>
    <row r="188" spans="1:1">
      <c r="A188">
        <f>IF(ISBLANK(B188), "","PriceAreaConnection-187")</f>
        <v>0</v>
      </c>
    </row>
    <row r="189" spans="1:1">
      <c r="A189">
        <f>IF(ISBLANK(B189), "","PriceAreaConnection-188")</f>
        <v>0</v>
      </c>
    </row>
    <row r="190" spans="1:1">
      <c r="A190">
        <f>IF(ISBLANK(B190), "","PriceAreaConnection-189")</f>
        <v>0</v>
      </c>
    </row>
    <row r="191" spans="1:1">
      <c r="A191">
        <f>IF(ISBLANK(B191), "","PriceAreaConnection-190")</f>
        <v>0</v>
      </c>
    </row>
    <row r="192" spans="1:1">
      <c r="A192">
        <f>IF(ISBLANK(B192), "","PriceAreaConnection-191")</f>
        <v>0</v>
      </c>
    </row>
    <row r="193" spans="1:1">
      <c r="A193">
        <f>IF(ISBLANK(B193), "","PriceAreaConnection-192")</f>
        <v>0</v>
      </c>
    </row>
    <row r="194" spans="1:1">
      <c r="A194">
        <f>IF(ISBLANK(B194), "","PriceAreaConnection-193")</f>
        <v>0</v>
      </c>
    </row>
    <row r="195" spans="1:1">
      <c r="A195">
        <f>IF(ISBLANK(B195), "","PriceAreaConnection-194")</f>
        <v>0</v>
      </c>
    </row>
    <row r="196" spans="1:1">
      <c r="A196">
        <f>IF(ISBLANK(B196), "","PriceAreaConnection-195")</f>
        <v>0</v>
      </c>
    </row>
    <row r="197" spans="1:1">
      <c r="A197">
        <f>IF(ISBLANK(B197), "","PriceAreaConnection-196")</f>
        <v>0</v>
      </c>
    </row>
    <row r="198" spans="1:1">
      <c r="A198">
        <f>IF(ISBLANK(B198), "","PriceAreaConnection-197")</f>
        <v>0</v>
      </c>
    </row>
    <row r="199" spans="1:1">
      <c r="A199">
        <f>IF(ISBLANK(B199), "","PriceAreaConnection-198")</f>
        <v>0</v>
      </c>
    </row>
    <row r="200" spans="1:1">
      <c r="A200">
        <f>IF(ISBLANK(B200), "","PriceAreaConnection-199")</f>
        <v>0</v>
      </c>
    </row>
    <row r="201" spans="1:1">
      <c r="A201">
        <f>IF(ISBLANK(B201), "","PriceAreaConnection-200")</f>
        <v>0</v>
      </c>
    </row>
    <row r="202" spans="1:1">
      <c r="A202">
        <f>IF(ISBLANK(B202), "","PriceAreaConnection-201")</f>
        <v>0</v>
      </c>
    </row>
    <row r="203" spans="1:1">
      <c r="A203">
        <f>IF(ISBLANK(B203), "","PriceAreaConnection-202")</f>
        <v>0</v>
      </c>
    </row>
    <row r="204" spans="1:1">
      <c r="A204">
        <f>IF(ISBLANK(B204), "","PriceAreaConnection-203")</f>
        <v>0</v>
      </c>
    </row>
    <row r="205" spans="1:1">
      <c r="A205">
        <f>IF(ISBLANK(B205), "","PriceAreaConnection-204")</f>
        <v>0</v>
      </c>
    </row>
    <row r="206" spans="1:1">
      <c r="A206">
        <f>IF(ISBLANK(B206), "","PriceAreaConnection-205")</f>
        <v>0</v>
      </c>
    </row>
    <row r="207" spans="1:1">
      <c r="A207">
        <f>IF(ISBLANK(B207), "","PriceAreaConnection-206")</f>
        <v>0</v>
      </c>
    </row>
    <row r="208" spans="1:1">
      <c r="A208">
        <f>IF(ISBLANK(B208), "","PriceAreaConnection-207")</f>
        <v>0</v>
      </c>
    </row>
    <row r="209" spans="1:1">
      <c r="A209">
        <f>IF(ISBLANK(B209), "","PriceAreaConnection-208")</f>
        <v>0</v>
      </c>
    </row>
    <row r="210" spans="1:1">
      <c r="A210">
        <f>IF(ISBLANK(B210), "","PriceAreaConnection-209")</f>
        <v>0</v>
      </c>
    </row>
    <row r="211" spans="1:1">
      <c r="A211">
        <f>IF(ISBLANK(B211), "","PriceAreaConnection-210")</f>
        <v>0</v>
      </c>
    </row>
    <row r="212" spans="1:1">
      <c r="A212">
        <f>IF(ISBLANK(B212), "","PriceAreaConnection-211")</f>
        <v>0</v>
      </c>
    </row>
    <row r="213" spans="1:1">
      <c r="A213">
        <f>IF(ISBLANK(B213), "","PriceAreaConnection-212")</f>
        <v>0</v>
      </c>
    </row>
    <row r="214" spans="1:1">
      <c r="A214">
        <f>IF(ISBLANK(B214), "","PriceAreaConnection-213")</f>
        <v>0</v>
      </c>
    </row>
    <row r="215" spans="1:1">
      <c r="A215">
        <f>IF(ISBLANK(B215), "","PriceAreaConnection-214")</f>
        <v>0</v>
      </c>
    </row>
    <row r="216" spans="1:1">
      <c r="A216">
        <f>IF(ISBLANK(B216), "","PriceAreaConnection-215")</f>
        <v>0</v>
      </c>
    </row>
    <row r="217" spans="1:1">
      <c r="A217">
        <f>IF(ISBLANK(B217), "","PriceAreaConnection-216")</f>
        <v>0</v>
      </c>
    </row>
    <row r="218" spans="1:1">
      <c r="A218">
        <f>IF(ISBLANK(B218), "","PriceAreaConnection-217")</f>
        <v>0</v>
      </c>
    </row>
    <row r="219" spans="1:1">
      <c r="A219">
        <f>IF(ISBLANK(B219), "","PriceAreaConnection-218")</f>
        <v>0</v>
      </c>
    </row>
    <row r="220" spans="1:1">
      <c r="A220">
        <f>IF(ISBLANK(B220), "","PriceAreaConnection-219")</f>
        <v>0</v>
      </c>
    </row>
    <row r="221" spans="1:1">
      <c r="A221">
        <f>IF(ISBLANK(B221), "","PriceAreaConnection-220")</f>
        <v>0</v>
      </c>
    </row>
    <row r="222" spans="1:1">
      <c r="A222">
        <f>IF(ISBLANK(B222), "","PriceAreaConnection-221")</f>
        <v>0</v>
      </c>
    </row>
    <row r="223" spans="1:1">
      <c r="A223">
        <f>IF(ISBLANK(B223), "","PriceAreaConnection-222")</f>
        <v>0</v>
      </c>
    </row>
    <row r="224" spans="1:1">
      <c r="A224">
        <f>IF(ISBLANK(B224), "","PriceAreaConnection-223")</f>
        <v>0</v>
      </c>
    </row>
    <row r="225" spans="1:1">
      <c r="A225">
        <f>IF(ISBLANK(B225), "","PriceAreaConnection-224")</f>
        <v>0</v>
      </c>
    </row>
    <row r="226" spans="1:1">
      <c r="A226">
        <f>IF(ISBLANK(B226), "","PriceAreaConnection-225")</f>
        <v>0</v>
      </c>
    </row>
    <row r="227" spans="1:1">
      <c r="A227">
        <f>IF(ISBLANK(B227), "","PriceAreaConnection-226")</f>
        <v>0</v>
      </c>
    </row>
    <row r="228" spans="1:1">
      <c r="A228">
        <f>IF(ISBLANK(B228), "","PriceAreaConnection-227")</f>
        <v>0</v>
      </c>
    </row>
    <row r="229" spans="1:1">
      <c r="A229">
        <f>IF(ISBLANK(B229), "","PriceAreaConnection-228")</f>
        <v>0</v>
      </c>
    </row>
    <row r="230" spans="1:1">
      <c r="A230">
        <f>IF(ISBLANK(B230), "","PriceAreaConnection-229")</f>
        <v>0</v>
      </c>
    </row>
    <row r="231" spans="1:1">
      <c r="A231">
        <f>IF(ISBLANK(B231), "","PriceAreaConnection-230")</f>
        <v>0</v>
      </c>
    </row>
    <row r="232" spans="1:1">
      <c r="A232">
        <f>IF(ISBLANK(B232), "","PriceAreaConnection-231")</f>
        <v>0</v>
      </c>
    </row>
    <row r="233" spans="1:1">
      <c r="A233">
        <f>IF(ISBLANK(B233), "","PriceAreaConnection-232")</f>
        <v>0</v>
      </c>
    </row>
    <row r="234" spans="1:1">
      <c r="A234">
        <f>IF(ISBLANK(B234), "","PriceAreaConnection-233")</f>
        <v>0</v>
      </c>
    </row>
    <row r="235" spans="1:1">
      <c r="A235">
        <f>IF(ISBLANK(B235), "","PriceAreaConnection-234")</f>
        <v>0</v>
      </c>
    </row>
    <row r="236" spans="1:1">
      <c r="A236">
        <f>IF(ISBLANK(B236), "","PriceAreaConnection-235")</f>
        <v>0</v>
      </c>
    </row>
    <row r="237" spans="1:1">
      <c r="A237">
        <f>IF(ISBLANK(B237), "","PriceAreaConnection-236")</f>
        <v>0</v>
      </c>
    </row>
    <row r="238" spans="1:1">
      <c r="A238">
        <f>IF(ISBLANK(B238), "","PriceAreaConnection-237")</f>
        <v>0</v>
      </c>
    </row>
    <row r="239" spans="1:1">
      <c r="A239">
        <f>IF(ISBLANK(B239), "","PriceAreaConnection-238")</f>
        <v>0</v>
      </c>
    </row>
    <row r="240" spans="1:1">
      <c r="A240">
        <f>IF(ISBLANK(B240), "","PriceAreaConnection-239")</f>
        <v>0</v>
      </c>
    </row>
    <row r="241" spans="1:1">
      <c r="A241">
        <f>IF(ISBLANK(B241), "","PriceAreaConnection-240")</f>
        <v>0</v>
      </c>
    </row>
    <row r="242" spans="1:1">
      <c r="A242">
        <f>IF(ISBLANK(B242), "","PriceAreaConnection-241")</f>
        <v>0</v>
      </c>
    </row>
    <row r="243" spans="1:1">
      <c r="A243">
        <f>IF(ISBLANK(B243), "","PriceAreaConnection-242")</f>
        <v>0</v>
      </c>
    </row>
    <row r="244" spans="1:1">
      <c r="A244">
        <f>IF(ISBLANK(B244), "","PriceAreaConnection-243")</f>
        <v>0</v>
      </c>
    </row>
    <row r="245" spans="1:1">
      <c r="A245">
        <f>IF(ISBLANK(B245), "","PriceAreaConnection-244")</f>
        <v>0</v>
      </c>
    </row>
    <row r="246" spans="1:1">
      <c r="A246">
        <f>IF(ISBLANK(B246), "","PriceAreaConnection-245")</f>
        <v>0</v>
      </c>
    </row>
    <row r="247" spans="1:1">
      <c r="A247">
        <f>IF(ISBLANK(B247), "","PriceAreaConnection-246")</f>
        <v>0</v>
      </c>
    </row>
    <row r="248" spans="1:1">
      <c r="A248">
        <f>IF(ISBLANK(B248), "","PriceAreaConnection-247")</f>
        <v>0</v>
      </c>
    </row>
    <row r="249" spans="1:1">
      <c r="A249">
        <f>IF(ISBLANK(B249), "","PriceAreaConnection-248")</f>
        <v>0</v>
      </c>
    </row>
    <row r="250" spans="1:1">
      <c r="A250">
        <f>IF(ISBLANK(B250), "","PriceAreaConnection-249")</f>
        <v>0</v>
      </c>
    </row>
    <row r="251" spans="1:1">
      <c r="A251">
        <f>IF(ISBLANK(B251), "","PriceAreaConnection-250")</f>
        <v>0</v>
      </c>
    </row>
    <row r="252" spans="1:1">
      <c r="A252">
        <f>IF(ISBLANK(B252), "","PriceAreaConnection-251")</f>
        <v>0</v>
      </c>
    </row>
    <row r="253" spans="1:1">
      <c r="A253">
        <f>IF(ISBLANK(B253), "","PriceAreaConnection-252")</f>
        <v>0</v>
      </c>
    </row>
    <row r="254" spans="1:1">
      <c r="A254">
        <f>IF(ISBLANK(B254), "","PriceAreaConnection-253")</f>
        <v>0</v>
      </c>
    </row>
    <row r="255" spans="1:1">
      <c r="A255">
        <f>IF(ISBLANK(B255), "","PriceAreaConnection-254")</f>
        <v>0</v>
      </c>
    </row>
    <row r="256" spans="1:1">
      <c r="A256">
        <f>IF(ISBLANK(B256), "","PriceAreaConnection-255")</f>
        <v>0</v>
      </c>
    </row>
    <row r="257" spans="1:1">
      <c r="A257">
        <f>IF(ISBLANK(B257), "","PriceAreaConnection-256")</f>
        <v>0</v>
      </c>
    </row>
    <row r="258" spans="1:1">
      <c r="A258">
        <f>IF(ISBLANK(B258), "","PriceAreaConnection-257")</f>
        <v>0</v>
      </c>
    </row>
    <row r="259" spans="1:1">
      <c r="A259">
        <f>IF(ISBLANK(B259), "","PriceAreaConnection-258")</f>
        <v>0</v>
      </c>
    </row>
    <row r="260" spans="1:1">
      <c r="A260">
        <f>IF(ISBLANK(B260), "","PriceAreaConnection-259")</f>
        <v>0</v>
      </c>
    </row>
    <row r="261" spans="1:1">
      <c r="A261">
        <f>IF(ISBLANK(B261), "","PriceAreaConnection-260")</f>
        <v>0</v>
      </c>
    </row>
    <row r="262" spans="1:1">
      <c r="A262">
        <f>IF(ISBLANK(B262), "","PriceAreaConnection-261")</f>
        <v>0</v>
      </c>
    </row>
    <row r="263" spans="1:1">
      <c r="A263">
        <f>IF(ISBLANK(B263), "","PriceAreaConnection-262")</f>
        <v>0</v>
      </c>
    </row>
    <row r="264" spans="1:1">
      <c r="A264">
        <f>IF(ISBLANK(B264), "","PriceAreaConnection-263")</f>
        <v>0</v>
      </c>
    </row>
    <row r="265" spans="1:1">
      <c r="A265">
        <f>IF(ISBLANK(B265), "","PriceAreaConnection-264")</f>
        <v>0</v>
      </c>
    </row>
    <row r="266" spans="1:1">
      <c r="A266">
        <f>IF(ISBLANK(B266), "","PriceAreaConnection-265")</f>
        <v>0</v>
      </c>
    </row>
    <row r="267" spans="1:1">
      <c r="A267">
        <f>IF(ISBLANK(B267), "","PriceAreaConnection-266")</f>
        <v>0</v>
      </c>
    </row>
    <row r="268" spans="1:1">
      <c r="A268">
        <f>IF(ISBLANK(B268), "","PriceAreaConnection-267")</f>
        <v>0</v>
      </c>
    </row>
    <row r="269" spans="1:1">
      <c r="A269">
        <f>IF(ISBLANK(B269), "","PriceAreaConnection-268")</f>
        <v>0</v>
      </c>
    </row>
    <row r="270" spans="1:1">
      <c r="A270">
        <f>IF(ISBLANK(B270), "","PriceAreaConnection-269")</f>
        <v>0</v>
      </c>
    </row>
    <row r="271" spans="1:1">
      <c r="A271">
        <f>IF(ISBLANK(B271), "","PriceAreaConnection-270")</f>
        <v>0</v>
      </c>
    </row>
    <row r="272" spans="1:1">
      <c r="A272">
        <f>IF(ISBLANK(B272), "","PriceAreaConnection-271")</f>
        <v>0</v>
      </c>
    </row>
    <row r="273" spans="1:1">
      <c r="A273">
        <f>IF(ISBLANK(B273), "","PriceAreaConnection-272")</f>
        <v>0</v>
      </c>
    </row>
    <row r="274" spans="1:1">
      <c r="A274">
        <f>IF(ISBLANK(B274), "","PriceAreaConnection-273")</f>
        <v>0</v>
      </c>
    </row>
    <row r="275" spans="1:1">
      <c r="A275">
        <f>IF(ISBLANK(B275), "","PriceAreaConnection-274")</f>
        <v>0</v>
      </c>
    </row>
    <row r="276" spans="1:1">
      <c r="A276">
        <f>IF(ISBLANK(B276), "","PriceAreaConnection-275")</f>
        <v>0</v>
      </c>
    </row>
    <row r="277" spans="1:1">
      <c r="A277">
        <f>IF(ISBLANK(B277), "","PriceAreaConnection-276")</f>
        <v>0</v>
      </c>
    </row>
    <row r="278" spans="1:1">
      <c r="A278">
        <f>IF(ISBLANK(B278), "","PriceAreaConnection-277")</f>
        <v>0</v>
      </c>
    </row>
    <row r="279" spans="1:1">
      <c r="A279">
        <f>IF(ISBLANK(B279), "","PriceAreaConnection-278")</f>
        <v>0</v>
      </c>
    </row>
    <row r="280" spans="1:1">
      <c r="A280">
        <f>IF(ISBLANK(B280), "","PriceAreaConnection-279")</f>
        <v>0</v>
      </c>
    </row>
    <row r="281" spans="1:1">
      <c r="A281">
        <f>IF(ISBLANK(B281), "","PriceAreaConnection-280")</f>
        <v>0</v>
      </c>
    </row>
    <row r="282" spans="1:1">
      <c r="A282">
        <f>IF(ISBLANK(B282), "","PriceAreaConnection-281")</f>
        <v>0</v>
      </c>
    </row>
    <row r="283" spans="1:1">
      <c r="A283">
        <f>IF(ISBLANK(B283), "","PriceAreaConnection-282")</f>
        <v>0</v>
      </c>
    </row>
    <row r="284" spans="1:1">
      <c r="A284">
        <f>IF(ISBLANK(B284), "","PriceAreaConnection-283")</f>
        <v>0</v>
      </c>
    </row>
    <row r="285" spans="1:1">
      <c r="A285">
        <f>IF(ISBLANK(B285), "","PriceAreaConnection-284")</f>
        <v>0</v>
      </c>
    </row>
    <row r="286" spans="1:1">
      <c r="A286">
        <f>IF(ISBLANK(B286), "","PriceAreaConnection-285")</f>
        <v>0</v>
      </c>
    </row>
    <row r="287" spans="1:1">
      <c r="A287">
        <f>IF(ISBLANK(B287), "","PriceAreaConnection-286")</f>
        <v>0</v>
      </c>
    </row>
    <row r="288" spans="1:1">
      <c r="A288">
        <f>IF(ISBLANK(B288), "","PriceAreaConnection-287")</f>
        <v>0</v>
      </c>
    </row>
    <row r="289" spans="1:1">
      <c r="A289">
        <f>IF(ISBLANK(B289), "","PriceAreaConnection-288")</f>
        <v>0</v>
      </c>
    </row>
    <row r="290" spans="1:1">
      <c r="A290">
        <f>IF(ISBLANK(B290), "","PriceAreaConnection-289")</f>
        <v>0</v>
      </c>
    </row>
    <row r="291" spans="1:1">
      <c r="A291">
        <f>IF(ISBLANK(B291), "","PriceAreaConnection-290")</f>
        <v>0</v>
      </c>
    </row>
    <row r="292" spans="1:1">
      <c r="A292">
        <f>IF(ISBLANK(B292), "","PriceAreaConnection-291")</f>
        <v>0</v>
      </c>
    </row>
    <row r="293" spans="1:1">
      <c r="A293">
        <f>IF(ISBLANK(B293), "","PriceAreaConnection-292")</f>
        <v>0</v>
      </c>
    </row>
    <row r="294" spans="1:1">
      <c r="A294">
        <f>IF(ISBLANK(B294), "","PriceAreaConnection-293")</f>
        <v>0</v>
      </c>
    </row>
    <row r="295" spans="1:1">
      <c r="A295">
        <f>IF(ISBLANK(B295), "","PriceAreaConnection-294")</f>
        <v>0</v>
      </c>
    </row>
    <row r="296" spans="1:1">
      <c r="A296">
        <f>IF(ISBLANK(B296), "","PriceAreaConnection-295")</f>
        <v>0</v>
      </c>
    </row>
    <row r="297" spans="1:1">
      <c r="A297">
        <f>IF(ISBLANK(B297), "","PriceAreaConnection-296")</f>
        <v>0</v>
      </c>
    </row>
    <row r="298" spans="1:1">
      <c r="A298">
        <f>IF(ISBLANK(B298), "","PriceAreaConnection-297")</f>
        <v>0</v>
      </c>
    </row>
    <row r="299" spans="1:1">
      <c r="A299">
        <f>IF(ISBLANK(B299), "","PriceAreaConnection-298")</f>
        <v>0</v>
      </c>
    </row>
    <row r="300" spans="1:1">
      <c r="A300">
        <f>IF(ISBLANK(B300), "","PriceAreaConnection-299")</f>
        <v>0</v>
      </c>
    </row>
    <row r="301" spans="1:1">
      <c r="A301">
        <f>IF(ISBLANK(B301), "","PriceAreaConnection-300")</f>
        <v>0</v>
      </c>
    </row>
    <row r="302" spans="1:1">
      <c r="A302">
        <f>IF(ISBLANK(B302), "","PriceAreaConnection-301")</f>
        <v>0</v>
      </c>
    </row>
    <row r="303" spans="1:1">
      <c r="A303">
        <f>IF(ISBLANK(B303), "","PriceAreaConnection-302")</f>
        <v>0</v>
      </c>
    </row>
    <row r="304" spans="1:1">
      <c r="A304">
        <f>IF(ISBLANK(B304), "","PriceAreaConnection-303")</f>
        <v>0</v>
      </c>
    </row>
    <row r="305" spans="1:1">
      <c r="A305">
        <f>IF(ISBLANK(B305), "","PriceAreaConnection-304")</f>
        <v>0</v>
      </c>
    </row>
    <row r="306" spans="1:1">
      <c r="A306">
        <f>IF(ISBLANK(B306), "","PriceAreaConnection-305")</f>
        <v>0</v>
      </c>
    </row>
    <row r="307" spans="1:1">
      <c r="A307">
        <f>IF(ISBLANK(B307), "","PriceAreaConnection-306")</f>
        <v>0</v>
      </c>
    </row>
    <row r="308" spans="1:1">
      <c r="A308">
        <f>IF(ISBLANK(B308), "","PriceAreaConnection-307")</f>
        <v>0</v>
      </c>
    </row>
    <row r="309" spans="1:1">
      <c r="A309">
        <f>IF(ISBLANK(B309), "","PriceAreaConnection-308")</f>
        <v>0</v>
      </c>
    </row>
    <row r="310" spans="1:1">
      <c r="A310">
        <f>IF(ISBLANK(B310), "","PriceAreaConnection-309")</f>
        <v>0</v>
      </c>
    </row>
    <row r="311" spans="1:1">
      <c r="A311">
        <f>IF(ISBLANK(B311), "","PriceAreaConnection-310")</f>
        <v>0</v>
      </c>
    </row>
    <row r="312" spans="1:1">
      <c r="A312">
        <f>IF(ISBLANK(B312), "","PriceAreaConnection-311")</f>
        <v>0</v>
      </c>
    </row>
    <row r="313" spans="1:1">
      <c r="A313">
        <f>IF(ISBLANK(B313), "","PriceAreaConnection-312")</f>
        <v>0</v>
      </c>
    </row>
    <row r="314" spans="1:1">
      <c r="A314">
        <f>IF(ISBLANK(B314), "","PriceAreaConnection-313")</f>
        <v>0</v>
      </c>
    </row>
    <row r="315" spans="1:1">
      <c r="A315">
        <f>IF(ISBLANK(B315), "","PriceAreaConnection-314")</f>
        <v>0</v>
      </c>
    </row>
    <row r="316" spans="1:1">
      <c r="A316">
        <f>IF(ISBLANK(B316), "","PriceAreaConnection-315")</f>
        <v>0</v>
      </c>
    </row>
    <row r="317" spans="1:1">
      <c r="A317">
        <f>IF(ISBLANK(B317), "","PriceAreaConnection-316")</f>
        <v>0</v>
      </c>
    </row>
    <row r="318" spans="1:1">
      <c r="A318">
        <f>IF(ISBLANK(B318), "","PriceAreaConnection-317")</f>
        <v>0</v>
      </c>
    </row>
    <row r="319" spans="1:1">
      <c r="A319">
        <f>IF(ISBLANK(B319), "","PriceAreaConnection-318")</f>
        <v>0</v>
      </c>
    </row>
    <row r="320" spans="1:1">
      <c r="A320">
        <f>IF(ISBLANK(B320), "","PriceAreaConnection-319")</f>
        <v>0</v>
      </c>
    </row>
    <row r="321" spans="1:1">
      <c r="A321">
        <f>IF(ISBLANK(B321), "","PriceAreaConnection-320")</f>
        <v>0</v>
      </c>
    </row>
    <row r="322" spans="1:1">
      <c r="A322">
        <f>IF(ISBLANK(B322), "","PriceAreaConnection-321")</f>
        <v>0</v>
      </c>
    </row>
    <row r="323" spans="1:1">
      <c r="A323">
        <f>IF(ISBLANK(B323), "","PriceAreaConnection-322")</f>
        <v>0</v>
      </c>
    </row>
    <row r="324" spans="1:1">
      <c r="A324">
        <f>IF(ISBLANK(B324), "","PriceAreaConnection-323")</f>
        <v>0</v>
      </c>
    </row>
    <row r="325" spans="1:1">
      <c r="A325">
        <f>IF(ISBLANK(B325), "","PriceAreaConnection-324")</f>
        <v>0</v>
      </c>
    </row>
    <row r="326" spans="1:1">
      <c r="A326">
        <f>IF(ISBLANK(B326), "","PriceAreaConnection-325")</f>
        <v>0</v>
      </c>
    </row>
    <row r="327" spans="1:1">
      <c r="A327">
        <f>IF(ISBLANK(B327), "","PriceAreaConnection-326")</f>
        <v>0</v>
      </c>
    </row>
    <row r="328" spans="1:1">
      <c r="A328">
        <f>IF(ISBLANK(B328), "","PriceAreaConnection-327")</f>
        <v>0</v>
      </c>
    </row>
    <row r="329" spans="1:1">
      <c r="A329">
        <f>IF(ISBLANK(B329), "","PriceAreaConnection-328")</f>
        <v>0</v>
      </c>
    </row>
    <row r="330" spans="1:1">
      <c r="A330">
        <f>IF(ISBLANK(B330), "","PriceAreaConnection-329")</f>
        <v>0</v>
      </c>
    </row>
    <row r="331" spans="1:1">
      <c r="A331">
        <f>IF(ISBLANK(B331), "","PriceAreaConnection-330")</f>
        <v>0</v>
      </c>
    </row>
    <row r="332" spans="1:1">
      <c r="A332">
        <f>IF(ISBLANK(B332), "","PriceAreaConnection-331")</f>
        <v>0</v>
      </c>
    </row>
    <row r="333" spans="1:1">
      <c r="A333">
        <f>IF(ISBLANK(B333), "","PriceAreaConnection-332")</f>
        <v>0</v>
      </c>
    </row>
    <row r="334" spans="1:1">
      <c r="A334">
        <f>IF(ISBLANK(B334), "","PriceAreaConnection-333")</f>
        <v>0</v>
      </c>
    </row>
    <row r="335" spans="1:1">
      <c r="A335">
        <f>IF(ISBLANK(B335), "","PriceAreaConnection-334")</f>
        <v>0</v>
      </c>
    </row>
    <row r="336" spans="1:1">
      <c r="A336">
        <f>IF(ISBLANK(B336), "","PriceAreaConnection-335")</f>
        <v>0</v>
      </c>
    </row>
    <row r="337" spans="1:1">
      <c r="A337">
        <f>IF(ISBLANK(B337), "","PriceAreaConnection-336")</f>
        <v>0</v>
      </c>
    </row>
    <row r="338" spans="1:1">
      <c r="A338">
        <f>IF(ISBLANK(B338), "","PriceAreaConnection-337")</f>
        <v>0</v>
      </c>
    </row>
    <row r="339" spans="1:1">
      <c r="A339">
        <f>IF(ISBLANK(B339), "","PriceAreaConnection-338")</f>
        <v>0</v>
      </c>
    </row>
    <row r="340" spans="1:1">
      <c r="A340">
        <f>IF(ISBLANK(B340), "","PriceAreaConnection-339")</f>
        <v>0</v>
      </c>
    </row>
    <row r="341" spans="1:1">
      <c r="A341">
        <f>IF(ISBLANK(B341), "","PriceAreaConnection-340")</f>
        <v>0</v>
      </c>
    </row>
    <row r="342" spans="1:1">
      <c r="A342">
        <f>IF(ISBLANK(B342), "","PriceAreaConnection-341")</f>
        <v>0</v>
      </c>
    </row>
    <row r="343" spans="1:1">
      <c r="A343">
        <f>IF(ISBLANK(B343), "","PriceAreaConnection-342")</f>
        <v>0</v>
      </c>
    </row>
    <row r="344" spans="1:1">
      <c r="A344">
        <f>IF(ISBLANK(B344), "","PriceAreaConnection-343")</f>
        <v>0</v>
      </c>
    </row>
    <row r="345" spans="1:1">
      <c r="A345">
        <f>IF(ISBLANK(B345), "","PriceAreaConnection-344")</f>
        <v>0</v>
      </c>
    </row>
    <row r="346" spans="1:1">
      <c r="A346">
        <f>IF(ISBLANK(B346), "","PriceAreaConnection-345")</f>
        <v>0</v>
      </c>
    </row>
    <row r="347" spans="1:1">
      <c r="A347">
        <f>IF(ISBLANK(B347), "","PriceAreaConnection-346")</f>
        <v>0</v>
      </c>
    </row>
    <row r="348" spans="1:1">
      <c r="A348">
        <f>IF(ISBLANK(B348), "","PriceAreaConnection-347")</f>
        <v>0</v>
      </c>
    </row>
    <row r="349" spans="1:1">
      <c r="A349">
        <f>IF(ISBLANK(B349), "","PriceAreaConnection-348")</f>
        <v>0</v>
      </c>
    </row>
    <row r="350" spans="1:1">
      <c r="A350">
        <f>IF(ISBLANK(B350), "","PriceAreaConnection-349")</f>
        <v>0</v>
      </c>
    </row>
    <row r="351" spans="1:1">
      <c r="A351">
        <f>IF(ISBLANK(B351), "","PriceAreaConnection-350")</f>
        <v>0</v>
      </c>
    </row>
    <row r="352" spans="1:1">
      <c r="A352">
        <f>IF(ISBLANK(B352), "","PriceAreaConnection-351")</f>
        <v>0</v>
      </c>
    </row>
    <row r="353" spans="1:1">
      <c r="A353">
        <f>IF(ISBLANK(B353), "","PriceAreaConnection-352")</f>
        <v>0</v>
      </c>
    </row>
    <row r="354" spans="1:1">
      <c r="A354">
        <f>IF(ISBLANK(B354), "","PriceAreaConnection-353")</f>
        <v>0</v>
      </c>
    </row>
    <row r="355" spans="1:1">
      <c r="A355">
        <f>IF(ISBLANK(B355), "","PriceAreaConnection-354")</f>
        <v>0</v>
      </c>
    </row>
    <row r="356" spans="1:1">
      <c r="A356">
        <f>IF(ISBLANK(B356), "","PriceAreaConnection-355")</f>
        <v>0</v>
      </c>
    </row>
    <row r="357" spans="1:1">
      <c r="A357">
        <f>IF(ISBLANK(B357), "","PriceAreaConnection-356")</f>
        <v>0</v>
      </c>
    </row>
    <row r="358" spans="1:1">
      <c r="A358">
        <f>IF(ISBLANK(B358), "","PriceAreaConnection-357")</f>
        <v>0</v>
      </c>
    </row>
    <row r="359" spans="1:1">
      <c r="A359">
        <f>IF(ISBLANK(B359), "","PriceAreaConnection-358")</f>
        <v>0</v>
      </c>
    </row>
    <row r="360" spans="1:1">
      <c r="A360">
        <f>IF(ISBLANK(B360), "","PriceAreaConnection-359")</f>
        <v>0</v>
      </c>
    </row>
    <row r="361" spans="1:1">
      <c r="A361">
        <f>IF(ISBLANK(B361), "","PriceAreaConnection-360")</f>
        <v>0</v>
      </c>
    </row>
    <row r="362" spans="1:1">
      <c r="A362">
        <f>IF(ISBLANK(B362), "","PriceAreaConnection-361")</f>
        <v>0</v>
      </c>
    </row>
    <row r="363" spans="1:1">
      <c r="A363">
        <f>IF(ISBLANK(B363), "","PriceAreaConnection-362")</f>
        <v>0</v>
      </c>
    </row>
    <row r="364" spans="1:1">
      <c r="A364">
        <f>IF(ISBLANK(B364), "","PriceAreaConnection-363")</f>
        <v>0</v>
      </c>
    </row>
    <row r="365" spans="1:1">
      <c r="A365">
        <f>IF(ISBLANK(B365), "","PriceAreaConnection-364")</f>
        <v>0</v>
      </c>
    </row>
    <row r="366" spans="1:1">
      <c r="A366">
        <f>IF(ISBLANK(B366), "","PriceAreaConnection-365")</f>
        <v>0</v>
      </c>
    </row>
    <row r="367" spans="1:1">
      <c r="A367">
        <f>IF(ISBLANK(B367), "","PriceAreaConnection-366")</f>
        <v>0</v>
      </c>
    </row>
    <row r="368" spans="1:1">
      <c r="A368">
        <f>IF(ISBLANK(B368), "","PriceAreaConnection-367")</f>
        <v>0</v>
      </c>
    </row>
    <row r="369" spans="1:1">
      <c r="A369">
        <f>IF(ISBLANK(B369), "","PriceAreaConnection-368")</f>
        <v>0</v>
      </c>
    </row>
    <row r="370" spans="1:1">
      <c r="A370">
        <f>IF(ISBLANK(B370), "","PriceAreaConnection-369")</f>
        <v>0</v>
      </c>
    </row>
    <row r="371" spans="1:1">
      <c r="A371">
        <f>IF(ISBLANK(B371), "","PriceAreaConnection-370")</f>
        <v>0</v>
      </c>
    </row>
    <row r="372" spans="1:1">
      <c r="A372">
        <f>IF(ISBLANK(B372), "","PriceAreaConnection-371")</f>
        <v>0</v>
      </c>
    </row>
    <row r="373" spans="1:1">
      <c r="A373">
        <f>IF(ISBLANK(B373), "","PriceAreaConnection-372")</f>
        <v>0</v>
      </c>
    </row>
    <row r="374" spans="1:1">
      <c r="A374">
        <f>IF(ISBLANK(B374), "","PriceAreaConnection-373")</f>
        <v>0</v>
      </c>
    </row>
    <row r="375" spans="1:1">
      <c r="A375">
        <f>IF(ISBLANK(B375), "","PriceAreaConnection-374")</f>
        <v>0</v>
      </c>
    </row>
    <row r="376" spans="1:1">
      <c r="A376">
        <f>IF(ISBLANK(B376), "","PriceAreaConnection-375")</f>
        <v>0</v>
      </c>
    </row>
    <row r="377" spans="1:1">
      <c r="A377">
        <f>IF(ISBLANK(B377), "","PriceAreaConnection-376")</f>
        <v>0</v>
      </c>
    </row>
    <row r="378" spans="1:1">
      <c r="A378">
        <f>IF(ISBLANK(B378), "","PriceAreaConnection-377")</f>
        <v>0</v>
      </c>
    </row>
    <row r="379" spans="1:1">
      <c r="A379">
        <f>IF(ISBLANK(B379), "","PriceAreaConnection-378")</f>
        <v>0</v>
      </c>
    </row>
    <row r="380" spans="1:1">
      <c r="A380">
        <f>IF(ISBLANK(B380), "","PriceAreaConnection-379")</f>
        <v>0</v>
      </c>
    </row>
    <row r="381" spans="1:1">
      <c r="A381">
        <f>IF(ISBLANK(B381), "","PriceAreaConnection-380")</f>
        <v>0</v>
      </c>
    </row>
    <row r="382" spans="1:1">
      <c r="A382">
        <f>IF(ISBLANK(B382), "","PriceAreaConnection-381")</f>
        <v>0</v>
      </c>
    </row>
    <row r="383" spans="1:1">
      <c r="A383">
        <f>IF(ISBLANK(B383), "","PriceAreaConnection-382")</f>
        <v>0</v>
      </c>
    </row>
    <row r="384" spans="1:1">
      <c r="A384">
        <f>IF(ISBLANK(B384), "","PriceAreaConnection-383")</f>
        <v>0</v>
      </c>
    </row>
    <row r="385" spans="1:1">
      <c r="A385">
        <f>IF(ISBLANK(B385), "","PriceAreaConnection-384")</f>
        <v>0</v>
      </c>
    </row>
    <row r="386" spans="1:1">
      <c r="A386">
        <f>IF(ISBLANK(B386), "","PriceAreaConnection-385")</f>
        <v>0</v>
      </c>
    </row>
    <row r="387" spans="1:1">
      <c r="A387">
        <f>IF(ISBLANK(B387), "","PriceAreaConnection-386")</f>
        <v>0</v>
      </c>
    </row>
    <row r="388" spans="1:1">
      <c r="A388">
        <f>IF(ISBLANK(B388), "","PriceAreaConnection-387")</f>
        <v>0</v>
      </c>
    </row>
    <row r="389" spans="1:1">
      <c r="A389">
        <f>IF(ISBLANK(B389), "","PriceAreaConnection-388")</f>
        <v>0</v>
      </c>
    </row>
    <row r="390" spans="1:1">
      <c r="A390">
        <f>IF(ISBLANK(B390), "","PriceAreaConnection-389")</f>
        <v>0</v>
      </c>
    </row>
    <row r="391" spans="1:1">
      <c r="A391">
        <f>IF(ISBLANK(B391), "","PriceAreaConnection-390")</f>
        <v>0</v>
      </c>
    </row>
    <row r="392" spans="1:1">
      <c r="A392">
        <f>IF(ISBLANK(B392), "","PriceAreaConnection-391")</f>
        <v>0</v>
      </c>
    </row>
    <row r="393" spans="1:1">
      <c r="A393">
        <f>IF(ISBLANK(B393), "","PriceAreaConnection-392")</f>
        <v>0</v>
      </c>
    </row>
    <row r="394" spans="1:1">
      <c r="A394">
        <f>IF(ISBLANK(B394), "","PriceAreaConnection-393")</f>
        <v>0</v>
      </c>
    </row>
    <row r="395" spans="1:1">
      <c r="A395">
        <f>IF(ISBLANK(B395), "","PriceAreaConnection-394")</f>
        <v>0</v>
      </c>
    </row>
    <row r="396" spans="1:1">
      <c r="A396">
        <f>IF(ISBLANK(B396), "","PriceAreaConnection-395")</f>
        <v>0</v>
      </c>
    </row>
    <row r="397" spans="1:1">
      <c r="A397">
        <f>IF(ISBLANK(B397), "","PriceAreaConnection-396")</f>
        <v>0</v>
      </c>
    </row>
    <row r="398" spans="1:1">
      <c r="A398">
        <f>IF(ISBLANK(B398), "","PriceAreaConnection-397")</f>
        <v>0</v>
      </c>
    </row>
    <row r="399" spans="1:1">
      <c r="A399">
        <f>IF(ISBLANK(B399), "","PriceAreaConnection-398")</f>
        <v>0</v>
      </c>
    </row>
    <row r="400" spans="1:1">
      <c r="A400">
        <f>IF(ISBLANK(B400), "","PriceAreaConnection-399")</f>
        <v>0</v>
      </c>
    </row>
    <row r="401" spans="1:1">
      <c r="A401">
        <f>IF(ISBLANK(B401), "","PriceAreaConnection-400")</f>
        <v>0</v>
      </c>
    </row>
    <row r="402" spans="1:1">
      <c r="A402">
        <f>IF(ISBLANK(B402), "","PriceAreaConnection-401")</f>
        <v>0</v>
      </c>
    </row>
    <row r="403" spans="1:1">
      <c r="A403">
        <f>IF(ISBLANK(B403), "","PriceAreaConnection-402")</f>
        <v>0</v>
      </c>
    </row>
    <row r="404" spans="1:1">
      <c r="A404">
        <f>IF(ISBLANK(B404), "","PriceAreaConnection-403")</f>
        <v>0</v>
      </c>
    </row>
    <row r="405" spans="1:1">
      <c r="A405">
        <f>IF(ISBLANK(B405), "","PriceAreaConnection-404")</f>
        <v>0</v>
      </c>
    </row>
    <row r="406" spans="1:1">
      <c r="A406">
        <f>IF(ISBLANK(B406), "","PriceAreaConnection-405")</f>
        <v>0</v>
      </c>
    </row>
    <row r="407" spans="1:1">
      <c r="A407">
        <f>IF(ISBLANK(B407), "","PriceAreaConnection-406")</f>
        <v>0</v>
      </c>
    </row>
    <row r="408" spans="1:1">
      <c r="A408">
        <f>IF(ISBLANK(B408), "","PriceAreaConnection-407")</f>
        <v>0</v>
      </c>
    </row>
    <row r="409" spans="1:1">
      <c r="A409">
        <f>IF(ISBLANK(B409), "","PriceAreaConnection-408")</f>
        <v>0</v>
      </c>
    </row>
    <row r="410" spans="1:1">
      <c r="A410">
        <f>IF(ISBLANK(B410), "","PriceAreaConnection-409")</f>
        <v>0</v>
      </c>
    </row>
    <row r="411" spans="1:1">
      <c r="A411">
        <f>IF(ISBLANK(B411), "","PriceAreaConnection-410")</f>
        <v>0</v>
      </c>
    </row>
    <row r="412" spans="1:1">
      <c r="A412">
        <f>IF(ISBLANK(B412), "","PriceAreaConnection-411")</f>
        <v>0</v>
      </c>
    </row>
    <row r="413" spans="1:1">
      <c r="A413">
        <f>IF(ISBLANK(B413), "","PriceAreaConnection-412")</f>
        <v>0</v>
      </c>
    </row>
    <row r="414" spans="1:1">
      <c r="A414">
        <f>IF(ISBLANK(B414), "","PriceAreaConnection-413")</f>
        <v>0</v>
      </c>
    </row>
    <row r="415" spans="1:1">
      <c r="A415">
        <f>IF(ISBLANK(B415), "","PriceAreaConnection-414")</f>
        <v>0</v>
      </c>
    </row>
    <row r="416" spans="1:1">
      <c r="A416">
        <f>IF(ISBLANK(B416), "","PriceAreaConnection-415")</f>
        <v>0</v>
      </c>
    </row>
    <row r="417" spans="1:1">
      <c r="A417">
        <f>IF(ISBLANK(B417), "","PriceAreaConnection-416")</f>
        <v>0</v>
      </c>
    </row>
    <row r="418" spans="1:1">
      <c r="A418">
        <f>IF(ISBLANK(B418), "","PriceAreaConnection-417")</f>
        <v>0</v>
      </c>
    </row>
    <row r="419" spans="1:1">
      <c r="A419">
        <f>IF(ISBLANK(B419), "","PriceAreaConnection-418")</f>
        <v>0</v>
      </c>
    </row>
    <row r="420" spans="1:1">
      <c r="A420">
        <f>IF(ISBLANK(B420), "","PriceAreaConnection-419")</f>
        <v>0</v>
      </c>
    </row>
    <row r="421" spans="1:1">
      <c r="A421">
        <f>IF(ISBLANK(B421), "","PriceAreaConnection-420")</f>
        <v>0</v>
      </c>
    </row>
    <row r="422" spans="1:1">
      <c r="A422">
        <f>IF(ISBLANK(B422), "","PriceAreaConnection-421")</f>
        <v>0</v>
      </c>
    </row>
    <row r="423" spans="1:1">
      <c r="A423">
        <f>IF(ISBLANK(B423), "","PriceAreaConnection-422")</f>
        <v>0</v>
      </c>
    </row>
    <row r="424" spans="1:1">
      <c r="A424">
        <f>IF(ISBLANK(B424), "","PriceAreaConnection-423")</f>
        <v>0</v>
      </c>
    </row>
    <row r="425" spans="1:1">
      <c r="A425">
        <f>IF(ISBLANK(B425), "","PriceAreaConnection-424")</f>
        <v>0</v>
      </c>
    </row>
    <row r="426" spans="1:1">
      <c r="A426">
        <f>IF(ISBLANK(B426), "","PriceAreaConnection-425")</f>
        <v>0</v>
      </c>
    </row>
    <row r="427" spans="1:1">
      <c r="A427">
        <f>IF(ISBLANK(B427), "","PriceAreaConnection-426")</f>
        <v>0</v>
      </c>
    </row>
    <row r="428" spans="1:1">
      <c r="A428">
        <f>IF(ISBLANK(B428), "","PriceAreaConnection-427")</f>
        <v>0</v>
      </c>
    </row>
    <row r="429" spans="1:1">
      <c r="A429">
        <f>IF(ISBLANK(B429), "","PriceAreaConnection-428")</f>
        <v>0</v>
      </c>
    </row>
    <row r="430" spans="1:1">
      <c r="A430">
        <f>IF(ISBLANK(B430), "","PriceAreaConnection-429")</f>
        <v>0</v>
      </c>
    </row>
    <row r="431" spans="1:1">
      <c r="A431">
        <f>IF(ISBLANK(B431), "","PriceAreaConnection-430")</f>
        <v>0</v>
      </c>
    </row>
    <row r="432" spans="1:1">
      <c r="A432">
        <f>IF(ISBLANK(B432), "","PriceAreaConnection-431")</f>
        <v>0</v>
      </c>
    </row>
    <row r="433" spans="1:1">
      <c r="A433">
        <f>IF(ISBLANK(B433), "","PriceAreaConnection-432")</f>
        <v>0</v>
      </c>
    </row>
    <row r="434" spans="1:1">
      <c r="A434">
        <f>IF(ISBLANK(B434), "","PriceAreaConnection-433")</f>
        <v>0</v>
      </c>
    </row>
    <row r="435" spans="1:1">
      <c r="A435">
        <f>IF(ISBLANK(B435), "","PriceAreaConnection-434")</f>
        <v>0</v>
      </c>
    </row>
    <row r="436" spans="1:1">
      <c r="A436">
        <f>IF(ISBLANK(B436), "","PriceAreaConnection-435")</f>
        <v>0</v>
      </c>
    </row>
    <row r="437" spans="1:1">
      <c r="A437">
        <f>IF(ISBLANK(B437), "","PriceAreaConnection-436")</f>
        <v>0</v>
      </c>
    </row>
    <row r="438" spans="1:1">
      <c r="A438">
        <f>IF(ISBLANK(B438), "","PriceAreaConnection-437")</f>
        <v>0</v>
      </c>
    </row>
    <row r="439" spans="1:1">
      <c r="A439">
        <f>IF(ISBLANK(B439), "","PriceAreaConnection-438")</f>
        <v>0</v>
      </c>
    </row>
    <row r="440" spans="1:1">
      <c r="A440">
        <f>IF(ISBLANK(B440), "","PriceAreaConnection-439")</f>
        <v>0</v>
      </c>
    </row>
    <row r="441" spans="1:1">
      <c r="A441">
        <f>IF(ISBLANK(B441), "","PriceAreaConnection-440")</f>
        <v>0</v>
      </c>
    </row>
    <row r="442" spans="1:1">
      <c r="A442">
        <f>IF(ISBLANK(B442), "","PriceAreaConnection-441")</f>
        <v>0</v>
      </c>
    </row>
    <row r="443" spans="1:1">
      <c r="A443">
        <f>IF(ISBLANK(B443), "","PriceAreaConnection-442")</f>
        <v>0</v>
      </c>
    </row>
    <row r="444" spans="1:1">
      <c r="A444">
        <f>IF(ISBLANK(B444), "","PriceAreaConnection-443")</f>
        <v>0</v>
      </c>
    </row>
    <row r="445" spans="1:1">
      <c r="A445">
        <f>IF(ISBLANK(B445), "","PriceAreaConnection-444")</f>
        <v>0</v>
      </c>
    </row>
    <row r="446" spans="1:1">
      <c r="A446">
        <f>IF(ISBLANK(B446), "","PriceAreaConnection-445")</f>
        <v>0</v>
      </c>
    </row>
    <row r="447" spans="1:1">
      <c r="A447">
        <f>IF(ISBLANK(B447), "","PriceAreaConnection-446")</f>
        <v>0</v>
      </c>
    </row>
    <row r="448" spans="1:1">
      <c r="A448">
        <f>IF(ISBLANK(B448), "","PriceAreaConnection-447")</f>
        <v>0</v>
      </c>
    </row>
    <row r="449" spans="1:1">
      <c r="A449">
        <f>IF(ISBLANK(B449), "","PriceAreaConnection-448")</f>
        <v>0</v>
      </c>
    </row>
    <row r="450" spans="1:1">
      <c r="A450">
        <f>IF(ISBLANK(B450), "","PriceAreaConnection-449")</f>
        <v>0</v>
      </c>
    </row>
    <row r="451" spans="1:1">
      <c r="A451">
        <f>IF(ISBLANK(B451), "","PriceAreaConnection-450")</f>
        <v>0</v>
      </c>
    </row>
    <row r="452" spans="1:1">
      <c r="A452">
        <f>IF(ISBLANK(B452), "","PriceAreaConnection-451")</f>
        <v>0</v>
      </c>
    </row>
    <row r="453" spans="1:1">
      <c r="A453">
        <f>IF(ISBLANK(B453), "","PriceAreaConnection-452")</f>
        <v>0</v>
      </c>
    </row>
    <row r="454" spans="1:1">
      <c r="A454">
        <f>IF(ISBLANK(B454), "","PriceAreaConnection-453")</f>
        <v>0</v>
      </c>
    </row>
    <row r="455" spans="1:1">
      <c r="A455">
        <f>IF(ISBLANK(B455), "","PriceAreaConnection-454")</f>
        <v>0</v>
      </c>
    </row>
    <row r="456" spans="1:1">
      <c r="A456">
        <f>IF(ISBLANK(B456), "","PriceAreaConnection-455")</f>
        <v>0</v>
      </c>
    </row>
    <row r="457" spans="1:1">
      <c r="A457">
        <f>IF(ISBLANK(B457), "","PriceAreaConnection-456")</f>
        <v>0</v>
      </c>
    </row>
    <row r="458" spans="1:1">
      <c r="A458">
        <f>IF(ISBLANK(B458), "","PriceAreaConnection-457")</f>
        <v>0</v>
      </c>
    </row>
    <row r="459" spans="1:1">
      <c r="A459">
        <f>IF(ISBLANK(B459), "","PriceAreaConnection-458")</f>
        <v>0</v>
      </c>
    </row>
    <row r="460" spans="1:1">
      <c r="A460">
        <f>IF(ISBLANK(B460), "","PriceAreaConnection-459")</f>
        <v>0</v>
      </c>
    </row>
    <row r="461" spans="1:1">
      <c r="A461">
        <f>IF(ISBLANK(B461), "","PriceAreaConnection-460")</f>
        <v>0</v>
      </c>
    </row>
    <row r="462" spans="1:1">
      <c r="A462">
        <f>IF(ISBLANK(B462), "","PriceAreaConnection-461")</f>
        <v>0</v>
      </c>
    </row>
    <row r="463" spans="1:1">
      <c r="A463">
        <f>IF(ISBLANK(B463), "","PriceAreaConnection-462")</f>
        <v>0</v>
      </c>
    </row>
    <row r="464" spans="1:1">
      <c r="A464">
        <f>IF(ISBLANK(B464), "","PriceAreaConnection-463")</f>
        <v>0</v>
      </c>
    </row>
    <row r="465" spans="1:1">
      <c r="A465">
        <f>IF(ISBLANK(B465), "","PriceAreaConnection-464")</f>
        <v>0</v>
      </c>
    </row>
    <row r="466" spans="1:1">
      <c r="A466">
        <f>IF(ISBLANK(B466), "","PriceAreaConnection-465")</f>
        <v>0</v>
      </c>
    </row>
    <row r="467" spans="1:1">
      <c r="A467">
        <f>IF(ISBLANK(B467), "","PriceAreaConnection-466")</f>
        <v>0</v>
      </c>
    </row>
    <row r="468" spans="1:1">
      <c r="A468">
        <f>IF(ISBLANK(B468), "","PriceAreaConnection-467")</f>
        <v>0</v>
      </c>
    </row>
    <row r="469" spans="1:1">
      <c r="A469">
        <f>IF(ISBLANK(B469), "","PriceAreaConnection-468")</f>
        <v>0</v>
      </c>
    </row>
    <row r="470" spans="1:1">
      <c r="A470">
        <f>IF(ISBLANK(B470), "","PriceAreaConnection-469")</f>
        <v>0</v>
      </c>
    </row>
    <row r="471" spans="1:1">
      <c r="A471">
        <f>IF(ISBLANK(B471), "","PriceAreaConnection-470")</f>
        <v>0</v>
      </c>
    </row>
    <row r="472" spans="1:1">
      <c r="A472">
        <f>IF(ISBLANK(B472), "","PriceAreaConnection-471")</f>
        <v>0</v>
      </c>
    </row>
    <row r="473" spans="1:1">
      <c r="A473">
        <f>IF(ISBLANK(B473), "","PriceAreaConnection-472")</f>
        <v>0</v>
      </c>
    </row>
    <row r="474" spans="1:1">
      <c r="A474">
        <f>IF(ISBLANK(B474), "","PriceAreaConnection-473")</f>
        <v>0</v>
      </c>
    </row>
    <row r="475" spans="1:1">
      <c r="A475">
        <f>IF(ISBLANK(B475), "","PriceAreaConnection-474")</f>
        <v>0</v>
      </c>
    </row>
    <row r="476" spans="1:1">
      <c r="A476">
        <f>IF(ISBLANK(B476), "","PriceAreaConnection-475")</f>
        <v>0</v>
      </c>
    </row>
    <row r="477" spans="1:1">
      <c r="A477">
        <f>IF(ISBLANK(B477), "","PriceAreaConnection-476")</f>
        <v>0</v>
      </c>
    </row>
    <row r="478" spans="1:1">
      <c r="A478">
        <f>IF(ISBLANK(B478), "","PriceAreaConnection-477")</f>
        <v>0</v>
      </c>
    </row>
    <row r="479" spans="1:1">
      <c r="A479">
        <f>IF(ISBLANK(B479), "","PriceAreaConnection-478")</f>
        <v>0</v>
      </c>
    </row>
    <row r="480" spans="1:1">
      <c r="A480">
        <f>IF(ISBLANK(B480), "","PriceAreaConnection-479")</f>
        <v>0</v>
      </c>
    </row>
    <row r="481" spans="1:1">
      <c r="A481">
        <f>IF(ISBLANK(B481), "","PriceAreaConnection-480")</f>
        <v>0</v>
      </c>
    </row>
    <row r="482" spans="1:1">
      <c r="A482">
        <f>IF(ISBLANK(B482), "","PriceAreaConnection-481")</f>
        <v>0</v>
      </c>
    </row>
    <row r="483" spans="1:1">
      <c r="A483">
        <f>IF(ISBLANK(B483), "","PriceAreaConnection-482")</f>
        <v>0</v>
      </c>
    </row>
    <row r="484" spans="1:1">
      <c r="A484">
        <f>IF(ISBLANK(B484), "","PriceAreaConnection-483")</f>
        <v>0</v>
      </c>
    </row>
    <row r="485" spans="1:1">
      <c r="A485">
        <f>IF(ISBLANK(B485), "","PriceAreaConnection-484")</f>
        <v>0</v>
      </c>
    </row>
    <row r="486" spans="1:1">
      <c r="A486">
        <f>IF(ISBLANK(B486), "","PriceAreaConnection-485")</f>
        <v>0</v>
      </c>
    </row>
    <row r="487" spans="1:1">
      <c r="A487">
        <f>IF(ISBLANK(B487), "","PriceAreaConnection-486")</f>
        <v>0</v>
      </c>
    </row>
    <row r="488" spans="1:1">
      <c r="A488">
        <f>IF(ISBLANK(B488), "","PriceAreaConnection-487")</f>
        <v>0</v>
      </c>
    </row>
    <row r="489" spans="1:1">
      <c r="A489">
        <f>IF(ISBLANK(B489), "","PriceAreaConnection-488")</f>
        <v>0</v>
      </c>
    </row>
    <row r="490" spans="1:1">
      <c r="A490">
        <f>IF(ISBLANK(B490), "","PriceAreaConnection-489")</f>
        <v>0</v>
      </c>
    </row>
    <row r="491" spans="1:1">
      <c r="A491">
        <f>IF(ISBLANK(B491), "","PriceAreaConnection-490")</f>
        <v>0</v>
      </c>
    </row>
    <row r="492" spans="1:1">
      <c r="A492">
        <f>IF(ISBLANK(B492), "","PriceAreaConnection-491")</f>
        <v>0</v>
      </c>
    </row>
    <row r="493" spans="1:1">
      <c r="A493">
        <f>IF(ISBLANK(B493), "","PriceAreaConnection-492")</f>
        <v>0</v>
      </c>
    </row>
    <row r="494" spans="1:1">
      <c r="A494">
        <f>IF(ISBLANK(B494), "","PriceAreaConnection-493")</f>
        <v>0</v>
      </c>
    </row>
    <row r="495" spans="1:1">
      <c r="A495">
        <f>IF(ISBLANK(B495), "","PriceAreaConnection-494")</f>
        <v>0</v>
      </c>
    </row>
    <row r="496" spans="1:1">
      <c r="A496">
        <f>IF(ISBLANK(B496), "","PriceAreaConnection-495")</f>
        <v>0</v>
      </c>
    </row>
    <row r="497" spans="1:1">
      <c r="A497">
        <f>IF(ISBLANK(B497), "","PriceAreaConnection-496")</f>
        <v>0</v>
      </c>
    </row>
    <row r="498" spans="1:1">
      <c r="A498">
        <f>IF(ISBLANK(B498), "","PriceAreaConnection-497")</f>
        <v>0</v>
      </c>
    </row>
    <row r="499" spans="1:1">
      <c r="A499">
        <f>IF(ISBLANK(B499), "","PriceAreaConnection-498")</f>
        <v>0</v>
      </c>
    </row>
    <row r="500" spans="1:1">
      <c r="A500">
        <f>IF(ISBLANK(B500), "","PriceAreaConnection-499")</f>
        <v>0</v>
      </c>
    </row>
    <row r="501" spans="1:1">
      <c r="A501">
        <f>IF(ISBLANK(B501), "","PriceAreaConnection-500")</f>
        <v>0</v>
      </c>
    </row>
    <row r="502" spans="1:1">
      <c r="A502">
        <f>IF(ISBLANK(B502), "","PriceAreaConnection-501")</f>
        <v>0</v>
      </c>
    </row>
    <row r="503" spans="1:1">
      <c r="A503">
        <f>IF(ISBLANK(B503), "","PriceAreaConnection-502")</f>
        <v>0</v>
      </c>
    </row>
    <row r="504" spans="1:1">
      <c r="A504">
        <f>IF(ISBLANK(B504), "","PriceAreaConnection-503")</f>
        <v>0</v>
      </c>
    </row>
    <row r="505" spans="1:1">
      <c r="A505">
        <f>IF(ISBLANK(B505), "","PriceAreaConnection-504")</f>
        <v>0</v>
      </c>
    </row>
    <row r="506" spans="1:1">
      <c r="A506">
        <f>IF(ISBLANK(B506), "","PriceAreaConnection-505")</f>
        <v>0</v>
      </c>
    </row>
    <row r="507" spans="1:1">
      <c r="A507">
        <f>IF(ISBLANK(B507), "","PriceAreaConnection-506")</f>
        <v>0</v>
      </c>
    </row>
    <row r="508" spans="1:1">
      <c r="A508">
        <f>IF(ISBLANK(B508), "","PriceAreaConnection-507")</f>
        <v>0</v>
      </c>
    </row>
    <row r="509" spans="1:1">
      <c r="A509">
        <f>IF(ISBLANK(B509), "","PriceAreaConnection-508")</f>
        <v>0</v>
      </c>
    </row>
    <row r="510" spans="1:1">
      <c r="A510">
        <f>IF(ISBLANK(B510), "","PriceAreaConnection-509")</f>
        <v>0</v>
      </c>
    </row>
    <row r="511" spans="1:1">
      <c r="A511">
        <f>IF(ISBLANK(B511), "","PriceAreaConnection-510")</f>
        <v>0</v>
      </c>
    </row>
    <row r="512" spans="1:1">
      <c r="A512">
        <f>IF(ISBLANK(B512), "","PriceAreaConnection-511")</f>
        <v>0</v>
      </c>
    </row>
    <row r="513" spans="1:1">
      <c r="A513">
        <f>IF(ISBLANK(B513), "","PriceAreaConnection-512")</f>
        <v>0</v>
      </c>
    </row>
    <row r="514" spans="1:1">
      <c r="A514">
        <f>IF(ISBLANK(B514), "","PriceAreaConnection-513")</f>
        <v>0</v>
      </c>
    </row>
    <row r="515" spans="1:1">
      <c r="A515">
        <f>IF(ISBLANK(B515), "","PriceAreaConnection-514")</f>
        <v>0</v>
      </c>
    </row>
    <row r="516" spans="1:1">
      <c r="A516">
        <f>IF(ISBLANK(B516), "","PriceAreaConnection-515")</f>
        <v>0</v>
      </c>
    </row>
    <row r="517" spans="1:1">
      <c r="A517">
        <f>IF(ISBLANK(B517), "","PriceAreaConnection-516")</f>
        <v>0</v>
      </c>
    </row>
    <row r="518" spans="1:1">
      <c r="A518">
        <f>IF(ISBLANK(B518), "","PriceAreaConnection-517")</f>
        <v>0</v>
      </c>
    </row>
    <row r="519" spans="1:1">
      <c r="A519">
        <f>IF(ISBLANK(B519), "","PriceAreaConnection-518")</f>
        <v>0</v>
      </c>
    </row>
    <row r="520" spans="1:1">
      <c r="A520">
        <f>IF(ISBLANK(B520), "","PriceAreaConnection-519")</f>
        <v>0</v>
      </c>
    </row>
    <row r="521" spans="1:1">
      <c r="A521">
        <f>IF(ISBLANK(B521), "","PriceAreaConnection-520")</f>
        <v>0</v>
      </c>
    </row>
    <row r="522" spans="1:1">
      <c r="A522">
        <f>IF(ISBLANK(B522), "","PriceAreaConnection-521")</f>
        <v>0</v>
      </c>
    </row>
    <row r="523" spans="1:1">
      <c r="A523">
        <f>IF(ISBLANK(B523), "","PriceAreaConnection-522")</f>
        <v>0</v>
      </c>
    </row>
    <row r="524" spans="1:1">
      <c r="A524">
        <f>IF(ISBLANK(B524), "","PriceAreaConnection-523")</f>
        <v>0</v>
      </c>
    </row>
    <row r="525" spans="1:1">
      <c r="A525">
        <f>IF(ISBLANK(B525), "","PriceAreaConnection-524")</f>
        <v>0</v>
      </c>
    </row>
    <row r="526" spans="1:1">
      <c r="A526">
        <f>IF(ISBLANK(B526), "","PriceAreaConnection-525")</f>
        <v>0</v>
      </c>
    </row>
    <row r="527" spans="1:1">
      <c r="A527">
        <f>IF(ISBLANK(B527), "","PriceAreaConnection-526")</f>
        <v>0</v>
      </c>
    </row>
    <row r="528" spans="1:1">
      <c r="A528">
        <f>IF(ISBLANK(B528), "","PriceAreaConnection-527")</f>
        <v>0</v>
      </c>
    </row>
    <row r="529" spans="1:1">
      <c r="A529">
        <f>IF(ISBLANK(B529), "","PriceAreaConnection-528")</f>
        <v>0</v>
      </c>
    </row>
    <row r="530" spans="1:1">
      <c r="A530">
        <f>IF(ISBLANK(B530), "","PriceAreaConnection-529")</f>
        <v>0</v>
      </c>
    </row>
    <row r="531" spans="1:1">
      <c r="A531">
        <f>IF(ISBLANK(B531), "","PriceAreaConnection-530")</f>
        <v>0</v>
      </c>
    </row>
    <row r="532" spans="1:1">
      <c r="A532">
        <f>IF(ISBLANK(B532), "","PriceAreaConnection-531")</f>
        <v>0</v>
      </c>
    </row>
    <row r="533" spans="1:1">
      <c r="A533">
        <f>IF(ISBLANK(B533), "","PriceAreaConnection-532")</f>
        <v>0</v>
      </c>
    </row>
    <row r="534" spans="1:1">
      <c r="A534">
        <f>IF(ISBLANK(B534), "","PriceAreaConnection-533")</f>
        <v>0</v>
      </c>
    </row>
    <row r="535" spans="1:1">
      <c r="A535">
        <f>IF(ISBLANK(B535), "","PriceAreaConnection-534")</f>
        <v>0</v>
      </c>
    </row>
    <row r="536" spans="1:1">
      <c r="A536">
        <f>IF(ISBLANK(B536), "","PriceAreaConnection-535")</f>
        <v>0</v>
      </c>
    </row>
    <row r="537" spans="1:1">
      <c r="A537">
        <f>IF(ISBLANK(B537), "","PriceAreaConnection-536")</f>
        <v>0</v>
      </c>
    </row>
    <row r="538" spans="1:1">
      <c r="A538">
        <f>IF(ISBLANK(B538), "","PriceAreaConnection-537")</f>
        <v>0</v>
      </c>
    </row>
    <row r="539" spans="1:1">
      <c r="A539">
        <f>IF(ISBLANK(B539), "","PriceAreaConnection-538")</f>
        <v>0</v>
      </c>
    </row>
    <row r="540" spans="1:1">
      <c r="A540">
        <f>IF(ISBLANK(B540), "","PriceAreaConnection-539")</f>
        <v>0</v>
      </c>
    </row>
    <row r="541" spans="1:1">
      <c r="A541">
        <f>IF(ISBLANK(B541), "","PriceAreaConnection-540")</f>
        <v>0</v>
      </c>
    </row>
    <row r="542" spans="1:1">
      <c r="A542">
        <f>IF(ISBLANK(B542), "","PriceAreaConnection-541")</f>
        <v>0</v>
      </c>
    </row>
    <row r="543" spans="1:1">
      <c r="A543">
        <f>IF(ISBLANK(B543), "","PriceAreaConnection-542")</f>
        <v>0</v>
      </c>
    </row>
    <row r="544" spans="1:1">
      <c r="A544">
        <f>IF(ISBLANK(B544), "","PriceAreaConnection-543")</f>
        <v>0</v>
      </c>
    </row>
    <row r="545" spans="1:1">
      <c r="A545">
        <f>IF(ISBLANK(B545), "","PriceAreaConnection-544")</f>
        <v>0</v>
      </c>
    </row>
    <row r="546" spans="1:1">
      <c r="A546">
        <f>IF(ISBLANK(B546), "","PriceAreaConnection-545")</f>
        <v>0</v>
      </c>
    </row>
    <row r="547" spans="1:1">
      <c r="A547">
        <f>IF(ISBLANK(B547), "","PriceAreaConnection-546")</f>
        <v>0</v>
      </c>
    </row>
    <row r="548" spans="1:1">
      <c r="A548">
        <f>IF(ISBLANK(B548), "","PriceAreaConnection-547")</f>
        <v>0</v>
      </c>
    </row>
    <row r="549" spans="1:1">
      <c r="A549">
        <f>IF(ISBLANK(B549), "","PriceAreaConnection-548")</f>
        <v>0</v>
      </c>
    </row>
    <row r="550" spans="1:1">
      <c r="A550">
        <f>IF(ISBLANK(B550), "","PriceAreaConnection-549")</f>
        <v>0</v>
      </c>
    </row>
    <row r="551" spans="1:1">
      <c r="A551">
        <f>IF(ISBLANK(B551), "","PriceAreaConnection-550")</f>
        <v>0</v>
      </c>
    </row>
    <row r="552" spans="1:1">
      <c r="A552">
        <f>IF(ISBLANK(B552), "","PriceAreaConnection-551")</f>
        <v>0</v>
      </c>
    </row>
    <row r="553" spans="1:1">
      <c r="A553">
        <f>IF(ISBLANK(B553), "","PriceAreaConnection-552")</f>
        <v>0</v>
      </c>
    </row>
    <row r="554" spans="1:1">
      <c r="A554">
        <f>IF(ISBLANK(B554), "","PriceAreaConnection-553")</f>
        <v>0</v>
      </c>
    </row>
    <row r="555" spans="1:1">
      <c r="A555">
        <f>IF(ISBLANK(B555), "","PriceAreaConnection-554")</f>
        <v>0</v>
      </c>
    </row>
    <row r="556" spans="1:1">
      <c r="A556">
        <f>IF(ISBLANK(B556), "","PriceAreaConnection-555")</f>
        <v>0</v>
      </c>
    </row>
    <row r="557" spans="1:1">
      <c r="A557">
        <f>IF(ISBLANK(B557), "","PriceAreaConnection-556")</f>
        <v>0</v>
      </c>
    </row>
    <row r="558" spans="1:1">
      <c r="A558">
        <f>IF(ISBLANK(B558), "","PriceAreaConnection-557")</f>
        <v>0</v>
      </c>
    </row>
    <row r="559" spans="1:1">
      <c r="A559">
        <f>IF(ISBLANK(B559), "","PriceAreaConnection-558")</f>
        <v>0</v>
      </c>
    </row>
    <row r="560" spans="1:1">
      <c r="A560">
        <f>IF(ISBLANK(B560), "","PriceAreaConnection-559")</f>
        <v>0</v>
      </c>
    </row>
    <row r="561" spans="1:1">
      <c r="A561">
        <f>IF(ISBLANK(B561), "","PriceAreaConnection-560")</f>
        <v>0</v>
      </c>
    </row>
    <row r="562" spans="1:1">
      <c r="A562">
        <f>IF(ISBLANK(B562), "","PriceAreaConnection-561")</f>
        <v>0</v>
      </c>
    </row>
    <row r="563" spans="1:1">
      <c r="A563">
        <f>IF(ISBLANK(B563), "","PriceAreaConnection-562")</f>
        <v>0</v>
      </c>
    </row>
    <row r="564" spans="1:1">
      <c r="A564">
        <f>IF(ISBLANK(B564), "","PriceAreaConnection-563")</f>
        <v>0</v>
      </c>
    </row>
    <row r="565" spans="1:1">
      <c r="A565">
        <f>IF(ISBLANK(B565), "","PriceAreaConnection-564")</f>
        <v>0</v>
      </c>
    </row>
    <row r="566" spans="1:1">
      <c r="A566">
        <f>IF(ISBLANK(B566), "","PriceAreaConnection-565")</f>
        <v>0</v>
      </c>
    </row>
    <row r="567" spans="1:1">
      <c r="A567">
        <f>IF(ISBLANK(B567), "","PriceAreaConnection-566")</f>
        <v>0</v>
      </c>
    </row>
    <row r="568" spans="1:1">
      <c r="A568">
        <f>IF(ISBLANK(B568), "","PriceAreaConnection-567")</f>
        <v>0</v>
      </c>
    </row>
    <row r="569" spans="1:1">
      <c r="A569">
        <f>IF(ISBLANK(B569), "","PriceAreaConnection-568")</f>
        <v>0</v>
      </c>
    </row>
    <row r="570" spans="1:1">
      <c r="A570">
        <f>IF(ISBLANK(B570), "","PriceAreaConnection-569")</f>
        <v>0</v>
      </c>
    </row>
    <row r="571" spans="1:1">
      <c r="A571">
        <f>IF(ISBLANK(B571), "","PriceAreaConnection-570")</f>
        <v>0</v>
      </c>
    </row>
    <row r="572" spans="1:1">
      <c r="A572">
        <f>IF(ISBLANK(B572), "","PriceAreaConnection-571")</f>
        <v>0</v>
      </c>
    </row>
    <row r="573" spans="1:1">
      <c r="A573">
        <f>IF(ISBLANK(B573), "","PriceAreaConnection-572")</f>
        <v>0</v>
      </c>
    </row>
    <row r="574" spans="1:1">
      <c r="A574">
        <f>IF(ISBLANK(B574), "","PriceAreaConnection-573")</f>
        <v>0</v>
      </c>
    </row>
    <row r="575" spans="1:1">
      <c r="A575">
        <f>IF(ISBLANK(B575), "","PriceAreaConnection-574")</f>
        <v>0</v>
      </c>
    </row>
    <row r="576" spans="1:1">
      <c r="A576">
        <f>IF(ISBLANK(B576), "","PriceAreaConnection-575")</f>
        <v>0</v>
      </c>
    </row>
    <row r="577" spans="1:1">
      <c r="A577">
        <f>IF(ISBLANK(B577), "","PriceAreaConnection-576")</f>
        <v>0</v>
      </c>
    </row>
    <row r="578" spans="1:1">
      <c r="A578">
        <f>IF(ISBLANK(B578), "","PriceAreaConnection-577")</f>
        <v>0</v>
      </c>
    </row>
    <row r="579" spans="1:1">
      <c r="A579">
        <f>IF(ISBLANK(B579), "","PriceAreaConnection-578")</f>
        <v>0</v>
      </c>
    </row>
    <row r="580" spans="1:1">
      <c r="A580">
        <f>IF(ISBLANK(B580), "","PriceAreaConnection-579")</f>
        <v>0</v>
      </c>
    </row>
    <row r="581" spans="1:1">
      <c r="A581">
        <f>IF(ISBLANK(B581), "","PriceAreaConnection-580")</f>
        <v>0</v>
      </c>
    </row>
    <row r="582" spans="1:1">
      <c r="A582">
        <f>IF(ISBLANK(B582), "","PriceAreaConnection-581")</f>
        <v>0</v>
      </c>
    </row>
    <row r="583" spans="1:1">
      <c r="A583">
        <f>IF(ISBLANK(B583), "","PriceAreaConnection-582")</f>
        <v>0</v>
      </c>
    </row>
    <row r="584" spans="1:1">
      <c r="A584">
        <f>IF(ISBLANK(B584), "","PriceAreaConnection-583")</f>
        <v>0</v>
      </c>
    </row>
    <row r="585" spans="1:1">
      <c r="A585">
        <f>IF(ISBLANK(B585), "","PriceAreaConnection-584")</f>
        <v>0</v>
      </c>
    </row>
    <row r="586" spans="1:1">
      <c r="A586">
        <f>IF(ISBLANK(B586), "","PriceAreaConnection-585")</f>
        <v>0</v>
      </c>
    </row>
    <row r="587" spans="1:1">
      <c r="A587">
        <f>IF(ISBLANK(B587), "","PriceAreaConnection-586")</f>
        <v>0</v>
      </c>
    </row>
    <row r="588" spans="1:1">
      <c r="A588">
        <f>IF(ISBLANK(B588), "","PriceAreaConnection-587")</f>
        <v>0</v>
      </c>
    </row>
    <row r="589" spans="1:1">
      <c r="A589">
        <f>IF(ISBLANK(B589), "","PriceAreaConnection-588")</f>
        <v>0</v>
      </c>
    </row>
    <row r="590" spans="1:1">
      <c r="A590">
        <f>IF(ISBLANK(B590), "","PriceAreaConnection-589")</f>
        <v>0</v>
      </c>
    </row>
    <row r="591" spans="1:1">
      <c r="A591">
        <f>IF(ISBLANK(B591), "","PriceAreaConnection-590")</f>
        <v>0</v>
      </c>
    </row>
    <row r="592" spans="1:1">
      <c r="A592">
        <f>IF(ISBLANK(B592), "","PriceAreaConnection-591")</f>
        <v>0</v>
      </c>
    </row>
    <row r="593" spans="1:1">
      <c r="A593">
        <f>IF(ISBLANK(B593), "","PriceAreaConnection-592")</f>
        <v>0</v>
      </c>
    </row>
    <row r="594" spans="1:1">
      <c r="A594">
        <f>IF(ISBLANK(B594), "","PriceAreaConnection-593")</f>
        <v>0</v>
      </c>
    </row>
    <row r="595" spans="1:1">
      <c r="A595">
        <f>IF(ISBLANK(B595), "","PriceAreaConnection-594")</f>
        <v>0</v>
      </c>
    </row>
    <row r="596" spans="1:1">
      <c r="A596">
        <f>IF(ISBLANK(B596), "","PriceAreaConnection-595")</f>
        <v>0</v>
      </c>
    </row>
    <row r="597" spans="1:1">
      <c r="A597">
        <f>IF(ISBLANK(B597), "","PriceAreaConnection-596")</f>
        <v>0</v>
      </c>
    </row>
    <row r="598" spans="1:1">
      <c r="A598">
        <f>IF(ISBLANK(B598), "","PriceAreaConnection-597")</f>
        <v>0</v>
      </c>
    </row>
    <row r="599" spans="1:1">
      <c r="A599">
        <f>IF(ISBLANK(B599), "","PriceAreaConnection-598")</f>
        <v>0</v>
      </c>
    </row>
    <row r="600" spans="1:1">
      <c r="A600">
        <f>IF(ISBLANK(B600), "","PriceAreaConnection-599")</f>
        <v>0</v>
      </c>
    </row>
    <row r="601" spans="1:1">
      <c r="A601">
        <f>IF(ISBLANK(B601), "","PriceAreaConnection-600")</f>
        <v>0</v>
      </c>
    </row>
    <row r="602" spans="1:1">
      <c r="A602">
        <f>IF(ISBLANK(B602), "","PriceAreaConnection-601")</f>
        <v>0</v>
      </c>
    </row>
    <row r="603" spans="1:1">
      <c r="A603">
        <f>IF(ISBLANK(B603), "","PriceAreaConnection-602")</f>
        <v>0</v>
      </c>
    </row>
    <row r="604" spans="1:1">
      <c r="A604">
        <f>IF(ISBLANK(B604), "","PriceAreaConnection-603")</f>
        <v>0</v>
      </c>
    </row>
    <row r="605" spans="1:1">
      <c r="A605">
        <f>IF(ISBLANK(B605), "","PriceAreaConnection-604")</f>
        <v>0</v>
      </c>
    </row>
    <row r="606" spans="1:1">
      <c r="A606">
        <f>IF(ISBLANK(B606), "","PriceAreaConnection-605")</f>
        <v>0</v>
      </c>
    </row>
    <row r="607" spans="1:1">
      <c r="A607">
        <f>IF(ISBLANK(B607), "","PriceAreaConnection-606")</f>
        <v>0</v>
      </c>
    </row>
    <row r="608" spans="1:1">
      <c r="A608">
        <f>IF(ISBLANK(B608), "","PriceAreaConnection-607")</f>
        <v>0</v>
      </c>
    </row>
    <row r="609" spans="1:1">
      <c r="A609">
        <f>IF(ISBLANK(B609), "","PriceAreaConnection-608")</f>
        <v>0</v>
      </c>
    </row>
    <row r="610" spans="1:1">
      <c r="A610">
        <f>IF(ISBLANK(B610), "","PriceAreaConnection-609")</f>
        <v>0</v>
      </c>
    </row>
    <row r="611" spans="1:1">
      <c r="A611">
        <f>IF(ISBLANK(B611), "","PriceAreaConnection-610")</f>
        <v>0</v>
      </c>
    </row>
    <row r="612" spans="1:1">
      <c r="A612">
        <f>IF(ISBLANK(B612), "","PriceAreaConnection-611")</f>
        <v>0</v>
      </c>
    </row>
    <row r="613" spans="1:1">
      <c r="A613">
        <f>IF(ISBLANK(B613), "","PriceAreaConnection-612")</f>
        <v>0</v>
      </c>
    </row>
    <row r="614" spans="1:1">
      <c r="A614">
        <f>IF(ISBLANK(B614), "","PriceAreaConnection-613")</f>
        <v>0</v>
      </c>
    </row>
    <row r="615" spans="1:1">
      <c r="A615">
        <f>IF(ISBLANK(B615), "","PriceAreaConnection-614")</f>
        <v>0</v>
      </c>
    </row>
    <row r="616" spans="1:1">
      <c r="A616">
        <f>IF(ISBLANK(B616), "","PriceAreaConnection-615")</f>
        <v>0</v>
      </c>
    </row>
    <row r="617" spans="1:1">
      <c r="A617">
        <f>IF(ISBLANK(B617), "","PriceAreaConnection-616")</f>
        <v>0</v>
      </c>
    </row>
    <row r="618" spans="1:1">
      <c r="A618">
        <f>IF(ISBLANK(B618), "","PriceAreaConnection-617")</f>
        <v>0</v>
      </c>
    </row>
    <row r="619" spans="1:1">
      <c r="A619">
        <f>IF(ISBLANK(B619), "","PriceAreaConnection-618")</f>
        <v>0</v>
      </c>
    </row>
    <row r="620" spans="1:1">
      <c r="A620">
        <f>IF(ISBLANK(B620), "","PriceAreaConnection-619")</f>
        <v>0</v>
      </c>
    </row>
    <row r="621" spans="1:1">
      <c r="A621">
        <f>IF(ISBLANK(B621), "","PriceAreaConnection-620")</f>
        <v>0</v>
      </c>
    </row>
    <row r="622" spans="1:1">
      <c r="A622">
        <f>IF(ISBLANK(B622), "","PriceAreaConnection-621")</f>
        <v>0</v>
      </c>
    </row>
    <row r="623" spans="1:1">
      <c r="A623">
        <f>IF(ISBLANK(B623), "","PriceAreaConnection-622")</f>
        <v>0</v>
      </c>
    </row>
    <row r="624" spans="1:1">
      <c r="A624">
        <f>IF(ISBLANK(B624), "","PriceAreaConnection-623")</f>
        <v>0</v>
      </c>
    </row>
    <row r="625" spans="1:1">
      <c r="A625">
        <f>IF(ISBLANK(B625), "","PriceAreaConnection-624")</f>
        <v>0</v>
      </c>
    </row>
    <row r="626" spans="1:1">
      <c r="A626">
        <f>IF(ISBLANK(B626), "","PriceAreaConnection-625")</f>
        <v>0</v>
      </c>
    </row>
    <row r="627" spans="1:1">
      <c r="A627">
        <f>IF(ISBLANK(B627), "","PriceAreaConnection-626")</f>
        <v>0</v>
      </c>
    </row>
    <row r="628" spans="1:1">
      <c r="A628">
        <f>IF(ISBLANK(B628), "","PriceAreaConnection-627")</f>
        <v>0</v>
      </c>
    </row>
    <row r="629" spans="1:1">
      <c r="A629">
        <f>IF(ISBLANK(B629), "","PriceAreaConnection-628")</f>
        <v>0</v>
      </c>
    </row>
    <row r="630" spans="1:1">
      <c r="A630">
        <f>IF(ISBLANK(B630), "","PriceAreaConnection-629")</f>
        <v>0</v>
      </c>
    </row>
    <row r="631" spans="1:1">
      <c r="A631">
        <f>IF(ISBLANK(B631), "","PriceAreaConnection-630")</f>
        <v>0</v>
      </c>
    </row>
    <row r="632" spans="1:1">
      <c r="A632">
        <f>IF(ISBLANK(B632), "","PriceAreaConnection-631")</f>
        <v>0</v>
      </c>
    </row>
    <row r="633" spans="1:1">
      <c r="A633">
        <f>IF(ISBLANK(B633), "","PriceAreaConnection-632")</f>
        <v>0</v>
      </c>
    </row>
    <row r="634" spans="1:1">
      <c r="A634">
        <f>IF(ISBLANK(B634), "","PriceAreaConnection-633")</f>
        <v>0</v>
      </c>
    </row>
    <row r="635" spans="1:1">
      <c r="A635">
        <f>IF(ISBLANK(B635), "","PriceAreaConnection-634")</f>
        <v>0</v>
      </c>
    </row>
    <row r="636" spans="1:1">
      <c r="A636">
        <f>IF(ISBLANK(B636), "","PriceAreaConnection-635")</f>
        <v>0</v>
      </c>
    </row>
    <row r="637" spans="1:1">
      <c r="A637">
        <f>IF(ISBLANK(B637), "","PriceAreaConnection-636")</f>
        <v>0</v>
      </c>
    </row>
    <row r="638" spans="1:1">
      <c r="A638">
        <f>IF(ISBLANK(B638), "","PriceAreaConnection-637")</f>
        <v>0</v>
      </c>
    </row>
    <row r="639" spans="1:1">
      <c r="A639">
        <f>IF(ISBLANK(B639), "","PriceAreaConnection-638")</f>
        <v>0</v>
      </c>
    </row>
    <row r="640" spans="1:1">
      <c r="A640">
        <f>IF(ISBLANK(B640), "","PriceAreaConnection-639")</f>
        <v>0</v>
      </c>
    </row>
    <row r="641" spans="1:1">
      <c r="A641">
        <f>IF(ISBLANK(B641), "","PriceAreaConnection-640")</f>
        <v>0</v>
      </c>
    </row>
    <row r="642" spans="1:1">
      <c r="A642">
        <f>IF(ISBLANK(B642), "","PriceAreaConnection-641")</f>
        <v>0</v>
      </c>
    </row>
    <row r="643" spans="1:1">
      <c r="A643">
        <f>IF(ISBLANK(B643), "","PriceAreaConnection-642")</f>
        <v>0</v>
      </c>
    </row>
    <row r="644" spans="1:1">
      <c r="A644">
        <f>IF(ISBLANK(B644), "","PriceAreaConnection-643")</f>
        <v>0</v>
      </c>
    </row>
    <row r="645" spans="1:1">
      <c r="A645">
        <f>IF(ISBLANK(B645), "","PriceAreaConnection-644")</f>
        <v>0</v>
      </c>
    </row>
    <row r="646" spans="1:1">
      <c r="A646">
        <f>IF(ISBLANK(B646), "","PriceAreaConnection-645")</f>
        <v>0</v>
      </c>
    </row>
    <row r="647" spans="1:1">
      <c r="A647">
        <f>IF(ISBLANK(B647), "","PriceAreaConnection-646")</f>
        <v>0</v>
      </c>
    </row>
    <row r="648" spans="1:1">
      <c r="A648">
        <f>IF(ISBLANK(B648), "","PriceAreaConnection-647")</f>
        <v>0</v>
      </c>
    </row>
    <row r="649" spans="1:1">
      <c r="A649">
        <f>IF(ISBLANK(B649), "","PriceAreaConnection-648")</f>
        <v>0</v>
      </c>
    </row>
    <row r="650" spans="1:1">
      <c r="A650">
        <f>IF(ISBLANK(B650), "","PriceAreaConnection-649")</f>
        <v>0</v>
      </c>
    </row>
    <row r="651" spans="1:1">
      <c r="A651">
        <f>IF(ISBLANK(B651), "","PriceAreaConnection-650")</f>
        <v>0</v>
      </c>
    </row>
    <row r="652" spans="1:1">
      <c r="A652">
        <f>IF(ISBLANK(B652), "","PriceAreaConnection-651")</f>
        <v>0</v>
      </c>
    </row>
    <row r="653" spans="1:1">
      <c r="A653">
        <f>IF(ISBLANK(B653), "","PriceAreaConnection-652")</f>
        <v>0</v>
      </c>
    </row>
    <row r="654" spans="1:1">
      <c r="A654">
        <f>IF(ISBLANK(B654), "","PriceAreaConnection-653")</f>
        <v>0</v>
      </c>
    </row>
    <row r="655" spans="1:1">
      <c r="A655">
        <f>IF(ISBLANK(B655), "","PriceAreaConnection-654")</f>
        <v>0</v>
      </c>
    </row>
    <row r="656" spans="1:1">
      <c r="A656">
        <f>IF(ISBLANK(B656), "","PriceAreaConnection-655")</f>
        <v>0</v>
      </c>
    </row>
    <row r="657" spans="1:1">
      <c r="A657">
        <f>IF(ISBLANK(B657), "","PriceAreaConnection-656")</f>
        <v>0</v>
      </c>
    </row>
    <row r="658" spans="1:1">
      <c r="A658">
        <f>IF(ISBLANK(B658), "","PriceAreaConnection-657")</f>
        <v>0</v>
      </c>
    </row>
    <row r="659" spans="1:1">
      <c r="A659">
        <f>IF(ISBLANK(B659), "","PriceAreaConnection-658")</f>
        <v>0</v>
      </c>
    </row>
    <row r="660" spans="1:1">
      <c r="A660">
        <f>IF(ISBLANK(B660), "","PriceAreaConnection-659")</f>
        <v>0</v>
      </c>
    </row>
    <row r="661" spans="1:1">
      <c r="A661">
        <f>IF(ISBLANK(B661), "","PriceAreaConnection-660")</f>
        <v>0</v>
      </c>
    </row>
    <row r="662" spans="1:1">
      <c r="A662">
        <f>IF(ISBLANK(B662), "","PriceAreaConnection-661")</f>
        <v>0</v>
      </c>
    </row>
    <row r="663" spans="1:1">
      <c r="A663">
        <f>IF(ISBLANK(B663), "","PriceAreaConnection-662")</f>
        <v>0</v>
      </c>
    </row>
    <row r="664" spans="1:1">
      <c r="A664">
        <f>IF(ISBLANK(B664), "","PriceAreaConnection-663")</f>
        <v>0</v>
      </c>
    </row>
    <row r="665" spans="1:1">
      <c r="A665">
        <f>IF(ISBLANK(B665), "","PriceAreaConnection-664")</f>
        <v>0</v>
      </c>
    </row>
    <row r="666" spans="1:1">
      <c r="A666">
        <f>IF(ISBLANK(B666), "","PriceAreaConnection-665")</f>
        <v>0</v>
      </c>
    </row>
    <row r="667" spans="1:1">
      <c r="A667">
        <f>IF(ISBLANK(B667), "","PriceAreaConnection-666")</f>
        <v>0</v>
      </c>
    </row>
    <row r="668" spans="1:1">
      <c r="A668">
        <f>IF(ISBLANK(B668), "","PriceAreaConnection-667")</f>
        <v>0</v>
      </c>
    </row>
    <row r="669" spans="1:1">
      <c r="A669">
        <f>IF(ISBLANK(B669), "","PriceAreaConnection-668")</f>
        <v>0</v>
      </c>
    </row>
    <row r="670" spans="1:1">
      <c r="A670">
        <f>IF(ISBLANK(B670), "","PriceAreaConnection-669")</f>
        <v>0</v>
      </c>
    </row>
    <row r="671" spans="1:1">
      <c r="A671">
        <f>IF(ISBLANK(B671), "","PriceAreaConnection-670")</f>
        <v>0</v>
      </c>
    </row>
    <row r="672" spans="1:1">
      <c r="A672">
        <f>IF(ISBLANK(B672), "","PriceAreaConnection-671")</f>
        <v>0</v>
      </c>
    </row>
    <row r="673" spans="1:1">
      <c r="A673">
        <f>IF(ISBLANK(B673), "","PriceAreaConnection-672")</f>
        <v>0</v>
      </c>
    </row>
    <row r="674" spans="1:1">
      <c r="A674">
        <f>IF(ISBLANK(B674), "","PriceAreaConnection-673")</f>
        <v>0</v>
      </c>
    </row>
    <row r="675" spans="1:1">
      <c r="A675">
        <f>IF(ISBLANK(B675), "","PriceAreaConnection-674")</f>
        <v>0</v>
      </c>
    </row>
    <row r="676" spans="1:1">
      <c r="A676">
        <f>IF(ISBLANK(B676), "","PriceAreaConnection-675")</f>
        <v>0</v>
      </c>
    </row>
    <row r="677" spans="1:1">
      <c r="A677">
        <f>IF(ISBLANK(B677), "","PriceAreaConnection-676")</f>
        <v>0</v>
      </c>
    </row>
    <row r="678" spans="1:1">
      <c r="A678">
        <f>IF(ISBLANK(B678), "","PriceAreaConnection-677")</f>
        <v>0</v>
      </c>
    </row>
    <row r="679" spans="1:1">
      <c r="A679">
        <f>IF(ISBLANK(B679), "","PriceAreaConnection-678")</f>
        <v>0</v>
      </c>
    </row>
    <row r="680" spans="1:1">
      <c r="A680">
        <f>IF(ISBLANK(B680), "","PriceAreaConnection-679")</f>
        <v>0</v>
      </c>
    </row>
    <row r="681" spans="1:1">
      <c r="A681">
        <f>IF(ISBLANK(B681), "","PriceAreaConnection-680")</f>
        <v>0</v>
      </c>
    </row>
    <row r="682" spans="1:1">
      <c r="A682">
        <f>IF(ISBLANK(B682), "","PriceAreaConnection-681")</f>
        <v>0</v>
      </c>
    </row>
    <row r="683" spans="1:1">
      <c r="A683">
        <f>IF(ISBLANK(B683), "","PriceAreaConnection-682")</f>
        <v>0</v>
      </c>
    </row>
    <row r="684" spans="1:1">
      <c r="A684">
        <f>IF(ISBLANK(B684), "","PriceAreaConnection-683")</f>
        <v>0</v>
      </c>
    </row>
    <row r="685" spans="1:1">
      <c r="A685">
        <f>IF(ISBLANK(B685), "","PriceAreaConnection-684")</f>
        <v>0</v>
      </c>
    </row>
    <row r="686" spans="1:1">
      <c r="A686">
        <f>IF(ISBLANK(B686), "","PriceAreaConnection-685")</f>
        <v>0</v>
      </c>
    </row>
    <row r="687" spans="1:1">
      <c r="A687">
        <f>IF(ISBLANK(B687), "","PriceAreaConnection-686")</f>
        <v>0</v>
      </c>
    </row>
    <row r="688" spans="1:1">
      <c r="A688">
        <f>IF(ISBLANK(B688), "","PriceAreaConnection-687")</f>
        <v>0</v>
      </c>
    </row>
    <row r="689" spans="1:1">
      <c r="A689">
        <f>IF(ISBLANK(B689), "","PriceAreaConnection-688")</f>
        <v>0</v>
      </c>
    </row>
    <row r="690" spans="1:1">
      <c r="A690">
        <f>IF(ISBLANK(B690), "","PriceAreaConnection-689")</f>
        <v>0</v>
      </c>
    </row>
    <row r="691" spans="1:1">
      <c r="A691">
        <f>IF(ISBLANK(B691), "","PriceAreaConnection-690")</f>
        <v>0</v>
      </c>
    </row>
    <row r="692" spans="1:1">
      <c r="A692">
        <f>IF(ISBLANK(B692), "","PriceAreaConnection-691")</f>
        <v>0</v>
      </c>
    </row>
    <row r="693" spans="1:1">
      <c r="A693">
        <f>IF(ISBLANK(B693), "","PriceAreaConnection-692")</f>
        <v>0</v>
      </c>
    </row>
    <row r="694" spans="1:1">
      <c r="A694">
        <f>IF(ISBLANK(B694), "","PriceAreaConnection-693")</f>
        <v>0</v>
      </c>
    </row>
    <row r="695" spans="1:1">
      <c r="A695">
        <f>IF(ISBLANK(B695), "","PriceAreaConnection-694")</f>
        <v>0</v>
      </c>
    </row>
    <row r="696" spans="1:1">
      <c r="A696">
        <f>IF(ISBLANK(B696), "","PriceAreaConnection-695")</f>
        <v>0</v>
      </c>
    </row>
    <row r="697" spans="1:1">
      <c r="A697">
        <f>IF(ISBLANK(B697), "","PriceAreaConnection-696")</f>
        <v>0</v>
      </c>
    </row>
    <row r="698" spans="1:1">
      <c r="A698">
        <f>IF(ISBLANK(B698), "","PriceAreaConnection-697")</f>
        <v>0</v>
      </c>
    </row>
    <row r="699" spans="1:1">
      <c r="A699">
        <f>IF(ISBLANK(B699), "","PriceAreaConnection-698")</f>
        <v>0</v>
      </c>
    </row>
    <row r="700" spans="1:1">
      <c r="A700">
        <f>IF(ISBLANK(B700), "","PriceAreaConnection-699")</f>
        <v>0</v>
      </c>
    </row>
    <row r="701" spans="1:1">
      <c r="A701">
        <f>IF(ISBLANK(B701), "","PriceAreaConnection-700")</f>
        <v>0</v>
      </c>
    </row>
    <row r="702" spans="1:1">
      <c r="A702">
        <f>IF(ISBLANK(B702), "","PriceAreaConnection-701")</f>
        <v>0</v>
      </c>
    </row>
    <row r="703" spans="1:1">
      <c r="A703">
        <f>IF(ISBLANK(B703), "","PriceAreaConnection-702")</f>
        <v>0</v>
      </c>
    </row>
    <row r="704" spans="1:1">
      <c r="A704">
        <f>IF(ISBLANK(B704), "","PriceAreaConnection-703")</f>
        <v>0</v>
      </c>
    </row>
    <row r="705" spans="1:1">
      <c r="A705">
        <f>IF(ISBLANK(B705), "","PriceAreaConnection-704")</f>
        <v>0</v>
      </c>
    </row>
    <row r="706" spans="1:1">
      <c r="A706">
        <f>IF(ISBLANK(B706), "","PriceAreaConnection-705")</f>
        <v>0</v>
      </c>
    </row>
    <row r="707" spans="1:1">
      <c r="A707">
        <f>IF(ISBLANK(B707), "","PriceAreaConnection-706")</f>
        <v>0</v>
      </c>
    </row>
    <row r="708" spans="1:1">
      <c r="A708">
        <f>IF(ISBLANK(B708), "","PriceAreaConnection-707")</f>
        <v>0</v>
      </c>
    </row>
    <row r="709" spans="1:1">
      <c r="A709">
        <f>IF(ISBLANK(B709), "","PriceAreaConnection-708")</f>
        <v>0</v>
      </c>
    </row>
    <row r="710" spans="1:1">
      <c r="A710">
        <f>IF(ISBLANK(B710), "","PriceAreaConnection-709")</f>
        <v>0</v>
      </c>
    </row>
    <row r="711" spans="1:1">
      <c r="A711">
        <f>IF(ISBLANK(B711), "","PriceAreaConnection-710")</f>
        <v>0</v>
      </c>
    </row>
    <row r="712" spans="1:1">
      <c r="A712">
        <f>IF(ISBLANK(B712), "","PriceAreaConnection-711")</f>
        <v>0</v>
      </c>
    </row>
    <row r="713" spans="1:1">
      <c r="A713">
        <f>IF(ISBLANK(B713), "","PriceAreaConnection-712")</f>
        <v>0</v>
      </c>
    </row>
    <row r="714" spans="1:1">
      <c r="A714">
        <f>IF(ISBLANK(B714), "","PriceAreaConnection-713")</f>
        <v>0</v>
      </c>
    </row>
    <row r="715" spans="1:1">
      <c r="A715">
        <f>IF(ISBLANK(B715), "","PriceAreaConnection-714")</f>
        <v>0</v>
      </c>
    </row>
    <row r="716" spans="1:1">
      <c r="A716">
        <f>IF(ISBLANK(B716), "","PriceAreaConnection-715")</f>
        <v>0</v>
      </c>
    </row>
    <row r="717" spans="1:1">
      <c r="A717">
        <f>IF(ISBLANK(B717), "","PriceAreaConnection-716")</f>
        <v>0</v>
      </c>
    </row>
    <row r="718" spans="1:1">
      <c r="A718">
        <f>IF(ISBLANK(B718), "","PriceAreaConnection-717")</f>
        <v>0</v>
      </c>
    </row>
    <row r="719" spans="1:1">
      <c r="A719">
        <f>IF(ISBLANK(B719), "","PriceAreaConnection-718")</f>
        <v>0</v>
      </c>
    </row>
    <row r="720" spans="1:1">
      <c r="A720">
        <f>IF(ISBLANK(B720), "","PriceAreaConnection-719")</f>
        <v>0</v>
      </c>
    </row>
    <row r="721" spans="1:1">
      <c r="A721">
        <f>IF(ISBLANK(B721), "","PriceAreaConnection-720")</f>
        <v>0</v>
      </c>
    </row>
    <row r="722" spans="1:1">
      <c r="A722">
        <f>IF(ISBLANK(B722), "","PriceAreaConnection-721")</f>
        <v>0</v>
      </c>
    </row>
    <row r="723" spans="1:1">
      <c r="A723">
        <f>IF(ISBLANK(B723), "","PriceAreaConnection-722")</f>
        <v>0</v>
      </c>
    </row>
    <row r="724" spans="1:1">
      <c r="A724">
        <f>IF(ISBLANK(B724), "","PriceAreaConnection-723")</f>
        <v>0</v>
      </c>
    </row>
    <row r="725" spans="1:1">
      <c r="A725">
        <f>IF(ISBLANK(B725), "","PriceAreaConnection-724")</f>
        <v>0</v>
      </c>
    </row>
    <row r="726" spans="1:1">
      <c r="A726">
        <f>IF(ISBLANK(B726), "","PriceAreaConnection-725")</f>
        <v>0</v>
      </c>
    </row>
    <row r="727" spans="1:1">
      <c r="A727">
        <f>IF(ISBLANK(B727), "","PriceAreaConnection-726")</f>
        <v>0</v>
      </c>
    </row>
    <row r="728" spans="1:1">
      <c r="A728">
        <f>IF(ISBLANK(B728), "","PriceAreaConnection-727")</f>
        <v>0</v>
      </c>
    </row>
    <row r="729" spans="1:1">
      <c r="A729">
        <f>IF(ISBLANK(B729), "","PriceAreaConnection-728")</f>
        <v>0</v>
      </c>
    </row>
    <row r="730" spans="1:1">
      <c r="A730">
        <f>IF(ISBLANK(B730), "","PriceAreaConnection-729")</f>
        <v>0</v>
      </c>
    </row>
    <row r="731" spans="1:1">
      <c r="A731">
        <f>IF(ISBLANK(B731), "","PriceAreaConnection-730")</f>
        <v>0</v>
      </c>
    </row>
    <row r="732" spans="1:1">
      <c r="A732">
        <f>IF(ISBLANK(B732), "","PriceAreaConnection-731")</f>
        <v>0</v>
      </c>
    </row>
    <row r="733" spans="1:1">
      <c r="A733">
        <f>IF(ISBLANK(B733), "","PriceAreaConnection-732")</f>
        <v>0</v>
      </c>
    </row>
    <row r="734" spans="1:1">
      <c r="A734">
        <f>IF(ISBLANK(B734), "","PriceAreaConnection-733")</f>
        <v>0</v>
      </c>
    </row>
    <row r="735" spans="1:1">
      <c r="A735">
        <f>IF(ISBLANK(B735), "","PriceAreaConnection-734")</f>
        <v>0</v>
      </c>
    </row>
    <row r="736" spans="1:1">
      <c r="A736">
        <f>IF(ISBLANK(B736), "","PriceAreaConnection-735")</f>
        <v>0</v>
      </c>
    </row>
    <row r="737" spans="1:1">
      <c r="A737">
        <f>IF(ISBLANK(B737), "","PriceAreaConnection-736")</f>
        <v>0</v>
      </c>
    </row>
    <row r="738" spans="1:1">
      <c r="A738">
        <f>IF(ISBLANK(B738), "","PriceAreaConnection-737")</f>
        <v>0</v>
      </c>
    </row>
    <row r="739" spans="1:1">
      <c r="A739">
        <f>IF(ISBLANK(B739), "","PriceAreaConnection-738")</f>
        <v>0</v>
      </c>
    </row>
    <row r="740" spans="1:1">
      <c r="A740">
        <f>IF(ISBLANK(B740), "","PriceAreaConnection-739")</f>
        <v>0</v>
      </c>
    </row>
    <row r="741" spans="1:1">
      <c r="A741">
        <f>IF(ISBLANK(B741), "","PriceAreaConnection-740")</f>
        <v>0</v>
      </c>
    </row>
    <row r="742" spans="1:1">
      <c r="A742">
        <f>IF(ISBLANK(B742), "","PriceAreaConnection-741")</f>
        <v>0</v>
      </c>
    </row>
    <row r="743" spans="1:1">
      <c r="A743">
        <f>IF(ISBLANK(B743), "","PriceAreaConnection-742")</f>
        <v>0</v>
      </c>
    </row>
    <row r="744" spans="1:1">
      <c r="A744">
        <f>IF(ISBLANK(B744), "","PriceAreaConnection-743")</f>
        <v>0</v>
      </c>
    </row>
    <row r="745" spans="1:1">
      <c r="A745">
        <f>IF(ISBLANK(B745), "","PriceAreaConnection-744")</f>
        <v>0</v>
      </c>
    </row>
    <row r="746" spans="1:1">
      <c r="A746">
        <f>IF(ISBLANK(B746), "","PriceAreaConnection-745")</f>
        <v>0</v>
      </c>
    </row>
    <row r="747" spans="1:1">
      <c r="A747">
        <f>IF(ISBLANK(B747), "","PriceAreaConnection-746")</f>
        <v>0</v>
      </c>
    </row>
    <row r="748" spans="1:1">
      <c r="A748">
        <f>IF(ISBLANK(B748), "","PriceAreaConnection-747")</f>
        <v>0</v>
      </c>
    </row>
    <row r="749" spans="1:1">
      <c r="A749">
        <f>IF(ISBLANK(B749), "","PriceAreaConnection-748")</f>
        <v>0</v>
      </c>
    </row>
    <row r="750" spans="1:1">
      <c r="A750">
        <f>IF(ISBLANK(B750), "","PriceAreaConnection-749")</f>
        <v>0</v>
      </c>
    </row>
    <row r="751" spans="1:1">
      <c r="A751">
        <f>IF(ISBLANK(B751), "","PriceAreaConnection-750")</f>
        <v>0</v>
      </c>
    </row>
    <row r="752" spans="1:1">
      <c r="A752">
        <f>IF(ISBLANK(B752), "","PriceAreaConnection-751")</f>
        <v>0</v>
      </c>
    </row>
    <row r="753" spans="1:1">
      <c r="A753">
        <f>IF(ISBLANK(B753), "","PriceAreaConnection-752")</f>
        <v>0</v>
      </c>
    </row>
    <row r="754" spans="1:1">
      <c r="A754">
        <f>IF(ISBLANK(B754), "","PriceAreaConnection-753")</f>
        <v>0</v>
      </c>
    </row>
    <row r="755" spans="1:1">
      <c r="A755">
        <f>IF(ISBLANK(B755), "","PriceAreaConnection-754")</f>
        <v>0</v>
      </c>
    </row>
    <row r="756" spans="1:1">
      <c r="A756">
        <f>IF(ISBLANK(B756), "","PriceAreaConnection-755")</f>
        <v>0</v>
      </c>
    </row>
    <row r="757" spans="1:1">
      <c r="A757">
        <f>IF(ISBLANK(B757), "","PriceAreaConnection-756")</f>
        <v>0</v>
      </c>
    </row>
    <row r="758" spans="1:1">
      <c r="A758">
        <f>IF(ISBLANK(B758), "","PriceAreaConnection-757")</f>
        <v>0</v>
      </c>
    </row>
    <row r="759" spans="1:1">
      <c r="A759">
        <f>IF(ISBLANK(B759), "","PriceAreaConnection-758")</f>
        <v>0</v>
      </c>
    </row>
    <row r="760" spans="1:1">
      <c r="A760">
        <f>IF(ISBLANK(B760), "","PriceAreaConnection-759")</f>
        <v>0</v>
      </c>
    </row>
    <row r="761" spans="1:1">
      <c r="A761">
        <f>IF(ISBLANK(B761), "","PriceAreaConnection-760")</f>
        <v>0</v>
      </c>
    </row>
    <row r="762" spans="1:1">
      <c r="A762">
        <f>IF(ISBLANK(B762), "","PriceAreaConnection-761")</f>
        <v>0</v>
      </c>
    </row>
    <row r="763" spans="1:1">
      <c r="A763">
        <f>IF(ISBLANK(B763), "","PriceAreaConnection-762")</f>
        <v>0</v>
      </c>
    </row>
    <row r="764" spans="1:1">
      <c r="A764">
        <f>IF(ISBLANK(B764), "","PriceAreaConnection-763")</f>
        <v>0</v>
      </c>
    </row>
    <row r="765" spans="1:1">
      <c r="A765">
        <f>IF(ISBLANK(B765), "","PriceAreaConnection-764")</f>
        <v>0</v>
      </c>
    </row>
    <row r="766" spans="1:1">
      <c r="A766">
        <f>IF(ISBLANK(B766), "","PriceAreaConnection-765")</f>
        <v>0</v>
      </c>
    </row>
    <row r="767" spans="1:1">
      <c r="A767">
        <f>IF(ISBLANK(B767), "","PriceAreaConnection-766")</f>
        <v>0</v>
      </c>
    </row>
    <row r="768" spans="1:1">
      <c r="A768">
        <f>IF(ISBLANK(B768), "","PriceAreaConnection-767")</f>
        <v>0</v>
      </c>
    </row>
    <row r="769" spans="1:1">
      <c r="A769">
        <f>IF(ISBLANK(B769), "","PriceAreaConnection-768")</f>
        <v>0</v>
      </c>
    </row>
    <row r="770" spans="1:1">
      <c r="A770">
        <f>IF(ISBLANK(B770), "","PriceAreaConnection-769")</f>
        <v>0</v>
      </c>
    </row>
    <row r="771" spans="1:1">
      <c r="A771">
        <f>IF(ISBLANK(B771), "","PriceAreaConnection-770")</f>
        <v>0</v>
      </c>
    </row>
    <row r="772" spans="1:1">
      <c r="A772">
        <f>IF(ISBLANK(B772), "","PriceAreaConnection-771")</f>
        <v>0</v>
      </c>
    </row>
    <row r="773" spans="1:1">
      <c r="A773">
        <f>IF(ISBLANK(B773), "","PriceAreaConnection-772")</f>
        <v>0</v>
      </c>
    </row>
    <row r="774" spans="1:1">
      <c r="A774">
        <f>IF(ISBLANK(B774), "","PriceAreaConnection-773")</f>
        <v>0</v>
      </c>
    </row>
    <row r="775" spans="1:1">
      <c r="A775">
        <f>IF(ISBLANK(B775), "","PriceAreaConnection-774")</f>
        <v>0</v>
      </c>
    </row>
    <row r="776" spans="1:1">
      <c r="A776">
        <f>IF(ISBLANK(B776), "","PriceAreaConnection-775")</f>
        <v>0</v>
      </c>
    </row>
    <row r="777" spans="1:1">
      <c r="A777">
        <f>IF(ISBLANK(B777), "","PriceAreaConnection-776")</f>
        <v>0</v>
      </c>
    </row>
    <row r="778" spans="1:1">
      <c r="A778">
        <f>IF(ISBLANK(B778), "","PriceAreaConnection-777")</f>
        <v>0</v>
      </c>
    </row>
    <row r="779" spans="1:1">
      <c r="A779">
        <f>IF(ISBLANK(B779), "","PriceAreaConnection-778")</f>
        <v>0</v>
      </c>
    </row>
    <row r="780" spans="1:1">
      <c r="A780">
        <f>IF(ISBLANK(B780), "","PriceAreaConnection-779")</f>
        <v>0</v>
      </c>
    </row>
    <row r="781" spans="1:1">
      <c r="A781">
        <f>IF(ISBLANK(B781), "","PriceAreaConnection-780")</f>
        <v>0</v>
      </c>
    </row>
    <row r="782" spans="1:1">
      <c r="A782">
        <f>IF(ISBLANK(B782), "","PriceAreaConnection-781")</f>
        <v>0</v>
      </c>
    </row>
    <row r="783" spans="1:1">
      <c r="A783">
        <f>IF(ISBLANK(B783), "","PriceAreaConnection-782")</f>
        <v>0</v>
      </c>
    </row>
    <row r="784" spans="1:1">
      <c r="A784">
        <f>IF(ISBLANK(B784), "","PriceAreaConnection-783")</f>
        <v>0</v>
      </c>
    </row>
    <row r="785" spans="1:1">
      <c r="A785">
        <f>IF(ISBLANK(B785), "","PriceAreaConnection-784")</f>
        <v>0</v>
      </c>
    </row>
    <row r="786" spans="1:1">
      <c r="A786">
        <f>IF(ISBLANK(B786), "","PriceAreaConnection-785")</f>
        <v>0</v>
      </c>
    </row>
    <row r="787" spans="1:1">
      <c r="A787">
        <f>IF(ISBLANK(B787), "","PriceAreaConnection-786")</f>
        <v>0</v>
      </c>
    </row>
    <row r="788" spans="1:1">
      <c r="A788">
        <f>IF(ISBLANK(B788), "","PriceAreaConnection-787")</f>
        <v>0</v>
      </c>
    </row>
    <row r="789" spans="1:1">
      <c r="A789">
        <f>IF(ISBLANK(B789), "","PriceAreaConnection-788")</f>
        <v>0</v>
      </c>
    </row>
    <row r="790" spans="1:1">
      <c r="A790">
        <f>IF(ISBLANK(B790), "","PriceAreaConnection-789")</f>
        <v>0</v>
      </c>
    </row>
    <row r="791" spans="1:1">
      <c r="A791">
        <f>IF(ISBLANK(B791), "","PriceAreaConnection-790")</f>
        <v>0</v>
      </c>
    </row>
    <row r="792" spans="1:1">
      <c r="A792">
        <f>IF(ISBLANK(B792), "","PriceAreaConnection-791")</f>
        <v>0</v>
      </c>
    </row>
    <row r="793" spans="1:1">
      <c r="A793">
        <f>IF(ISBLANK(B793), "","PriceAreaConnection-792")</f>
        <v>0</v>
      </c>
    </row>
    <row r="794" spans="1:1">
      <c r="A794">
        <f>IF(ISBLANK(B794), "","PriceAreaConnection-793")</f>
        <v>0</v>
      </c>
    </row>
    <row r="795" spans="1:1">
      <c r="A795">
        <f>IF(ISBLANK(B795), "","PriceAreaConnection-794")</f>
        <v>0</v>
      </c>
    </row>
    <row r="796" spans="1:1">
      <c r="A796">
        <f>IF(ISBLANK(B796), "","PriceAreaConnection-795")</f>
        <v>0</v>
      </c>
    </row>
    <row r="797" spans="1:1">
      <c r="A797">
        <f>IF(ISBLANK(B797), "","PriceAreaConnection-796")</f>
        <v>0</v>
      </c>
    </row>
    <row r="798" spans="1:1">
      <c r="A798">
        <f>IF(ISBLANK(B798), "","PriceAreaConnection-797")</f>
        <v>0</v>
      </c>
    </row>
    <row r="799" spans="1:1">
      <c r="A799">
        <f>IF(ISBLANK(B799), "","PriceAreaConnection-798")</f>
        <v>0</v>
      </c>
    </row>
    <row r="800" spans="1:1">
      <c r="A800">
        <f>IF(ISBLANK(B800), "","PriceAreaConnection-799")</f>
        <v>0</v>
      </c>
    </row>
    <row r="801" spans="1:1">
      <c r="A801">
        <f>IF(ISBLANK(B801), "","PriceAreaConnection-800")</f>
        <v>0</v>
      </c>
    </row>
    <row r="802" spans="1:1">
      <c r="A802">
        <f>IF(ISBLANK(B802), "","PriceAreaConnection-801")</f>
        <v>0</v>
      </c>
    </row>
    <row r="803" spans="1:1">
      <c r="A803">
        <f>IF(ISBLANK(B803), "","PriceAreaConnection-802")</f>
        <v>0</v>
      </c>
    </row>
    <row r="804" spans="1:1">
      <c r="A804">
        <f>IF(ISBLANK(B804), "","PriceAreaConnection-803")</f>
        <v>0</v>
      </c>
    </row>
    <row r="805" spans="1:1">
      <c r="A805">
        <f>IF(ISBLANK(B805), "","PriceAreaConnection-804")</f>
        <v>0</v>
      </c>
    </row>
    <row r="806" spans="1:1">
      <c r="A806">
        <f>IF(ISBLANK(B806), "","PriceAreaConnection-805")</f>
        <v>0</v>
      </c>
    </row>
    <row r="807" spans="1:1">
      <c r="A807">
        <f>IF(ISBLANK(B807), "","PriceAreaConnection-806")</f>
        <v>0</v>
      </c>
    </row>
    <row r="808" spans="1:1">
      <c r="A808">
        <f>IF(ISBLANK(B808), "","PriceAreaConnection-807")</f>
        <v>0</v>
      </c>
    </row>
    <row r="809" spans="1:1">
      <c r="A809">
        <f>IF(ISBLANK(B809), "","PriceAreaConnection-808")</f>
        <v>0</v>
      </c>
    </row>
    <row r="810" spans="1:1">
      <c r="A810">
        <f>IF(ISBLANK(B810), "","PriceAreaConnection-809")</f>
        <v>0</v>
      </c>
    </row>
    <row r="811" spans="1:1">
      <c r="A811">
        <f>IF(ISBLANK(B811), "","PriceAreaConnection-810")</f>
        <v>0</v>
      </c>
    </row>
    <row r="812" spans="1:1">
      <c r="A812">
        <f>IF(ISBLANK(B812), "","PriceAreaConnection-811")</f>
        <v>0</v>
      </c>
    </row>
    <row r="813" spans="1:1">
      <c r="A813">
        <f>IF(ISBLANK(B813), "","PriceAreaConnection-812")</f>
        <v>0</v>
      </c>
    </row>
    <row r="814" spans="1:1">
      <c r="A814">
        <f>IF(ISBLANK(B814), "","PriceAreaConnection-813")</f>
        <v>0</v>
      </c>
    </row>
    <row r="815" spans="1:1">
      <c r="A815">
        <f>IF(ISBLANK(B815), "","PriceAreaConnection-814")</f>
        <v>0</v>
      </c>
    </row>
    <row r="816" spans="1:1">
      <c r="A816">
        <f>IF(ISBLANK(B816), "","PriceAreaConnection-815")</f>
        <v>0</v>
      </c>
    </row>
    <row r="817" spans="1:1">
      <c r="A817">
        <f>IF(ISBLANK(B817), "","PriceAreaConnection-816")</f>
        <v>0</v>
      </c>
    </row>
    <row r="818" spans="1:1">
      <c r="A818">
        <f>IF(ISBLANK(B818), "","PriceAreaConnection-817")</f>
        <v>0</v>
      </c>
    </row>
    <row r="819" spans="1:1">
      <c r="A819">
        <f>IF(ISBLANK(B819), "","PriceAreaConnection-818")</f>
        <v>0</v>
      </c>
    </row>
    <row r="820" spans="1:1">
      <c r="A820">
        <f>IF(ISBLANK(B820), "","PriceAreaConnection-819")</f>
        <v>0</v>
      </c>
    </row>
    <row r="821" spans="1:1">
      <c r="A821">
        <f>IF(ISBLANK(B821), "","PriceAreaConnection-820")</f>
        <v>0</v>
      </c>
    </row>
    <row r="822" spans="1:1">
      <c r="A822">
        <f>IF(ISBLANK(B822), "","PriceAreaConnection-821")</f>
        <v>0</v>
      </c>
    </row>
    <row r="823" spans="1:1">
      <c r="A823">
        <f>IF(ISBLANK(B823), "","PriceAreaConnection-822")</f>
        <v>0</v>
      </c>
    </row>
    <row r="824" spans="1:1">
      <c r="A824">
        <f>IF(ISBLANK(B824), "","PriceAreaConnection-823")</f>
        <v>0</v>
      </c>
    </row>
    <row r="825" spans="1:1">
      <c r="A825">
        <f>IF(ISBLANK(B825), "","PriceAreaConnection-824")</f>
        <v>0</v>
      </c>
    </row>
    <row r="826" spans="1:1">
      <c r="A826">
        <f>IF(ISBLANK(B826), "","PriceAreaConnection-825")</f>
        <v>0</v>
      </c>
    </row>
    <row r="827" spans="1:1">
      <c r="A827">
        <f>IF(ISBLANK(B827), "","PriceAreaConnection-826")</f>
        <v>0</v>
      </c>
    </row>
    <row r="828" spans="1:1">
      <c r="A828">
        <f>IF(ISBLANK(B828), "","PriceAreaConnection-827")</f>
        <v>0</v>
      </c>
    </row>
    <row r="829" spans="1:1">
      <c r="A829">
        <f>IF(ISBLANK(B829), "","PriceAreaConnection-828")</f>
        <v>0</v>
      </c>
    </row>
    <row r="830" spans="1:1">
      <c r="A830">
        <f>IF(ISBLANK(B830), "","PriceAreaConnection-829")</f>
        <v>0</v>
      </c>
    </row>
    <row r="831" spans="1:1">
      <c r="A831">
        <f>IF(ISBLANK(B831), "","PriceAreaConnection-830")</f>
        <v>0</v>
      </c>
    </row>
    <row r="832" spans="1:1">
      <c r="A832">
        <f>IF(ISBLANK(B832), "","PriceAreaConnection-831")</f>
        <v>0</v>
      </c>
    </row>
    <row r="833" spans="1:1">
      <c r="A833">
        <f>IF(ISBLANK(B833), "","PriceAreaConnection-832")</f>
        <v>0</v>
      </c>
    </row>
    <row r="834" spans="1:1">
      <c r="A834">
        <f>IF(ISBLANK(B834), "","PriceAreaConnection-833")</f>
        <v>0</v>
      </c>
    </row>
    <row r="835" spans="1:1">
      <c r="A835">
        <f>IF(ISBLANK(B835), "","PriceAreaConnection-834")</f>
        <v>0</v>
      </c>
    </row>
    <row r="836" spans="1:1">
      <c r="A836">
        <f>IF(ISBLANK(B836), "","PriceAreaConnection-835")</f>
        <v>0</v>
      </c>
    </row>
    <row r="837" spans="1:1">
      <c r="A837">
        <f>IF(ISBLANK(B837), "","PriceAreaConnection-836")</f>
        <v>0</v>
      </c>
    </row>
    <row r="838" spans="1:1">
      <c r="A838">
        <f>IF(ISBLANK(B838), "","PriceAreaConnection-837")</f>
        <v>0</v>
      </c>
    </row>
    <row r="839" spans="1:1">
      <c r="A839">
        <f>IF(ISBLANK(B839), "","PriceAreaConnection-838")</f>
        <v>0</v>
      </c>
    </row>
    <row r="840" spans="1:1">
      <c r="A840">
        <f>IF(ISBLANK(B840), "","PriceAreaConnection-839")</f>
        <v>0</v>
      </c>
    </row>
    <row r="841" spans="1:1">
      <c r="A841">
        <f>IF(ISBLANK(B841), "","PriceAreaConnection-840")</f>
        <v>0</v>
      </c>
    </row>
    <row r="842" spans="1:1">
      <c r="A842">
        <f>IF(ISBLANK(B842), "","PriceAreaConnection-841")</f>
        <v>0</v>
      </c>
    </row>
    <row r="843" spans="1:1">
      <c r="A843">
        <f>IF(ISBLANK(B843), "","PriceAreaConnection-842")</f>
        <v>0</v>
      </c>
    </row>
    <row r="844" spans="1:1">
      <c r="A844">
        <f>IF(ISBLANK(B844), "","PriceAreaConnection-843")</f>
        <v>0</v>
      </c>
    </row>
    <row r="845" spans="1:1">
      <c r="A845">
        <f>IF(ISBLANK(B845), "","PriceAreaConnection-844")</f>
        <v>0</v>
      </c>
    </row>
    <row r="846" spans="1:1">
      <c r="A846">
        <f>IF(ISBLANK(B846), "","PriceAreaConnection-845")</f>
        <v>0</v>
      </c>
    </row>
    <row r="847" spans="1:1">
      <c r="A847">
        <f>IF(ISBLANK(B847), "","PriceAreaConnection-846")</f>
        <v>0</v>
      </c>
    </row>
    <row r="848" spans="1:1">
      <c r="A848">
        <f>IF(ISBLANK(B848), "","PriceAreaConnection-847")</f>
        <v>0</v>
      </c>
    </row>
    <row r="849" spans="1:1">
      <c r="A849">
        <f>IF(ISBLANK(B849), "","PriceAreaConnection-848")</f>
        <v>0</v>
      </c>
    </row>
    <row r="850" spans="1:1">
      <c r="A850">
        <f>IF(ISBLANK(B850), "","PriceAreaConnection-849")</f>
        <v>0</v>
      </c>
    </row>
    <row r="851" spans="1:1">
      <c r="A851">
        <f>IF(ISBLANK(B851), "","PriceAreaConnection-850")</f>
        <v>0</v>
      </c>
    </row>
    <row r="852" spans="1:1">
      <c r="A852">
        <f>IF(ISBLANK(B852), "","PriceAreaConnection-851")</f>
        <v>0</v>
      </c>
    </row>
    <row r="853" spans="1:1">
      <c r="A853">
        <f>IF(ISBLANK(B853), "","PriceAreaConnection-852")</f>
        <v>0</v>
      </c>
    </row>
    <row r="854" spans="1:1">
      <c r="A854">
        <f>IF(ISBLANK(B854), "","PriceAreaConnection-853")</f>
        <v>0</v>
      </c>
    </row>
    <row r="855" spans="1:1">
      <c r="A855">
        <f>IF(ISBLANK(B855), "","PriceAreaConnection-854")</f>
        <v>0</v>
      </c>
    </row>
    <row r="856" spans="1:1">
      <c r="A856">
        <f>IF(ISBLANK(B856), "","PriceAreaConnection-855")</f>
        <v>0</v>
      </c>
    </row>
    <row r="857" spans="1:1">
      <c r="A857">
        <f>IF(ISBLANK(B857), "","PriceAreaConnection-856")</f>
        <v>0</v>
      </c>
    </row>
    <row r="858" spans="1:1">
      <c r="A858">
        <f>IF(ISBLANK(B858), "","PriceAreaConnection-857")</f>
        <v>0</v>
      </c>
    </row>
    <row r="859" spans="1:1">
      <c r="A859">
        <f>IF(ISBLANK(B859), "","PriceAreaConnection-858")</f>
        <v>0</v>
      </c>
    </row>
    <row r="860" spans="1:1">
      <c r="A860">
        <f>IF(ISBLANK(B860), "","PriceAreaConnection-859")</f>
        <v>0</v>
      </c>
    </row>
    <row r="861" spans="1:1">
      <c r="A861">
        <f>IF(ISBLANK(B861), "","PriceAreaConnection-860")</f>
        <v>0</v>
      </c>
    </row>
    <row r="862" spans="1:1">
      <c r="A862">
        <f>IF(ISBLANK(B862), "","PriceAreaConnection-861")</f>
        <v>0</v>
      </c>
    </row>
    <row r="863" spans="1:1">
      <c r="A863">
        <f>IF(ISBLANK(B863), "","PriceAreaConnection-862")</f>
        <v>0</v>
      </c>
    </row>
    <row r="864" spans="1:1">
      <c r="A864">
        <f>IF(ISBLANK(B864), "","PriceAreaConnection-863")</f>
        <v>0</v>
      </c>
    </row>
    <row r="865" spans="1:1">
      <c r="A865">
        <f>IF(ISBLANK(B865), "","PriceAreaConnection-864")</f>
        <v>0</v>
      </c>
    </row>
    <row r="866" spans="1:1">
      <c r="A866">
        <f>IF(ISBLANK(B866), "","PriceAreaConnection-865")</f>
        <v>0</v>
      </c>
    </row>
    <row r="867" spans="1:1">
      <c r="A867">
        <f>IF(ISBLANK(B867), "","PriceAreaConnection-866")</f>
        <v>0</v>
      </c>
    </row>
    <row r="868" spans="1:1">
      <c r="A868">
        <f>IF(ISBLANK(B868), "","PriceAreaConnection-867")</f>
        <v>0</v>
      </c>
    </row>
    <row r="869" spans="1:1">
      <c r="A869">
        <f>IF(ISBLANK(B869), "","PriceAreaConnection-868")</f>
        <v>0</v>
      </c>
    </row>
    <row r="870" spans="1:1">
      <c r="A870">
        <f>IF(ISBLANK(B870), "","PriceAreaConnection-869")</f>
        <v>0</v>
      </c>
    </row>
    <row r="871" spans="1:1">
      <c r="A871">
        <f>IF(ISBLANK(B871), "","PriceAreaConnection-870")</f>
        <v>0</v>
      </c>
    </row>
    <row r="872" spans="1:1">
      <c r="A872">
        <f>IF(ISBLANK(B872), "","PriceAreaConnection-871")</f>
        <v>0</v>
      </c>
    </row>
    <row r="873" spans="1:1">
      <c r="A873">
        <f>IF(ISBLANK(B873), "","PriceAreaConnection-872")</f>
        <v>0</v>
      </c>
    </row>
    <row r="874" spans="1:1">
      <c r="A874">
        <f>IF(ISBLANK(B874), "","PriceAreaConnection-873")</f>
        <v>0</v>
      </c>
    </row>
    <row r="875" spans="1:1">
      <c r="A875">
        <f>IF(ISBLANK(B875), "","PriceAreaConnection-874")</f>
        <v>0</v>
      </c>
    </row>
    <row r="876" spans="1:1">
      <c r="A876">
        <f>IF(ISBLANK(B876), "","PriceAreaConnection-875")</f>
        <v>0</v>
      </c>
    </row>
    <row r="877" spans="1:1">
      <c r="A877">
        <f>IF(ISBLANK(B877), "","PriceAreaConnection-876")</f>
        <v>0</v>
      </c>
    </row>
    <row r="878" spans="1:1">
      <c r="A878">
        <f>IF(ISBLANK(B878), "","PriceAreaConnection-877")</f>
        <v>0</v>
      </c>
    </row>
    <row r="879" spans="1:1">
      <c r="A879">
        <f>IF(ISBLANK(B879), "","PriceAreaConnection-878")</f>
        <v>0</v>
      </c>
    </row>
    <row r="880" spans="1:1">
      <c r="A880">
        <f>IF(ISBLANK(B880), "","PriceAreaConnection-879")</f>
        <v>0</v>
      </c>
    </row>
    <row r="881" spans="1:1">
      <c r="A881">
        <f>IF(ISBLANK(B881), "","PriceAreaConnection-880")</f>
        <v>0</v>
      </c>
    </row>
    <row r="882" spans="1:1">
      <c r="A882">
        <f>IF(ISBLANK(B882), "","PriceAreaConnection-881")</f>
        <v>0</v>
      </c>
    </row>
    <row r="883" spans="1:1">
      <c r="A883">
        <f>IF(ISBLANK(B883), "","PriceAreaConnection-882")</f>
        <v>0</v>
      </c>
    </row>
    <row r="884" spans="1:1">
      <c r="A884">
        <f>IF(ISBLANK(B884), "","PriceAreaConnection-883")</f>
        <v>0</v>
      </c>
    </row>
    <row r="885" spans="1:1">
      <c r="A885">
        <f>IF(ISBLANK(B885), "","PriceAreaConnection-884")</f>
        <v>0</v>
      </c>
    </row>
    <row r="886" spans="1:1">
      <c r="A886">
        <f>IF(ISBLANK(B886), "","PriceAreaConnection-885")</f>
        <v>0</v>
      </c>
    </row>
    <row r="887" spans="1:1">
      <c r="A887">
        <f>IF(ISBLANK(B887), "","PriceAreaConnection-886")</f>
        <v>0</v>
      </c>
    </row>
    <row r="888" spans="1:1">
      <c r="A888">
        <f>IF(ISBLANK(B888), "","PriceAreaConnection-887")</f>
        <v>0</v>
      </c>
    </row>
    <row r="889" spans="1:1">
      <c r="A889">
        <f>IF(ISBLANK(B889), "","PriceAreaConnection-888")</f>
        <v>0</v>
      </c>
    </row>
    <row r="890" spans="1:1">
      <c r="A890">
        <f>IF(ISBLANK(B890), "","PriceAreaConnection-889")</f>
        <v>0</v>
      </c>
    </row>
    <row r="891" spans="1:1">
      <c r="A891">
        <f>IF(ISBLANK(B891), "","PriceAreaConnection-890")</f>
        <v>0</v>
      </c>
    </row>
    <row r="892" spans="1:1">
      <c r="A892">
        <f>IF(ISBLANK(B892), "","PriceAreaConnection-891")</f>
        <v>0</v>
      </c>
    </row>
    <row r="893" spans="1:1">
      <c r="A893">
        <f>IF(ISBLANK(B893), "","PriceAreaConnection-892")</f>
        <v>0</v>
      </c>
    </row>
    <row r="894" spans="1:1">
      <c r="A894">
        <f>IF(ISBLANK(B894), "","PriceAreaConnection-893")</f>
        <v>0</v>
      </c>
    </row>
    <row r="895" spans="1:1">
      <c r="A895">
        <f>IF(ISBLANK(B895), "","PriceAreaConnection-894")</f>
        <v>0</v>
      </c>
    </row>
    <row r="896" spans="1:1">
      <c r="A896">
        <f>IF(ISBLANK(B896), "","PriceAreaConnection-895")</f>
        <v>0</v>
      </c>
    </row>
    <row r="897" spans="1:1">
      <c r="A897">
        <f>IF(ISBLANK(B897), "","PriceAreaConnection-896")</f>
        <v>0</v>
      </c>
    </row>
    <row r="898" spans="1:1">
      <c r="A898">
        <f>IF(ISBLANK(B898), "","PriceAreaConnection-897")</f>
        <v>0</v>
      </c>
    </row>
    <row r="899" spans="1:1">
      <c r="A899">
        <f>IF(ISBLANK(B899), "","PriceAreaConnection-898")</f>
        <v>0</v>
      </c>
    </row>
    <row r="900" spans="1:1">
      <c r="A900">
        <f>IF(ISBLANK(B900), "","PriceAreaConnection-899")</f>
        <v>0</v>
      </c>
    </row>
    <row r="901" spans="1:1">
      <c r="A901">
        <f>IF(ISBLANK(B901), "","PriceAreaConnection-900")</f>
        <v>0</v>
      </c>
    </row>
    <row r="902" spans="1:1">
      <c r="A902">
        <f>IF(ISBLANK(B902), "","PriceAreaConnection-901")</f>
        <v>0</v>
      </c>
    </row>
    <row r="903" spans="1:1">
      <c r="A903">
        <f>IF(ISBLANK(B903), "","PriceAreaConnection-902")</f>
        <v>0</v>
      </c>
    </row>
    <row r="904" spans="1:1">
      <c r="A904">
        <f>IF(ISBLANK(B904), "","PriceAreaConnection-903")</f>
        <v>0</v>
      </c>
    </row>
    <row r="905" spans="1:1">
      <c r="A905">
        <f>IF(ISBLANK(B905), "","PriceAreaConnection-904")</f>
        <v>0</v>
      </c>
    </row>
    <row r="906" spans="1:1">
      <c r="A906">
        <f>IF(ISBLANK(B906), "","PriceAreaConnection-905")</f>
        <v>0</v>
      </c>
    </row>
    <row r="907" spans="1:1">
      <c r="A907">
        <f>IF(ISBLANK(B907), "","PriceAreaConnection-906")</f>
        <v>0</v>
      </c>
    </row>
    <row r="908" spans="1:1">
      <c r="A908">
        <f>IF(ISBLANK(B908), "","PriceAreaConnection-907")</f>
        <v>0</v>
      </c>
    </row>
    <row r="909" spans="1:1">
      <c r="A909">
        <f>IF(ISBLANK(B909), "","PriceAreaConnection-908")</f>
        <v>0</v>
      </c>
    </row>
    <row r="910" spans="1:1">
      <c r="A910">
        <f>IF(ISBLANK(B910), "","PriceAreaConnection-909")</f>
        <v>0</v>
      </c>
    </row>
    <row r="911" spans="1:1">
      <c r="A911">
        <f>IF(ISBLANK(B911), "","PriceAreaConnection-910")</f>
        <v>0</v>
      </c>
    </row>
    <row r="912" spans="1:1">
      <c r="A912">
        <f>IF(ISBLANK(B912), "","PriceAreaConnection-911")</f>
        <v>0</v>
      </c>
    </row>
    <row r="913" spans="1:1">
      <c r="A913">
        <f>IF(ISBLANK(B913), "","PriceAreaConnection-912")</f>
        <v>0</v>
      </c>
    </row>
    <row r="914" spans="1:1">
      <c r="A914">
        <f>IF(ISBLANK(B914), "","PriceAreaConnection-913")</f>
        <v>0</v>
      </c>
    </row>
    <row r="915" spans="1:1">
      <c r="A915">
        <f>IF(ISBLANK(B915), "","PriceAreaConnection-914")</f>
        <v>0</v>
      </c>
    </row>
    <row r="916" spans="1:1">
      <c r="A916">
        <f>IF(ISBLANK(B916), "","PriceAreaConnection-915")</f>
        <v>0</v>
      </c>
    </row>
    <row r="917" spans="1:1">
      <c r="A917">
        <f>IF(ISBLANK(B917), "","PriceAreaConnection-916")</f>
        <v>0</v>
      </c>
    </row>
    <row r="918" spans="1:1">
      <c r="A918">
        <f>IF(ISBLANK(B918), "","PriceAreaConnection-917")</f>
        <v>0</v>
      </c>
    </row>
    <row r="919" spans="1:1">
      <c r="A919">
        <f>IF(ISBLANK(B919), "","PriceAreaConnection-918")</f>
        <v>0</v>
      </c>
    </row>
    <row r="920" spans="1:1">
      <c r="A920">
        <f>IF(ISBLANK(B920), "","PriceAreaConnection-919")</f>
        <v>0</v>
      </c>
    </row>
    <row r="921" spans="1:1">
      <c r="A921">
        <f>IF(ISBLANK(B921), "","PriceAreaConnection-920")</f>
        <v>0</v>
      </c>
    </row>
    <row r="922" spans="1:1">
      <c r="A922">
        <f>IF(ISBLANK(B922), "","PriceAreaConnection-921")</f>
        <v>0</v>
      </c>
    </row>
    <row r="923" spans="1:1">
      <c r="A923">
        <f>IF(ISBLANK(B923), "","PriceAreaConnection-922")</f>
        <v>0</v>
      </c>
    </row>
    <row r="924" spans="1:1">
      <c r="A924">
        <f>IF(ISBLANK(B924), "","PriceAreaConnection-923")</f>
        <v>0</v>
      </c>
    </row>
    <row r="925" spans="1:1">
      <c r="A925">
        <f>IF(ISBLANK(B925), "","PriceAreaConnection-924")</f>
        <v>0</v>
      </c>
    </row>
    <row r="926" spans="1:1">
      <c r="A926">
        <f>IF(ISBLANK(B926), "","PriceAreaConnection-925")</f>
        <v>0</v>
      </c>
    </row>
    <row r="927" spans="1:1">
      <c r="A927">
        <f>IF(ISBLANK(B927), "","PriceAreaConnection-926")</f>
        <v>0</v>
      </c>
    </row>
    <row r="928" spans="1:1">
      <c r="A928">
        <f>IF(ISBLANK(B928), "","PriceAreaConnection-927")</f>
        <v>0</v>
      </c>
    </row>
    <row r="929" spans="1:1">
      <c r="A929">
        <f>IF(ISBLANK(B929), "","PriceAreaConnection-928")</f>
        <v>0</v>
      </c>
    </row>
    <row r="930" spans="1:1">
      <c r="A930">
        <f>IF(ISBLANK(B930), "","PriceAreaConnection-929")</f>
        <v>0</v>
      </c>
    </row>
    <row r="931" spans="1:1">
      <c r="A931">
        <f>IF(ISBLANK(B931), "","PriceAreaConnection-930")</f>
        <v>0</v>
      </c>
    </row>
    <row r="932" spans="1:1">
      <c r="A932">
        <f>IF(ISBLANK(B932), "","PriceAreaConnection-931")</f>
        <v>0</v>
      </c>
    </row>
    <row r="933" spans="1:1">
      <c r="A933">
        <f>IF(ISBLANK(B933), "","PriceAreaConnection-932")</f>
        <v>0</v>
      </c>
    </row>
    <row r="934" spans="1:1">
      <c r="A934">
        <f>IF(ISBLANK(B934), "","PriceAreaConnection-933")</f>
        <v>0</v>
      </c>
    </row>
    <row r="935" spans="1:1">
      <c r="A935">
        <f>IF(ISBLANK(B935), "","PriceAreaConnection-934")</f>
        <v>0</v>
      </c>
    </row>
    <row r="936" spans="1:1">
      <c r="A936">
        <f>IF(ISBLANK(B936), "","PriceAreaConnection-935")</f>
        <v>0</v>
      </c>
    </row>
    <row r="937" spans="1:1">
      <c r="A937">
        <f>IF(ISBLANK(B937), "","PriceAreaConnection-936")</f>
        <v>0</v>
      </c>
    </row>
    <row r="938" spans="1:1">
      <c r="A938">
        <f>IF(ISBLANK(B938), "","PriceAreaConnection-937")</f>
        <v>0</v>
      </c>
    </row>
    <row r="939" spans="1:1">
      <c r="A939">
        <f>IF(ISBLANK(B939), "","PriceAreaConnection-938")</f>
        <v>0</v>
      </c>
    </row>
    <row r="940" spans="1:1">
      <c r="A940">
        <f>IF(ISBLANK(B940), "","PriceAreaConnection-939")</f>
        <v>0</v>
      </c>
    </row>
    <row r="941" spans="1:1">
      <c r="A941">
        <f>IF(ISBLANK(B941), "","PriceAreaConnection-940")</f>
        <v>0</v>
      </c>
    </row>
    <row r="942" spans="1:1">
      <c r="A942">
        <f>IF(ISBLANK(B942), "","PriceAreaConnection-941")</f>
        <v>0</v>
      </c>
    </row>
    <row r="943" spans="1:1">
      <c r="A943">
        <f>IF(ISBLANK(B943), "","PriceAreaConnection-942")</f>
        <v>0</v>
      </c>
    </row>
    <row r="944" spans="1:1">
      <c r="A944">
        <f>IF(ISBLANK(B944), "","PriceAreaConnection-943")</f>
        <v>0</v>
      </c>
    </row>
    <row r="945" spans="1:1">
      <c r="A945">
        <f>IF(ISBLANK(B945), "","PriceAreaConnection-944")</f>
        <v>0</v>
      </c>
    </row>
    <row r="946" spans="1:1">
      <c r="A946">
        <f>IF(ISBLANK(B946), "","PriceAreaConnection-945")</f>
        <v>0</v>
      </c>
    </row>
    <row r="947" spans="1:1">
      <c r="A947">
        <f>IF(ISBLANK(B947), "","PriceAreaConnection-946")</f>
        <v>0</v>
      </c>
    </row>
    <row r="948" spans="1:1">
      <c r="A948">
        <f>IF(ISBLANK(B948), "","PriceAreaConnection-947")</f>
        <v>0</v>
      </c>
    </row>
    <row r="949" spans="1:1">
      <c r="A949">
        <f>IF(ISBLANK(B949), "","PriceAreaConnection-948")</f>
        <v>0</v>
      </c>
    </row>
    <row r="950" spans="1:1">
      <c r="A950">
        <f>IF(ISBLANK(B950), "","PriceAreaConnection-949")</f>
        <v>0</v>
      </c>
    </row>
    <row r="951" spans="1:1">
      <c r="A951">
        <f>IF(ISBLANK(B951), "","PriceAreaConnection-950")</f>
        <v>0</v>
      </c>
    </row>
    <row r="952" spans="1:1">
      <c r="A952">
        <f>IF(ISBLANK(B952), "","PriceAreaConnection-951")</f>
        <v>0</v>
      </c>
    </row>
    <row r="953" spans="1:1">
      <c r="A953">
        <f>IF(ISBLANK(B953), "","PriceAreaConnection-952")</f>
        <v>0</v>
      </c>
    </row>
    <row r="954" spans="1:1">
      <c r="A954">
        <f>IF(ISBLANK(B954), "","PriceAreaConnection-953")</f>
        <v>0</v>
      </c>
    </row>
    <row r="955" spans="1:1">
      <c r="A955">
        <f>IF(ISBLANK(B955), "","PriceAreaConnection-954")</f>
        <v>0</v>
      </c>
    </row>
    <row r="956" spans="1:1">
      <c r="A956">
        <f>IF(ISBLANK(B956), "","PriceAreaConnection-955")</f>
        <v>0</v>
      </c>
    </row>
    <row r="957" spans="1:1">
      <c r="A957">
        <f>IF(ISBLANK(B957), "","PriceAreaConnection-956")</f>
        <v>0</v>
      </c>
    </row>
    <row r="958" spans="1:1">
      <c r="A958">
        <f>IF(ISBLANK(B958), "","PriceAreaConnection-957")</f>
        <v>0</v>
      </c>
    </row>
    <row r="959" spans="1:1">
      <c r="A959">
        <f>IF(ISBLANK(B959), "","PriceAreaConnection-958")</f>
        <v>0</v>
      </c>
    </row>
    <row r="960" spans="1:1">
      <c r="A960">
        <f>IF(ISBLANK(B960), "","PriceAreaConnection-959")</f>
        <v>0</v>
      </c>
    </row>
    <row r="961" spans="1:1">
      <c r="A961">
        <f>IF(ISBLANK(B961), "","PriceAreaConnection-960")</f>
        <v>0</v>
      </c>
    </row>
    <row r="962" spans="1:1">
      <c r="A962">
        <f>IF(ISBLANK(B962), "","PriceAreaConnection-961")</f>
        <v>0</v>
      </c>
    </row>
    <row r="963" spans="1:1">
      <c r="A963">
        <f>IF(ISBLANK(B963), "","PriceAreaConnection-962")</f>
        <v>0</v>
      </c>
    </row>
    <row r="964" spans="1:1">
      <c r="A964">
        <f>IF(ISBLANK(B964), "","PriceAreaConnection-963")</f>
        <v>0</v>
      </c>
    </row>
    <row r="965" spans="1:1">
      <c r="A965">
        <f>IF(ISBLANK(B965), "","PriceAreaConnection-964")</f>
        <v>0</v>
      </c>
    </row>
    <row r="966" spans="1:1">
      <c r="A966">
        <f>IF(ISBLANK(B966), "","PriceAreaConnection-965")</f>
        <v>0</v>
      </c>
    </row>
    <row r="967" spans="1:1">
      <c r="A967">
        <f>IF(ISBLANK(B967), "","PriceAreaConnection-966")</f>
        <v>0</v>
      </c>
    </row>
    <row r="968" spans="1:1">
      <c r="A968">
        <f>IF(ISBLANK(B968), "","PriceAreaConnection-967")</f>
        <v>0</v>
      </c>
    </row>
    <row r="969" spans="1:1">
      <c r="A969">
        <f>IF(ISBLANK(B969), "","PriceAreaConnection-968")</f>
        <v>0</v>
      </c>
    </row>
    <row r="970" spans="1:1">
      <c r="A970">
        <f>IF(ISBLANK(B970), "","PriceAreaConnection-969")</f>
        <v>0</v>
      </c>
    </row>
    <row r="971" spans="1:1">
      <c r="A971">
        <f>IF(ISBLANK(B971), "","PriceAreaConnection-970")</f>
        <v>0</v>
      </c>
    </row>
    <row r="972" spans="1:1">
      <c r="A972">
        <f>IF(ISBLANK(B972), "","PriceAreaConnection-971")</f>
        <v>0</v>
      </c>
    </row>
    <row r="973" spans="1:1">
      <c r="A973">
        <f>IF(ISBLANK(B973), "","PriceAreaConnection-972")</f>
        <v>0</v>
      </c>
    </row>
    <row r="974" spans="1:1">
      <c r="A974">
        <f>IF(ISBLANK(B974), "","PriceAreaConnection-973")</f>
        <v>0</v>
      </c>
    </row>
    <row r="975" spans="1:1">
      <c r="A975">
        <f>IF(ISBLANK(B975), "","PriceAreaConnection-974")</f>
        <v>0</v>
      </c>
    </row>
    <row r="976" spans="1:1">
      <c r="A976">
        <f>IF(ISBLANK(B976), "","PriceAreaConnection-975")</f>
        <v>0</v>
      </c>
    </row>
    <row r="977" spans="1:1">
      <c r="A977">
        <f>IF(ISBLANK(B977), "","PriceAreaConnection-976")</f>
        <v>0</v>
      </c>
    </row>
    <row r="978" spans="1:1">
      <c r="A978">
        <f>IF(ISBLANK(B978), "","PriceAreaConnection-977")</f>
        <v>0</v>
      </c>
    </row>
    <row r="979" spans="1:1">
      <c r="A979">
        <f>IF(ISBLANK(B979), "","PriceAreaConnection-978")</f>
        <v>0</v>
      </c>
    </row>
    <row r="980" spans="1:1">
      <c r="A980">
        <f>IF(ISBLANK(B980), "","PriceAreaConnection-979")</f>
        <v>0</v>
      </c>
    </row>
    <row r="981" spans="1:1">
      <c r="A981">
        <f>IF(ISBLANK(B981), "","PriceAreaConnection-980")</f>
        <v>0</v>
      </c>
    </row>
    <row r="982" spans="1:1">
      <c r="A982">
        <f>IF(ISBLANK(B982), "","PriceAreaConnection-981")</f>
        <v>0</v>
      </c>
    </row>
    <row r="983" spans="1:1">
      <c r="A983">
        <f>IF(ISBLANK(B983), "","PriceAreaConnection-982")</f>
        <v>0</v>
      </c>
    </row>
    <row r="984" spans="1:1">
      <c r="A984">
        <f>IF(ISBLANK(B984), "","PriceAreaConnection-983")</f>
        <v>0</v>
      </c>
    </row>
    <row r="985" spans="1:1">
      <c r="A985">
        <f>IF(ISBLANK(B985), "","PriceAreaConnection-984")</f>
        <v>0</v>
      </c>
    </row>
    <row r="986" spans="1:1">
      <c r="A986">
        <f>IF(ISBLANK(B986), "","PriceAreaConnection-985")</f>
        <v>0</v>
      </c>
    </row>
    <row r="987" spans="1:1">
      <c r="A987">
        <f>IF(ISBLANK(B987), "","PriceAreaConnection-986")</f>
        <v>0</v>
      </c>
    </row>
    <row r="988" spans="1:1">
      <c r="A988">
        <f>IF(ISBLANK(B988), "","PriceAreaConnection-987")</f>
        <v>0</v>
      </c>
    </row>
    <row r="989" spans="1:1">
      <c r="A989">
        <f>IF(ISBLANK(B989), "","PriceAreaConnection-988")</f>
        <v>0</v>
      </c>
    </row>
    <row r="990" spans="1:1">
      <c r="A990">
        <f>IF(ISBLANK(B990), "","PriceAreaConnection-989")</f>
        <v>0</v>
      </c>
    </row>
    <row r="991" spans="1:1">
      <c r="A991">
        <f>IF(ISBLANK(B991), "","PriceAreaConnection-990")</f>
        <v>0</v>
      </c>
    </row>
    <row r="992" spans="1:1">
      <c r="A992">
        <f>IF(ISBLANK(B992), "","PriceAreaConnection-991")</f>
        <v>0</v>
      </c>
    </row>
    <row r="993" spans="1:1">
      <c r="A993">
        <f>IF(ISBLANK(B993), "","PriceAreaConnection-992")</f>
        <v>0</v>
      </c>
    </row>
    <row r="994" spans="1:1">
      <c r="A994">
        <f>IF(ISBLANK(B994), "","PriceAreaConnection-993")</f>
        <v>0</v>
      </c>
    </row>
    <row r="995" spans="1:1">
      <c r="A995">
        <f>IF(ISBLANK(B995), "","PriceAreaConnection-994")</f>
        <v>0</v>
      </c>
    </row>
    <row r="996" spans="1:1">
      <c r="A996">
        <f>IF(ISBLANK(B996), "","PriceAreaConnection-995")</f>
        <v>0</v>
      </c>
    </row>
    <row r="997" spans="1:1">
      <c r="A997">
        <f>IF(ISBLANK(B997), "","PriceAreaConnection-996")</f>
        <v>0</v>
      </c>
    </row>
    <row r="998" spans="1:1">
      <c r="A998">
        <f>IF(ISBLANK(B998), "","PriceAreaConnection-997")</f>
        <v>0</v>
      </c>
    </row>
    <row r="999" spans="1:1">
      <c r="A999">
        <f>IF(ISBLANK(B999), "","PriceAreaConnection-998")</f>
        <v>0</v>
      </c>
    </row>
    <row r="1000" spans="1:1">
      <c r="A1000">
        <f>IF(ISBLANK(B1000), "","PriceAreaConnection-999")</f>
        <v>0</v>
      </c>
    </row>
    <row r="1001" spans="1:1">
      <c r="A1001">
        <f>IF(ISBLANK(B1001), "","PriceAreaConnection-1000")</f>
        <v>0</v>
      </c>
    </row>
  </sheetData>
  <dataValidations count="1000">
    <dataValidation type="list" allowBlank="1" showInputMessage="1" showErrorMessage="1" sqref="C2">
      <formula1>PriceArea!A2:A1000</formula1>
    </dataValidation>
    <dataValidation type="list" allowBlank="1" showInputMessage="1" showErrorMessage="1" sqref="C3">
      <formula1>PriceArea!A2:A1000</formula1>
    </dataValidation>
    <dataValidation type="list" allowBlank="1" showInputMessage="1" showErrorMessage="1" sqref="C4">
      <formula1>PriceArea!A2:A1000</formula1>
    </dataValidation>
    <dataValidation type="list" allowBlank="1" showInputMessage="1" showErrorMessage="1" sqref="C5">
      <formula1>PriceArea!A2:A1000</formula1>
    </dataValidation>
    <dataValidation type="list" allowBlank="1" showInputMessage="1" showErrorMessage="1" sqref="C6">
      <formula1>PriceArea!A2:A1000</formula1>
    </dataValidation>
    <dataValidation type="list" allowBlank="1" showInputMessage="1" showErrorMessage="1" sqref="C7">
      <formula1>PriceArea!A2:A1000</formula1>
    </dataValidation>
    <dataValidation type="list" allowBlank="1" showInputMessage="1" showErrorMessage="1" sqref="C8">
      <formula1>PriceArea!A2:A1000</formula1>
    </dataValidation>
    <dataValidation type="list" allowBlank="1" showInputMessage="1" showErrorMessage="1" sqref="C9">
      <formula1>PriceArea!A2:A1000</formula1>
    </dataValidation>
    <dataValidation type="list" allowBlank="1" showInputMessage="1" showErrorMessage="1" sqref="C10">
      <formula1>PriceArea!A2:A1000</formula1>
    </dataValidation>
    <dataValidation type="list" allowBlank="1" showInputMessage="1" showErrorMessage="1" sqref="C11">
      <formula1>PriceArea!A2:A1000</formula1>
    </dataValidation>
    <dataValidation type="list" allowBlank="1" showInputMessage="1" showErrorMessage="1" sqref="C12">
      <formula1>PriceArea!A2:A1000</formula1>
    </dataValidation>
    <dataValidation type="list" allowBlank="1" showInputMessage="1" showErrorMessage="1" sqref="C13">
      <formula1>PriceArea!A2:A1000</formula1>
    </dataValidation>
    <dataValidation type="list" allowBlank="1" showInputMessage="1" showErrorMessage="1" sqref="C14">
      <formula1>PriceArea!A2:A1000</formula1>
    </dataValidation>
    <dataValidation type="list" allowBlank="1" showInputMessage="1" showErrorMessage="1" sqref="C15">
      <formula1>PriceArea!A2:A1000</formula1>
    </dataValidation>
    <dataValidation type="list" allowBlank="1" showInputMessage="1" showErrorMessage="1" sqref="C16">
      <formula1>PriceArea!A2:A1000</formula1>
    </dataValidation>
    <dataValidation type="list" allowBlank="1" showInputMessage="1" showErrorMessage="1" sqref="C17">
      <formula1>PriceArea!A2:A1000</formula1>
    </dataValidation>
    <dataValidation type="list" allowBlank="1" showInputMessage="1" showErrorMessage="1" sqref="C18">
      <formula1>PriceArea!A2:A1000</formula1>
    </dataValidation>
    <dataValidation type="list" allowBlank="1" showInputMessage="1" showErrorMessage="1" sqref="C19">
      <formula1>PriceArea!A2:A1000</formula1>
    </dataValidation>
    <dataValidation type="list" allowBlank="1" showInputMessage="1" showErrorMessage="1" sqref="C20">
      <formula1>PriceArea!A2:A1000</formula1>
    </dataValidation>
    <dataValidation type="list" allowBlank="1" showInputMessage="1" showErrorMessage="1" sqref="C21">
      <formula1>PriceArea!A2:A1000</formula1>
    </dataValidation>
    <dataValidation type="list" allowBlank="1" showInputMessage="1" showErrorMessage="1" sqref="C22">
      <formula1>PriceArea!A2:A1000</formula1>
    </dataValidation>
    <dataValidation type="list" allowBlank="1" showInputMessage="1" showErrorMessage="1" sqref="C23">
      <formula1>PriceArea!A2:A1000</formula1>
    </dataValidation>
    <dataValidation type="list" allowBlank="1" showInputMessage="1" showErrorMessage="1" sqref="C24">
      <formula1>PriceArea!A2:A1000</formula1>
    </dataValidation>
    <dataValidation type="list" allowBlank="1" showInputMessage="1" showErrorMessage="1" sqref="C25">
      <formula1>PriceArea!A2:A1000</formula1>
    </dataValidation>
    <dataValidation type="list" allowBlank="1" showInputMessage="1" showErrorMessage="1" sqref="C26">
      <formula1>PriceArea!A2:A1000</formula1>
    </dataValidation>
    <dataValidation type="list" allowBlank="1" showInputMessage="1" showErrorMessage="1" sqref="C27">
      <formula1>PriceArea!A2:A1000</formula1>
    </dataValidation>
    <dataValidation type="list" allowBlank="1" showInputMessage="1" showErrorMessage="1" sqref="C28">
      <formula1>PriceArea!A2:A1000</formula1>
    </dataValidation>
    <dataValidation type="list" allowBlank="1" showInputMessage="1" showErrorMessage="1" sqref="C29">
      <formula1>PriceArea!A2:A1000</formula1>
    </dataValidation>
    <dataValidation type="list" allowBlank="1" showInputMessage="1" showErrorMessage="1" sqref="C30">
      <formula1>PriceArea!A2:A1000</formula1>
    </dataValidation>
    <dataValidation type="list" allowBlank="1" showInputMessage="1" showErrorMessage="1" sqref="C31">
      <formula1>PriceArea!A2:A1000</formula1>
    </dataValidation>
    <dataValidation type="list" allowBlank="1" showInputMessage="1" showErrorMessage="1" sqref="C32">
      <formula1>PriceArea!A2:A1000</formula1>
    </dataValidation>
    <dataValidation type="list" allowBlank="1" showInputMessage="1" showErrorMessage="1" sqref="C33">
      <formula1>PriceArea!A2:A1000</formula1>
    </dataValidation>
    <dataValidation type="list" allowBlank="1" showInputMessage="1" showErrorMessage="1" sqref="C34">
      <formula1>PriceArea!A2:A1000</formula1>
    </dataValidation>
    <dataValidation type="list" allowBlank="1" showInputMessage="1" showErrorMessage="1" sqref="C35">
      <formula1>PriceArea!A2:A1000</formula1>
    </dataValidation>
    <dataValidation type="list" allowBlank="1" showInputMessage="1" showErrorMessage="1" sqref="C36">
      <formula1>PriceArea!A2:A1000</formula1>
    </dataValidation>
    <dataValidation type="list" allowBlank="1" showInputMessage="1" showErrorMessage="1" sqref="C37">
      <formula1>PriceArea!A2:A1000</formula1>
    </dataValidation>
    <dataValidation type="list" allowBlank="1" showInputMessage="1" showErrorMessage="1" sqref="C38">
      <formula1>PriceArea!A2:A1000</formula1>
    </dataValidation>
    <dataValidation type="list" allowBlank="1" showInputMessage="1" showErrorMessage="1" sqref="C39">
      <formula1>PriceArea!A2:A1000</formula1>
    </dataValidation>
    <dataValidation type="list" allowBlank="1" showInputMessage="1" showErrorMessage="1" sqref="C40">
      <formula1>PriceArea!A2:A1000</formula1>
    </dataValidation>
    <dataValidation type="list" allowBlank="1" showInputMessage="1" showErrorMessage="1" sqref="C41">
      <formula1>PriceArea!A2:A1000</formula1>
    </dataValidation>
    <dataValidation type="list" allowBlank="1" showInputMessage="1" showErrorMessage="1" sqref="C42">
      <formula1>PriceArea!A2:A1000</formula1>
    </dataValidation>
    <dataValidation type="list" allowBlank="1" showInputMessage="1" showErrorMessage="1" sqref="C43">
      <formula1>PriceArea!A2:A1000</formula1>
    </dataValidation>
    <dataValidation type="list" allowBlank="1" showInputMessage="1" showErrorMessage="1" sqref="C44">
      <formula1>PriceArea!A2:A1000</formula1>
    </dataValidation>
    <dataValidation type="list" allowBlank="1" showInputMessage="1" showErrorMessage="1" sqref="C45">
      <formula1>PriceArea!A2:A1000</formula1>
    </dataValidation>
    <dataValidation type="list" allowBlank="1" showInputMessage="1" showErrorMessage="1" sqref="C46">
      <formula1>PriceArea!A2:A1000</formula1>
    </dataValidation>
    <dataValidation type="list" allowBlank="1" showInputMessage="1" showErrorMessage="1" sqref="C47">
      <formula1>PriceArea!A2:A1000</formula1>
    </dataValidation>
    <dataValidation type="list" allowBlank="1" showInputMessage="1" showErrorMessage="1" sqref="C48">
      <formula1>PriceArea!A2:A1000</formula1>
    </dataValidation>
    <dataValidation type="list" allowBlank="1" showInputMessage="1" showErrorMessage="1" sqref="C49">
      <formula1>PriceArea!A2:A1000</formula1>
    </dataValidation>
    <dataValidation type="list" allowBlank="1" showInputMessage="1" showErrorMessage="1" sqref="C50">
      <formula1>PriceArea!A2:A1000</formula1>
    </dataValidation>
    <dataValidation type="list" allowBlank="1" showInputMessage="1" showErrorMessage="1" sqref="C51">
      <formula1>PriceArea!A2:A1000</formula1>
    </dataValidation>
    <dataValidation type="list" allowBlank="1" showInputMessage="1" showErrorMessage="1" sqref="C52">
      <formula1>PriceArea!A2:A1000</formula1>
    </dataValidation>
    <dataValidation type="list" allowBlank="1" showInputMessage="1" showErrorMessage="1" sqref="C53">
      <formula1>PriceArea!A2:A1000</formula1>
    </dataValidation>
    <dataValidation type="list" allowBlank="1" showInputMessage="1" showErrorMessage="1" sqref="C54">
      <formula1>PriceArea!A2:A1000</formula1>
    </dataValidation>
    <dataValidation type="list" allowBlank="1" showInputMessage="1" showErrorMessage="1" sqref="C55">
      <formula1>PriceArea!A2:A1000</formula1>
    </dataValidation>
    <dataValidation type="list" allowBlank="1" showInputMessage="1" showErrorMessage="1" sqref="C56">
      <formula1>PriceArea!A2:A1000</formula1>
    </dataValidation>
    <dataValidation type="list" allowBlank="1" showInputMessage="1" showErrorMessage="1" sqref="C57">
      <formula1>PriceArea!A2:A1000</formula1>
    </dataValidation>
    <dataValidation type="list" allowBlank="1" showInputMessage="1" showErrorMessage="1" sqref="C58">
      <formula1>PriceArea!A2:A1000</formula1>
    </dataValidation>
    <dataValidation type="list" allowBlank="1" showInputMessage="1" showErrorMessage="1" sqref="C59">
      <formula1>PriceArea!A2:A1000</formula1>
    </dataValidation>
    <dataValidation type="list" allowBlank="1" showInputMessage="1" showErrorMessage="1" sqref="C60">
      <formula1>PriceArea!A2:A1000</formula1>
    </dataValidation>
    <dataValidation type="list" allowBlank="1" showInputMessage="1" showErrorMessage="1" sqref="C61">
      <formula1>PriceArea!A2:A1000</formula1>
    </dataValidation>
    <dataValidation type="list" allowBlank="1" showInputMessage="1" showErrorMessage="1" sqref="C62">
      <formula1>PriceArea!A2:A1000</formula1>
    </dataValidation>
    <dataValidation type="list" allowBlank="1" showInputMessage="1" showErrorMessage="1" sqref="C63">
      <formula1>PriceArea!A2:A1000</formula1>
    </dataValidation>
    <dataValidation type="list" allowBlank="1" showInputMessage="1" showErrorMessage="1" sqref="C64">
      <formula1>PriceArea!A2:A1000</formula1>
    </dataValidation>
    <dataValidation type="list" allowBlank="1" showInputMessage="1" showErrorMessage="1" sqref="C65">
      <formula1>PriceArea!A2:A1000</formula1>
    </dataValidation>
    <dataValidation type="list" allowBlank="1" showInputMessage="1" showErrorMessage="1" sqref="C66">
      <formula1>PriceArea!A2:A1000</formula1>
    </dataValidation>
    <dataValidation type="list" allowBlank="1" showInputMessage="1" showErrorMessage="1" sqref="C67">
      <formula1>PriceArea!A2:A1000</formula1>
    </dataValidation>
    <dataValidation type="list" allowBlank="1" showInputMessage="1" showErrorMessage="1" sqref="C68">
      <formula1>PriceArea!A2:A1000</formula1>
    </dataValidation>
    <dataValidation type="list" allowBlank="1" showInputMessage="1" showErrorMessage="1" sqref="C69">
      <formula1>PriceArea!A2:A1000</formula1>
    </dataValidation>
    <dataValidation type="list" allowBlank="1" showInputMessage="1" showErrorMessage="1" sqref="C70">
      <formula1>PriceArea!A2:A1000</formula1>
    </dataValidation>
    <dataValidation type="list" allowBlank="1" showInputMessage="1" showErrorMessage="1" sqref="C71">
      <formula1>PriceArea!A2:A1000</formula1>
    </dataValidation>
    <dataValidation type="list" allowBlank="1" showInputMessage="1" showErrorMessage="1" sqref="C72">
      <formula1>PriceArea!A2:A1000</formula1>
    </dataValidation>
    <dataValidation type="list" allowBlank="1" showInputMessage="1" showErrorMessage="1" sqref="C73">
      <formula1>PriceArea!A2:A1000</formula1>
    </dataValidation>
    <dataValidation type="list" allowBlank="1" showInputMessage="1" showErrorMessage="1" sqref="C74">
      <formula1>PriceArea!A2:A1000</formula1>
    </dataValidation>
    <dataValidation type="list" allowBlank="1" showInputMessage="1" showErrorMessage="1" sqref="C75">
      <formula1>PriceArea!A2:A1000</formula1>
    </dataValidation>
    <dataValidation type="list" allowBlank="1" showInputMessage="1" showErrorMessage="1" sqref="C76">
      <formula1>PriceArea!A2:A1000</formula1>
    </dataValidation>
    <dataValidation type="list" allowBlank="1" showInputMessage="1" showErrorMessage="1" sqref="C77">
      <formula1>PriceArea!A2:A1000</formula1>
    </dataValidation>
    <dataValidation type="list" allowBlank="1" showInputMessage="1" showErrorMessage="1" sqref="C78">
      <formula1>PriceArea!A2:A1000</formula1>
    </dataValidation>
    <dataValidation type="list" allowBlank="1" showInputMessage="1" showErrorMessage="1" sqref="C79">
      <formula1>PriceArea!A2:A1000</formula1>
    </dataValidation>
    <dataValidation type="list" allowBlank="1" showInputMessage="1" showErrorMessage="1" sqref="C80">
      <formula1>PriceArea!A2:A1000</formula1>
    </dataValidation>
    <dataValidation type="list" allowBlank="1" showInputMessage="1" showErrorMessage="1" sqref="C81">
      <formula1>PriceArea!A2:A1000</formula1>
    </dataValidation>
    <dataValidation type="list" allowBlank="1" showInputMessage="1" showErrorMessage="1" sqref="C82">
      <formula1>PriceArea!A2:A1000</formula1>
    </dataValidation>
    <dataValidation type="list" allowBlank="1" showInputMessage="1" showErrorMessage="1" sqref="C83">
      <formula1>PriceArea!A2:A1000</formula1>
    </dataValidation>
    <dataValidation type="list" allowBlank="1" showInputMessage="1" showErrorMessage="1" sqref="C84">
      <formula1>PriceArea!A2:A1000</formula1>
    </dataValidation>
    <dataValidation type="list" allowBlank="1" showInputMessage="1" showErrorMessage="1" sqref="C85">
      <formula1>PriceArea!A2:A1000</formula1>
    </dataValidation>
    <dataValidation type="list" allowBlank="1" showInputMessage="1" showErrorMessage="1" sqref="C86">
      <formula1>PriceArea!A2:A1000</formula1>
    </dataValidation>
    <dataValidation type="list" allowBlank="1" showInputMessage="1" showErrorMessage="1" sqref="C87">
      <formula1>PriceArea!A2:A1000</formula1>
    </dataValidation>
    <dataValidation type="list" allowBlank="1" showInputMessage="1" showErrorMessage="1" sqref="C88">
      <formula1>PriceArea!A2:A1000</formula1>
    </dataValidation>
    <dataValidation type="list" allowBlank="1" showInputMessage="1" showErrorMessage="1" sqref="C89">
      <formula1>PriceArea!A2:A1000</formula1>
    </dataValidation>
    <dataValidation type="list" allowBlank="1" showInputMessage="1" showErrorMessage="1" sqref="C90">
      <formula1>PriceArea!A2:A1000</formula1>
    </dataValidation>
    <dataValidation type="list" allowBlank="1" showInputMessage="1" showErrorMessage="1" sqref="C91">
      <formula1>PriceArea!A2:A1000</formula1>
    </dataValidation>
    <dataValidation type="list" allowBlank="1" showInputMessage="1" showErrorMessage="1" sqref="C92">
      <formula1>PriceArea!A2:A1000</formula1>
    </dataValidation>
    <dataValidation type="list" allowBlank="1" showInputMessage="1" showErrorMessage="1" sqref="C93">
      <formula1>PriceArea!A2:A1000</formula1>
    </dataValidation>
    <dataValidation type="list" allowBlank="1" showInputMessage="1" showErrorMessage="1" sqref="C94">
      <formula1>PriceArea!A2:A1000</formula1>
    </dataValidation>
    <dataValidation type="list" allowBlank="1" showInputMessage="1" showErrorMessage="1" sqref="C95">
      <formula1>PriceArea!A2:A1000</formula1>
    </dataValidation>
    <dataValidation type="list" allowBlank="1" showInputMessage="1" showErrorMessage="1" sqref="C96">
      <formula1>PriceArea!A2:A1000</formula1>
    </dataValidation>
    <dataValidation type="list" allowBlank="1" showInputMessage="1" showErrorMessage="1" sqref="C97">
      <formula1>PriceArea!A2:A1000</formula1>
    </dataValidation>
    <dataValidation type="list" allowBlank="1" showInputMessage="1" showErrorMessage="1" sqref="C98">
      <formula1>PriceArea!A2:A1000</formula1>
    </dataValidation>
    <dataValidation type="list" allowBlank="1" showInputMessage="1" showErrorMessage="1" sqref="C99">
      <formula1>PriceArea!A2:A1000</formula1>
    </dataValidation>
    <dataValidation type="list" allowBlank="1" showInputMessage="1" showErrorMessage="1" sqref="C100">
      <formula1>PriceArea!A2:A1000</formula1>
    </dataValidation>
    <dataValidation type="list" allowBlank="1" showInputMessage="1" showErrorMessage="1" sqref="C101">
      <formula1>PriceArea!A2:A1000</formula1>
    </dataValidation>
    <dataValidation type="list" allowBlank="1" showInputMessage="1" showErrorMessage="1" sqref="C102">
      <formula1>PriceArea!A2:A1000</formula1>
    </dataValidation>
    <dataValidation type="list" allowBlank="1" showInputMessage="1" showErrorMessage="1" sqref="C103">
      <formula1>PriceArea!A2:A1000</formula1>
    </dataValidation>
    <dataValidation type="list" allowBlank="1" showInputMessage="1" showErrorMessage="1" sqref="C104">
      <formula1>PriceArea!A2:A1000</formula1>
    </dataValidation>
    <dataValidation type="list" allowBlank="1" showInputMessage="1" showErrorMessage="1" sqref="C105">
      <formula1>PriceArea!A2:A1000</formula1>
    </dataValidation>
    <dataValidation type="list" allowBlank="1" showInputMessage="1" showErrorMessage="1" sqref="C106">
      <formula1>PriceArea!A2:A1000</formula1>
    </dataValidation>
    <dataValidation type="list" allowBlank="1" showInputMessage="1" showErrorMessage="1" sqref="C107">
      <formula1>PriceArea!A2:A1000</formula1>
    </dataValidation>
    <dataValidation type="list" allowBlank="1" showInputMessage="1" showErrorMessage="1" sqref="C108">
      <formula1>PriceArea!A2:A1000</formula1>
    </dataValidation>
    <dataValidation type="list" allowBlank="1" showInputMessage="1" showErrorMessage="1" sqref="C109">
      <formula1>PriceArea!A2:A1000</formula1>
    </dataValidation>
    <dataValidation type="list" allowBlank="1" showInputMessage="1" showErrorMessage="1" sqref="C110">
      <formula1>PriceArea!A2:A1000</formula1>
    </dataValidation>
    <dataValidation type="list" allowBlank="1" showInputMessage="1" showErrorMessage="1" sqref="C111">
      <formula1>PriceArea!A2:A1000</formula1>
    </dataValidation>
    <dataValidation type="list" allowBlank="1" showInputMessage="1" showErrorMessage="1" sqref="C112">
      <formula1>PriceArea!A2:A1000</formula1>
    </dataValidation>
    <dataValidation type="list" allowBlank="1" showInputMessage="1" showErrorMessage="1" sqref="C113">
      <formula1>PriceArea!A2:A1000</formula1>
    </dataValidation>
    <dataValidation type="list" allowBlank="1" showInputMessage="1" showErrorMessage="1" sqref="C114">
      <formula1>PriceArea!A2:A1000</formula1>
    </dataValidation>
    <dataValidation type="list" allowBlank="1" showInputMessage="1" showErrorMessage="1" sqref="C115">
      <formula1>PriceArea!A2:A1000</formula1>
    </dataValidation>
    <dataValidation type="list" allowBlank="1" showInputMessage="1" showErrorMessage="1" sqref="C116">
      <formula1>PriceArea!A2:A1000</formula1>
    </dataValidation>
    <dataValidation type="list" allowBlank="1" showInputMessage="1" showErrorMessage="1" sqref="C117">
      <formula1>PriceArea!A2:A1000</formula1>
    </dataValidation>
    <dataValidation type="list" allowBlank="1" showInputMessage="1" showErrorMessage="1" sqref="C118">
      <formula1>PriceArea!A2:A1000</formula1>
    </dataValidation>
    <dataValidation type="list" allowBlank="1" showInputMessage="1" showErrorMessage="1" sqref="C119">
      <formula1>PriceArea!A2:A1000</formula1>
    </dataValidation>
    <dataValidation type="list" allowBlank="1" showInputMessage="1" showErrorMessage="1" sqref="C120">
      <formula1>PriceArea!A2:A1000</formula1>
    </dataValidation>
    <dataValidation type="list" allowBlank="1" showInputMessage="1" showErrorMessage="1" sqref="C121">
      <formula1>PriceArea!A2:A1000</formula1>
    </dataValidation>
    <dataValidation type="list" allowBlank="1" showInputMessage="1" showErrorMessage="1" sqref="C122">
      <formula1>PriceArea!A2:A1000</formula1>
    </dataValidation>
    <dataValidation type="list" allowBlank="1" showInputMessage="1" showErrorMessage="1" sqref="C123">
      <formula1>PriceArea!A2:A1000</formula1>
    </dataValidation>
    <dataValidation type="list" allowBlank="1" showInputMessage="1" showErrorMessage="1" sqref="C124">
      <formula1>PriceArea!A2:A1000</formula1>
    </dataValidation>
    <dataValidation type="list" allowBlank="1" showInputMessage="1" showErrorMessage="1" sqref="C125">
      <formula1>PriceArea!A2:A1000</formula1>
    </dataValidation>
    <dataValidation type="list" allowBlank="1" showInputMessage="1" showErrorMessage="1" sqref="C126">
      <formula1>PriceArea!A2:A1000</formula1>
    </dataValidation>
    <dataValidation type="list" allowBlank="1" showInputMessage="1" showErrorMessage="1" sqref="C127">
      <formula1>PriceArea!A2:A1000</formula1>
    </dataValidation>
    <dataValidation type="list" allowBlank="1" showInputMessage="1" showErrorMessage="1" sqref="C128">
      <formula1>PriceArea!A2:A1000</formula1>
    </dataValidation>
    <dataValidation type="list" allowBlank="1" showInputMessage="1" showErrorMessage="1" sqref="C129">
      <formula1>PriceArea!A2:A1000</formula1>
    </dataValidation>
    <dataValidation type="list" allowBlank="1" showInputMessage="1" showErrorMessage="1" sqref="C130">
      <formula1>PriceArea!A2:A1000</formula1>
    </dataValidation>
    <dataValidation type="list" allowBlank="1" showInputMessage="1" showErrorMessage="1" sqref="C131">
      <formula1>PriceArea!A2:A1000</formula1>
    </dataValidation>
    <dataValidation type="list" allowBlank="1" showInputMessage="1" showErrorMessage="1" sqref="C132">
      <formula1>PriceArea!A2:A1000</formula1>
    </dataValidation>
    <dataValidation type="list" allowBlank="1" showInputMessage="1" showErrorMessage="1" sqref="C133">
      <formula1>PriceArea!A2:A1000</formula1>
    </dataValidation>
    <dataValidation type="list" allowBlank="1" showInputMessage="1" showErrorMessage="1" sqref="C134">
      <formula1>PriceArea!A2:A1000</formula1>
    </dataValidation>
    <dataValidation type="list" allowBlank="1" showInputMessage="1" showErrorMessage="1" sqref="C135">
      <formula1>PriceArea!A2:A1000</formula1>
    </dataValidation>
    <dataValidation type="list" allowBlank="1" showInputMessage="1" showErrorMessage="1" sqref="C136">
      <formula1>PriceArea!A2:A1000</formula1>
    </dataValidation>
    <dataValidation type="list" allowBlank="1" showInputMessage="1" showErrorMessage="1" sqref="C137">
      <formula1>PriceArea!A2:A1000</formula1>
    </dataValidation>
    <dataValidation type="list" allowBlank="1" showInputMessage="1" showErrorMessage="1" sqref="C138">
      <formula1>PriceArea!A2:A1000</formula1>
    </dataValidation>
    <dataValidation type="list" allowBlank="1" showInputMessage="1" showErrorMessage="1" sqref="C139">
      <formula1>PriceArea!A2:A1000</formula1>
    </dataValidation>
    <dataValidation type="list" allowBlank="1" showInputMessage="1" showErrorMessage="1" sqref="C140">
      <formula1>PriceArea!A2:A1000</formula1>
    </dataValidation>
    <dataValidation type="list" allowBlank="1" showInputMessage="1" showErrorMessage="1" sqref="C141">
      <formula1>PriceArea!A2:A1000</formula1>
    </dataValidation>
    <dataValidation type="list" allowBlank="1" showInputMessage="1" showErrorMessage="1" sqref="C142">
      <formula1>PriceArea!A2:A1000</formula1>
    </dataValidation>
    <dataValidation type="list" allowBlank="1" showInputMessage="1" showErrorMessage="1" sqref="C143">
      <formula1>PriceArea!A2:A1000</formula1>
    </dataValidation>
    <dataValidation type="list" allowBlank="1" showInputMessage="1" showErrorMessage="1" sqref="C144">
      <formula1>PriceArea!A2:A1000</formula1>
    </dataValidation>
    <dataValidation type="list" allowBlank="1" showInputMessage="1" showErrorMessage="1" sqref="C145">
      <formula1>PriceArea!A2:A1000</formula1>
    </dataValidation>
    <dataValidation type="list" allowBlank="1" showInputMessage="1" showErrorMessage="1" sqref="C146">
      <formula1>PriceArea!A2:A1000</formula1>
    </dataValidation>
    <dataValidation type="list" allowBlank="1" showInputMessage="1" showErrorMessage="1" sqref="C147">
      <formula1>PriceArea!A2:A1000</formula1>
    </dataValidation>
    <dataValidation type="list" allowBlank="1" showInputMessage="1" showErrorMessage="1" sqref="C148">
      <formula1>PriceArea!A2:A1000</formula1>
    </dataValidation>
    <dataValidation type="list" allowBlank="1" showInputMessage="1" showErrorMessage="1" sqref="C149">
      <formula1>PriceArea!A2:A1000</formula1>
    </dataValidation>
    <dataValidation type="list" allowBlank="1" showInputMessage="1" showErrorMessage="1" sqref="C150">
      <formula1>PriceArea!A2:A1000</formula1>
    </dataValidation>
    <dataValidation type="list" allowBlank="1" showInputMessage="1" showErrorMessage="1" sqref="C151">
      <formula1>PriceArea!A2:A1000</formula1>
    </dataValidation>
    <dataValidation type="list" allowBlank="1" showInputMessage="1" showErrorMessage="1" sqref="C152">
      <formula1>PriceArea!A2:A1000</formula1>
    </dataValidation>
    <dataValidation type="list" allowBlank="1" showInputMessage="1" showErrorMessage="1" sqref="C153">
      <formula1>PriceArea!A2:A1000</formula1>
    </dataValidation>
    <dataValidation type="list" allowBlank="1" showInputMessage="1" showErrorMessage="1" sqref="C154">
      <formula1>PriceArea!A2:A1000</formula1>
    </dataValidation>
    <dataValidation type="list" allowBlank="1" showInputMessage="1" showErrorMessage="1" sqref="C155">
      <formula1>PriceArea!A2:A1000</formula1>
    </dataValidation>
    <dataValidation type="list" allowBlank="1" showInputMessage="1" showErrorMessage="1" sqref="C156">
      <formula1>PriceArea!A2:A1000</formula1>
    </dataValidation>
    <dataValidation type="list" allowBlank="1" showInputMessage="1" showErrorMessage="1" sqref="C157">
      <formula1>PriceArea!A2:A1000</formula1>
    </dataValidation>
    <dataValidation type="list" allowBlank="1" showInputMessage="1" showErrorMessage="1" sqref="C158">
      <formula1>PriceArea!A2:A1000</formula1>
    </dataValidation>
    <dataValidation type="list" allowBlank="1" showInputMessage="1" showErrorMessage="1" sqref="C159">
      <formula1>PriceArea!A2:A1000</formula1>
    </dataValidation>
    <dataValidation type="list" allowBlank="1" showInputMessage="1" showErrorMessage="1" sqref="C160">
      <formula1>PriceArea!A2:A1000</formula1>
    </dataValidation>
    <dataValidation type="list" allowBlank="1" showInputMessage="1" showErrorMessage="1" sqref="C161">
      <formula1>PriceArea!A2:A1000</formula1>
    </dataValidation>
    <dataValidation type="list" allowBlank="1" showInputMessage="1" showErrorMessage="1" sqref="C162">
      <formula1>PriceArea!A2:A1000</formula1>
    </dataValidation>
    <dataValidation type="list" allowBlank="1" showInputMessage="1" showErrorMessage="1" sqref="C163">
      <formula1>PriceArea!A2:A1000</formula1>
    </dataValidation>
    <dataValidation type="list" allowBlank="1" showInputMessage="1" showErrorMessage="1" sqref="C164">
      <formula1>PriceArea!A2:A1000</formula1>
    </dataValidation>
    <dataValidation type="list" allowBlank="1" showInputMessage="1" showErrorMessage="1" sqref="C165">
      <formula1>PriceArea!A2:A1000</formula1>
    </dataValidation>
    <dataValidation type="list" allowBlank="1" showInputMessage="1" showErrorMessage="1" sqref="C166">
      <formula1>PriceArea!A2:A1000</formula1>
    </dataValidation>
    <dataValidation type="list" allowBlank="1" showInputMessage="1" showErrorMessage="1" sqref="C167">
      <formula1>PriceArea!A2:A1000</formula1>
    </dataValidation>
    <dataValidation type="list" allowBlank="1" showInputMessage="1" showErrorMessage="1" sqref="C168">
      <formula1>PriceArea!A2:A1000</formula1>
    </dataValidation>
    <dataValidation type="list" allowBlank="1" showInputMessage="1" showErrorMessage="1" sqref="C169">
      <formula1>PriceArea!A2:A1000</formula1>
    </dataValidation>
    <dataValidation type="list" allowBlank="1" showInputMessage="1" showErrorMessage="1" sqref="C170">
      <formula1>PriceArea!A2:A1000</formula1>
    </dataValidation>
    <dataValidation type="list" allowBlank="1" showInputMessage="1" showErrorMessage="1" sqref="C171">
      <formula1>PriceArea!A2:A1000</formula1>
    </dataValidation>
    <dataValidation type="list" allowBlank="1" showInputMessage="1" showErrorMessage="1" sqref="C172">
      <formula1>PriceArea!A2:A1000</formula1>
    </dataValidation>
    <dataValidation type="list" allowBlank="1" showInputMessage="1" showErrorMessage="1" sqref="C173">
      <formula1>PriceArea!A2:A1000</formula1>
    </dataValidation>
    <dataValidation type="list" allowBlank="1" showInputMessage="1" showErrorMessage="1" sqref="C174">
      <formula1>PriceArea!A2:A1000</formula1>
    </dataValidation>
    <dataValidation type="list" allowBlank="1" showInputMessage="1" showErrorMessage="1" sqref="C175">
      <formula1>PriceArea!A2:A1000</formula1>
    </dataValidation>
    <dataValidation type="list" allowBlank="1" showInputMessage="1" showErrorMessage="1" sqref="C176">
      <formula1>PriceArea!A2:A1000</formula1>
    </dataValidation>
    <dataValidation type="list" allowBlank="1" showInputMessage="1" showErrorMessage="1" sqref="C177">
      <formula1>PriceArea!A2:A1000</formula1>
    </dataValidation>
    <dataValidation type="list" allowBlank="1" showInputMessage="1" showErrorMessage="1" sqref="C178">
      <formula1>PriceArea!A2:A1000</formula1>
    </dataValidation>
    <dataValidation type="list" allowBlank="1" showInputMessage="1" showErrorMessage="1" sqref="C179">
      <formula1>PriceArea!A2:A1000</formula1>
    </dataValidation>
    <dataValidation type="list" allowBlank="1" showInputMessage="1" showErrorMessage="1" sqref="C180">
      <formula1>PriceArea!A2:A1000</formula1>
    </dataValidation>
    <dataValidation type="list" allowBlank="1" showInputMessage="1" showErrorMessage="1" sqref="C181">
      <formula1>PriceArea!A2:A1000</formula1>
    </dataValidation>
    <dataValidation type="list" allowBlank="1" showInputMessage="1" showErrorMessage="1" sqref="C182">
      <formula1>PriceArea!A2:A1000</formula1>
    </dataValidation>
    <dataValidation type="list" allowBlank="1" showInputMessage="1" showErrorMessage="1" sqref="C183">
      <formula1>PriceArea!A2:A1000</formula1>
    </dataValidation>
    <dataValidation type="list" allowBlank="1" showInputMessage="1" showErrorMessage="1" sqref="C184">
      <formula1>PriceArea!A2:A1000</formula1>
    </dataValidation>
    <dataValidation type="list" allowBlank="1" showInputMessage="1" showErrorMessage="1" sqref="C185">
      <formula1>PriceArea!A2:A1000</formula1>
    </dataValidation>
    <dataValidation type="list" allowBlank="1" showInputMessage="1" showErrorMessage="1" sqref="C186">
      <formula1>PriceArea!A2:A1000</formula1>
    </dataValidation>
    <dataValidation type="list" allowBlank="1" showInputMessage="1" showErrorMessage="1" sqref="C187">
      <formula1>PriceArea!A2:A1000</formula1>
    </dataValidation>
    <dataValidation type="list" allowBlank="1" showInputMessage="1" showErrorMessage="1" sqref="C188">
      <formula1>PriceArea!A2:A1000</formula1>
    </dataValidation>
    <dataValidation type="list" allowBlank="1" showInputMessage="1" showErrorMessage="1" sqref="C189">
      <formula1>PriceArea!A2:A1000</formula1>
    </dataValidation>
    <dataValidation type="list" allowBlank="1" showInputMessage="1" showErrorMessage="1" sqref="C190">
      <formula1>PriceArea!A2:A1000</formula1>
    </dataValidation>
    <dataValidation type="list" allowBlank="1" showInputMessage="1" showErrorMessage="1" sqref="C191">
      <formula1>PriceArea!A2:A1000</formula1>
    </dataValidation>
    <dataValidation type="list" allowBlank="1" showInputMessage="1" showErrorMessage="1" sqref="C192">
      <formula1>PriceArea!A2:A1000</formula1>
    </dataValidation>
    <dataValidation type="list" allowBlank="1" showInputMessage="1" showErrorMessage="1" sqref="C193">
      <formula1>PriceArea!A2:A1000</formula1>
    </dataValidation>
    <dataValidation type="list" allowBlank="1" showInputMessage="1" showErrorMessage="1" sqref="C194">
      <formula1>PriceArea!A2:A1000</formula1>
    </dataValidation>
    <dataValidation type="list" allowBlank="1" showInputMessage="1" showErrorMessage="1" sqref="C195">
      <formula1>PriceArea!A2:A1000</formula1>
    </dataValidation>
    <dataValidation type="list" allowBlank="1" showInputMessage="1" showErrorMessage="1" sqref="C196">
      <formula1>PriceArea!A2:A1000</formula1>
    </dataValidation>
    <dataValidation type="list" allowBlank="1" showInputMessage="1" showErrorMessage="1" sqref="C197">
      <formula1>PriceArea!A2:A1000</formula1>
    </dataValidation>
    <dataValidation type="list" allowBlank="1" showInputMessage="1" showErrorMessage="1" sqref="C198">
      <formula1>PriceArea!A2:A1000</formula1>
    </dataValidation>
    <dataValidation type="list" allowBlank="1" showInputMessage="1" showErrorMessage="1" sqref="C199">
      <formula1>PriceArea!A2:A1000</formula1>
    </dataValidation>
    <dataValidation type="list" allowBlank="1" showInputMessage="1" showErrorMessage="1" sqref="C200">
      <formula1>PriceArea!A2:A1000</formula1>
    </dataValidation>
    <dataValidation type="list" allowBlank="1" showInputMessage="1" showErrorMessage="1" sqref="C201">
      <formula1>PriceArea!A2:A1000</formula1>
    </dataValidation>
    <dataValidation type="list" allowBlank="1" showInputMessage="1" showErrorMessage="1" sqref="C202">
      <formula1>PriceArea!A2:A1000</formula1>
    </dataValidation>
    <dataValidation type="list" allowBlank="1" showInputMessage="1" showErrorMessage="1" sqref="C203">
      <formula1>PriceArea!A2:A1000</formula1>
    </dataValidation>
    <dataValidation type="list" allowBlank="1" showInputMessage="1" showErrorMessage="1" sqref="C204">
      <formula1>PriceArea!A2:A1000</formula1>
    </dataValidation>
    <dataValidation type="list" allowBlank="1" showInputMessage="1" showErrorMessage="1" sqref="C205">
      <formula1>PriceArea!A2:A1000</formula1>
    </dataValidation>
    <dataValidation type="list" allowBlank="1" showInputMessage="1" showErrorMessage="1" sqref="C206">
      <formula1>PriceArea!A2:A1000</formula1>
    </dataValidation>
    <dataValidation type="list" allowBlank="1" showInputMessage="1" showErrorMessage="1" sqref="C207">
      <formula1>PriceArea!A2:A1000</formula1>
    </dataValidation>
    <dataValidation type="list" allowBlank="1" showInputMessage="1" showErrorMessage="1" sqref="C208">
      <formula1>PriceArea!A2:A1000</formula1>
    </dataValidation>
    <dataValidation type="list" allowBlank="1" showInputMessage="1" showErrorMessage="1" sqref="C209">
      <formula1>PriceArea!A2:A1000</formula1>
    </dataValidation>
    <dataValidation type="list" allowBlank="1" showInputMessage="1" showErrorMessage="1" sqref="C210">
      <formula1>PriceArea!A2:A1000</formula1>
    </dataValidation>
    <dataValidation type="list" allowBlank="1" showInputMessage="1" showErrorMessage="1" sqref="C211">
      <formula1>PriceArea!A2:A1000</formula1>
    </dataValidation>
    <dataValidation type="list" allowBlank="1" showInputMessage="1" showErrorMessage="1" sqref="C212">
      <formula1>PriceArea!A2:A1000</formula1>
    </dataValidation>
    <dataValidation type="list" allowBlank="1" showInputMessage="1" showErrorMessage="1" sqref="C213">
      <formula1>PriceArea!A2:A1000</formula1>
    </dataValidation>
    <dataValidation type="list" allowBlank="1" showInputMessage="1" showErrorMessage="1" sqref="C214">
      <formula1>PriceArea!A2:A1000</formula1>
    </dataValidation>
    <dataValidation type="list" allowBlank="1" showInputMessage="1" showErrorMessage="1" sqref="C215">
      <formula1>PriceArea!A2:A1000</formula1>
    </dataValidation>
    <dataValidation type="list" allowBlank="1" showInputMessage="1" showErrorMessage="1" sqref="C216">
      <formula1>PriceArea!A2:A1000</formula1>
    </dataValidation>
    <dataValidation type="list" allowBlank="1" showInputMessage="1" showErrorMessage="1" sqref="C217">
      <formula1>PriceArea!A2:A1000</formula1>
    </dataValidation>
    <dataValidation type="list" allowBlank="1" showInputMessage="1" showErrorMessage="1" sqref="C218">
      <formula1>PriceArea!A2:A1000</formula1>
    </dataValidation>
    <dataValidation type="list" allowBlank="1" showInputMessage="1" showErrorMessage="1" sqref="C219">
      <formula1>PriceArea!A2:A1000</formula1>
    </dataValidation>
    <dataValidation type="list" allowBlank="1" showInputMessage="1" showErrorMessage="1" sqref="C220">
      <formula1>PriceArea!A2:A1000</formula1>
    </dataValidation>
    <dataValidation type="list" allowBlank="1" showInputMessage="1" showErrorMessage="1" sqref="C221">
      <formula1>PriceArea!A2:A1000</formula1>
    </dataValidation>
    <dataValidation type="list" allowBlank="1" showInputMessage="1" showErrorMessage="1" sqref="C222">
      <formula1>PriceArea!A2:A1000</formula1>
    </dataValidation>
    <dataValidation type="list" allowBlank="1" showInputMessage="1" showErrorMessage="1" sqref="C223">
      <formula1>PriceArea!A2:A1000</formula1>
    </dataValidation>
    <dataValidation type="list" allowBlank="1" showInputMessage="1" showErrorMessage="1" sqref="C224">
      <formula1>PriceArea!A2:A1000</formula1>
    </dataValidation>
    <dataValidation type="list" allowBlank="1" showInputMessage="1" showErrorMessage="1" sqref="C225">
      <formula1>PriceArea!A2:A1000</formula1>
    </dataValidation>
    <dataValidation type="list" allowBlank="1" showInputMessage="1" showErrorMessage="1" sqref="C226">
      <formula1>PriceArea!A2:A1000</formula1>
    </dataValidation>
    <dataValidation type="list" allowBlank="1" showInputMessage="1" showErrorMessage="1" sqref="C227">
      <formula1>PriceArea!A2:A1000</formula1>
    </dataValidation>
    <dataValidation type="list" allowBlank="1" showInputMessage="1" showErrorMessage="1" sqref="C228">
      <formula1>PriceArea!A2:A1000</formula1>
    </dataValidation>
    <dataValidation type="list" allowBlank="1" showInputMessage="1" showErrorMessage="1" sqref="C229">
      <formula1>PriceArea!A2:A1000</formula1>
    </dataValidation>
    <dataValidation type="list" allowBlank="1" showInputMessage="1" showErrorMessage="1" sqref="C230">
      <formula1>PriceArea!A2:A1000</formula1>
    </dataValidation>
    <dataValidation type="list" allowBlank="1" showInputMessage="1" showErrorMessage="1" sqref="C231">
      <formula1>PriceArea!A2:A1000</formula1>
    </dataValidation>
    <dataValidation type="list" allowBlank="1" showInputMessage="1" showErrorMessage="1" sqref="C232">
      <formula1>PriceArea!A2:A1000</formula1>
    </dataValidation>
    <dataValidation type="list" allowBlank="1" showInputMessage="1" showErrorMessage="1" sqref="C233">
      <formula1>PriceArea!A2:A1000</formula1>
    </dataValidation>
    <dataValidation type="list" allowBlank="1" showInputMessage="1" showErrorMessage="1" sqref="C234">
      <formula1>PriceArea!A2:A1000</formula1>
    </dataValidation>
    <dataValidation type="list" allowBlank="1" showInputMessage="1" showErrorMessage="1" sqref="C235">
      <formula1>PriceArea!A2:A1000</formula1>
    </dataValidation>
    <dataValidation type="list" allowBlank="1" showInputMessage="1" showErrorMessage="1" sqref="C236">
      <formula1>PriceArea!A2:A1000</formula1>
    </dataValidation>
    <dataValidation type="list" allowBlank="1" showInputMessage="1" showErrorMessage="1" sqref="C237">
      <formula1>PriceArea!A2:A1000</formula1>
    </dataValidation>
    <dataValidation type="list" allowBlank="1" showInputMessage="1" showErrorMessage="1" sqref="C238">
      <formula1>PriceArea!A2:A1000</formula1>
    </dataValidation>
    <dataValidation type="list" allowBlank="1" showInputMessage="1" showErrorMessage="1" sqref="C239">
      <formula1>PriceArea!A2:A1000</formula1>
    </dataValidation>
    <dataValidation type="list" allowBlank="1" showInputMessage="1" showErrorMessage="1" sqref="C240">
      <formula1>PriceArea!A2:A1000</formula1>
    </dataValidation>
    <dataValidation type="list" allowBlank="1" showInputMessage="1" showErrorMessage="1" sqref="C241">
      <formula1>PriceArea!A2:A1000</formula1>
    </dataValidation>
    <dataValidation type="list" allowBlank="1" showInputMessage="1" showErrorMessage="1" sqref="C242">
      <formula1>PriceArea!A2:A1000</formula1>
    </dataValidation>
    <dataValidation type="list" allowBlank="1" showInputMessage="1" showErrorMessage="1" sqref="C243">
      <formula1>PriceArea!A2:A1000</formula1>
    </dataValidation>
    <dataValidation type="list" allowBlank="1" showInputMessage="1" showErrorMessage="1" sqref="C244">
      <formula1>PriceArea!A2:A1000</formula1>
    </dataValidation>
    <dataValidation type="list" allowBlank="1" showInputMessage="1" showErrorMessage="1" sqref="C245">
      <formula1>PriceArea!A2:A1000</formula1>
    </dataValidation>
    <dataValidation type="list" allowBlank="1" showInputMessage="1" showErrorMessage="1" sqref="C246">
      <formula1>PriceArea!A2:A1000</formula1>
    </dataValidation>
    <dataValidation type="list" allowBlank="1" showInputMessage="1" showErrorMessage="1" sqref="C247">
      <formula1>PriceArea!A2:A1000</formula1>
    </dataValidation>
    <dataValidation type="list" allowBlank="1" showInputMessage="1" showErrorMessage="1" sqref="C248">
      <formula1>PriceArea!A2:A1000</formula1>
    </dataValidation>
    <dataValidation type="list" allowBlank="1" showInputMessage="1" showErrorMessage="1" sqref="C249">
      <formula1>PriceArea!A2:A1000</formula1>
    </dataValidation>
    <dataValidation type="list" allowBlank="1" showInputMessage="1" showErrorMessage="1" sqref="C250">
      <formula1>PriceArea!A2:A1000</formula1>
    </dataValidation>
    <dataValidation type="list" allowBlank="1" showInputMessage="1" showErrorMessage="1" sqref="C251">
      <formula1>PriceArea!A2:A1000</formula1>
    </dataValidation>
    <dataValidation type="list" allowBlank="1" showInputMessage="1" showErrorMessage="1" sqref="C252">
      <formula1>PriceArea!A2:A1000</formula1>
    </dataValidation>
    <dataValidation type="list" allowBlank="1" showInputMessage="1" showErrorMessage="1" sqref="C253">
      <formula1>PriceArea!A2:A1000</formula1>
    </dataValidation>
    <dataValidation type="list" allowBlank="1" showInputMessage="1" showErrorMessage="1" sqref="C254">
      <formula1>PriceArea!A2:A1000</formula1>
    </dataValidation>
    <dataValidation type="list" allowBlank="1" showInputMessage="1" showErrorMessage="1" sqref="C255">
      <formula1>PriceArea!A2:A1000</formula1>
    </dataValidation>
    <dataValidation type="list" allowBlank="1" showInputMessage="1" showErrorMessage="1" sqref="C256">
      <formula1>PriceArea!A2:A1000</formula1>
    </dataValidation>
    <dataValidation type="list" allowBlank="1" showInputMessage="1" showErrorMessage="1" sqref="C257">
      <formula1>PriceArea!A2:A1000</formula1>
    </dataValidation>
    <dataValidation type="list" allowBlank="1" showInputMessage="1" showErrorMessage="1" sqref="C258">
      <formula1>PriceArea!A2:A1000</formula1>
    </dataValidation>
    <dataValidation type="list" allowBlank="1" showInputMessage="1" showErrorMessage="1" sqref="C259">
      <formula1>PriceArea!A2:A1000</formula1>
    </dataValidation>
    <dataValidation type="list" allowBlank="1" showInputMessage="1" showErrorMessage="1" sqref="C260">
      <formula1>PriceArea!A2:A1000</formula1>
    </dataValidation>
    <dataValidation type="list" allowBlank="1" showInputMessage="1" showErrorMessage="1" sqref="C261">
      <formula1>PriceArea!A2:A1000</formula1>
    </dataValidation>
    <dataValidation type="list" allowBlank="1" showInputMessage="1" showErrorMessage="1" sqref="C262">
      <formula1>PriceArea!A2:A1000</formula1>
    </dataValidation>
    <dataValidation type="list" allowBlank="1" showInputMessage="1" showErrorMessage="1" sqref="C263">
      <formula1>PriceArea!A2:A1000</formula1>
    </dataValidation>
    <dataValidation type="list" allowBlank="1" showInputMessage="1" showErrorMessage="1" sqref="C264">
      <formula1>PriceArea!A2:A1000</formula1>
    </dataValidation>
    <dataValidation type="list" allowBlank="1" showInputMessage="1" showErrorMessage="1" sqref="C265">
      <formula1>PriceArea!A2:A1000</formula1>
    </dataValidation>
    <dataValidation type="list" allowBlank="1" showInputMessage="1" showErrorMessage="1" sqref="C266">
      <formula1>PriceArea!A2:A1000</formula1>
    </dataValidation>
    <dataValidation type="list" allowBlank="1" showInputMessage="1" showErrorMessage="1" sqref="C267">
      <formula1>PriceArea!A2:A1000</formula1>
    </dataValidation>
    <dataValidation type="list" allowBlank="1" showInputMessage="1" showErrorMessage="1" sqref="C268">
      <formula1>PriceArea!A2:A1000</formula1>
    </dataValidation>
    <dataValidation type="list" allowBlank="1" showInputMessage="1" showErrorMessage="1" sqref="C269">
      <formula1>PriceArea!A2:A1000</formula1>
    </dataValidation>
    <dataValidation type="list" allowBlank="1" showInputMessage="1" showErrorMessage="1" sqref="C270">
      <formula1>PriceArea!A2:A1000</formula1>
    </dataValidation>
    <dataValidation type="list" allowBlank="1" showInputMessage="1" showErrorMessage="1" sqref="C271">
      <formula1>PriceArea!A2:A1000</formula1>
    </dataValidation>
    <dataValidation type="list" allowBlank="1" showInputMessage="1" showErrorMessage="1" sqref="C272">
      <formula1>PriceArea!A2:A1000</formula1>
    </dataValidation>
    <dataValidation type="list" allowBlank="1" showInputMessage="1" showErrorMessage="1" sqref="C273">
      <formula1>PriceArea!A2:A1000</formula1>
    </dataValidation>
    <dataValidation type="list" allowBlank="1" showInputMessage="1" showErrorMessage="1" sqref="C274">
      <formula1>PriceArea!A2:A1000</formula1>
    </dataValidation>
    <dataValidation type="list" allowBlank="1" showInputMessage="1" showErrorMessage="1" sqref="C275">
      <formula1>PriceArea!A2:A1000</formula1>
    </dataValidation>
    <dataValidation type="list" allowBlank="1" showInputMessage="1" showErrorMessage="1" sqref="C276">
      <formula1>PriceArea!A2:A1000</formula1>
    </dataValidation>
    <dataValidation type="list" allowBlank="1" showInputMessage="1" showErrorMessage="1" sqref="C277">
      <formula1>PriceArea!A2:A1000</formula1>
    </dataValidation>
    <dataValidation type="list" allowBlank="1" showInputMessage="1" showErrorMessage="1" sqref="C278">
      <formula1>PriceArea!A2:A1000</formula1>
    </dataValidation>
    <dataValidation type="list" allowBlank="1" showInputMessage="1" showErrorMessage="1" sqref="C279">
      <formula1>PriceArea!A2:A1000</formula1>
    </dataValidation>
    <dataValidation type="list" allowBlank="1" showInputMessage="1" showErrorMessage="1" sqref="C280">
      <formula1>PriceArea!A2:A1000</formula1>
    </dataValidation>
    <dataValidation type="list" allowBlank="1" showInputMessage="1" showErrorMessage="1" sqref="C281">
      <formula1>PriceArea!A2:A1000</formula1>
    </dataValidation>
    <dataValidation type="list" allowBlank="1" showInputMessage="1" showErrorMessage="1" sqref="C282">
      <formula1>PriceArea!A2:A1000</formula1>
    </dataValidation>
    <dataValidation type="list" allowBlank="1" showInputMessage="1" showErrorMessage="1" sqref="C283">
      <formula1>PriceArea!A2:A1000</formula1>
    </dataValidation>
    <dataValidation type="list" allowBlank="1" showInputMessage="1" showErrorMessage="1" sqref="C284">
      <formula1>PriceArea!A2:A1000</formula1>
    </dataValidation>
    <dataValidation type="list" allowBlank="1" showInputMessage="1" showErrorMessage="1" sqref="C285">
      <formula1>PriceArea!A2:A1000</formula1>
    </dataValidation>
    <dataValidation type="list" allowBlank="1" showInputMessage="1" showErrorMessage="1" sqref="C286">
      <formula1>PriceArea!A2:A1000</formula1>
    </dataValidation>
    <dataValidation type="list" allowBlank="1" showInputMessage="1" showErrorMessage="1" sqref="C287">
      <formula1>PriceArea!A2:A1000</formula1>
    </dataValidation>
    <dataValidation type="list" allowBlank="1" showInputMessage="1" showErrorMessage="1" sqref="C288">
      <formula1>PriceArea!A2:A1000</formula1>
    </dataValidation>
    <dataValidation type="list" allowBlank="1" showInputMessage="1" showErrorMessage="1" sqref="C289">
      <formula1>PriceArea!A2:A1000</formula1>
    </dataValidation>
    <dataValidation type="list" allowBlank="1" showInputMessage="1" showErrorMessage="1" sqref="C290">
      <formula1>PriceArea!A2:A1000</formula1>
    </dataValidation>
    <dataValidation type="list" allowBlank="1" showInputMessage="1" showErrorMessage="1" sqref="C291">
      <formula1>PriceArea!A2:A1000</formula1>
    </dataValidation>
    <dataValidation type="list" allowBlank="1" showInputMessage="1" showErrorMessage="1" sqref="C292">
      <formula1>PriceArea!A2:A1000</formula1>
    </dataValidation>
    <dataValidation type="list" allowBlank="1" showInputMessage="1" showErrorMessage="1" sqref="C293">
      <formula1>PriceArea!A2:A1000</formula1>
    </dataValidation>
    <dataValidation type="list" allowBlank="1" showInputMessage="1" showErrorMessage="1" sqref="C294">
      <formula1>PriceArea!A2:A1000</formula1>
    </dataValidation>
    <dataValidation type="list" allowBlank="1" showInputMessage="1" showErrorMessage="1" sqref="C295">
      <formula1>PriceArea!A2:A1000</formula1>
    </dataValidation>
    <dataValidation type="list" allowBlank="1" showInputMessage="1" showErrorMessage="1" sqref="C296">
      <formula1>PriceArea!A2:A1000</formula1>
    </dataValidation>
    <dataValidation type="list" allowBlank="1" showInputMessage="1" showErrorMessage="1" sqref="C297">
      <formula1>PriceArea!A2:A1000</formula1>
    </dataValidation>
    <dataValidation type="list" allowBlank="1" showInputMessage="1" showErrorMessage="1" sqref="C298">
      <formula1>PriceArea!A2:A1000</formula1>
    </dataValidation>
    <dataValidation type="list" allowBlank="1" showInputMessage="1" showErrorMessage="1" sqref="C299">
      <formula1>PriceArea!A2:A1000</formula1>
    </dataValidation>
    <dataValidation type="list" allowBlank="1" showInputMessage="1" showErrorMessage="1" sqref="C300">
      <formula1>PriceArea!A2:A1000</formula1>
    </dataValidation>
    <dataValidation type="list" allowBlank="1" showInputMessage="1" showErrorMessage="1" sqref="C301">
      <formula1>PriceArea!A2:A1000</formula1>
    </dataValidation>
    <dataValidation type="list" allowBlank="1" showInputMessage="1" showErrorMessage="1" sqref="C302">
      <formula1>PriceArea!A2:A1000</formula1>
    </dataValidation>
    <dataValidation type="list" allowBlank="1" showInputMessage="1" showErrorMessage="1" sqref="C303">
      <formula1>PriceArea!A2:A1000</formula1>
    </dataValidation>
    <dataValidation type="list" allowBlank="1" showInputMessage="1" showErrorMessage="1" sqref="C304">
      <formula1>PriceArea!A2:A1000</formula1>
    </dataValidation>
    <dataValidation type="list" allowBlank="1" showInputMessage="1" showErrorMessage="1" sqref="C305">
      <formula1>PriceArea!A2:A1000</formula1>
    </dataValidation>
    <dataValidation type="list" allowBlank="1" showInputMessage="1" showErrorMessage="1" sqref="C306">
      <formula1>PriceArea!A2:A1000</formula1>
    </dataValidation>
    <dataValidation type="list" allowBlank="1" showInputMessage="1" showErrorMessage="1" sqref="C307">
      <formula1>PriceArea!A2:A1000</formula1>
    </dataValidation>
    <dataValidation type="list" allowBlank="1" showInputMessage="1" showErrorMessage="1" sqref="C308">
      <formula1>PriceArea!A2:A1000</formula1>
    </dataValidation>
    <dataValidation type="list" allowBlank="1" showInputMessage="1" showErrorMessage="1" sqref="C309">
      <formula1>PriceArea!A2:A1000</formula1>
    </dataValidation>
    <dataValidation type="list" allowBlank="1" showInputMessage="1" showErrorMessage="1" sqref="C310">
      <formula1>PriceArea!A2:A1000</formula1>
    </dataValidation>
    <dataValidation type="list" allowBlank="1" showInputMessage="1" showErrorMessage="1" sqref="C311">
      <formula1>PriceArea!A2:A1000</formula1>
    </dataValidation>
    <dataValidation type="list" allowBlank="1" showInputMessage="1" showErrorMessage="1" sqref="C312">
      <formula1>PriceArea!A2:A1000</formula1>
    </dataValidation>
    <dataValidation type="list" allowBlank="1" showInputMessage="1" showErrorMessage="1" sqref="C313">
      <formula1>PriceArea!A2:A1000</formula1>
    </dataValidation>
    <dataValidation type="list" allowBlank="1" showInputMessage="1" showErrorMessage="1" sqref="C314">
      <formula1>PriceArea!A2:A1000</formula1>
    </dataValidation>
    <dataValidation type="list" allowBlank="1" showInputMessage="1" showErrorMessage="1" sqref="C315">
      <formula1>PriceArea!A2:A1000</formula1>
    </dataValidation>
    <dataValidation type="list" allowBlank="1" showInputMessage="1" showErrorMessage="1" sqref="C316">
      <formula1>PriceArea!A2:A1000</formula1>
    </dataValidation>
    <dataValidation type="list" allowBlank="1" showInputMessage="1" showErrorMessage="1" sqref="C317">
      <formula1>PriceArea!A2:A1000</formula1>
    </dataValidation>
    <dataValidation type="list" allowBlank="1" showInputMessage="1" showErrorMessage="1" sqref="C318">
      <formula1>PriceArea!A2:A1000</formula1>
    </dataValidation>
    <dataValidation type="list" allowBlank="1" showInputMessage="1" showErrorMessage="1" sqref="C319">
      <formula1>PriceArea!A2:A1000</formula1>
    </dataValidation>
    <dataValidation type="list" allowBlank="1" showInputMessage="1" showErrorMessage="1" sqref="C320">
      <formula1>PriceArea!A2:A1000</formula1>
    </dataValidation>
    <dataValidation type="list" allowBlank="1" showInputMessage="1" showErrorMessage="1" sqref="C321">
      <formula1>PriceArea!A2:A1000</formula1>
    </dataValidation>
    <dataValidation type="list" allowBlank="1" showInputMessage="1" showErrorMessage="1" sqref="C322">
      <formula1>PriceArea!A2:A1000</formula1>
    </dataValidation>
    <dataValidation type="list" allowBlank="1" showInputMessage="1" showErrorMessage="1" sqref="C323">
      <formula1>PriceArea!A2:A1000</formula1>
    </dataValidation>
    <dataValidation type="list" allowBlank="1" showInputMessage="1" showErrorMessage="1" sqref="C324">
      <formula1>PriceArea!A2:A1000</formula1>
    </dataValidation>
    <dataValidation type="list" allowBlank="1" showInputMessage="1" showErrorMessage="1" sqref="C325">
      <formula1>PriceArea!A2:A1000</formula1>
    </dataValidation>
    <dataValidation type="list" allowBlank="1" showInputMessage="1" showErrorMessage="1" sqref="C326">
      <formula1>PriceArea!A2:A1000</formula1>
    </dataValidation>
    <dataValidation type="list" allowBlank="1" showInputMessage="1" showErrorMessage="1" sqref="C327">
      <formula1>PriceArea!A2:A1000</formula1>
    </dataValidation>
    <dataValidation type="list" allowBlank="1" showInputMessage="1" showErrorMessage="1" sqref="C328">
      <formula1>PriceArea!A2:A1000</formula1>
    </dataValidation>
    <dataValidation type="list" allowBlank="1" showInputMessage="1" showErrorMessage="1" sqref="C329">
      <formula1>PriceArea!A2:A1000</formula1>
    </dataValidation>
    <dataValidation type="list" allowBlank="1" showInputMessage="1" showErrorMessage="1" sqref="C330">
      <formula1>PriceArea!A2:A1000</formula1>
    </dataValidation>
    <dataValidation type="list" allowBlank="1" showInputMessage="1" showErrorMessage="1" sqref="C331">
      <formula1>PriceArea!A2:A1000</formula1>
    </dataValidation>
    <dataValidation type="list" allowBlank="1" showInputMessage="1" showErrorMessage="1" sqref="C332">
      <formula1>PriceArea!A2:A1000</formula1>
    </dataValidation>
    <dataValidation type="list" allowBlank="1" showInputMessage="1" showErrorMessage="1" sqref="C333">
      <formula1>PriceArea!A2:A1000</formula1>
    </dataValidation>
    <dataValidation type="list" allowBlank="1" showInputMessage="1" showErrorMessage="1" sqref="C334">
      <formula1>PriceArea!A2:A1000</formula1>
    </dataValidation>
    <dataValidation type="list" allowBlank="1" showInputMessage="1" showErrorMessage="1" sqref="C335">
      <formula1>PriceArea!A2:A1000</formula1>
    </dataValidation>
    <dataValidation type="list" allowBlank="1" showInputMessage="1" showErrorMessage="1" sqref="C336">
      <formula1>PriceArea!A2:A1000</formula1>
    </dataValidation>
    <dataValidation type="list" allowBlank="1" showInputMessage="1" showErrorMessage="1" sqref="C337">
      <formula1>PriceArea!A2:A1000</formula1>
    </dataValidation>
    <dataValidation type="list" allowBlank="1" showInputMessage="1" showErrorMessage="1" sqref="C338">
      <formula1>PriceArea!A2:A1000</formula1>
    </dataValidation>
    <dataValidation type="list" allowBlank="1" showInputMessage="1" showErrorMessage="1" sqref="C339">
      <formula1>PriceArea!A2:A1000</formula1>
    </dataValidation>
    <dataValidation type="list" allowBlank="1" showInputMessage="1" showErrorMessage="1" sqref="C340">
      <formula1>PriceArea!A2:A1000</formula1>
    </dataValidation>
    <dataValidation type="list" allowBlank="1" showInputMessage="1" showErrorMessage="1" sqref="C341">
      <formula1>PriceArea!A2:A1000</formula1>
    </dataValidation>
    <dataValidation type="list" allowBlank="1" showInputMessage="1" showErrorMessage="1" sqref="C342">
      <formula1>PriceArea!A2:A1000</formula1>
    </dataValidation>
    <dataValidation type="list" allowBlank="1" showInputMessage="1" showErrorMessage="1" sqref="C343">
      <formula1>PriceArea!A2:A1000</formula1>
    </dataValidation>
    <dataValidation type="list" allowBlank="1" showInputMessage="1" showErrorMessage="1" sqref="C344">
      <formula1>PriceArea!A2:A1000</formula1>
    </dataValidation>
    <dataValidation type="list" allowBlank="1" showInputMessage="1" showErrorMessage="1" sqref="C345">
      <formula1>PriceArea!A2:A1000</formula1>
    </dataValidation>
    <dataValidation type="list" allowBlank="1" showInputMessage="1" showErrorMessage="1" sqref="C346">
      <formula1>PriceArea!A2:A1000</formula1>
    </dataValidation>
    <dataValidation type="list" allowBlank="1" showInputMessage="1" showErrorMessage="1" sqref="C347">
      <formula1>PriceArea!A2:A1000</formula1>
    </dataValidation>
    <dataValidation type="list" allowBlank="1" showInputMessage="1" showErrorMessage="1" sqref="C348">
      <formula1>PriceArea!A2:A1000</formula1>
    </dataValidation>
    <dataValidation type="list" allowBlank="1" showInputMessage="1" showErrorMessage="1" sqref="C349">
      <formula1>PriceArea!A2:A1000</formula1>
    </dataValidation>
    <dataValidation type="list" allowBlank="1" showInputMessage="1" showErrorMessage="1" sqref="C350">
      <formula1>PriceArea!A2:A1000</formula1>
    </dataValidation>
    <dataValidation type="list" allowBlank="1" showInputMessage="1" showErrorMessage="1" sqref="C351">
      <formula1>PriceArea!A2:A1000</formula1>
    </dataValidation>
    <dataValidation type="list" allowBlank="1" showInputMessage="1" showErrorMessage="1" sqref="C352">
      <formula1>PriceArea!A2:A1000</formula1>
    </dataValidation>
    <dataValidation type="list" allowBlank="1" showInputMessage="1" showErrorMessage="1" sqref="C353">
      <formula1>PriceArea!A2:A1000</formula1>
    </dataValidation>
    <dataValidation type="list" allowBlank="1" showInputMessage="1" showErrorMessage="1" sqref="C354">
      <formula1>PriceArea!A2:A1000</formula1>
    </dataValidation>
    <dataValidation type="list" allowBlank="1" showInputMessage="1" showErrorMessage="1" sqref="C355">
      <formula1>PriceArea!A2:A1000</formula1>
    </dataValidation>
    <dataValidation type="list" allowBlank="1" showInputMessage="1" showErrorMessage="1" sqref="C356">
      <formula1>PriceArea!A2:A1000</formula1>
    </dataValidation>
    <dataValidation type="list" allowBlank="1" showInputMessage="1" showErrorMessage="1" sqref="C357">
      <formula1>PriceArea!A2:A1000</formula1>
    </dataValidation>
    <dataValidation type="list" allowBlank="1" showInputMessage="1" showErrorMessage="1" sqref="C358">
      <formula1>PriceArea!A2:A1000</formula1>
    </dataValidation>
    <dataValidation type="list" allowBlank="1" showInputMessage="1" showErrorMessage="1" sqref="C359">
      <formula1>PriceArea!A2:A1000</formula1>
    </dataValidation>
    <dataValidation type="list" allowBlank="1" showInputMessage="1" showErrorMessage="1" sqref="C360">
      <formula1>PriceArea!A2:A1000</formula1>
    </dataValidation>
    <dataValidation type="list" allowBlank="1" showInputMessage="1" showErrorMessage="1" sqref="C361">
      <formula1>PriceArea!A2:A1000</formula1>
    </dataValidation>
    <dataValidation type="list" allowBlank="1" showInputMessage="1" showErrorMessage="1" sqref="C362">
      <formula1>PriceArea!A2:A1000</formula1>
    </dataValidation>
    <dataValidation type="list" allowBlank="1" showInputMessage="1" showErrorMessage="1" sqref="C363">
      <formula1>PriceArea!A2:A1000</formula1>
    </dataValidation>
    <dataValidation type="list" allowBlank="1" showInputMessage="1" showErrorMessage="1" sqref="C364">
      <formula1>PriceArea!A2:A1000</formula1>
    </dataValidation>
    <dataValidation type="list" allowBlank="1" showInputMessage="1" showErrorMessage="1" sqref="C365">
      <formula1>PriceArea!A2:A1000</formula1>
    </dataValidation>
    <dataValidation type="list" allowBlank="1" showInputMessage="1" showErrorMessage="1" sqref="C366">
      <formula1>PriceArea!A2:A1000</formula1>
    </dataValidation>
    <dataValidation type="list" allowBlank="1" showInputMessage="1" showErrorMessage="1" sqref="C367">
      <formula1>PriceArea!A2:A1000</formula1>
    </dataValidation>
    <dataValidation type="list" allowBlank="1" showInputMessage="1" showErrorMessage="1" sqref="C368">
      <formula1>PriceArea!A2:A1000</formula1>
    </dataValidation>
    <dataValidation type="list" allowBlank="1" showInputMessage="1" showErrorMessage="1" sqref="C369">
      <formula1>PriceArea!A2:A1000</formula1>
    </dataValidation>
    <dataValidation type="list" allowBlank="1" showInputMessage="1" showErrorMessage="1" sqref="C370">
      <formula1>PriceArea!A2:A1000</formula1>
    </dataValidation>
    <dataValidation type="list" allowBlank="1" showInputMessage="1" showErrorMessage="1" sqref="C371">
      <formula1>PriceArea!A2:A1000</formula1>
    </dataValidation>
    <dataValidation type="list" allowBlank="1" showInputMessage="1" showErrorMessage="1" sqref="C372">
      <formula1>PriceArea!A2:A1000</formula1>
    </dataValidation>
    <dataValidation type="list" allowBlank="1" showInputMessage="1" showErrorMessage="1" sqref="C373">
      <formula1>PriceArea!A2:A1000</formula1>
    </dataValidation>
    <dataValidation type="list" allowBlank="1" showInputMessage="1" showErrorMessage="1" sqref="C374">
      <formula1>PriceArea!A2:A1000</formula1>
    </dataValidation>
    <dataValidation type="list" allowBlank="1" showInputMessage="1" showErrorMessage="1" sqref="C375">
      <formula1>PriceArea!A2:A1000</formula1>
    </dataValidation>
    <dataValidation type="list" allowBlank="1" showInputMessage="1" showErrorMessage="1" sqref="C376">
      <formula1>PriceArea!A2:A1000</formula1>
    </dataValidation>
    <dataValidation type="list" allowBlank="1" showInputMessage="1" showErrorMessage="1" sqref="C377">
      <formula1>PriceArea!A2:A1000</formula1>
    </dataValidation>
    <dataValidation type="list" allowBlank="1" showInputMessage="1" showErrorMessage="1" sqref="C378">
      <formula1>PriceArea!A2:A1000</formula1>
    </dataValidation>
    <dataValidation type="list" allowBlank="1" showInputMessage="1" showErrorMessage="1" sqref="C379">
      <formula1>PriceArea!A2:A1000</formula1>
    </dataValidation>
    <dataValidation type="list" allowBlank="1" showInputMessage="1" showErrorMessage="1" sqref="C380">
      <formula1>PriceArea!A2:A1000</formula1>
    </dataValidation>
    <dataValidation type="list" allowBlank="1" showInputMessage="1" showErrorMessage="1" sqref="C381">
      <formula1>PriceArea!A2:A1000</formula1>
    </dataValidation>
    <dataValidation type="list" allowBlank="1" showInputMessage="1" showErrorMessage="1" sqref="C382">
      <formula1>PriceArea!A2:A1000</formula1>
    </dataValidation>
    <dataValidation type="list" allowBlank="1" showInputMessage="1" showErrorMessage="1" sqref="C383">
      <formula1>PriceArea!A2:A1000</formula1>
    </dataValidation>
    <dataValidation type="list" allowBlank="1" showInputMessage="1" showErrorMessage="1" sqref="C384">
      <formula1>PriceArea!A2:A1000</formula1>
    </dataValidation>
    <dataValidation type="list" allowBlank="1" showInputMessage="1" showErrorMessage="1" sqref="C385">
      <formula1>PriceArea!A2:A1000</formula1>
    </dataValidation>
    <dataValidation type="list" allowBlank="1" showInputMessage="1" showErrorMessage="1" sqref="C386">
      <formula1>PriceArea!A2:A1000</formula1>
    </dataValidation>
    <dataValidation type="list" allowBlank="1" showInputMessage="1" showErrorMessage="1" sqref="C387">
      <formula1>PriceArea!A2:A1000</formula1>
    </dataValidation>
    <dataValidation type="list" allowBlank="1" showInputMessage="1" showErrorMessage="1" sqref="C388">
      <formula1>PriceArea!A2:A1000</formula1>
    </dataValidation>
    <dataValidation type="list" allowBlank="1" showInputMessage="1" showErrorMessage="1" sqref="C389">
      <formula1>PriceArea!A2:A1000</formula1>
    </dataValidation>
    <dataValidation type="list" allowBlank="1" showInputMessage="1" showErrorMessage="1" sqref="C390">
      <formula1>PriceArea!A2:A1000</formula1>
    </dataValidation>
    <dataValidation type="list" allowBlank="1" showInputMessage="1" showErrorMessage="1" sqref="C391">
      <formula1>PriceArea!A2:A1000</formula1>
    </dataValidation>
    <dataValidation type="list" allowBlank="1" showInputMessage="1" showErrorMessage="1" sqref="C392">
      <formula1>PriceArea!A2:A1000</formula1>
    </dataValidation>
    <dataValidation type="list" allowBlank="1" showInputMessage="1" showErrorMessage="1" sqref="C393">
      <formula1>PriceArea!A2:A1000</formula1>
    </dataValidation>
    <dataValidation type="list" allowBlank="1" showInputMessage="1" showErrorMessage="1" sqref="C394">
      <formula1>PriceArea!A2:A1000</formula1>
    </dataValidation>
    <dataValidation type="list" allowBlank="1" showInputMessage="1" showErrorMessage="1" sqref="C395">
      <formula1>PriceArea!A2:A1000</formula1>
    </dataValidation>
    <dataValidation type="list" allowBlank="1" showInputMessage="1" showErrorMessage="1" sqref="C396">
      <formula1>PriceArea!A2:A1000</formula1>
    </dataValidation>
    <dataValidation type="list" allowBlank="1" showInputMessage="1" showErrorMessage="1" sqref="C397">
      <formula1>PriceArea!A2:A1000</formula1>
    </dataValidation>
    <dataValidation type="list" allowBlank="1" showInputMessage="1" showErrorMessage="1" sqref="C398">
      <formula1>PriceArea!A2:A1000</formula1>
    </dataValidation>
    <dataValidation type="list" allowBlank="1" showInputMessage="1" showErrorMessage="1" sqref="C399">
      <formula1>PriceArea!A2:A1000</formula1>
    </dataValidation>
    <dataValidation type="list" allowBlank="1" showInputMessage="1" showErrorMessage="1" sqref="C400">
      <formula1>PriceArea!A2:A1000</formula1>
    </dataValidation>
    <dataValidation type="list" allowBlank="1" showInputMessage="1" showErrorMessage="1" sqref="C401">
      <formula1>PriceArea!A2:A1000</formula1>
    </dataValidation>
    <dataValidation type="list" allowBlank="1" showInputMessage="1" showErrorMessage="1" sqref="C402">
      <formula1>PriceArea!A2:A1000</formula1>
    </dataValidation>
    <dataValidation type="list" allowBlank="1" showInputMessage="1" showErrorMessage="1" sqref="C403">
      <formula1>PriceArea!A2:A1000</formula1>
    </dataValidation>
    <dataValidation type="list" allowBlank="1" showInputMessage="1" showErrorMessage="1" sqref="C404">
      <formula1>PriceArea!A2:A1000</formula1>
    </dataValidation>
    <dataValidation type="list" allowBlank="1" showInputMessage="1" showErrorMessage="1" sqref="C405">
      <formula1>PriceArea!A2:A1000</formula1>
    </dataValidation>
    <dataValidation type="list" allowBlank="1" showInputMessage="1" showErrorMessage="1" sqref="C406">
      <formula1>PriceArea!A2:A1000</formula1>
    </dataValidation>
    <dataValidation type="list" allowBlank="1" showInputMessage="1" showErrorMessage="1" sqref="C407">
      <formula1>PriceArea!A2:A1000</formula1>
    </dataValidation>
    <dataValidation type="list" allowBlank="1" showInputMessage="1" showErrorMessage="1" sqref="C408">
      <formula1>PriceArea!A2:A1000</formula1>
    </dataValidation>
    <dataValidation type="list" allowBlank="1" showInputMessage="1" showErrorMessage="1" sqref="C409">
      <formula1>PriceArea!A2:A1000</formula1>
    </dataValidation>
    <dataValidation type="list" allowBlank="1" showInputMessage="1" showErrorMessage="1" sqref="C410">
      <formula1>PriceArea!A2:A1000</formula1>
    </dataValidation>
    <dataValidation type="list" allowBlank="1" showInputMessage="1" showErrorMessage="1" sqref="C411">
      <formula1>PriceArea!A2:A1000</formula1>
    </dataValidation>
    <dataValidation type="list" allowBlank="1" showInputMessage="1" showErrorMessage="1" sqref="C412">
      <formula1>PriceArea!A2:A1000</formula1>
    </dataValidation>
    <dataValidation type="list" allowBlank="1" showInputMessage="1" showErrorMessage="1" sqref="C413">
      <formula1>PriceArea!A2:A1000</formula1>
    </dataValidation>
    <dataValidation type="list" allowBlank="1" showInputMessage="1" showErrorMessage="1" sqref="C414">
      <formula1>PriceArea!A2:A1000</formula1>
    </dataValidation>
    <dataValidation type="list" allowBlank="1" showInputMessage="1" showErrorMessage="1" sqref="C415">
      <formula1>PriceArea!A2:A1000</formula1>
    </dataValidation>
    <dataValidation type="list" allowBlank="1" showInputMessage="1" showErrorMessage="1" sqref="C416">
      <formula1>PriceArea!A2:A1000</formula1>
    </dataValidation>
    <dataValidation type="list" allowBlank="1" showInputMessage="1" showErrorMessage="1" sqref="C417">
      <formula1>PriceArea!A2:A1000</formula1>
    </dataValidation>
    <dataValidation type="list" allowBlank="1" showInputMessage="1" showErrorMessage="1" sqref="C418">
      <formula1>PriceArea!A2:A1000</formula1>
    </dataValidation>
    <dataValidation type="list" allowBlank="1" showInputMessage="1" showErrorMessage="1" sqref="C419">
      <formula1>PriceArea!A2:A1000</formula1>
    </dataValidation>
    <dataValidation type="list" allowBlank="1" showInputMessage="1" showErrorMessage="1" sqref="C420">
      <formula1>PriceArea!A2:A1000</formula1>
    </dataValidation>
    <dataValidation type="list" allowBlank="1" showInputMessage="1" showErrorMessage="1" sqref="C421">
      <formula1>PriceArea!A2:A1000</formula1>
    </dataValidation>
    <dataValidation type="list" allowBlank="1" showInputMessage="1" showErrorMessage="1" sqref="C422">
      <formula1>PriceArea!A2:A1000</formula1>
    </dataValidation>
    <dataValidation type="list" allowBlank="1" showInputMessage="1" showErrorMessage="1" sqref="C423">
      <formula1>PriceArea!A2:A1000</formula1>
    </dataValidation>
    <dataValidation type="list" allowBlank="1" showInputMessage="1" showErrorMessage="1" sqref="C424">
      <formula1>PriceArea!A2:A1000</formula1>
    </dataValidation>
    <dataValidation type="list" allowBlank="1" showInputMessage="1" showErrorMessage="1" sqref="C425">
      <formula1>PriceArea!A2:A1000</formula1>
    </dataValidation>
    <dataValidation type="list" allowBlank="1" showInputMessage="1" showErrorMessage="1" sqref="C426">
      <formula1>PriceArea!A2:A1000</formula1>
    </dataValidation>
    <dataValidation type="list" allowBlank="1" showInputMessage="1" showErrorMessage="1" sqref="C427">
      <formula1>PriceArea!A2:A1000</formula1>
    </dataValidation>
    <dataValidation type="list" allowBlank="1" showInputMessage="1" showErrorMessage="1" sqref="C428">
      <formula1>PriceArea!A2:A1000</formula1>
    </dataValidation>
    <dataValidation type="list" allowBlank="1" showInputMessage="1" showErrorMessage="1" sqref="C429">
      <formula1>PriceArea!A2:A1000</formula1>
    </dataValidation>
    <dataValidation type="list" allowBlank="1" showInputMessage="1" showErrorMessage="1" sqref="C430">
      <formula1>PriceArea!A2:A1000</formula1>
    </dataValidation>
    <dataValidation type="list" allowBlank="1" showInputMessage="1" showErrorMessage="1" sqref="C431">
      <formula1>PriceArea!A2:A1000</formula1>
    </dataValidation>
    <dataValidation type="list" allowBlank="1" showInputMessage="1" showErrorMessage="1" sqref="C432">
      <formula1>PriceArea!A2:A1000</formula1>
    </dataValidation>
    <dataValidation type="list" allowBlank="1" showInputMessage="1" showErrorMessage="1" sqref="C433">
      <formula1>PriceArea!A2:A1000</formula1>
    </dataValidation>
    <dataValidation type="list" allowBlank="1" showInputMessage="1" showErrorMessage="1" sqref="C434">
      <formula1>PriceArea!A2:A1000</formula1>
    </dataValidation>
    <dataValidation type="list" allowBlank="1" showInputMessage="1" showErrorMessage="1" sqref="C435">
      <formula1>PriceArea!A2:A1000</formula1>
    </dataValidation>
    <dataValidation type="list" allowBlank="1" showInputMessage="1" showErrorMessage="1" sqref="C436">
      <formula1>PriceArea!A2:A1000</formula1>
    </dataValidation>
    <dataValidation type="list" allowBlank="1" showInputMessage="1" showErrorMessage="1" sqref="C437">
      <formula1>PriceArea!A2:A1000</formula1>
    </dataValidation>
    <dataValidation type="list" allowBlank="1" showInputMessage="1" showErrorMessage="1" sqref="C438">
      <formula1>PriceArea!A2:A1000</formula1>
    </dataValidation>
    <dataValidation type="list" allowBlank="1" showInputMessage="1" showErrorMessage="1" sqref="C439">
      <formula1>PriceArea!A2:A1000</formula1>
    </dataValidation>
    <dataValidation type="list" allowBlank="1" showInputMessage="1" showErrorMessage="1" sqref="C440">
      <formula1>PriceArea!A2:A1000</formula1>
    </dataValidation>
    <dataValidation type="list" allowBlank="1" showInputMessage="1" showErrorMessage="1" sqref="C441">
      <formula1>PriceArea!A2:A1000</formula1>
    </dataValidation>
    <dataValidation type="list" allowBlank="1" showInputMessage="1" showErrorMessage="1" sqref="C442">
      <formula1>PriceArea!A2:A1000</formula1>
    </dataValidation>
    <dataValidation type="list" allowBlank="1" showInputMessage="1" showErrorMessage="1" sqref="C443">
      <formula1>PriceArea!A2:A1000</formula1>
    </dataValidation>
    <dataValidation type="list" allowBlank="1" showInputMessage="1" showErrorMessage="1" sqref="C444">
      <formula1>PriceArea!A2:A1000</formula1>
    </dataValidation>
    <dataValidation type="list" allowBlank="1" showInputMessage="1" showErrorMessage="1" sqref="C445">
      <formula1>PriceArea!A2:A1000</formula1>
    </dataValidation>
    <dataValidation type="list" allowBlank="1" showInputMessage="1" showErrorMessage="1" sqref="C446">
      <formula1>PriceArea!A2:A1000</formula1>
    </dataValidation>
    <dataValidation type="list" allowBlank="1" showInputMessage="1" showErrorMessage="1" sqref="C447">
      <formula1>PriceArea!A2:A1000</formula1>
    </dataValidation>
    <dataValidation type="list" allowBlank="1" showInputMessage="1" showErrorMessage="1" sqref="C448">
      <formula1>PriceArea!A2:A1000</formula1>
    </dataValidation>
    <dataValidation type="list" allowBlank="1" showInputMessage="1" showErrorMessage="1" sqref="C449">
      <formula1>PriceArea!A2:A1000</formula1>
    </dataValidation>
    <dataValidation type="list" allowBlank="1" showInputMessage="1" showErrorMessage="1" sqref="C450">
      <formula1>PriceArea!A2:A1000</formula1>
    </dataValidation>
    <dataValidation type="list" allowBlank="1" showInputMessage="1" showErrorMessage="1" sqref="C451">
      <formula1>PriceArea!A2:A1000</formula1>
    </dataValidation>
    <dataValidation type="list" allowBlank="1" showInputMessage="1" showErrorMessage="1" sqref="C452">
      <formula1>PriceArea!A2:A1000</formula1>
    </dataValidation>
    <dataValidation type="list" allowBlank="1" showInputMessage="1" showErrorMessage="1" sqref="C453">
      <formula1>PriceArea!A2:A1000</formula1>
    </dataValidation>
    <dataValidation type="list" allowBlank="1" showInputMessage="1" showErrorMessage="1" sqref="C454">
      <formula1>PriceArea!A2:A1000</formula1>
    </dataValidation>
    <dataValidation type="list" allowBlank="1" showInputMessage="1" showErrorMessage="1" sqref="C455">
      <formula1>PriceArea!A2:A1000</formula1>
    </dataValidation>
    <dataValidation type="list" allowBlank="1" showInputMessage="1" showErrorMessage="1" sqref="C456">
      <formula1>PriceArea!A2:A1000</formula1>
    </dataValidation>
    <dataValidation type="list" allowBlank="1" showInputMessage="1" showErrorMessage="1" sqref="C457">
      <formula1>PriceArea!A2:A1000</formula1>
    </dataValidation>
    <dataValidation type="list" allowBlank="1" showInputMessage="1" showErrorMessage="1" sqref="C458">
      <formula1>PriceArea!A2:A1000</formula1>
    </dataValidation>
    <dataValidation type="list" allowBlank="1" showInputMessage="1" showErrorMessage="1" sqref="C459">
      <formula1>PriceArea!A2:A1000</formula1>
    </dataValidation>
    <dataValidation type="list" allowBlank="1" showInputMessage="1" showErrorMessage="1" sqref="C460">
      <formula1>PriceArea!A2:A1000</formula1>
    </dataValidation>
    <dataValidation type="list" allowBlank="1" showInputMessage="1" showErrorMessage="1" sqref="C461">
      <formula1>PriceArea!A2:A1000</formula1>
    </dataValidation>
    <dataValidation type="list" allowBlank="1" showInputMessage="1" showErrorMessage="1" sqref="C462">
      <formula1>PriceArea!A2:A1000</formula1>
    </dataValidation>
    <dataValidation type="list" allowBlank="1" showInputMessage="1" showErrorMessage="1" sqref="C463">
      <formula1>PriceArea!A2:A1000</formula1>
    </dataValidation>
    <dataValidation type="list" allowBlank="1" showInputMessage="1" showErrorMessage="1" sqref="C464">
      <formula1>PriceArea!A2:A1000</formula1>
    </dataValidation>
    <dataValidation type="list" allowBlank="1" showInputMessage="1" showErrorMessage="1" sqref="C465">
      <formula1>PriceArea!A2:A1000</formula1>
    </dataValidation>
    <dataValidation type="list" allowBlank="1" showInputMessage="1" showErrorMessage="1" sqref="C466">
      <formula1>PriceArea!A2:A1000</formula1>
    </dataValidation>
    <dataValidation type="list" allowBlank="1" showInputMessage="1" showErrorMessage="1" sqref="C467">
      <formula1>PriceArea!A2:A1000</formula1>
    </dataValidation>
    <dataValidation type="list" allowBlank="1" showInputMessage="1" showErrorMessage="1" sqref="C468">
      <formula1>PriceArea!A2:A1000</formula1>
    </dataValidation>
    <dataValidation type="list" allowBlank="1" showInputMessage="1" showErrorMessage="1" sqref="C469">
      <formula1>PriceArea!A2:A1000</formula1>
    </dataValidation>
    <dataValidation type="list" allowBlank="1" showInputMessage="1" showErrorMessage="1" sqref="C470">
      <formula1>PriceArea!A2:A1000</formula1>
    </dataValidation>
    <dataValidation type="list" allowBlank="1" showInputMessage="1" showErrorMessage="1" sqref="C471">
      <formula1>PriceArea!A2:A1000</formula1>
    </dataValidation>
    <dataValidation type="list" allowBlank="1" showInputMessage="1" showErrorMessage="1" sqref="C472">
      <formula1>PriceArea!A2:A1000</formula1>
    </dataValidation>
    <dataValidation type="list" allowBlank="1" showInputMessage="1" showErrorMessage="1" sqref="C473">
      <formula1>PriceArea!A2:A1000</formula1>
    </dataValidation>
    <dataValidation type="list" allowBlank="1" showInputMessage="1" showErrorMessage="1" sqref="C474">
      <formula1>PriceArea!A2:A1000</formula1>
    </dataValidation>
    <dataValidation type="list" allowBlank="1" showInputMessage="1" showErrorMessage="1" sqref="C475">
      <formula1>PriceArea!A2:A1000</formula1>
    </dataValidation>
    <dataValidation type="list" allowBlank="1" showInputMessage="1" showErrorMessage="1" sqref="C476">
      <formula1>PriceArea!A2:A1000</formula1>
    </dataValidation>
    <dataValidation type="list" allowBlank="1" showInputMessage="1" showErrorMessage="1" sqref="C477">
      <formula1>PriceArea!A2:A1000</formula1>
    </dataValidation>
    <dataValidation type="list" allowBlank="1" showInputMessage="1" showErrorMessage="1" sqref="C478">
      <formula1>PriceArea!A2:A1000</formula1>
    </dataValidation>
    <dataValidation type="list" allowBlank="1" showInputMessage="1" showErrorMessage="1" sqref="C479">
      <formula1>PriceArea!A2:A1000</formula1>
    </dataValidation>
    <dataValidation type="list" allowBlank="1" showInputMessage="1" showErrorMessage="1" sqref="C480">
      <formula1>PriceArea!A2:A1000</formula1>
    </dataValidation>
    <dataValidation type="list" allowBlank="1" showInputMessage="1" showErrorMessage="1" sqref="C481">
      <formula1>PriceArea!A2:A1000</formula1>
    </dataValidation>
    <dataValidation type="list" allowBlank="1" showInputMessage="1" showErrorMessage="1" sqref="C482">
      <formula1>PriceArea!A2:A1000</formula1>
    </dataValidation>
    <dataValidation type="list" allowBlank="1" showInputMessage="1" showErrorMessage="1" sqref="C483">
      <formula1>PriceArea!A2:A1000</formula1>
    </dataValidation>
    <dataValidation type="list" allowBlank="1" showInputMessage="1" showErrorMessage="1" sqref="C484">
      <formula1>PriceArea!A2:A1000</formula1>
    </dataValidation>
    <dataValidation type="list" allowBlank="1" showInputMessage="1" showErrorMessage="1" sqref="C485">
      <formula1>PriceArea!A2:A1000</formula1>
    </dataValidation>
    <dataValidation type="list" allowBlank="1" showInputMessage="1" showErrorMessage="1" sqref="C486">
      <formula1>PriceArea!A2:A1000</formula1>
    </dataValidation>
    <dataValidation type="list" allowBlank="1" showInputMessage="1" showErrorMessage="1" sqref="C487">
      <formula1>PriceArea!A2:A1000</formula1>
    </dataValidation>
    <dataValidation type="list" allowBlank="1" showInputMessage="1" showErrorMessage="1" sqref="C488">
      <formula1>PriceArea!A2:A1000</formula1>
    </dataValidation>
    <dataValidation type="list" allowBlank="1" showInputMessage="1" showErrorMessage="1" sqref="C489">
      <formula1>PriceArea!A2:A1000</formula1>
    </dataValidation>
    <dataValidation type="list" allowBlank="1" showInputMessage="1" showErrorMessage="1" sqref="C490">
      <formula1>PriceArea!A2:A1000</formula1>
    </dataValidation>
    <dataValidation type="list" allowBlank="1" showInputMessage="1" showErrorMessage="1" sqref="C491">
      <formula1>PriceArea!A2:A1000</formula1>
    </dataValidation>
    <dataValidation type="list" allowBlank="1" showInputMessage="1" showErrorMessage="1" sqref="C492">
      <formula1>PriceArea!A2:A1000</formula1>
    </dataValidation>
    <dataValidation type="list" allowBlank="1" showInputMessage="1" showErrorMessage="1" sqref="C493">
      <formula1>PriceArea!A2:A1000</formula1>
    </dataValidation>
    <dataValidation type="list" allowBlank="1" showInputMessage="1" showErrorMessage="1" sqref="C494">
      <formula1>PriceArea!A2:A1000</formula1>
    </dataValidation>
    <dataValidation type="list" allowBlank="1" showInputMessage="1" showErrorMessage="1" sqref="C495">
      <formula1>PriceArea!A2:A1000</formula1>
    </dataValidation>
    <dataValidation type="list" allowBlank="1" showInputMessage="1" showErrorMessage="1" sqref="C496">
      <formula1>PriceArea!A2:A1000</formula1>
    </dataValidation>
    <dataValidation type="list" allowBlank="1" showInputMessage="1" showErrorMessage="1" sqref="C497">
      <formula1>PriceArea!A2:A1000</formula1>
    </dataValidation>
    <dataValidation type="list" allowBlank="1" showInputMessage="1" showErrorMessage="1" sqref="C498">
      <formula1>PriceArea!A2:A1000</formula1>
    </dataValidation>
    <dataValidation type="list" allowBlank="1" showInputMessage="1" showErrorMessage="1" sqref="C499">
      <formula1>PriceArea!A2:A1000</formula1>
    </dataValidation>
    <dataValidation type="list" allowBlank="1" showInputMessage="1" showErrorMessage="1" sqref="C500">
      <formula1>PriceArea!A2:A1000</formula1>
    </dataValidation>
    <dataValidation type="list" allowBlank="1" showInputMessage="1" showErrorMessage="1" sqref="C501">
      <formula1>PriceArea!A2:A1000</formula1>
    </dataValidation>
    <dataValidation type="list" allowBlank="1" showInputMessage="1" showErrorMessage="1" sqref="C502">
      <formula1>PriceArea!A2:A1000</formula1>
    </dataValidation>
    <dataValidation type="list" allowBlank="1" showInputMessage="1" showErrorMessage="1" sqref="C503">
      <formula1>PriceArea!A2:A1000</formula1>
    </dataValidation>
    <dataValidation type="list" allowBlank="1" showInputMessage="1" showErrorMessage="1" sqref="C504">
      <formula1>PriceArea!A2:A1000</formula1>
    </dataValidation>
    <dataValidation type="list" allowBlank="1" showInputMessage="1" showErrorMessage="1" sqref="C505">
      <formula1>PriceArea!A2:A1000</formula1>
    </dataValidation>
    <dataValidation type="list" allowBlank="1" showInputMessage="1" showErrorMessage="1" sqref="C506">
      <formula1>PriceArea!A2:A1000</formula1>
    </dataValidation>
    <dataValidation type="list" allowBlank="1" showInputMessage="1" showErrorMessage="1" sqref="C507">
      <formula1>PriceArea!A2:A1000</formula1>
    </dataValidation>
    <dataValidation type="list" allowBlank="1" showInputMessage="1" showErrorMessage="1" sqref="C508">
      <formula1>PriceArea!A2:A1000</formula1>
    </dataValidation>
    <dataValidation type="list" allowBlank="1" showInputMessage="1" showErrorMessage="1" sqref="C509">
      <formula1>PriceArea!A2:A1000</formula1>
    </dataValidation>
    <dataValidation type="list" allowBlank="1" showInputMessage="1" showErrorMessage="1" sqref="C510">
      <formula1>PriceArea!A2:A1000</formula1>
    </dataValidation>
    <dataValidation type="list" allowBlank="1" showInputMessage="1" showErrorMessage="1" sqref="C511">
      <formula1>PriceArea!A2:A1000</formula1>
    </dataValidation>
    <dataValidation type="list" allowBlank="1" showInputMessage="1" showErrorMessage="1" sqref="C512">
      <formula1>PriceArea!A2:A1000</formula1>
    </dataValidation>
    <dataValidation type="list" allowBlank="1" showInputMessage="1" showErrorMessage="1" sqref="C513">
      <formula1>PriceArea!A2:A1000</formula1>
    </dataValidation>
    <dataValidation type="list" allowBlank="1" showInputMessage="1" showErrorMessage="1" sqref="C514">
      <formula1>PriceArea!A2:A1000</formula1>
    </dataValidation>
    <dataValidation type="list" allowBlank="1" showInputMessage="1" showErrorMessage="1" sqref="C515">
      <formula1>PriceArea!A2:A1000</formula1>
    </dataValidation>
    <dataValidation type="list" allowBlank="1" showInputMessage="1" showErrorMessage="1" sqref="C516">
      <formula1>PriceArea!A2:A1000</formula1>
    </dataValidation>
    <dataValidation type="list" allowBlank="1" showInputMessage="1" showErrorMessage="1" sqref="C517">
      <formula1>PriceArea!A2:A1000</formula1>
    </dataValidation>
    <dataValidation type="list" allowBlank="1" showInputMessage="1" showErrorMessage="1" sqref="C518">
      <formula1>PriceArea!A2:A1000</formula1>
    </dataValidation>
    <dataValidation type="list" allowBlank="1" showInputMessage="1" showErrorMessage="1" sqref="C519">
      <formula1>PriceArea!A2:A1000</formula1>
    </dataValidation>
    <dataValidation type="list" allowBlank="1" showInputMessage="1" showErrorMessage="1" sqref="C520">
      <formula1>PriceArea!A2:A1000</formula1>
    </dataValidation>
    <dataValidation type="list" allowBlank="1" showInputMessage="1" showErrorMessage="1" sqref="C521">
      <formula1>PriceArea!A2:A1000</formula1>
    </dataValidation>
    <dataValidation type="list" allowBlank="1" showInputMessage="1" showErrorMessage="1" sqref="C522">
      <formula1>PriceArea!A2:A1000</formula1>
    </dataValidation>
    <dataValidation type="list" allowBlank="1" showInputMessage="1" showErrorMessage="1" sqref="C523">
      <formula1>PriceArea!A2:A1000</formula1>
    </dataValidation>
    <dataValidation type="list" allowBlank="1" showInputMessage="1" showErrorMessage="1" sqref="C524">
      <formula1>PriceArea!A2:A1000</formula1>
    </dataValidation>
    <dataValidation type="list" allowBlank="1" showInputMessage="1" showErrorMessage="1" sqref="C525">
      <formula1>PriceArea!A2:A1000</formula1>
    </dataValidation>
    <dataValidation type="list" allowBlank="1" showInputMessage="1" showErrorMessage="1" sqref="C526">
      <formula1>PriceArea!A2:A1000</formula1>
    </dataValidation>
    <dataValidation type="list" allowBlank="1" showInputMessage="1" showErrorMessage="1" sqref="C527">
      <formula1>PriceArea!A2:A1000</formula1>
    </dataValidation>
    <dataValidation type="list" allowBlank="1" showInputMessage="1" showErrorMessage="1" sqref="C528">
      <formula1>PriceArea!A2:A1000</formula1>
    </dataValidation>
    <dataValidation type="list" allowBlank="1" showInputMessage="1" showErrorMessage="1" sqref="C529">
      <formula1>PriceArea!A2:A1000</formula1>
    </dataValidation>
    <dataValidation type="list" allowBlank="1" showInputMessage="1" showErrorMessage="1" sqref="C530">
      <formula1>PriceArea!A2:A1000</formula1>
    </dataValidation>
    <dataValidation type="list" allowBlank="1" showInputMessage="1" showErrorMessage="1" sqref="C531">
      <formula1>PriceArea!A2:A1000</formula1>
    </dataValidation>
    <dataValidation type="list" allowBlank="1" showInputMessage="1" showErrorMessage="1" sqref="C532">
      <formula1>PriceArea!A2:A1000</formula1>
    </dataValidation>
    <dataValidation type="list" allowBlank="1" showInputMessage="1" showErrorMessage="1" sqref="C533">
      <formula1>PriceArea!A2:A1000</formula1>
    </dataValidation>
    <dataValidation type="list" allowBlank="1" showInputMessage="1" showErrorMessage="1" sqref="C534">
      <formula1>PriceArea!A2:A1000</formula1>
    </dataValidation>
    <dataValidation type="list" allowBlank="1" showInputMessage="1" showErrorMessage="1" sqref="C535">
      <formula1>PriceArea!A2:A1000</formula1>
    </dataValidation>
    <dataValidation type="list" allowBlank="1" showInputMessage="1" showErrorMessage="1" sqref="C536">
      <formula1>PriceArea!A2:A1000</formula1>
    </dataValidation>
    <dataValidation type="list" allowBlank="1" showInputMessage="1" showErrorMessage="1" sqref="C537">
      <formula1>PriceArea!A2:A1000</formula1>
    </dataValidation>
    <dataValidation type="list" allowBlank="1" showInputMessage="1" showErrorMessage="1" sqref="C538">
      <formula1>PriceArea!A2:A1000</formula1>
    </dataValidation>
    <dataValidation type="list" allowBlank="1" showInputMessage="1" showErrorMessage="1" sqref="C539">
      <formula1>PriceArea!A2:A1000</formula1>
    </dataValidation>
    <dataValidation type="list" allowBlank="1" showInputMessage="1" showErrorMessage="1" sqref="C540">
      <formula1>PriceArea!A2:A1000</formula1>
    </dataValidation>
    <dataValidation type="list" allowBlank="1" showInputMessage="1" showErrorMessage="1" sqref="C541">
      <formula1>PriceArea!A2:A1000</formula1>
    </dataValidation>
    <dataValidation type="list" allowBlank="1" showInputMessage="1" showErrorMessage="1" sqref="C542">
      <formula1>PriceArea!A2:A1000</formula1>
    </dataValidation>
    <dataValidation type="list" allowBlank="1" showInputMessage="1" showErrorMessage="1" sqref="C543">
      <formula1>PriceArea!A2:A1000</formula1>
    </dataValidation>
    <dataValidation type="list" allowBlank="1" showInputMessage="1" showErrorMessage="1" sqref="C544">
      <formula1>PriceArea!A2:A1000</formula1>
    </dataValidation>
    <dataValidation type="list" allowBlank="1" showInputMessage="1" showErrorMessage="1" sqref="C545">
      <formula1>PriceArea!A2:A1000</formula1>
    </dataValidation>
    <dataValidation type="list" allowBlank="1" showInputMessage="1" showErrorMessage="1" sqref="C546">
      <formula1>PriceArea!A2:A1000</formula1>
    </dataValidation>
    <dataValidation type="list" allowBlank="1" showInputMessage="1" showErrorMessage="1" sqref="C547">
      <formula1>PriceArea!A2:A1000</formula1>
    </dataValidation>
    <dataValidation type="list" allowBlank="1" showInputMessage="1" showErrorMessage="1" sqref="C548">
      <formula1>PriceArea!A2:A1000</formula1>
    </dataValidation>
    <dataValidation type="list" allowBlank="1" showInputMessage="1" showErrorMessage="1" sqref="C549">
      <formula1>PriceArea!A2:A1000</formula1>
    </dataValidation>
    <dataValidation type="list" allowBlank="1" showInputMessage="1" showErrorMessage="1" sqref="C550">
      <formula1>PriceArea!A2:A1000</formula1>
    </dataValidation>
    <dataValidation type="list" allowBlank="1" showInputMessage="1" showErrorMessage="1" sqref="C551">
      <formula1>PriceArea!A2:A1000</formula1>
    </dataValidation>
    <dataValidation type="list" allowBlank="1" showInputMessage="1" showErrorMessage="1" sqref="C552">
      <formula1>PriceArea!A2:A1000</formula1>
    </dataValidation>
    <dataValidation type="list" allowBlank="1" showInputMessage="1" showErrorMessage="1" sqref="C553">
      <formula1>PriceArea!A2:A1000</formula1>
    </dataValidation>
    <dataValidation type="list" allowBlank="1" showInputMessage="1" showErrorMessage="1" sqref="C554">
      <formula1>PriceArea!A2:A1000</formula1>
    </dataValidation>
    <dataValidation type="list" allowBlank="1" showInputMessage="1" showErrorMessage="1" sqref="C555">
      <formula1>PriceArea!A2:A1000</formula1>
    </dataValidation>
    <dataValidation type="list" allowBlank="1" showInputMessage="1" showErrorMessage="1" sqref="C556">
      <formula1>PriceArea!A2:A1000</formula1>
    </dataValidation>
    <dataValidation type="list" allowBlank="1" showInputMessage="1" showErrorMessage="1" sqref="C557">
      <formula1>PriceArea!A2:A1000</formula1>
    </dataValidation>
    <dataValidation type="list" allowBlank="1" showInputMessage="1" showErrorMessage="1" sqref="C558">
      <formula1>PriceArea!A2:A1000</formula1>
    </dataValidation>
    <dataValidation type="list" allowBlank="1" showInputMessage="1" showErrorMessage="1" sqref="C559">
      <formula1>PriceArea!A2:A1000</formula1>
    </dataValidation>
    <dataValidation type="list" allowBlank="1" showInputMessage="1" showErrorMessage="1" sqref="C560">
      <formula1>PriceArea!A2:A1000</formula1>
    </dataValidation>
    <dataValidation type="list" allowBlank="1" showInputMessage="1" showErrorMessage="1" sqref="C561">
      <formula1>PriceArea!A2:A1000</formula1>
    </dataValidation>
    <dataValidation type="list" allowBlank="1" showInputMessage="1" showErrorMessage="1" sqref="C562">
      <formula1>PriceArea!A2:A1000</formula1>
    </dataValidation>
    <dataValidation type="list" allowBlank="1" showInputMessage="1" showErrorMessage="1" sqref="C563">
      <formula1>PriceArea!A2:A1000</formula1>
    </dataValidation>
    <dataValidation type="list" allowBlank="1" showInputMessage="1" showErrorMessage="1" sqref="C564">
      <formula1>PriceArea!A2:A1000</formula1>
    </dataValidation>
    <dataValidation type="list" allowBlank="1" showInputMessage="1" showErrorMessage="1" sqref="C565">
      <formula1>PriceArea!A2:A1000</formula1>
    </dataValidation>
    <dataValidation type="list" allowBlank="1" showInputMessage="1" showErrorMessage="1" sqref="C566">
      <formula1>PriceArea!A2:A1000</formula1>
    </dataValidation>
    <dataValidation type="list" allowBlank="1" showInputMessage="1" showErrorMessage="1" sqref="C567">
      <formula1>PriceArea!A2:A1000</formula1>
    </dataValidation>
    <dataValidation type="list" allowBlank="1" showInputMessage="1" showErrorMessage="1" sqref="C568">
      <formula1>PriceArea!A2:A1000</formula1>
    </dataValidation>
    <dataValidation type="list" allowBlank="1" showInputMessage="1" showErrorMessage="1" sqref="C569">
      <formula1>PriceArea!A2:A1000</formula1>
    </dataValidation>
    <dataValidation type="list" allowBlank="1" showInputMessage="1" showErrorMessage="1" sqref="C570">
      <formula1>PriceArea!A2:A1000</formula1>
    </dataValidation>
    <dataValidation type="list" allowBlank="1" showInputMessage="1" showErrorMessage="1" sqref="C571">
      <formula1>PriceArea!A2:A1000</formula1>
    </dataValidation>
    <dataValidation type="list" allowBlank="1" showInputMessage="1" showErrorMessage="1" sqref="C572">
      <formula1>PriceArea!A2:A1000</formula1>
    </dataValidation>
    <dataValidation type="list" allowBlank="1" showInputMessage="1" showErrorMessage="1" sqref="C573">
      <formula1>PriceArea!A2:A1000</formula1>
    </dataValidation>
    <dataValidation type="list" allowBlank="1" showInputMessage="1" showErrorMessage="1" sqref="C574">
      <formula1>PriceArea!A2:A1000</formula1>
    </dataValidation>
    <dataValidation type="list" allowBlank="1" showInputMessage="1" showErrorMessage="1" sqref="C575">
      <formula1>PriceArea!A2:A1000</formula1>
    </dataValidation>
    <dataValidation type="list" allowBlank="1" showInputMessage="1" showErrorMessage="1" sqref="C576">
      <formula1>PriceArea!A2:A1000</formula1>
    </dataValidation>
    <dataValidation type="list" allowBlank="1" showInputMessage="1" showErrorMessage="1" sqref="C577">
      <formula1>PriceArea!A2:A1000</formula1>
    </dataValidation>
    <dataValidation type="list" allowBlank="1" showInputMessage="1" showErrorMessage="1" sqref="C578">
      <formula1>PriceArea!A2:A1000</formula1>
    </dataValidation>
    <dataValidation type="list" allowBlank="1" showInputMessage="1" showErrorMessage="1" sqref="C579">
      <formula1>PriceArea!A2:A1000</formula1>
    </dataValidation>
    <dataValidation type="list" allowBlank="1" showInputMessage="1" showErrorMessage="1" sqref="C580">
      <formula1>PriceArea!A2:A1000</formula1>
    </dataValidation>
    <dataValidation type="list" allowBlank="1" showInputMessage="1" showErrorMessage="1" sqref="C581">
      <formula1>PriceArea!A2:A1000</formula1>
    </dataValidation>
    <dataValidation type="list" allowBlank="1" showInputMessage="1" showErrorMessage="1" sqref="C582">
      <formula1>PriceArea!A2:A1000</formula1>
    </dataValidation>
    <dataValidation type="list" allowBlank="1" showInputMessage="1" showErrorMessage="1" sqref="C583">
      <formula1>PriceArea!A2:A1000</formula1>
    </dataValidation>
    <dataValidation type="list" allowBlank="1" showInputMessage="1" showErrorMessage="1" sqref="C584">
      <formula1>PriceArea!A2:A1000</formula1>
    </dataValidation>
    <dataValidation type="list" allowBlank="1" showInputMessage="1" showErrorMessage="1" sqref="C585">
      <formula1>PriceArea!A2:A1000</formula1>
    </dataValidation>
    <dataValidation type="list" allowBlank="1" showInputMessage="1" showErrorMessage="1" sqref="C586">
      <formula1>PriceArea!A2:A1000</formula1>
    </dataValidation>
    <dataValidation type="list" allowBlank="1" showInputMessage="1" showErrorMessage="1" sqref="C587">
      <formula1>PriceArea!A2:A1000</formula1>
    </dataValidation>
    <dataValidation type="list" allowBlank="1" showInputMessage="1" showErrorMessage="1" sqref="C588">
      <formula1>PriceArea!A2:A1000</formula1>
    </dataValidation>
    <dataValidation type="list" allowBlank="1" showInputMessage="1" showErrorMessage="1" sqref="C589">
      <formula1>PriceArea!A2:A1000</formula1>
    </dataValidation>
    <dataValidation type="list" allowBlank="1" showInputMessage="1" showErrorMessage="1" sqref="C590">
      <formula1>PriceArea!A2:A1000</formula1>
    </dataValidation>
    <dataValidation type="list" allowBlank="1" showInputMessage="1" showErrorMessage="1" sqref="C591">
      <formula1>PriceArea!A2:A1000</formula1>
    </dataValidation>
    <dataValidation type="list" allowBlank="1" showInputMessage="1" showErrorMessage="1" sqref="C592">
      <formula1>PriceArea!A2:A1000</formula1>
    </dataValidation>
    <dataValidation type="list" allowBlank="1" showInputMessage="1" showErrorMessage="1" sqref="C593">
      <formula1>PriceArea!A2:A1000</formula1>
    </dataValidation>
    <dataValidation type="list" allowBlank="1" showInputMessage="1" showErrorMessage="1" sqref="C594">
      <formula1>PriceArea!A2:A1000</formula1>
    </dataValidation>
    <dataValidation type="list" allowBlank="1" showInputMessage="1" showErrorMessage="1" sqref="C595">
      <formula1>PriceArea!A2:A1000</formula1>
    </dataValidation>
    <dataValidation type="list" allowBlank="1" showInputMessage="1" showErrorMessage="1" sqref="C596">
      <formula1>PriceArea!A2:A1000</formula1>
    </dataValidation>
    <dataValidation type="list" allowBlank="1" showInputMessage="1" showErrorMessage="1" sqref="C597">
      <formula1>PriceArea!A2:A1000</formula1>
    </dataValidation>
    <dataValidation type="list" allowBlank="1" showInputMessage="1" showErrorMessage="1" sqref="C598">
      <formula1>PriceArea!A2:A1000</formula1>
    </dataValidation>
    <dataValidation type="list" allowBlank="1" showInputMessage="1" showErrorMessage="1" sqref="C599">
      <formula1>PriceArea!A2:A1000</formula1>
    </dataValidation>
    <dataValidation type="list" allowBlank="1" showInputMessage="1" showErrorMessage="1" sqref="C600">
      <formula1>PriceArea!A2:A1000</formula1>
    </dataValidation>
    <dataValidation type="list" allowBlank="1" showInputMessage="1" showErrorMessage="1" sqref="C601">
      <formula1>PriceArea!A2:A1000</formula1>
    </dataValidation>
    <dataValidation type="list" allowBlank="1" showInputMessage="1" showErrorMessage="1" sqref="C602">
      <formula1>PriceArea!A2:A1000</formula1>
    </dataValidation>
    <dataValidation type="list" allowBlank="1" showInputMessage="1" showErrorMessage="1" sqref="C603">
      <formula1>PriceArea!A2:A1000</formula1>
    </dataValidation>
    <dataValidation type="list" allowBlank="1" showInputMessage="1" showErrorMessage="1" sqref="C604">
      <formula1>PriceArea!A2:A1000</formula1>
    </dataValidation>
    <dataValidation type="list" allowBlank="1" showInputMessage="1" showErrorMessage="1" sqref="C605">
      <formula1>PriceArea!A2:A1000</formula1>
    </dataValidation>
    <dataValidation type="list" allowBlank="1" showInputMessage="1" showErrorMessage="1" sqref="C606">
      <formula1>PriceArea!A2:A1000</formula1>
    </dataValidation>
    <dataValidation type="list" allowBlank="1" showInputMessage="1" showErrorMessage="1" sqref="C607">
      <formula1>PriceArea!A2:A1000</formula1>
    </dataValidation>
    <dataValidation type="list" allowBlank="1" showInputMessage="1" showErrorMessage="1" sqref="C608">
      <formula1>PriceArea!A2:A1000</formula1>
    </dataValidation>
    <dataValidation type="list" allowBlank="1" showInputMessage="1" showErrorMessage="1" sqref="C609">
      <formula1>PriceArea!A2:A1000</formula1>
    </dataValidation>
    <dataValidation type="list" allowBlank="1" showInputMessage="1" showErrorMessage="1" sqref="C610">
      <formula1>PriceArea!A2:A1000</formula1>
    </dataValidation>
    <dataValidation type="list" allowBlank="1" showInputMessage="1" showErrorMessage="1" sqref="C611">
      <formula1>PriceArea!A2:A1000</formula1>
    </dataValidation>
    <dataValidation type="list" allowBlank="1" showInputMessage="1" showErrorMessage="1" sqref="C612">
      <formula1>PriceArea!A2:A1000</formula1>
    </dataValidation>
    <dataValidation type="list" allowBlank="1" showInputMessage="1" showErrorMessage="1" sqref="C613">
      <formula1>PriceArea!A2:A1000</formula1>
    </dataValidation>
    <dataValidation type="list" allowBlank="1" showInputMessage="1" showErrorMessage="1" sqref="C614">
      <formula1>PriceArea!A2:A1000</formula1>
    </dataValidation>
    <dataValidation type="list" allowBlank="1" showInputMessage="1" showErrorMessage="1" sqref="C615">
      <formula1>PriceArea!A2:A1000</formula1>
    </dataValidation>
    <dataValidation type="list" allowBlank="1" showInputMessage="1" showErrorMessage="1" sqref="C616">
      <formula1>PriceArea!A2:A1000</formula1>
    </dataValidation>
    <dataValidation type="list" allowBlank="1" showInputMessage="1" showErrorMessage="1" sqref="C617">
      <formula1>PriceArea!A2:A1000</formula1>
    </dataValidation>
    <dataValidation type="list" allowBlank="1" showInputMessage="1" showErrorMessage="1" sqref="C618">
      <formula1>PriceArea!A2:A1000</formula1>
    </dataValidation>
    <dataValidation type="list" allowBlank="1" showInputMessage="1" showErrorMessage="1" sqref="C619">
      <formula1>PriceArea!A2:A1000</formula1>
    </dataValidation>
    <dataValidation type="list" allowBlank="1" showInputMessage="1" showErrorMessage="1" sqref="C620">
      <formula1>PriceArea!A2:A1000</formula1>
    </dataValidation>
    <dataValidation type="list" allowBlank="1" showInputMessage="1" showErrorMessage="1" sqref="C621">
      <formula1>PriceArea!A2:A1000</formula1>
    </dataValidation>
    <dataValidation type="list" allowBlank="1" showInputMessage="1" showErrorMessage="1" sqref="C622">
      <formula1>PriceArea!A2:A1000</formula1>
    </dataValidation>
    <dataValidation type="list" allowBlank="1" showInputMessage="1" showErrorMessage="1" sqref="C623">
      <formula1>PriceArea!A2:A1000</formula1>
    </dataValidation>
    <dataValidation type="list" allowBlank="1" showInputMessage="1" showErrorMessage="1" sqref="C624">
      <formula1>PriceArea!A2:A1000</formula1>
    </dataValidation>
    <dataValidation type="list" allowBlank="1" showInputMessage="1" showErrorMessage="1" sqref="C625">
      <formula1>PriceArea!A2:A1000</formula1>
    </dataValidation>
    <dataValidation type="list" allowBlank="1" showInputMessage="1" showErrorMessage="1" sqref="C626">
      <formula1>PriceArea!A2:A1000</formula1>
    </dataValidation>
    <dataValidation type="list" allowBlank="1" showInputMessage="1" showErrorMessage="1" sqref="C627">
      <formula1>PriceArea!A2:A1000</formula1>
    </dataValidation>
    <dataValidation type="list" allowBlank="1" showInputMessage="1" showErrorMessage="1" sqref="C628">
      <formula1>PriceArea!A2:A1000</formula1>
    </dataValidation>
    <dataValidation type="list" allowBlank="1" showInputMessage="1" showErrorMessage="1" sqref="C629">
      <formula1>PriceArea!A2:A1000</formula1>
    </dataValidation>
    <dataValidation type="list" allowBlank="1" showInputMessage="1" showErrorMessage="1" sqref="C630">
      <formula1>PriceArea!A2:A1000</formula1>
    </dataValidation>
    <dataValidation type="list" allowBlank="1" showInputMessage="1" showErrorMessage="1" sqref="C631">
      <formula1>PriceArea!A2:A1000</formula1>
    </dataValidation>
    <dataValidation type="list" allowBlank="1" showInputMessage="1" showErrorMessage="1" sqref="C632">
      <formula1>PriceArea!A2:A1000</formula1>
    </dataValidation>
    <dataValidation type="list" allowBlank="1" showInputMessage="1" showErrorMessage="1" sqref="C633">
      <formula1>PriceArea!A2:A1000</formula1>
    </dataValidation>
    <dataValidation type="list" allowBlank="1" showInputMessage="1" showErrorMessage="1" sqref="C634">
      <formula1>PriceArea!A2:A1000</formula1>
    </dataValidation>
    <dataValidation type="list" allowBlank="1" showInputMessage="1" showErrorMessage="1" sqref="C635">
      <formula1>PriceArea!A2:A1000</formula1>
    </dataValidation>
    <dataValidation type="list" allowBlank="1" showInputMessage="1" showErrorMessage="1" sqref="C636">
      <formula1>PriceArea!A2:A1000</formula1>
    </dataValidation>
    <dataValidation type="list" allowBlank="1" showInputMessage="1" showErrorMessage="1" sqref="C637">
      <formula1>PriceArea!A2:A1000</formula1>
    </dataValidation>
    <dataValidation type="list" allowBlank="1" showInputMessage="1" showErrorMessage="1" sqref="C638">
      <formula1>PriceArea!A2:A1000</formula1>
    </dataValidation>
    <dataValidation type="list" allowBlank="1" showInputMessage="1" showErrorMessage="1" sqref="C639">
      <formula1>PriceArea!A2:A1000</formula1>
    </dataValidation>
    <dataValidation type="list" allowBlank="1" showInputMessage="1" showErrorMessage="1" sqref="C640">
      <formula1>PriceArea!A2:A1000</formula1>
    </dataValidation>
    <dataValidation type="list" allowBlank="1" showInputMessage="1" showErrorMessage="1" sqref="C641">
      <formula1>PriceArea!A2:A1000</formula1>
    </dataValidation>
    <dataValidation type="list" allowBlank="1" showInputMessage="1" showErrorMessage="1" sqref="C642">
      <formula1>PriceArea!A2:A1000</formula1>
    </dataValidation>
    <dataValidation type="list" allowBlank="1" showInputMessage="1" showErrorMessage="1" sqref="C643">
      <formula1>PriceArea!A2:A1000</formula1>
    </dataValidation>
    <dataValidation type="list" allowBlank="1" showInputMessage="1" showErrorMessage="1" sqref="C644">
      <formula1>PriceArea!A2:A1000</formula1>
    </dataValidation>
    <dataValidation type="list" allowBlank="1" showInputMessage="1" showErrorMessage="1" sqref="C645">
      <formula1>PriceArea!A2:A1000</formula1>
    </dataValidation>
    <dataValidation type="list" allowBlank="1" showInputMessage="1" showErrorMessage="1" sqref="C646">
      <formula1>PriceArea!A2:A1000</formula1>
    </dataValidation>
    <dataValidation type="list" allowBlank="1" showInputMessage="1" showErrorMessage="1" sqref="C647">
      <formula1>PriceArea!A2:A1000</formula1>
    </dataValidation>
    <dataValidation type="list" allowBlank="1" showInputMessage="1" showErrorMessage="1" sqref="C648">
      <formula1>PriceArea!A2:A1000</formula1>
    </dataValidation>
    <dataValidation type="list" allowBlank="1" showInputMessage="1" showErrorMessage="1" sqref="C649">
      <formula1>PriceArea!A2:A1000</formula1>
    </dataValidation>
    <dataValidation type="list" allowBlank="1" showInputMessage="1" showErrorMessage="1" sqref="C650">
      <formula1>PriceArea!A2:A1000</formula1>
    </dataValidation>
    <dataValidation type="list" allowBlank="1" showInputMessage="1" showErrorMessage="1" sqref="C651">
      <formula1>PriceArea!A2:A1000</formula1>
    </dataValidation>
    <dataValidation type="list" allowBlank="1" showInputMessage="1" showErrorMessage="1" sqref="C652">
      <formula1>PriceArea!A2:A1000</formula1>
    </dataValidation>
    <dataValidation type="list" allowBlank="1" showInputMessage="1" showErrorMessage="1" sqref="C653">
      <formula1>PriceArea!A2:A1000</formula1>
    </dataValidation>
    <dataValidation type="list" allowBlank="1" showInputMessage="1" showErrorMessage="1" sqref="C654">
      <formula1>PriceArea!A2:A1000</formula1>
    </dataValidation>
    <dataValidation type="list" allowBlank="1" showInputMessage="1" showErrorMessage="1" sqref="C655">
      <formula1>PriceArea!A2:A1000</formula1>
    </dataValidation>
    <dataValidation type="list" allowBlank="1" showInputMessage="1" showErrorMessage="1" sqref="C656">
      <formula1>PriceArea!A2:A1000</formula1>
    </dataValidation>
    <dataValidation type="list" allowBlank="1" showInputMessage="1" showErrorMessage="1" sqref="C657">
      <formula1>PriceArea!A2:A1000</formula1>
    </dataValidation>
    <dataValidation type="list" allowBlank="1" showInputMessage="1" showErrorMessage="1" sqref="C658">
      <formula1>PriceArea!A2:A1000</formula1>
    </dataValidation>
    <dataValidation type="list" allowBlank="1" showInputMessage="1" showErrorMessage="1" sqref="C659">
      <formula1>PriceArea!A2:A1000</formula1>
    </dataValidation>
    <dataValidation type="list" allowBlank="1" showInputMessage="1" showErrorMessage="1" sqref="C660">
      <formula1>PriceArea!A2:A1000</formula1>
    </dataValidation>
    <dataValidation type="list" allowBlank="1" showInputMessage="1" showErrorMessage="1" sqref="C661">
      <formula1>PriceArea!A2:A1000</formula1>
    </dataValidation>
    <dataValidation type="list" allowBlank="1" showInputMessage="1" showErrorMessage="1" sqref="C662">
      <formula1>PriceArea!A2:A1000</formula1>
    </dataValidation>
    <dataValidation type="list" allowBlank="1" showInputMessage="1" showErrorMessage="1" sqref="C663">
      <formula1>PriceArea!A2:A1000</formula1>
    </dataValidation>
    <dataValidation type="list" allowBlank="1" showInputMessage="1" showErrorMessage="1" sqref="C664">
      <formula1>PriceArea!A2:A1000</formula1>
    </dataValidation>
    <dataValidation type="list" allowBlank="1" showInputMessage="1" showErrorMessage="1" sqref="C665">
      <formula1>PriceArea!A2:A1000</formula1>
    </dataValidation>
    <dataValidation type="list" allowBlank="1" showInputMessage="1" showErrorMessage="1" sqref="C666">
      <formula1>PriceArea!A2:A1000</formula1>
    </dataValidation>
    <dataValidation type="list" allowBlank="1" showInputMessage="1" showErrorMessage="1" sqref="C667">
      <formula1>PriceArea!A2:A1000</formula1>
    </dataValidation>
    <dataValidation type="list" allowBlank="1" showInputMessage="1" showErrorMessage="1" sqref="C668">
      <formula1>PriceArea!A2:A1000</formula1>
    </dataValidation>
    <dataValidation type="list" allowBlank="1" showInputMessage="1" showErrorMessage="1" sqref="C669">
      <formula1>PriceArea!A2:A1000</formula1>
    </dataValidation>
    <dataValidation type="list" allowBlank="1" showInputMessage="1" showErrorMessage="1" sqref="C670">
      <formula1>PriceArea!A2:A1000</formula1>
    </dataValidation>
    <dataValidation type="list" allowBlank="1" showInputMessage="1" showErrorMessage="1" sqref="C671">
      <formula1>PriceArea!A2:A1000</formula1>
    </dataValidation>
    <dataValidation type="list" allowBlank="1" showInputMessage="1" showErrorMessage="1" sqref="C672">
      <formula1>PriceArea!A2:A1000</formula1>
    </dataValidation>
    <dataValidation type="list" allowBlank="1" showInputMessage="1" showErrorMessage="1" sqref="C673">
      <formula1>PriceArea!A2:A1000</formula1>
    </dataValidation>
    <dataValidation type="list" allowBlank="1" showInputMessage="1" showErrorMessage="1" sqref="C674">
      <formula1>PriceArea!A2:A1000</formula1>
    </dataValidation>
    <dataValidation type="list" allowBlank="1" showInputMessage="1" showErrorMessage="1" sqref="C675">
      <formula1>PriceArea!A2:A1000</formula1>
    </dataValidation>
    <dataValidation type="list" allowBlank="1" showInputMessage="1" showErrorMessage="1" sqref="C676">
      <formula1>PriceArea!A2:A1000</formula1>
    </dataValidation>
    <dataValidation type="list" allowBlank="1" showInputMessage="1" showErrorMessage="1" sqref="C677">
      <formula1>PriceArea!A2:A1000</formula1>
    </dataValidation>
    <dataValidation type="list" allowBlank="1" showInputMessage="1" showErrorMessage="1" sqref="C678">
      <formula1>PriceArea!A2:A1000</formula1>
    </dataValidation>
    <dataValidation type="list" allowBlank="1" showInputMessage="1" showErrorMessage="1" sqref="C679">
      <formula1>PriceArea!A2:A1000</formula1>
    </dataValidation>
    <dataValidation type="list" allowBlank="1" showInputMessage="1" showErrorMessage="1" sqref="C680">
      <formula1>PriceArea!A2:A1000</formula1>
    </dataValidation>
    <dataValidation type="list" allowBlank="1" showInputMessage="1" showErrorMessage="1" sqref="C681">
      <formula1>PriceArea!A2:A1000</formula1>
    </dataValidation>
    <dataValidation type="list" allowBlank="1" showInputMessage="1" showErrorMessage="1" sqref="C682">
      <formula1>PriceArea!A2:A1000</formula1>
    </dataValidation>
    <dataValidation type="list" allowBlank="1" showInputMessage="1" showErrorMessage="1" sqref="C683">
      <formula1>PriceArea!A2:A1000</formula1>
    </dataValidation>
    <dataValidation type="list" allowBlank="1" showInputMessage="1" showErrorMessage="1" sqref="C684">
      <formula1>PriceArea!A2:A1000</formula1>
    </dataValidation>
    <dataValidation type="list" allowBlank="1" showInputMessage="1" showErrorMessage="1" sqref="C685">
      <formula1>PriceArea!A2:A1000</formula1>
    </dataValidation>
    <dataValidation type="list" allowBlank="1" showInputMessage="1" showErrorMessage="1" sqref="C686">
      <formula1>PriceArea!A2:A1000</formula1>
    </dataValidation>
    <dataValidation type="list" allowBlank="1" showInputMessage="1" showErrorMessage="1" sqref="C687">
      <formula1>PriceArea!A2:A1000</formula1>
    </dataValidation>
    <dataValidation type="list" allowBlank="1" showInputMessage="1" showErrorMessage="1" sqref="C688">
      <formula1>PriceArea!A2:A1000</formula1>
    </dataValidation>
    <dataValidation type="list" allowBlank="1" showInputMessage="1" showErrorMessage="1" sqref="C689">
      <formula1>PriceArea!A2:A1000</formula1>
    </dataValidation>
    <dataValidation type="list" allowBlank="1" showInputMessage="1" showErrorMessage="1" sqref="C690">
      <formula1>PriceArea!A2:A1000</formula1>
    </dataValidation>
    <dataValidation type="list" allowBlank="1" showInputMessage="1" showErrorMessage="1" sqref="C691">
      <formula1>PriceArea!A2:A1000</formula1>
    </dataValidation>
    <dataValidation type="list" allowBlank="1" showInputMessage="1" showErrorMessage="1" sqref="C692">
      <formula1>PriceArea!A2:A1000</formula1>
    </dataValidation>
    <dataValidation type="list" allowBlank="1" showInputMessage="1" showErrorMessage="1" sqref="C693">
      <formula1>PriceArea!A2:A1000</formula1>
    </dataValidation>
    <dataValidation type="list" allowBlank="1" showInputMessage="1" showErrorMessage="1" sqref="C694">
      <formula1>PriceArea!A2:A1000</formula1>
    </dataValidation>
    <dataValidation type="list" allowBlank="1" showInputMessage="1" showErrorMessage="1" sqref="C695">
      <formula1>PriceArea!A2:A1000</formula1>
    </dataValidation>
    <dataValidation type="list" allowBlank="1" showInputMessage="1" showErrorMessage="1" sqref="C696">
      <formula1>PriceArea!A2:A1000</formula1>
    </dataValidation>
    <dataValidation type="list" allowBlank="1" showInputMessage="1" showErrorMessage="1" sqref="C697">
      <formula1>PriceArea!A2:A1000</formula1>
    </dataValidation>
    <dataValidation type="list" allowBlank="1" showInputMessage="1" showErrorMessage="1" sqref="C698">
      <formula1>PriceArea!A2:A1000</formula1>
    </dataValidation>
    <dataValidation type="list" allowBlank="1" showInputMessage="1" showErrorMessage="1" sqref="C699">
      <formula1>PriceArea!A2:A1000</formula1>
    </dataValidation>
    <dataValidation type="list" allowBlank="1" showInputMessage="1" showErrorMessage="1" sqref="C700">
      <formula1>PriceArea!A2:A1000</formula1>
    </dataValidation>
    <dataValidation type="list" allowBlank="1" showInputMessage="1" showErrorMessage="1" sqref="C701">
      <formula1>PriceArea!A2:A1000</formula1>
    </dataValidation>
    <dataValidation type="list" allowBlank="1" showInputMessage="1" showErrorMessage="1" sqref="C702">
      <formula1>PriceArea!A2:A1000</formula1>
    </dataValidation>
    <dataValidation type="list" allowBlank="1" showInputMessage="1" showErrorMessage="1" sqref="C703">
      <formula1>PriceArea!A2:A1000</formula1>
    </dataValidation>
    <dataValidation type="list" allowBlank="1" showInputMessage="1" showErrorMessage="1" sqref="C704">
      <formula1>PriceArea!A2:A1000</formula1>
    </dataValidation>
    <dataValidation type="list" allowBlank="1" showInputMessage="1" showErrorMessage="1" sqref="C705">
      <formula1>PriceArea!A2:A1000</formula1>
    </dataValidation>
    <dataValidation type="list" allowBlank="1" showInputMessage="1" showErrorMessage="1" sqref="C706">
      <formula1>PriceArea!A2:A1000</formula1>
    </dataValidation>
    <dataValidation type="list" allowBlank="1" showInputMessage="1" showErrorMessage="1" sqref="C707">
      <formula1>PriceArea!A2:A1000</formula1>
    </dataValidation>
    <dataValidation type="list" allowBlank="1" showInputMessage="1" showErrorMessage="1" sqref="C708">
      <formula1>PriceArea!A2:A1000</formula1>
    </dataValidation>
    <dataValidation type="list" allowBlank="1" showInputMessage="1" showErrorMessage="1" sqref="C709">
      <formula1>PriceArea!A2:A1000</formula1>
    </dataValidation>
    <dataValidation type="list" allowBlank="1" showInputMessage="1" showErrorMessage="1" sqref="C710">
      <formula1>PriceArea!A2:A1000</formula1>
    </dataValidation>
    <dataValidation type="list" allowBlank="1" showInputMessage="1" showErrorMessage="1" sqref="C711">
      <formula1>PriceArea!A2:A1000</formula1>
    </dataValidation>
    <dataValidation type="list" allowBlank="1" showInputMessage="1" showErrorMessage="1" sqref="C712">
      <formula1>PriceArea!A2:A1000</formula1>
    </dataValidation>
    <dataValidation type="list" allowBlank="1" showInputMessage="1" showErrorMessage="1" sqref="C713">
      <formula1>PriceArea!A2:A1000</formula1>
    </dataValidation>
    <dataValidation type="list" allowBlank="1" showInputMessage="1" showErrorMessage="1" sqref="C714">
      <formula1>PriceArea!A2:A1000</formula1>
    </dataValidation>
    <dataValidation type="list" allowBlank="1" showInputMessage="1" showErrorMessage="1" sqref="C715">
      <formula1>PriceArea!A2:A1000</formula1>
    </dataValidation>
    <dataValidation type="list" allowBlank="1" showInputMessage="1" showErrorMessage="1" sqref="C716">
      <formula1>PriceArea!A2:A1000</formula1>
    </dataValidation>
    <dataValidation type="list" allowBlank="1" showInputMessage="1" showErrorMessage="1" sqref="C717">
      <formula1>PriceArea!A2:A1000</formula1>
    </dataValidation>
    <dataValidation type="list" allowBlank="1" showInputMessage="1" showErrorMessage="1" sqref="C718">
      <formula1>PriceArea!A2:A1000</formula1>
    </dataValidation>
    <dataValidation type="list" allowBlank="1" showInputMessage="1" showErrorMessage="1" sqref="C719">
      <formula1>PriceArea!A2:A1000</formula1>
    </dataValidation>
    <dataValidation type="list" allowBlank="1" showInputMessage="1" showErrorMessage="1" sqref="C720">
      <formula1>PriceArea!A2:A1000</formula1>
    </dataValidation>
    <dataValidation type="list" allowBlank="1" showInputMessage="1" showErrorMessage="1" sqref="C721">
      <formula1>PriceArea!A2:A1000</formula1>
    </dataValidation>
    <dataValidation type="list" allowBlank="1" showInputMessage="1" showErrorMessage="1" sqref="C722">
      <formula1>PriceArea!A2:A1000</formula1>
    </dataValidation>
    <dataValidation type="list" allowBlank="1" showInputMessage="1" showErrorMessage="1" sqref="C723">
      <formula1>PriceArea!A2:A1000</formula1>
    </dataValidation>
    <dataValidation type="list" allowBlank="1" showInputMessage="1" showErrorMessage="1" sqref="C724">
      <formula1>PriceArea!A2:A1000</formula1>
    </dataValidation>
    <dataValidation type="list" allowBlank="1" showInputMessage="1" showErrorMessage="1" sqref="C725">
      <formula1>PriceArea!A2:A1000</formula1>
    </dataValidation>
    <dataValidation type="list" allowBlank="1" showInputMessage="1" showErrorMessage="1" sqref="C726">
      <formula1>PriceArea!A2:A1000</formula1>
    </dataValidation>
    <dataValidation type="list" allowBlank="1" showInputMessage="1" showErrorMessage="1" sqref="C727">
      <formula1>PriceArea!A2:A1000</formula1>
    </dataValidation>
    <dataValidation type="list" allowBlank="1" showInputMessage="1" showErrorMessage="1" sqref="C728">
      <formula1>PriceArea!A2:A1000</formula1>
    </dataValidation>
    <dataValidation type="list" allowBlank="1" showInputMessage="1" showErrorMessage="1" sqref="C729">
      <formula1>PriceArea!A2:A1000</formula1>
    </dataValidation>
    <dataValidation type="list" allowBlank="1" showInputMessage="1" showErrorMessage="1" sqref="C730">
      <formula1>PriceArea!A2:A1000</formula1>
    </dataValidation>
    <dataValidation type="list" allowBlank="1" showInputMessage="1" showErrorMessage="1" sqref="C731">
      <formula1>PriceArea!A2:A1000</formula1>
    </dataValidation>
    <dataValidation type="list" allowBlank="1" showInputMessage="1" showErrorMessage="1" sqref="C732">
      <formula1>PriceArea!A2:A1000</formula1>
    </dataValidation>
    <dataValidation type="list" allowBlank="1" showInputMessage="1" showErrorMessage="1" sqref="C733">
      <formula1>PriceArea!A2:A1000</formula1>
    </dataValidation>
    <dataValidation type="list" allowBlank="1" showInputMessage="1" showErrorMessage="1" sqref="C734">
      <formula1>PriceArea!A2:A1000</formula1>
    </dataValidation>
    <dataValidation type="list" allowBlank="1" showInputMessage="1" showErrorMessage="1" sqref="C735">
      <formula1>PriceArea!A2:A1000</formula1>
    </dataValidation>
    <dataValidation type="list" allowBlank="1" showInputMessage="1" showErrorMessage="1" sqref="C736">
      <formula1>PriceArea!A2:A1000</formula1>
    </dataValidation>
    <dataValidation type="list" allowBlank="1" showInputMessage="1" showErrorMessage="1" sqref="C737">
      <formula1>PriceArea!A2:A1000</formula1>
    </dataValidation>
    <dataValidation type="list" allowBlank="1" showInputMessage="1" showErrorMessage="1" sqref="C738">
      <formula1>PriceArea!A2:A1000</formula1>
    </dataValidation>
    <dataValidation type="list" allowBlank="1" showInputMessage="1" showErrorMessage="1" sqref="C739">
      <formula1>PriceArea!A2:A1000</formula1>
    </dataValidation>
    <dataValidation type="list" allowBlank="1" showInputMessage="1" showErrorMessage="1" sqref="C740">
      <formula1>PriceArea!A2:A1000</formula1>
    </dataValidation>
    <dataValidation type="list" allowBlank="1" showInputMessage="1" showErrorMessage="1" sqref="C741">
      <formula1>PriceArea!A2:A1000</formula1>
    </dataValidation>
    <dataValidation type="list" allowBlank="1" showInputMessage="1" showErrorMessage="1" sqref="C742">
      <formula1>PriceArea!A2:A1000</formula1>
    </dataValidation>
    <dataValidation type="list" allowBlank="1" showInputMessage="1" showErrorMessage="1" sqref="C743">
      <formula1>PriceArea!A2:A1000</formula1>
    </dataValidation>
    <dataValidation type="list" allowBlank="1" showInputMessage="1" showErrorMessage="1" sqref="C744">
      <formula1>PriceArea!A2:A1000</formula1>
    </dataValidation>
    <dataValidation type="list" allowBlank="1" showInputMessage="1" showErrorMessage="1" sqref="C745">
      <formula1>PriceArea!A2:A1000</formula1>
    </dataValidation>
    <dataValidation type="list" allowBlank="1" showInputMessage="1" showErrorMessage="1" sqref="C746">
      <formula1>PriceArea!A2:A1000</formula1>
    </dataValidation>
    <dataValidation type="list" allowBlank="1" showInputMessage="1" showErrorMessage="1" sqref="C747">
      <formula1>PriceArea!A2:A1000</formula1>
    </dataValidation>
    <dataValidation type="list" allowBlank="1" showInputMessage="1" showErrorMessage="1" sqref="C748">
      <formula1>PriceArea!A2:A1000</formula1>
    </dataValidation>
    <dataValidation type="list" allowBlank="1" showInputMessage="1" showErrorMessage="1" sqref="C749">
      <formula1>PriceArea!A2:A1000</formula1>
    </dataValidation>
    <dataValidation type="list" allowBlank="1" showInputMessage="1" showErrorMessage="1" sqref="C750">
      <formula1>PriceArea!A2:A1000</formula1>
    </dataValidation>
    <dataValidation type="list" allowBlank="1" showInputMessage="1" showErrorMessage="1" sqref="C751">
      <formula1>PriceArea!A2:A1000</formula1>
    </dataValidation>
    <dataValidation type="list" allowBlank="1" showInputMessage="1" showErrorMessage="1" sqref="C752">
      <formula1>PriceArea!A2:A1000</formula1>
    </dataValidation>
    <dataValidation type="list" allowBlank="1" showInputMessage="1" showErrorMessage="1" sqref="C753">
      <formula1>PriceArea!A2:A1000</formula1>
    </dataValidation>
    <dataValidation type="list" allowBlank="1" showInputMessage="1" showErrorMessage="1" sqref="C754">
      <formula1>PriceArea!A2:A1000</formula1>
    </dataValidation>
    <dataValidation type="list" allowBlank="1" showInputMessage="1" showErrorMessage="1" sqref="C755">
      <formula1>PriceArea!A2:A1000</formula1>
    </dataValidation>
    <dataValidation type="list" allowBlank="1" showInputMessage="1" showErrorMessage="1" sqref="C756">
      <formula1>PriceArea!A2:A1000</formula1>
    </dataValidation>
    <dataValidation type="list" allowBlank="1" showInputMessage="1" showErrorMessage="1" sqref="C757">
      <formula1>PriceArea!A2:A1000</formula1>
    </dataValidation>
    <dataValidation type="list" allowBlank="1" showInputMessage="1" showErrorMessage="1" sqref="C758">
      <formula1>PriceArea!A2:A1000</formula1>
    </dataValidation>
    <dataValidation type="list" allowBlank="1" showInputMessage="1" showErrorMessage="1" sqref="C759">
      <formula1>PriceArea!A2:A1000</formula1>
    </dataValidation>
    <dataValidation type="list" allowBlank="1" showInputMessage="1" showErrorMessage="1" sqref="C760">
      <formula1>PriceArea!A2:A1000</formula1>
    </dataValidation>
    <dataValidation type="list" allowBlank="1" showInputMessage="1" showErrorMessage="1" sqref="C761">
      <formula1>PriceArea!A2:A1000</formula1>
    </dataValidation>
    <dataValidation type="list" allowBlank="1" showInputMessage="1" showErrorMessage="1" sqref="C762">
      <formula1>PriceArea!A2:A1000</formula1>
    </dataValidation>
    <dataValidation type="list" allowBlank="1" showInputMessage="1" showErrorMessage="1" sqref="C763">
      <formula1>PriceArea!A2:A1000</formula1>
    </dataValidation>
    <dataValidation type="list" allowBlank="1" showInputMessage="1" showErrorMessage="1" sqref="C764">
      <formula1>PriceArea!A2:A1000</formula1>
    </dataValidation>
    <dataValidation type="list" allowBlank="1" showInputMessage="1" showErrorMessage="1" sqref="C765">
      <formula1>PriceArea!A2:A1000</formula1>
    </dataValidation>
    <dataValidation type="list" allowBlank="1" showInputMessage="1" showErrorMessage="1" sqref="C766">
      <formula1>PriceArea!A2:A1000</formula1>
    </dataValidation>
    <dataValidation type="list" allowBlank="1" showInputMessage="1" showErrorMessage="1" sqref="C767">
      <formula1>PriceArea!A2:A1000</formula1>
    </dataValidation>
    <dataValidation type="list" allowBlank="1" showInputMessage="1" showErrorMessage="1" sqref="C768">
      <formula1>PriceArea!A2:A1000</formula1>
    </dataValidation>
    <dataValidation type="list" allowBlank="1" showInputMessage="1" showErrorMessage="1" sqref="C769">
      <formula1>PriceArea!A2:A1000</formula1>
    </dataValidation>
    <dataValidation type="list" allowBlank="1" showInputMessage="1" showErrorMessage="1" sqref="C770">
      <formula1>PriceArea!A2:A1000</formula1>
    </dataValidation>
    <dataValidation type="list" allowBlank="1" showInputMessage="1" showErrorMessage="1" sqref="C771">
      <formula1>PriceArea!A2:A1000</formula1>
    </dataValidation>
    <dataValidation type="list" allowBlank="1" showInputMessage="1" showErrorMessage="1" sqref="C772">
      <formula1>PriceArea!A2:A1000</formula1>
    </dataValidation>
    <dataValidation type="list" allowBlank="1" showInputMessage="1" showErrorMessage="1" sqref="C773">
      <formula1>PriceArea!A2:A1000</formula1>
    </dataValidation>
    <dataValidation type="list" allowBlank="1" showInputMessage="1" showErrorMessage="1" sqref="C774">
      <formula1>PriceArea!A2:A1000</formula1>
    </dataValidation>
    <dataValidation type="list" allowBlank="1" showInputMessage="1" showErrorMessage="1" sqref="C775">
      <formula1>PriceArea!A2:A1000</formula1>
    </dataValidation>
    <dataValidation type="list" allowBlank="1" showInputMessage="1" showErrorMessage="1" sqref="C776">
      <formula1>PriceArea!A2:A1000</formula1>
    </dataValidation>
    <dataValidation type="list" allowBlank="1" showInputMessage="1" showErrorMessage="1" sqref="C777">
      <formula1>PriceArea!A2:A1000</formula1>
    </dataValidation>
    <dataValidation type="list" allowBlank="1" showInputMessage="1" showErrorMessage="1" sqref="C778">
      <formula1>PriceArea!A2:A1000</formula1>
    </dataValidation>
    <dataValidation type="list" allowBlank="1" showInputMessage="1" showErrorMessage="1" sqref="C779">
      <formula1>PriceArea!A2:A1000</formula1>
    </dataValidation>
    <dataValidation type="list" allowBlank="1" showInputMessage="1" showErrorMessage="1" sqref="C780">
      <formula1>PriceArea!A2:A1000</formula1>
    </dataValidation>
    <dataValidation type="list" allowBlank="1" showInputMessage="1" showErrorMessage="1" sqref="C781">
      <formula1>PriceArea!A2:A1000</formula1>
    </dataValidation>
    <dataValidation type="list" allowBlank="1" showInputMessage="1" showErrorMessage="1" sqref="C782">
      <formula1>PriceArea!A2:A1000</formula1>
    </dataValidation>
    <dataValidation type="list" allowBlank="1" showInputMessage="1" showErrorMessage="1" sqref="C783">
      <formula1>PriceArea!A2:A1000</formula1>
    </dataValidation>
    <dataValidation type="list" allowBlank="1" showInputMessage="1" showErrorMessage="1" sqref="C784">
      <formula1>PriceArea!A2:A1000</formula1>
    </dataValidation>
    <dataValidation type="list" allowBlank="1" showInputMessage="1" showErrorMessage="1" sqref="C785">
      <formula1>PriceArea!A2:A1000</formula1>
    </dataValidation>
    <dataValidation type="list" allowBlank="1" showInputMessage="1" showErrorMessage="1" sqref="C786">
      <formula1>PriceArea!A2:A1000</formula1>
    </dataValidation>
    <dataValidation type="list" allowBlank="1" showInputMessage="1" showErrorMessage="1" sqref="C787">
      <formula1>PriceArea!A2:A1000</formula1>
    </dataValidation>
    <dataValidation type="list" allowBlank="1" showInputMessage="1" showErrorMessage="1" sqref="C788">
      <formula1>PriceArea!A2:A1000</formula1>
    </dataValidation>
    <dataValidation type="list" allowBlank="1" showInputMessage="1" showErrorMessage="1" sqref="C789">
      <formula1>PriceArea!A2:A1000</formula1>
    </dataValidation>
    <dataValidation type="list" allowBlank="1" showInputMessage="1" showErrorMessage="1" sqref="C790">
      <formula1>PriceArea!A2:A1000</formula1>
    </dataValidation>
    <dataValidation type="list" allowBlank="1" showInputMessage="1" showErrorMessage="1" sqref="C791">
      <formula1>PriceArea!A2:A1000</formula1>
    </dataValidation>
    <dataValidation type="list" allowBlank="1" showInputMessage="1" showErrorMessage="1" sqref="C792">
      <formula1>PriceArea!A2:A1000</formula1>
    </dataValidation>
    <dataValidation type="list" allowBlank="1" showInputMessage="1" showErrorMessage="1" sqref="C793">
      <formula1>PriceArea!A2:A1000</formula1>
    </dataValidation>
    <dataValidation type="list" allowBlank="1" showInputMessage="1" showErrorMessage="1" sqref="C794">
      <formula1>PriceArea!A2:A1000</formula1>
    </dataValidation>
    <dataValidation type="list" allowBlank="1" showInputMessage="1" showErrorMessage="1" sqref="C795">
      <formula1>PriceArea!A2:A1000</formula1>
    </dataValidation>
    <dataValidation type="list" allowBlank="1" showInputMessage="1" showErrorMessage="1" sqref="C796">
      <formula1>PriceArea!A2:A1000</formula1>
    </dataValidation>
    <dataValidation type="list" allowBlank="1" showInputMessage="1" showErrorMessage="1" sqref="C797">
      <formula1>PriceArea!A2:A1000</formula1>
    </dataValidation>
    <dataValidation type="list" allowBlank="1" showInputMessage="1" showErrorMessage="1" sqref="C798">
      <formula1>PriceArea!A2:A1000</formula1>
    </dataValidation>
    <dataValidation type="list" allowBlank="1" showInputMessage="1" showErrorMessage="1" sqref="C799">
      <formula1>PriceArea!A2:A1000</formula1>
    </dataValidation>
    <dataValidation type="list" allowBlank="1" showInputMessage="1" showErrorMessage="1" sqref="C800">
      <formula1>PriceArea!A2:A1000</formula1>
    </dataValidation>
    <dataValidation type="list" allowBlank="1" showInputMessage="1" showErrorMessage="1" sqref="C801">
      <formula1>PriceArea!A2:A1000</formula1>
    </dataValidation>
    <dataValidation type="list" allowBlank="1" showInputMessage="1" showErrorMessage="1" sqref="C802">
      <formula1>PriceArea!A2:A1000</formula1>
    </dataValidation>
    <dataValidation type="list" allowBlank="1" showInputMessage="1" showErrorMessage="1" sqref="C803">
      <formula1>PriceArea!A2:A1000</formula1>
    </dataValidation>
    <dataValidation type="list" allowBlank="1" showInputMessage="1" showErrorMessage="1" sqref="C804">
      <formula1>PriceArea!A2:A1000</formula1>
    </dataValidation>
    <dataValidation type="list" allowBlank="1" showInputMessage="1" showErrorMessage="1" sqref="C805">
      <formula1>PriceArea!A2:A1000</formula1>
    </dataValidation>
    <dataValidation type="list" allowBlank="1" showInputMessage="1" showErrorMessage="1" sqref="C806">
      <formula1>PriceArea!A2:A1000</formula1>
    </dataValidation>
    <dataValidation type="list" allowBlank="1" showInputMessage="1" showErrorMessage="1" sqref="C807">
      <formula1>PriceArea!A2:A1000</formula1>
    </dataValidation>
    <dataValidation type="list" allowBlank="1" showInputMessage="1" showErrorMessage="1" sqref="C808">
      <formula1>PriceArea!A2:A1000</formula1>
    </dataValidation>
    <dataValidation type="list" allowBlank="1" showInputMessage="1" showErrorMessage="1" sqref="C809">
      <formula1>PriceArea!A2:A1000</formula1>
    </dataValidation>
    <dataValidation type="list" allowBlank="1" showInputMessage="1" showErrorMessage="1" sqref="C810">
      <formula1>PriceArea!A2:A1000</formula1>
    </dataValidation>
    <dataValidation type="list" allowBlank="1" showInputMessage="1" showErrorMessage="1" sqref="C811">
      <formula1>PriceArea!A2:A1000</formula1>
    </dataValidation>
    <dataValidation type="list" allowBlank="1" showInputMessage="1" showErrorMessage="1" sqref="C812">
      <formula1>PriceArea!A2:A1000</formula1>
    </dataValidation>
    <dataValidation type="list" allowBlank="1" showInputMessage="1" showErrorMessage="1" sqref="C813">
      <formula1>PriceArea!A2:A1000</formula1>
    </dataValidation>
    <dataValidation type="list" allowBlank="1" showInputMessage="1" showErrorMessage="1" sqref="C814">
      <formula1>PriceArea!A2:A1000</formula1>
    </dataValidation>
    <dataValidation type="list" allowBlank="1" showInputMessage="1" showErrorMessage="1" sqref="C815">
      <formula1>PriceArea!A2:A1000</formula1>
    </dataValidation>
    <dataValidation type="list" allowBlank="1" showInputMessage="1" showErrorMessage="1" sqref="C816">
      <formula1>PriceArea!A2:A1000</formula1>
    </dataValidation>
    <dataValidation type="list" allowBlank="1" showInputMessage="1" showErrorMessage="1" sqref="C817">
      <formula1>PriceArea!A2:A1000</formula1>
    </dataValidation>
    <dataValidation type="list" allowBlank="1" showInputMessage="1" showErrorMessage="1" sqref="C818">
      <formula1>PriceArea!A2:A1000</formula1>
    </dataValidation>
    <dataValidation type="list" allowBlank="1" showInputMessage="1" showErrorMessage="1" sqref="C819">
      <formula1>PriceArea!A2:A1000</formula1>
    </dataValidation>
    <dataValidation type="list" allowBlank="1" showInputMessage="1" showErrorMessage="1" sqref="C820">
      <formula1>PriceArea!A2:A1000</formula1>
    </dataValidation>
    <dataValidation type="list" allowBlank="1" showInputMessage="1" showErrorMessage="1" sqref="C821">
      <formula1>PriceArea!A2:A1000</formula1>
    </dataValidation>
    <dataValidation type="list" allowBlank="1" showInputMessage="1" showErrorMessage="1" sqref="C822">
      <formula1>PriceArea!A2:A1000</formula1>
    </dataValidation>
    <dataValidation type="list" allowBlank="1" showInputMessage="1" showErrorMessage="1" sqref="C823">
      <formula1>PriceArea!A2:A1000</formula1>
    </dataValidation>
    <dataValidation type="list" allowBlank="1" showInputMessage="1" showErrorMessage="1" sqref="C824">
      <formula1>PriceArea!A2:A1000</formula1>
    </dataValidation>
    <dataValidation type="list" allowBlank="1" showInputMessage="1" showErrorMessage="1" sqref="C825">
      <formula1>PriceArea!A2:A1000</formula1>
    </dataValidation>
    <dataValidation type="list" allowBlank="1" showInputMessage="1" showErrorMessage="1" sqref="C826">
      <formula1>PriceArea!A2:A1000</formula1>
    </dataValidation>
    <dataValidation type="list" allowBlank="1" showInputMessage="1" showErrorMessage="1" sqref="C827">
      <formula1>PriceArea!A2:A1000</formula1>
    </dataValidation>
    <dataValidation type="list" allowBlank="1" showInputMessage="1" showErrorMessage="1" sqref="C828">
      <formula1>PriceArea!A2:A1000</formula1>
    </dataValidation>
    <dataValidation type="list" allowBlank="1" showInputMessage="1" showErrorMessage="1" sqref="C829">
      <formula1>PriceArea!A2:A1000</formula1>
    </dataValidation>
    <dataValidation type="list" allowBlank="1" showInputMessage="1" showErrorMessage="1" sqref="C830">
      <formula1>PriceArea!A2:A1000</formula1>
    </dataValidation>
    <dataValidation type="list" allowBlank="1" showInputMessage="1" showErrorMessage="1" sqref="C831">
      <formula1>PriceArea!A2:A1000</formula1>
    </dataValidation>
    <dataValidation type="list" allowBlank="1" showInputMessage="1" showErrorMessage="1" sqref="C832">
      <formula1>PriceArea!A2:A1000</formula1>
    </dataValidation>
    <dataValidation type="list" allowBlank="1" showInputMessage="1" showErrorMessage="1" sqref="C833">
      <formula1>PriceArea!A2:A1000</formula1>
    </dataValidation>
    <dataValidation type="list" allowBlank="1" showInputMessage="1" showErrorMessage="1" sqref="C834">
      <formula1>PriceArea!A2:A1000</formula1>
    </dataValidation>
    <dataValidation type="list" allowBlank="1" showInputMessage="1" showErrorMessage="1" sqref="C835">
      <formula1>PriceArea!A2:A1000</formula1>
    </dataValidation>
    <dataValidation type="list" allowBlank="1" showInputMessage="1" showErrorMessage="1" sqref="C836">
      <formula1>PriceArea!A2:A1000</formula1>
    </dataValidation>
    <dataValidation type="list" allowBlank="1" showInputMessage="1" showErrorMessage="1" sqref="C837">
      <formula1>PriceArea!A2:A1000</formula1>
    </dataValidation>
    <dataValidation type="list" allowBlank="1" showInputMessage="1" showErrorMessage="1" sqref="C838">
      <formula1>PriceArea!A2:A1000</formula1>
    </dataValidation>
    <dataValidation type="list" allowBlank="1" showInputMessage="1" showErrorMessage="1" sqref="C839">
      <formula1>PriceArea!A2:A1000</formula1>
    </dataValidation>
    <dataValidation type="list" allowBlank="1" showInputMessage="1" showErrorMessage="1" sqref="C840">
      <formula1>PriceArea!A2:A1000</formula1>
    </dataValidation>
    <dataValidation type="list" allowBlank="1" showInputMessage="1" showErrorMessage="1" sqref="C841">
      <formula1>PriceArea!A2:A1000</formula1>
    </dataValidation>
    <dataValidation type="list" allowBlank="1" showInputMessage="1" showErrorMessage="1" sqref="C842">
      <formula1>PriceArea!A2:A1000</formula1>
    </dataValidation>
    <dataValidation type="list" allowBlank="1" showInputMessage="1" showErrorMessage="1" sqref="C843">
      <formula1>PriceArea!A2:A1000</formula1>
    </dataValidation>
    <dataValidation type="list" allowBlank="1" showInputMessage="1" showErrorMessage="1" sqref="C844">
      <formula1>PriceArea!A2:A1000</formula1>
    </dataValidation>
    <dataValidation type="list" allowBlank="1" showInputMessage="1" showErrorMessage="1" sqref="C845">
      <formula1>PriceArea!A2:A1000</formula1>
    </dataValidation>
    <dataValidation type="list" allowBlank="1" showInputMessage="1" showErrorMessage="1" sqref="C846">
      <formula1>PriceArea!A2:A1000</formula1>
    </dataValidation>
    <dataValidation type="list" allowBlank="1" showInputMessage="1" showErrorMessage="1" sqref="C847">
      <formula1>PriceArea!A2:A1000</formula1>
    </dataValidation>
    <dataValidation type="list" allowBlank="1" showInputMessage="1" showErrorMessage="1" sqref="C848">
      <formula1>PriceArea!A2:A1000</formula1>
    </dataValidation>
    <dataValidation type="list" allowBlank="1" showInputMessage="1" showErrorMessage="1" sqref="C849">
      <formula1>PriceArea!A2:A1000</formula1>
    </dataValidation>
    <dataValidation type="list" allowBlank="1" showInputMessage="1" showErrorMessage="1" sqref="C850">
      <formula1>PriceArea!A2:A1000</formula1>
    </dataValidation>
    <dataValidation type="list" allowBlank="1" showInputMessage="1" showErrorMessage="1" sqref="C851">
      <formula1>PriceArea!A2:A1000</formula1>
    </dataValidation>
    <dataValidation type="list" allowBlank="1" showInputMessage="1" showErrorMessage="1" sqref="C852">
      <formula1>PriceArea!A2:A1000</formula1>
    </dataValidation>
    <dataValidation type="list" allowBlank="1" showInputMessage="1" showErrorMessage="1" sqref="C853">
      <formula1>PriceArea!A2:A1000</formula1>
    </dataValidation>
    <dataValidation type="list" allowBlank="1" showInputMessage="1" showErrorMessage="1" sqref="C854">
      <formula1>PriceArea!A2:A1000</formula1>
    </dataValidation>
    <dataValidation type="list" allowBlank="1" showInputMessage="1" showErrorMessage="1" sqref="C855">
      <formula1>PriceArea!A2:A1000</formula1>
    </dataValidation>
    <dataValidation type="list" allowBlank="1" showInputMessage="1" showErrorMessage="1" sqref="C856">
      <formula1>PriceArea!A2:A1000</formula1>
    </dataValidation>
    <dataValidation type="list" allowBlank="1" showInputMessage="1" showErrorMessage="1" sqref="C857">
      <formula1>PriceArea!A2:A1000</formula1>
    </dataValidation>
    <dataValidation type="list" allowBlank="1" showInputMessage="1" showErrorMessage="1" sqref="C858">
      <formula1>PriceArea!A2:A1000</formula1>
    </dataValidation>
    <dataValidation type="list" allowBlank="1" showInputMessage="1" showErrorMessage="1" sqref="C859">
      <formula1>PriceArea!A2:A1000</formula1>
    </dataValidation>
    <dataValidation type="list" allowBlank="1" showInputMessage="1" showErrorMessage="1" sqref="C860">
      <formula1>PriceArea!A2:A1000</formula1>
    </dataValidation>
    <dataValidation type="list" allowBlank="1" showInputMessage="1" showErrorMessage="1" sqref="C861">
      <formula1>PriceArea!A2:A1000</formula1>
    </dataValidation>
    <dataValidation type="list" allowBlank="1" showInputMessage="1" showErrorMessage="1" sqref="C862">
      <formula1>PriceArea!A2:A1000</formula1>
    </dataValidation>
    <dataValidation type="list" allowBlank="1" showInputMessage="1" showErrorMessage="1" sqref="C863">
      <formula1>PriceArea!A2:A1000</formula1>
    </dataValidation>
    <dataValidation type="list" allowBlank="1" showInputMessage="1" showErrorMessage="1" sqref="C864">
      <formula1>PriceArea!A2:A1000</formula1>
    </dataValidation>
    <dataValidation type="list" allowBlank="1" showInputMessage="1" showErrorMessage="1" sqref="C865">
      <formula1>PriceArea!A2:A1000</formula1>
    </dataValidation>
    <dataValidation type="list" allowBlank="1" showInputMessage="1" showErrorMessage="1" sqref="C866">
      <formula1>PriceArea!A2:A1000</formula1>
    </dataValidation>
    <dataValidation type="list" allowBlank="1" showInputMessage="1" showErrorMessage="1" sqref="C867">
      <formula1>PriceArea!A2:A1000</formula1>
    </dataValidation>
    <dataValidation type="list" allowBlank="1" showInputMessage="1" showErrorMessage="1" sqref="C868">
      <formula1>PriceArea!A2:A1000</formula1>
    </dataValidation>
    <dataValidation type="list" allowBlank="1" showInputMessage="1" showErrorMessage="1" sqref="C869">
      <formula1>PriceArea!A2:A1000</formula1>
    </dataValidation>
    <dataValidation type="list" allowBlank="1" showInputMessage="1" showErrorMessage="1" sqref="C870">
      <formula1>PriceArea!A2:A1000</formula1>
    </dataValidation>
    <dataValidation type="list" allowBlank="1" showInputMessage="1" showErrorMessage="1" sqref="C871">
      <formula1>PriceArea!A2:A1000</formula1>
    </dataValidation>
    <dataValidation type="list" allowBlank="1" showInputMessage="1" showErrorMessage="1" sqref="C872">
      <formula1>PriceArea!A2:A1000</formula1>
    </dataValidation>
    <dataValidation type="list" allowBlank="1" showInputMessage="1" showErrorMessage="1" sqref="C873">
      <formula1>PriceArea!A2:A1000</formula1>
    </dataValidation>
    <dataValidation type="list" allowBlank="1" showInputMessage="1" showErrorMessage="1" sqref="C874">
      <formula1>PriceArea!A2:A1000</formula1>
    </dataValidation>
    <dataValidation type="list" allowBlank="1" showInputMessage="1" showErrorMessage="1" sqref="C875">
      <formula1>PriceArea!A2:A1000</formula1>
    </dataValidation>
    <dataValidation type="list" allowBlank="1" showInputMessage="1" showErrorMessage="1" sqref="C876">
      <formula1>PriceArea!A2:A1000</formula1>
    </dataValidation>
    <dataValidation type="list" allowBlank="1" showInputMessage="1" showErrorMessage="1" sqref="C877">
      <formula1>PriceArea!A2:A1000</formula1>
    </dataValidation>
    <dataValidation type="list" allowBlank="1" showInputMessage="1" showErrorMessage="1" sqref="C878">
      <formula1>PriceArea!A2:A1000</formula1>
    </dataValidation>
    <dataValidation type="list" allowBlank="1" showInputMessage="1" showErrorMessage="1" sqref="C879">
      <formula1>PriceArea!A2:A1000</formula1>
    </dataValidation>
    <dataValidation type="list" allowBlank="1" showInputMessage="1" showErrorMessage="1" sqref="C880">
      <formula1>PriceArea!A2:A1000</formula1>
    </dataValidation>
    <dataValidation type="list" allowBlank="1" showInputMessage="1" showErrorMessage="1" sqref="C881">
      <formula1>PriceArea!A2:A1000</formula1>
    </dataValidation>
    <dataValidation type="list" allowBlank="1" showInputMessage="1" showErrorMessage="1" sqref="C882">
      <formula1>PriceArea!A2:A1000</formula1>
    </dataValidation>
    <dataValidation type="list" allowBlank="1" showInputMessage="1" showErrorMessage="1" sqref="C883">
      <formula1>PriceArea!A2:A1000</formula1>
    </dataValidation>
    <dataValidation type="list" allowBlank="1" showInputMessage="1" showErrorMessage="1" sqref="C884">
      <formula1>PriceArea!A2:A1000</formula1>
    </dataValidation>
    <dataValidation type="list" allowBlank="1" showInputMessage="1" showErrorMessage="1" sqref="C885">
      <formula1>PriceArea!A2:A1000</formula1>
    </dataValidation>
    <dataValidation type="list" allowBlank="1" showInputMessage="1" showErrorMessage="1" sqref="C886">
      <formula1>PriceArea!A2:A1000</formula1>
    </dataValidation>
    <dataValidation type="list" allowBlank="1" showInputMessage="1" showErrorMessage="1" sqref="C887">
      <formula1>PriceArea!A2:A1000</formula1>
    </dataValidation>
    <dataValidation type="list" allowBlank="1" showInputMessage="1" showErrorMessage="1" sqref="C888">
      <formula1>PriceArea!A2:A1000</formula1>
    </dataValidation>
    <dataValidation type="list" allowBlank="1" showInputMessage="1" showErrorMessage="1" sqref="C889">
      <formula1>PriceArea!A2:A1000</formula1>
    </dataValidation>
    <dataValidation type="list" allowBlank="1" showInputMessage="1" showErrorMessage="1" sqref="C890">
      <formula1>PriceArea!A2:A1000</formula1>
    </dataValidation>
    <dataValidation type="list" allowBlank="1" showInputMessage="1" showErrorMessage="1" sqref="C891">
      <formula1>PriceArea!A2:A1000</formula1>
    </dataValidation>
    <dataValidation type="list" allowBlank="1" showInputMessage="1" showErrorMessage="1" sqref="C892">
      <formula1>PriceArea!A2:A1000</formula1>
    </dataValidation>
    <dataValidation type="list" allowBlank="1" showInputMessage="1" showErrorMessage="1" sqref="C893">
      <formula1>PriceArea!A2:A1000</formula1>
    </dataValidation>
    <dataValidation type="list" allowBlank="1" showInputMessage="1" showErrorMessage="1" sqref="C894">
      <formula1>PriceArea!A2:A1000</formula1>
    </dataValidation>
    <dataValidation type="list" allowBlank="1" showInputMessage="1" showErrorMessage="1" sqref="C895">
      <formula1>PriceArea!A2:A1000</formula1>
    </dataValidation>
    <dataValidation type="list" allowBlank="1" showInputMessage="1" showErrorMessage="1" sqref="C896">
      <formula1>PriceArea!A2:A1000</formula1>
    </dataValidation>
    <dataValidation type="list" allowBlank="1" showInputMessage="1" showErrorMessage="1" sqref="C897">
      <formula1>PriceArea!A2:A1000</formula1>
    </dataValidation>
    <dataValidation type="list" allowBlank="1" showInputMessage="1" showErrorMessage="1" sqref="C898">
      <formula1>PriceArea!A2:A1000</formula1>
    </dataValidation>
    <dataValidation type="list" allowBlank="1" showInputMessage="1" showErrorMessage="1" sqref="C899">
      <formula1>PriceArea!A2:A1000</formula1>
    </dataValidation>
    <dataValidation type="list" allowBlank="1" showInputMessage="1" showErrorMessage="1" sqref="C900">
      <formula1>PriceArea!A2:A1000</formula1>
    </dataValidation>
    <dataValidation type="list" allowBlank="1" showInputMessage="1" showErrorMessage="1" sqref="C901">
      <formula1>PriceArea!A2:A1000</formula1>
    </dataValidation>
    <dataValidation type="list" allowBlank="1" showInputMessage="1" showErrorMessage="1" sqref="C902">
      <formula1>PriceArea!A2:A1000</formula1>
    </dataValidation>
    <dataValidation type="list" allowBlank="1" showInputMessage="1" showErrorMessage="1" sqref="C903">
      <formula1>PriceArea!A2:A1000</formula1>
    </dataValidation>
    <dataValidation type="list" allowBlank="1" showInputMessage="1" showErrorMessage="1" sqref="C904">
      <formula1>PriceArea!A2:A1000</formula1>
    </dataValidation>
    <dataValidation type="list" allowBlank="1" showInputMessage="1" showErrorMessage="1" sqref="C905">
      <formula1>PriceArea!A2:A1000</formula1>
    </dataValidation>
    <dataValidation type="list" allowBlank="1" showInputMessage="1" showErrorMessage="1" sqref="C906">
      <formula1>PriceArea!A2:A1000</formula1>
    </dataValidation>
    <dataValidation type="list" allowBlank="1" showInputMessage="1" showErrorMessage="1" sqref="C907">
      <formula1>PriceArea!A2:A1000</formula1>
    </dataValidation>
    <dataValidation type="list" allowBlank="1" showInputMessage="1" showErrorMessage="1" sqref="C908">
      <formula1>PriceArea!A2:A1000</formula1>
    </dataValidation>
    <dataValidation type="list" allowBlank="1" showInputMessage="1" showErrorMessage="1" sqref="C909">
      <formula1>PriceArea!A2:A1000</formula1>
    </dataValidation>
    <dataValidation type="list" allowBlank="1" showInputMessage="1" showErrorMessage="1" sqref="C910">
      <formula1>PriceArea!A2:A1000</formula1>
    </dataValidation>
    <dataValidation type="list" allowBlank="1" showInputMessage="1" showErrorMessage="1" sqref="C911">
      <formula1>PriceArea!A2:A1000</formula1>
    </dataValidation>
    <dataValidation type="list" allowBlank="1" showInputMessage="1" showErrorMessage="1" sqref="C912">
      <formula1>PriceArea!A2:A1000</formula1>
    </dataValidation>
    <dataValidation type="list" allowBlank="1" showInputMessage="1" showErrorMessage="1" sqref="C913">
      <formula1>PriceArea!A2:A1000</formula1>
    </dataValidation>
    <dataValidation type="list" allowBlank="1" showInputMessage="1" showErrorMessage="1" sqref="C914">
      <formula1>PriceArea!A2:A1000</formula1>
    </dataValidation>
    <dataValidation type="list" allowBlank="1" showInputMessage="1" showErrorMessage="1" sqref="C915">
      <formula1>PriceArea!A2:A1000</formula1>
    </dataValidation>
    <dataValidation type="list" allowBlank="1" showInputMessage="1" showErrorMessage="1" sqref="C916">
      <formula1>PriceArea!A2:A1000</formula1>
    </dataValidation>
    <dataValidation type="list" allowBlank="1" showInputMessage="1" showErrorMessage="1" sqref="C917">
      <formula1>PriceArea!A2:A1000</formula1>
    </dataValidation>
    <dataValidation type="list" allowBlank="1" showInputMessage="1" showErrorMessage="1" sqref="C918">
      <formula1>PriceArea!A2:A1000</formula1>
    </dataValidation>
    <dataValidation type="list" allowBlank="1" showInputMessage="1" showErrorMessage="1" sqref="C919">
      <formula1>PriceArea!A2:A1000</formula1>
    </dataValidation>
    <dataValidation type="list" allowBlank="1" showInputMessage="1" showErrorMessage="1" sqref="C920">
      <formula1>PriceArea!A2:A1000</formula1>
    </dataValidation>
    <dataValidation type="list" allowBlank="1" showInputMessage="1" showErrorMessage="1" sqref="C921">
      <formula1>PriceArea!A2:A1000</formula1>
    </dataValidation>
    <dataValidation type="list" allowBlank="1" showInputMessage="1" showErrorMessage="1" sqref="C922">
      <formula1>PriceArea!A2:A1000</formula1>
    </dataValidation>
    <dataValidation type="list" allowBlank="1" showInputMessage="1" showErrorMessage="1" sqref="C923">
      <formula1>PriceArea!A2:A1000</formula1>
    </dataValidation>
    <dataValidation type="list" allowBlank="1" showInputMessage="1" showErrorMessage="1" sqref="C924">
      <formula1>PriceArea!A2:A1000</formula1>
    </dataValidation>
    <dataValidation type="list" allowBlank="1" showInputMessage="1" showErrorMessage="1" sqref="C925">
      <formula1>PriceArea!A2:A1000</formula1>
    </dataValidation>
    <dataValidation type="list" allowBlank="1" showInputMessage="1" showErrorMessage="1" sqref="C926">
      <formula1>PriceArea!A2:A1000</formula1>
    </dataValidation>
    <dataValidation type="list" allowBlank="1" showInputMessage="1" showErrorMessage="1" sqref="C927">
      <formula1>PriceArea!A2:A1000</formula1>
    </dataValidation>
    <dataValidation type="list" allowBlank="1" showInputMessage="1" showErrorMessage="1" sqref="C928">
      <formula1>PriceArea!A2:A1000</formula1>
    </dataValidation>
    <dataValidation type="list" allowBlank="1" showInputMessage="1" showErrorMessage="1" sqref="C929">
      <formula1>PriceArea!A2:A1000</formula1>
    </dataValidation>
    <dataValidation type="list" allowBlank="1" showInputMessage="1" showErrorMessage="1" sqref="C930">
      <formula1>PriceArea!A2:A1000</formula1>
    </dataValidation>
    <dataValidation type="list" allowBlank="1" showInputMessage="1" showErrorMessage="1" sqref="C931">
      <formula1>PriceArea!A2:A1000</formula1>
    </dataValidation>
    <dataValidation type="list" allowBlank="1" showInputMessage="1" showErrorMessage="1" sqref="C932">
      <formula1>PriceArea!A2:A1000</formula1>
    </dataValidation>
    <dataValidation type="list" allowBlank="1" showInputMessage="1" showErrorMessage="1" sqref="C933">
      <formula1>PriceArea!A2:A1000</formula1>
    </dataValidation>
    <dataValidation type="list" allowBlank="1" showInputMessage="1" showErrorMessage="1" sqref="C934">
      <formula1>PriceArea!A2:A1000</formula1>
    </dataValidation>
    <dataValidation type="list" allowBlank="1" showInputMessage="1" showErrorMessage="1" sqref="C935">
      <formula1>PriceArea!A2:A1000</formula1>
    </dataValidation>
    <dataValidation type="list" allowBlank="1" showInputMessage="1" showErrorMessage="1" sqref="C936">
      <formula1>PriceArea!A2:A1000</formula1>
    </dataValidation>
    <dataValidation type="list" allowBlank="1" showInputMessage="1" showErrorMessage="1" sqref="C937">
      <formula1>PriceArea!A2:A1000</formula1>
    </dataValidation>
    <dataValidation type="list" allowBlank="1" showInputMessage="1" showErrorMessage="1" sqref="C938">
      <formula1>PriceArea!A2:A1000</formula1>
    </dataValidation>
    <dataValidation type="list" allowBlank="1" showInputMessage="1" showErrorMessage="1" sqref="C939">
      <formula1>PriceArea!A2:A1000</formula1>
    </dataValidation>
    <dataValidation type="list" allowBlank="1" showInputMessage="1" showErrorMessage="1" sqref="C940">
      <formula1>PriceArea!A2:A1000</formula1>
    </dataValidation>
    <dataValidation type="list" allowBlank="1" showInputMessage="1" showErrorMessage="1" sqref="C941">
      <formula1>PriceArea!A2:A1000</formula1>
    </dataValidation>
    <dataValidation type="list" allowBlank="1" showInputMessage="1" showErrorMessage="1" sqref="C942">
      <formula1>PriceArea!A2:A1000</formula1>
    </dataValidation>
    <dataValidation type="list" allowBlank="1" showInputMessage="1" showErrorMessage="1" sqref="C943">
      <formula1>PriceArea!A2:A1000</formula1>
    </dataValidation>
    <dataValidation type="list" allowBlank="1" showInputMessage="1" showErrorMessage="1" sqref="C944">
      <formula1>PriceArea!A2:A1000</formula1>
    </dataValidation>
    <dataValidation type="list" allowBlank="1" showInputMessage="1" showErrorMessage="1" sqref="C945">
      <formula1>PriceArea!A2:A1000</formula1>
    </dataValidation>
    <dataValidation type="list" allowBlank="1" showInputMessage="1" showErrorMessage="1" sqref="C946">
      <formula1>PriceArea!A2:A1000</formula1>
    </dataValidation>
    <dataValidation type="list" allowBlank="1" showInputMessage="1" showErrorMessage="1" sqref="C947">
      <formula1>PriceArea!A2:A1000</formula1>
    </dataValidation>
    <dataValidation type="list" allowBlank="1" showInputMessage="1" showErrorMessage="1" sqref="C948">
      <formula1>PriceArea!A2:A1000</formula1>
    </dataValidation>
    <dataValidation type="list" allowBlank="1" showInputMessage="1" showErrorMessage="1" sqref="C949">
      <formula1>PriceArea!A2:A1000</formula1>
    </dataValidation>
    <dataValidation type="list" allowBlank="1" showInputMessage="1" showErrorMessage="1" sqref="C950">
      <formula1>PriceArea!A2:A1000</formula1>
    </dataValidation>
    <dataValidation type="list" allowBlank="1" showInputMessage="1" showErrorMessage="1" sqref="C951">
      <formula1>PriceArea!A2:A1000</formula1>
    </dataValidation>
    <dataValidation type="list" allowBlank="1" showInputMessage="1" showErrorMessage="1" sqref="C952">
      <formula1>PriceArea!A2:A1000</formula1>
    </dataValidation>
    <dataValidation type="list" allowBlank="1" showInputMessage="1" showErrorMessage="1" sqref="C953">
      <formula1>PriceArea!A2:A1000</formula1>
    </dataValidation>
    <dataValidation type="list" allowBlank="1" showInputMessage="1" showErrorMessage="1" sqref="C954">
      <formula1>PriceArea!A2:A1000</formula1>
    </dataValidation>
    <dataValidation type="list" allowBlank="1" showInputMessage="1" showErrorMessage="1" sqref="C955">
      <formula1>PriceArea!A2:A1000</formula1>
    </dataValidation>
    <dataValidation type="list" allowBlank="1" showInputMessage="1" showErrorMessage="1" sqref="C956">
      <formula1>PriceArea!A2:A1000</formula1>
    </dataValidation>
    <dataValidation type="list" allowBlank="1" showInputMessage="1" showErrorMessage="1" sqref="C957">
      <formula1>PriceArea!A2:A1000</formula1>
    </dataValidation>
    <dataValidation type="list" allowBlank="1" showInputMessage="1" showErrorMessage="1" sqref="C958">
      <formula1>PriceArea!A2:A1000</formula1>
    </dataValidation>
    <dataValidation type="list" allowBlank="1" showInputMessage="1" showErrorMessage="1" sqref="C959">
      <formula1>PriceArea!A2:A1000</formula1>
    </dataValidation>
    <dataValidation type="list" allowBlank="1" showInputMessage="1" showErrorMessage="1" sqref="C960">
      <formula1>PriceArea!A2:A1000</formula1>
    </dataValidation>
    <dataValidation type="list" allowBlank="1" showInputMessage="1" showErrorMessage="1" sqref="C961">
      <formula1>PriceArea!A2:A1000</formula1>
    </dataValidation>
    <dataValidation type="list" allowBlank="1" showInputMessage="1" showErrorMessage="1" sqref="C962">
      <formula1>PriceArea!A2:A1000</formula1>
    </dataValidation>
    <dataValidation type="list" allowBlank="1" showInputMessage="1" showErrorMessage="1" sqref="C963">
      <formula1>PriceArea!A2:A1000</formula1>
    </dataValidation>
    <dataValidation type="list" allowBlank="1" showInputMessage="1" showErrorMessage="1" sqref="C964">
      <formula1>PriceArea!A2:A1000</formula1>
    </dataValidation>
    <dataValidation type="list" allowBlank="1" showInputMessage="1" showErrorMessage="1" sqref="C965">
      <formula1>PriceArea!A2:A1000</formula1>
    </dataValidation>
    <dataValidation type="list" allowBlank="1" showInputMessage="1" showErrorMessage="1" sqref="C966">
      <formula1>PriceArea!A2:A1000</formula1>
    </dataValidation>
    <dataValidation type="list" allowBlank="1" showInputMessage="1" showErrorMessage="1" sqref="C967">
      <formula1>PriceArea!A2:A1000</formula1>
    </dataValidation>
    <dataValidation type="list" allowBlank="1" showInputMessage="1" showErrorMessage="1" sqref="C968">
      <formula1>PriceArea!A2:A1000</formula1>
    </dataValidation>
    <dataValidation type="list" allowBlank="1" showInputMessage="1" showErrorMessage="1" sqref="C969">
      <formula1>PriceArea!A2:A1000</formula1>
    </dataValidation>
    <dataValidation type="list" allowBlank="1" showInputMessage="1" showErrorMessage="1" sqref="C970">
      <formula1>PriceArea!A2:A1000</formula1>
    </dataValidation>
    <dataValidation type="list" allowBlank="1" showInputMessage="1" showErrorMessage="1" sqref="C971">
      <formula1>PriceArea!A2:A1000</formula1>
    </dataValidation>
    <dataValidation type="list" allowBlank="1" showInputMessage="1" showErrorMessage="1" sqref="C972">
      <formula1>PriceArea!A2:A1000</formula1>
    </dataValidation>
    <dataValidation type="list" allowBlank="1" showInputMessage="1" showErrorMessage="1" sqref="C973">
      <formula1>PriceArea!A2:A1000</formula1>
    </dataValidation>
    <dataValidation type="list" allowBlank="1" showInputMessage="1" showErrorMessage="1" sqref="C974">
      <formula1>PriceArea!A2:A1000</formula1>
    </dataValidation>
    <dataValidation type="list" allowBlank="1" showInputMessage="1" showErrorMessage="1" sqref="C975">
      <formula1>PriceArea!A2:A1000</formula1>
    </dataValidation>
    <dataValidation type="list" allowBlank="1" showInputMessage="1" showErrorMessage="1" sqref="C976">
      <formula1>PriceArea!A2:A1000</formula1>
    </dataValidation>
    <dataValidation type="list" allowBlank="1" showInputMessage="1" showErrorMessage="1" sqref="C977">
      <formula1>PriceArea!A2:A1000</formula1>
    </dataValidation>
    <dataValidation type="list" allowBlank="1" showInputMessage="1" showErrorMessage="1" sqref="C978">
      <formula1>PriceArea!A2:A1000</formula1>
    </dataValidation>
    <dataValidation type="list" allowBlank="1" showInputMessage="1" showErrorMessage="1" sqref="C979">
      <formula1>PriceArea!A2:A1000</formula1>
    </dataValidation>
    <dataValidation type="list" allowBlank="1" showInputMessage="1" showErrorMessage="1" sqref="C980">
      <formula1>PriceArea!A2:A1000</formula1>
    </dataValidation>
    <dataValidation type="list" allowBlank="1" showInputMessage="1" showErrorMessage="1" sqref="C981">
      <formula1>PriceArea!A2:A1000</formula1>
    </dataValidation>
    <dataValidation type="list" allowBlank="1" showInputMessage="1" showErrorMessage="1" sqref="C982">
      <formula1>PriceArea!A2:A1000</formula1>
    </dataValidation>
    <dataValidation type="list" allowBlank="1" showInputMessage="1" showErrorMessage="1" sqref="C983">
      <formula1>PriceArea!A2:A1000</formula1>
    </dataValidation>
    <dataValidation type="list" allowBlank="1" showInputMessage="1" showErrorMessage="1" sqref="C984">
      <formula1>PriceArea!A2:A1000</formula1>
    </dataValidation>
    <dataValidation type="list" allowBlank="1" showInputMessage="1" showErrorMessage="1" sqref="C985">
      <formula1>PriceArea!A2:A1000</formula1>
    </dataValidation>
    <dataValidation type="list" allowBlank="1" showInputMessage="1" showErrorMessage="1" sqref="C986">
      <formula1>PriceArea!A2:A1000</formula1>
    </dataValidation>
    <dataValidation type="list" allowBlank="1" showInputMessage="1" showErrorMessage="1" sqref="C987">
      <formula1>PriceArea!A2:A1000</formula1>
    </dataValidation>
    <dataValidation type="list" allowBlank="1" showInputMessage="1" showErrorMessage="1" sqref="C988">
      <formula1>PriceArea!A2:A1000</formula1>
    </dataValidation>
    <dataValidation type="list" allowBlank="1" showInputMessage="1" showErrorMessage="1" sqref="C989">
      <formula1>PriceArea!A2:A1000</formula1>
    </dataValidation>
    <dataValidation type="list" allowBlank="1" showInputMessage="1" showErrorMessage="1" sqref="C990">
      <formula1>PriceArea!A2:A1000</formula1>
    </dataValidation>
    <dataValidation type="list" allowBlank="1" showInputMessage="1" showErrorMessage="1" sqref="C991">
      <formula1>PriceArea!A2:A1000</formula1>
    </dataValidation>
    <dataValidation type="list" allowBlank="1" showInputMessage="1" showErrorMessage="1" sqref="C992">
      <formula1>PriceArea!A2:A1000</formula1>
    </dataValidation>
    <dataValidation type="list" allowBlank="1" showInputMessage="1" showErrorMessage="1" sqref="C993">
      <formula1>PriceArea!A2:A1000</formula1>
    </dataValidation>
    <dataValidation type="list" allowBlank="1" showInputMessage="1" showErrorMessage="1" sqref="C994">
      <formula1>PriceArea!A2:A1000</formula1>
    </dataValidation>
    <dataValidation type="list" allowBlank="1" showInputMessage="1" showErrorMessage="1" sqref="C995">
      <formula1>PriceArea!A2:A1000</formula1>
    </dataValidation>
    <dataValidation type="list" allowBlank="1" showInputMessage="1" showErrorMessage="1" sqref="C996">
      <formula1>PriceArea!A2:A1000</formula1>
    </dataValidation>
    <dataValidation type="list" allowBlank="1" showInputMessage="1" showErrorMessage="1" sqref="C997">
      <formula1>PriceArea!A2:A1000</formula1>
    </dataValidation>
    <dataValidation type="list" allowBlank="1" showInputMessage="1" showErrorMessage="1" sqref="C998">
      <formula1>PriceArea!A2:A1000</formula1>
    </dataValidation>
    <dataValidation type="list" allowBlank="1" showInputMessage="1" showErrorMessage="1" sqref="C999">
      <formula1>PriceArea!A2:A1000</formula1>
    </dataValidation>
    <dataValidation type="list" allowBlank="1" showInputMessage="1" showErrorMessage="1" sqref="C1000">
      <formula1>PriceArea!A2:A1000</formula1>
    </dataValidation>
    <dataValidation type="list" allowBlank="1" showInputMessage="1" showErrorMessage="1" sqref="C1001">
      <formula1>PriceArea!A2:A1000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CountryGroup</vt:lpstr>
      <vt:lpstr>Country</vt:lpstr>
      <vt:lpstr>PriceArea</vt:lpstr>
      <vt:lpstr>PriceAreaConnection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2023-05-25T10:50:38Z</dcterms:created>
  <dcterms:modified xsi:type="dcterms:W3CDTF">2023-05-25T10:50:38Z</dcterms:modified>
</cp:coreProperties>
</file>