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slicers/slicer5.xml" ContentType="application/vnd.ms-excel.slicer+xml"/>
  <Override PartName="/xl/charts/chartEx3.xml" ContentType="application/vnd.ms-office.chartex+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Ex4.xml" ContentType="application/vnd.ms-office.chartex+xml"/>
  <Override PartName="/xl/charts/style31.xml" ContentType="application/vnd.ms-office.chartstyle+xml"/>
  <Override PartName="/xl/charts/colors31.xml" ContentType="application/vnd.ms-office.chartcolorstyle+xml"/>
  <Override PartName="/xl/charts/chart29.xml" ContentType="application/vnd.openxmlformats-officedocument.drawingml.chart+xml"/>
  <Override PartName="/xl/charts/style32.xml" ContentType="application/vnd.ms-office.chartstyle+xml"/>
  <Override PartName="/xl/charts/colors32.xml" ContentType="application/vnd.ms-office.chartcolorstyle+xml"/>
  <Override PartName="/xl/charts/chart30.xml" ContentType="application/vnd.openxmlformats-officedocument.drawingml.chart+xml"/>
  <Override PartName="/xl/charts/style33.xml" ContentType="application/vnd.ms-office.chartstyle+xml"/>
  <Override PartName="/xl/charts/colors33.xml" ContentType="application/vnd.ms-office.chartcolorstyle+xml"/>
  <Override PartName="/xl/charts/chart31.xml" ContentType="application/vnd.openxmlformats-officedocument.drawingml.chart+xml"/>
  <Override PartName="/xl/charts/style34.xml" ContentType="application/vnd.ms-office.chartstyle+xml"/>
  <Override PartName="/xl/charts/colors34.xml" ContentType="application/vnd.ms-office.chartcolorstyle+xml"/>
  <Override PartName="/xl/charts/chart32.xml" ContentType="application/vnd.openxmlformats-officedocument.drawingml.chart+xml"/>
  <Override PartName="/xl/charts/style35.xml" ContentType="application/vnd.ms-office.chartstyle+xml"/>
  <Override PartName="/xl/charts/colors35.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33.xml" ContentType="application/vnd.openxmlformats-officedocument.drawingml.chart+xml"/>
  <Override PartName="/xl/charts/style36.xml" ContentType="application/vnd.ms-office.chartstyle+xml"/>
  <Override PartName="/xl/charts/colors36.xml" ContentType="application/vnd.ms-office.chartcolorstyle+xml"/>
  <Override PartName="/xl/charts/chart34.xml" ContentType="application/vnd.openxmlformats-officedocument.drawingml.chart+xml"/>
  <Override PartName="/xl/charts/style37.xml" ContentType="application/vnd.ms-office.chartstyle+xml"/>
  <Override PartName="/xl/charts/colors37.xml" ContentType="application/vnd.ms-office.chartcolorstyle+xml"/>
  <Override PartName="/xl/charts/chartEx5.xml" ContentType="application/vnd.ms-office.chartex+xml"/>
  <Override PartName="/xl/charts/style38.xml" ContentType="application/vnd.ms-office.chartstyle+xml"/>
  <Override PartName="/xl/charts/colors38.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9.xml" ContentType="application/vnd.openxmlformats-officedocument.drawing+xml"/>
  <Override PartName="/xl/charts/chart35.xml" ContentType="application/vnd.openxmlformats-officedocument.drawingml.chart+xml"/>
  <Override PartName="/xl/charts/style39.xml" ContentType="application/vnd.ms-office.chartstyle+xml"/>
  <Override PartName="/xl/charts/colors39.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0.xml" ContentType="application/vnd.openxmlformats-officedocument.drawing+xml"/>
  <Override PartName="/xl/charts/chart36.xml" ContentType="application/vnd.openxmlformats-officedocument.drawingml.chart+xml"/>
  <Override PartName="/xl/charts/style40.xml" ContentType="application/vnd.ms-office.chartstyle+xml"/>
  <Override PartName="/xl/charts/colors40.xml" ContentType="application/vnd.ms-office.chartcolorstyle+xml"/>
  <Override PartName="/xl/charts/chart37.xml" ContentType="application/vnd.openxmlformats-officedocument.drawingml.chart+xml"/>
  <Override PartName="/xl/charts/style41.xml" ContentType="application/vnd.ms-office.chartstyle+xml"/>
  <Override PartName="/xl/charts/colors41.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11.xml" ContentType="application/vnd.openxmlformats-officedocument.drawing+xml"/>
  <Override PartName="/xl/slicers/slicer8.xml" ContentType="application/vnd.ms-excel.slicer+xml"/>
  <Override PartName="/xl/charts/chart38.xml" ContentType="application/vnd.openxmlformats-officedocument.drawingml.chart+xml"/>
  <Override PartName="/xl/charts/style42.xml" ContentType="application/vnd.ms-office.chartstyle+xml"/>
  <Override PartName="/xl/charts/colors42.xml" ContentType="application/vnd.ms-office.chartcolorstyle+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style43.xml" ContentType="application/vnd.ms-office.chartstyle+xml"/>
  <Override PartName="/xl/charts/colors43.xml" ContentType="application/vnd.ms-office.chartcolorstyle+xml"/>
  <Override PartName="/xl/charts/chart42.xml" ContentType="application/vnd.openxmlformats-officedocument.drawingml.chart+xml"/>
  <Override PartName="/xl/charts/style44.xml" ContentType="application/vnd.ms-office.chartstyle+xml"/>
  <Override PartName="/xl/charts/colors44.xml" ContentType="application/vnd.ms-office.chartcolorstyle+xml"/>
  <Override PartName="/xl/charts/chart43.xml" ContentType="application/vnd.openxmlformats-officedocument.drawingml.chart+xml"/>
  <Override PartName="/xl/charts/style45.xml" ContentType="application/vnd.ms-office.chartstyle+xml"/>
  <Override PartName="/xl/charts/colors45.xml" ContentType="application/vnd.ms-office.chartcolorstyle+xml"/>
  <Override PartName="/xl/charts/chart44.xml" ContentType="application/vnd.openxmlformats-officedocument.drawingml.chart+xml"/>
  <Override PartName="/xl/charts/style46.xml" ContentType="application/vnd.ms-office.chartstyle+xml"/>
  <Override PartName="/xl/charts/colors46.xml" ContentType="application/vnd.ms-office.chartcolorstyle+xml"/>
  <Override PartName="/xl/charts/chart45.xml" ContentType="application/vnd.openxmlformats-officedocument.drawingml.chart+xml"/>
  <Override PartName="/xl/charts/style47.xml" ContentType="application/vnd.ms-office.chartstyle+xml"/>
  <Override PartName="/xl/charts/colors47.xml" ContentType="application/vnd.ms-office.chartcolorstyle+xml"/>
  <Override PartName="/xl/charts/chart46.xml" ContentType="application/vnd.openxmlformats-officedocument.drawingml.chart+xml"/>
  <Override PartName="/xl/charts/style48.xml" ContentType="application/vnd.ms-office.chartstyle+xml"/>
  <Override PartName="/xl/charts/colors48.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12.xml" ContentType="application/vnd.openxmlformats-officedocument.drawing+xml"/>
  <Override PartName="/xl/charts/chartEx6.xml" ContentType="application/vnd.ms-office.chartex+xml"/>
  <Override PartName="/xl/charts/style49.xml" ContentType="application/vnd.ms-office.chartstyle+xml"/>
  <Override PartName="/xl/charts/colors49.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3.xml" ContentType="application/vnd.openxmlformats-officedocument.drawing+xml"/>
  <Override PartName="/xl/charts/chart47.xml" ContentType="application/vnd.openxmlformats-officedocument.drawingml.chart+xml"/>
  <Override PartName="/xl/charts/style50.xml" ContentType="application/vnd.ms-office.chartstyle+xml"/>
  <Override PartName="/xl/charts/colors50.xml" ContentType="application/vnd.ms-office.chartcolorstyle+xml"/>
  <Override PartName="/xl/charts/chart48.xml" ContentType="application/vnd.openxmlformats-officedocument.drawingml.chart+xml"/>
  <Override PartName="/xl/charts/style51.xml" ContentType="application/vnd.ms-office.chartstyle+xml"/>
  <Override PartName="/xl/charts/colors51.xml" ContentType="application/vnd.ms-office.chartcolorstyle+xml"/>
  <Override PartName="/xl/charts/chart49.xml" ContentType="application/vnd.openxmlformats-officedocument.drawingml.chart+xml"/>
  <Override PartName="/xl/charts/style52.xml" ContentType="application/vnd.ms-office.chartstyle+xml"/>
  <Override PartName="/xl/charts/colors52.xml" ContentType="application/vnd.ms-office.chartcolorstyle+xml"/>
  <Override PartName="/xl/pivotTables/pivotTable36.xml" ContentType="application/vnd.openxmlformats-officedocument.spreadsheetml.pivotTable+xml"/>
  <Override PartName="/xl/drawings/drawing14.xml" ContentType="application/vnd.openxmlformats-officedocument.drawing+xml"/>
  <Override PartName="/xl/charts/chart50.xml" ContentType="application/vnd.openxmlformats-officedocument.drawingml.chart+xml"/>
  <Override PartName="/xl/charts/style53.xml" ContentType="application/vnd.ms-office.chartstyle+xml"/>
  <Override PartName="/xl/charts/colors53.xml" ContentType="application/vnd.ms-office.chartcolorstyle+xml"/>
  <Override PartName="/xl/pivotTables/pivotTable37.xml" ContentType="application/vnd.openxmlformats-officedocument.spreadsheetml.pivotTable+xml"/>
  <Override PartName="/xl/drawings/drawing15.xml" ContentType="application/vnd.openxmlformats-officedocument.drawing+xml"/>
  <Override PartName="/xl/charts/chart51.xml" ContentType="application/vnd.openxmlformats-officedocument.drawingml.chart+xml"/>
  <Override PartName="/xl/charts/style54.xml" ContentType="application/vnd.ms-office.chartstyle+xml"/>
  <Override PartName="/xl/charts/colors54.xml" ContentType="application/vnd.ms-office.chartcolorstyle+xml"/>
  <Override PartName="/xl/charts/chart52.xml" ContentType="application/vnd.openxmlformats-officedocument.drawingml.chart+xml"/>
  <Override PartName="/xl/charts/style55.xml" ContentType="application/vnd.ms-office.chartstyle+xml"/>
  <Override PartName="/xl/charts/colors5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BELAJAR PIVOT\"/>
    </mc:Choice>
  </mc:AlternateContent>
  <xr:revisionPtr revIDLastSave="0" documentId="13_ncr:1_{E7BEED10-C6F0-4590-AD12-527120831916}" xr6:coauthVersionLast="47" xr6:coauthVersionMax="47" xr10:uidLastSave="{00000000-0000-0000-0000-000000000000}"/>
  <bookViews>
    <workbookView xWindow="-120" yWindow="480" windowWidth="20730" windowHeight="11160" tabRatio="842" activeTab="5" xr2:uid="{F4E799CD-D032-4CD0-9CB1-1D826A922AA5}"/>
  </bookViews>
  <sheets>
    <sheet name="DB-1 COLLECTION" sheetId="15" r:id="rId1"/>
    <sheet name="DB-2 COMPARISON" sheetId="27" r:id="rId2"/>
    <sheet name="DB-3 TARGET" sheetId="34" r:id="rId3"/>
    <sheet name="DB-4 SHIPMENT" sheetId="32" r:id="rId4"/>
    <sheet name="DB-5 ACTIVITIES" sheetId="36" r:id="rId5"/>
    <sheet name="DATA BASE MASUK" sheetId="1" r:id="rId6"/>
    <sheet name="DATA BASE JUAL" sheetId="29" r:id="rId7"/>
    <sheet name="DATA BASE AKTIVITAS" sheetId="37" r:id="rId8"/>
    <sheet name="JUAL-ECOBALI" sheetId="31" r:id="rId9"/>
    <sheet name="JUAL-PABRIK" sheetId="30" r:id="rId10"/>
    <sheet name="AKTIVITAS-ECOBALI" sheetId="38" r:id="rId11"/>
    <sheet name="MASUK-DATA" sheetId="21" r:id="rId12"/>
    <sheet name="MASUK-MONTHLY" sheetId="20" r:id="rId13"/>
    <sheet name="MASUK-WEEKLY" sheetId="22" r:id="rId14"/>
    <sheet name="MASUK-TARGET" sheetId="33" r:id="rId15"/>
    <sheet name="MASUK-REGION" sheetId="19" r:id="rId16"/>
    <sheet name="MASUK-CATEGORY" sheetId="17" r:id="rId17"/>
    <sheet name="MASUK-COMPARISON" sheetId="26" r:id="rId18"/>
    <sheet name="Kebutuhan" sheetId="16" r:id="rId19"/>
    <sheet name="UNTUK PITRIA" sheetId="39" r:id="rId20"/>
    <sheet name="Sheet1" sheetId="40" r:id="rId21"/>
  </sheets>
  <definedNames>
    <definedName name="_xlchart.v1.10" hidden="1">'JUAL-PABRIK'!$AA$4:$AA$6</definedName>
    <definedName name="_xlchart.v1.11" hidden="1">'JUAL-PABRIK'!$AB$4:$AB$6</definedName>
    <definedName name="_xlchart.v1.4" hidden="1">'JUAL-PABRIK'!$AA$4:$AA$6</definedName>
    <definedName name="_xlchart.v1.5" hidden="1">'JUAL-PABRIK'!$AB$4:$AB$6</definedName>
    <definedName name="_xlchart.v5.0" hidden="1">'MASUK-REGION'!$J$15</definedName>
    <definedName name="_xlchart.v5.1" hidden="1">'MASUK-REGION'!$J$16:$J$20</definedName>
    <definedName name="_xlchart.v5.12" hidden="1">'AKTIVITAS-ECOBALI'!$J$3</definedName>
    <definedName name="_xlchart.v5.13" hidden="1">'AKTIVITAS-ECOBALI'!$J$4:$J$8</definedName>
    <definedName name="_xlchart.v5.14" hidden="1">'AKTIVITAS-ECOBALI'!$K$3</definedName>
    <definedName name="_xlchart.v5.15" hidden="1">'AKTIVITAS-ECOBALI'!$K$4:$K$8</definedName>
    <definedName name="_xlchart.v5.16" hidden="1">'MASUK-REGION'!$J$15</definedName>
    <definedName name="_xlchart.v5.17" hidden="1">'MASUK-REGION'!$J$16:$J$20</definedName>
    <definedName name="_xlchart.v5.18" hidden="1">'MASUK-REGION'!$K$15</definedName>
    <definedName name="_xlchart.v5.19" hidden="1">'MASUK-REGION'!$K$16:$K$20</definedName>
    <definedName name="_xlchart.v5.2" hidden="1">'MASUK-REGION'!$K$15</definedName>
    <definedName name="_xlchart.v5.3" hidden="1">'MASUK-REGION'!$K$16:$K$20</definedName>
    <definedName name="_xlchart.v5.6" hidden="1">'AKTIVITAS-ECOBALI'!$J$3</definedName>
    <definedName name="_xlchart.v5.7" hidden="1">'AKTIVITAS-ECOBALI'!$J$4:$J$8</definedName>
    <definedName name="_xlchart.v5.8" hidden="1">'AKTIVITAS-ECOBALI'!$K$3</definedName>
    <definedName name="_xlchart.v5.9" hidden="1">'AKTIVITAS-ECOBALI'!$K$4:$K$8</definedName>
    <definedName name="_xlcn.WorksheetConnection_BELAJARPIVOTTABEL.xlsxUBC_MASUK1" hidden="1">UBC_MASUK[]</definedName>
    <definedName name="_xlcn.WorksheetConnection_ECOTP2021PIVOT.xlsxUBC_AKTIVITAS1" hidden="1">UBC_AKTIVITAS[]</definedName>
    <definedName name="Slicer_Bulan">#N/A</definedName>
    <definedName name="Slicer_Bulan1">#N/A</definedName>
    <definedName name="Slicer_Bulan2">#N/A</definedName>
    <definedName name="Slicer_Bulan4">#N/A</definedName>
    <definedName name="Slicer_Kabupaten">#N/A</definedName>
    <definedName name="Slicer_Kategori">#N/A</definedName>
    <definedName name="Slicer_Kategori1">#N/A</definedName>
    <definedName name="Slicer_Kategori2">#N/A</definedName>
    <definedName name="Slicer_Month">#N/A</definedName>
    <definedName name="Slicer_Month1">#N/A</definedName>
    <definedName name="Slicer_Month2">#N/A</definedName>
    <definedName name="Slicer_Papermill">#N/A</definedName>
    <definedName name="Slicer_Partisipan">#N/A</definedName>
    <definedName name="Slicer_Program">#N/A</definedName>
    <definedName name="Slicer_Tahun">#N/A</definedName>
    <definedName name="Slicer_Tanggal">#N/A</definedName>
    <definedName name="Slicer_Wilayah">#N/A</definedName>
    <definedName name="Slicer_Wilayah1">#N/A</definedName>
  </definedNames>
  <calcPr calcId="191029"/>
  <pivotCaches>
    <pivotCache cacheId="0" r:id="rId22"/>
    <pivotCache cacheId="1" r:id="rId23"/>
    <pivotCache cacheId="2" r:id="rId24"/>
    <pivotCache cacheId="3" r:id="rId25"/>
    <pivotCache cacheId="16" r:id="rId26"/>
    <pivotCache cacheId="17" r:id="rId27"/>
    <pivotCache cacheId="18" r:id="rId28"/>
    <pivotCache cacheId="20" r:id="rId29"/>
    <pivotCache cacheId="21" r:id="rId30"/>
    <pivotCache cacheId="89" r:id="rId31"/>
    <pivotCache cacheId="92" r:id="rId32"/>
    <pivotCache cacheId="95" r:id="rId33"/>
    <pivotCache cacheId="98" r:id="rId34"/>
    <pivotCache cacheId="101" r:id="rId35"/>
    <pivotCache cacheId="104" r:id="rId36"/>
    <pivotCache cacheId="107" r:id="rId37"/>
    <pivotCache cacheId="110" r:id="rId38"/>
    <pivotCache cacheId="113" r:id="rId39"/>
    <pivotCache cacheId="116" r:id="rId40"/>
    <pivotCache cacheId="119" r:id="rId41"/>
    <pivotCache cacheId="122" r:id="rId42"/>
    <pivotCache cacheId="125" r:id="rId43"/>
  </pivotCaches>
  <extLst>
    <ext xmlns:x14="http://schemas.microsoft.com/office/spreadsheetml/2009/9/main" uri="{876F7934-8845-4945-9796-88D515C7AA90}">
      <x14:pivotCaches>
        <pivotCache cacheId="22" r:id="rId44"/>
        <pivotCache cacheId="23" r:id="rId45"/>
        <pivotCache cacheId="24" r:id="rId46"/>
        <pivotCache cacheId="25" r:id="rId47"/>
        <pivotCache cacheId="26" r:id="rId48"/>
      </x14:pivotCaches>
    </ext>
    <ext xmlns:x14="http://schemas.microsoft.com/office/spreadsheetml/2009/9/main" uri="{BBE1A952-AA13-448e-AADC-164F8A28A991}">
      <x14:slicerCaches>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BC_AKTIVITAS" name="UBC_AKTIVITAS" connection="WorksheetConnection_ECOTP - 2021 PIVOT.xlsx!UBC_AKTIVITAS"/>
          <x15:modelTable id="UBC_MASUK" name="UBC_MASUK" connection="WorksheetConnection_BELAJAR PIVOT TABEL.xlsx!UBC_MASUK"/>
        </x15:modelTables>
        <x15:extLst>
          <ext xmlns:x16="http://schemas.microsoft.com/office/spreadsheetml/2014/11/main" uri="{9835A34E-60A6-4A7C-AAB8-D5F71C897F49}">
            <x16:modelTimeGroupings>
              <x16:modelTimeGrouping tableName="UBC_MASUK" columnName="Date" columnId="Tanggal Lengkap">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L380" i="1" l="1"/>
  <c r="L381" i="1"/>
  <c r="L382" i="1"/>
  <c r="L383" i="1"/>
  <c r="L384" i="1"/>
  <c r="L385" i="1"/>
  <c r="L386" i="1"/>
  <c r="L387" i="1"/>
  <c r="L388" i="1"/>
  <c r="L389" i="1"/>
  <c r="L390" i="1"/>
  <c r="L379" i="1"/>
  <c r="N392" i="1"/>
  <c r="N391" i="1"/>
  <c r="L392" i="1"/>
  <c r="L391" i="1"/>
  <c r="M391" i="1"/>
  <c r="M392" i="1"/>
  <c r="O391" i="1"/>
  <c r="O392" i="1"/>
  <c r="N390" i="1"/>
  <c r="N389" i="1"/>
  <c r="N388" i="1"/>
  <c r="N387" i="1"/>
  <c r="N386" i="1"/>
  <c r="N385" i="1"/>
  <c r="N384" i="1"/>
  <c r="N383" i="1"/>
  <c r="N382" i="1"/>
  <c r="N381" i="1"/>
  <c r="N380" i="1"/>
  <c r="N379" i="1"/>
  <c r="D379" i="1"/>
  <c r="D380" i="1"/>
  <c r="D381" i="1"/>
  <c r="D382" i="1"/>
  <c r="D383" i="1"/>
  <c r="D384" i="1"/>
  <c r="D385" i="1"/>
  <c r="D386" i="1"/>
  <c r="D387" i="1"/>
  <c r="D388" i="1"/>
  <c r="D389" i="1"/>
  <c r="D390" i="1"/>
  <c r="M379" i="1"/>
  <c r="M380" i="1"/>
  <c r="M381" i="1"/>
  <c r="M382" i="1"/>
  <c r="M383" i="1"/>
  <c r="M384" i="1"/>
  <c r="M385" i="1"/>
  <c r="M386" i="1"/>
  <c r="M387" i="1"/>
  <c r="M388" i="1"/>
  <c r="M389" i="1"/>
  <c r="M390" i="1"/>
  <c r="O379" i="1"/>
  <c r="O380" i="1"/>
  <c r="O381" i="1"/>
  <c r="O382" i="1"/>
  <c r="O383" i="1"/>
  <c r="O384" i="1"/>
  <c r="O385" i="1"/>
  <c r="O386" i="1"/>
  <c r="O387" i="1"/>
  <c r="O388" i="1"/>
  <c r="O389" i="1"/>
  <c r="O390" i="1"/>
  <c r="D233" i="1"/>
  <c r="D232" i="1"/>
  <c r="M232" i="1"/>
  <c r="L232" i="1" s="1"/>
  <c r="O232" i="1"/>
  <c r="N232" i="1" s="1"/>
  <c r="M233" i="1"/>
  <c r="L233" i="1" s="1"/>
  <c r="O233" i="1"/>
  <c r="N233" i="1" s="1"/>
  <c r="D79" i="1"/>
  <c r="M79" i="1"/>
  <c r="L79" i="1" s="1"/>
  <c r="O79" i="1"/>
  <c r="N79" i="1" s="1"/>
  <c r="D153" i="1"/>
  <c r="M153" i="1"/>
  <c r="L153" i="1" s="1"/>
  <c r="O153" i="1"/>
  <c r="N153" i="1" s="1"/>
  <c r="D152" i="1"/>
  <c r="M152" i="1"/>
  <c r="L152" i="1" s="1"/>
  <c r="O152" i="1"/>
  <c r="N152" i="1" s="1"/>
  <c r="D309" i="1"/>
  <c r="M309" i="1"/>
  <c r="L309" i="1" s="1"/>
  <c r="O309" i="1"/>
  <c r="N309" i="1" s="1"/>
  <c r="D375" i="1"/>
  <c r="D376" i="1"/>
  <c r="D377" i="1"/>
  <c r="D378" i="1"/>
  <c r="M375" i="1"/>
  <c r="L375" i="1" s="1"/>
  <c r="M376" i="1"/>
  <c r="L376" i="1" s="1"/>
  <c r="M377" i="1"/>
  <c r="L377" i="1" s="1"/>
  <c r="M378" i="1"/>
  <c r="L378" i="1" s="1"/>
  <c r="O375" i="1"/>
  <c r="N375" i="1" s="1"/>
  <c r="O376" i="1"/>
  <c r="N376" i="1" s="1"/>
  <c r="O377" i="1"/>
  <c r="N377" i="1" s="1"/>
  <c r="O378" i="1"/>
  <c r="N378" i="1" s="1"/>
  <c r="D374" i="1"/>
  <c r="M374" i="1"/>
  <c r="L374" i="1" s="1"/>
  <c r="O374" i="1"/>
  <c r="N374" i="1" s="1"/>
  <c r="D373" i="1"/>
  <c r="M373" i="1"/>
  <c r="L373" i="1" s="1"/>
  <c r="O373" i="1"/>
  <c r="N373" i="1" s="1"/>
  <c r="D372" i="1"/>
  <c r="M372" i="1"/>
  <c r="L372" i="1" s="1"/>
  <c r="O372" i="1"/>
  <c r="N372" i="1" s="1"/>
  <c r="D371" i="1"/>
  <c r="M371" i="1"/>
  <c r="L371" i="1" s="1"/>
  <c r="O371" i="1"/>
  <c r="N371" i="1" s="1"/>
  <c r="D349" i="1"/>
  <c r="D350" i="1"/>
  <c r="D351" i="1"/>
  <c r="D352" i="1"/>
  <c r="D353" i="1"/>
  <c r="D354" i="1"/>
  <c r="D355" i="1"/>
  <c r="D356" i="1"/>
  <c r="D357" i="1"/>
  <c r="D358" i="1"/>
  <c r="D359" i="1"/>
  <c r="D360" i="1"/>
  <c r="D361" i="1"/>
  <c r="D362" i="1"/>
  <c r="D363" i="1"/>
  <c r="D364" i="1"/>
  <c r="D365" i="1"/>
  <c r="D366" i="1"/>
  <c r="D367" i="1"/>
  <c r="D368" i="1"/>
  <c r="D369" i="1"/>
  <c r="D370" i="1"/>
  <c r="M349" i="1"/>
  <c r="L349" i="1" s="1"/>
  <c r="M350" i="1"/>
  <c r="L350" i="1" s="1"/>
  <c r="M351" i="1"/>
  <c r="L351" i="1" s="1"/>
  <c r="M352" i="1"/>
  <c r="L352" i="1" s="1"/>
  <c r="M353" i="1"/>
  <c r="L353" i="1" s="1"/>
  <c r="M354" i="1"/>
  <c r="L354" i="1" s="1"/>
  <c r="M355" i="1"/>
  <c r="L355" i="1" s="1"/>
  <c r="M356" i="1"/>
  <c r="L356" i="1" s="1"/>
  <c r="M357" i="1"/>
  <c r="L357" i="1" s="1"/>
  <c r="M358" i="1"/>
  <c r="L358" i="1" s="1"/>
  <c r="M359" i="1"/>
  <c r="L359" i="1" s="1"/>
  <c r="M360" i="1"/>
  <c r="L360" i="1" s="1"/>
  <c r="M361" i="1"/>
  <c r="L361" i="1" s="1"/>
  <c r="M362" i="1"/>
  <c r="L362" i="1" s="1"/>
  <c r="M363" i="1"/>
  <c r="L363" i="1" s="1"/>
  <c r="M364" i="1"/>
  <c r="L364" i="1" s="1"/>
  <c r="M365" i="1"/>
  <c r="L365" i="1" s="1"/>
  <c r="M366" i="1"/>
  <c r="L366" i="1" s="1"/>
  <c r="M367" i="1"/>
  <c r="L367" i="1" s="1"/>
  <c r="M368" i="1"/>
  <c r="L368" i="1" s="1"/>
  <c r="M369" i="1"/>
  <c r="L369" i="1" s="1"/>
  <c r="M370" i="1"/>
  <c r="L370" i="1" s="1"/>
  <c r="O349" i="1"/>
  <c r="N349" i="1" s="1"/>
  <c r="O350" i="1"/>
  <c r="N350" i="1" s="1"/>
  <c r="O351" i="1"/>
  <c r="N351" i="1" s="1"/>
  <c r="O352" i="1"/>
  <c r="N352" i="1" s="1"/>
  <c r="O353" i="1"/>
  <c r="N353" i="1" s="1"/>
  <c r="O354" i="1"/>
  <c r="N354" i="1" s="1"/>
  <c r="O355" i="1"/>
  <c r="N355" i="1" s="1"/>
  <c r="O356" i="1"/>
  <c r="N356" i="1" s="1"/>
  <c r="O357" i="1"/>
  <c r="N357" i="1" s="1"/>
  <c r="O358" i="1"/>
  <c r="N358" i="1" s="1"/>
  <c r="O359" i="1"/>
  <c r="N359" i="1" s="1"/>
  <c r="O360" i="1"/>
  <c r="N360" i="1" s="1"/>
  <c r="O361" i="1"/>
  <c r="N361" i="1" s="1"/>
  <c r="O362" i="1"/>
  <c r="N362" i="1" s="1"/>
  <c r="O363" i="1"/>
  <c r="N363" i="1" s="1"/>
  <c r="O364" i="1"/>
  <c r="N364" i="1" s="1"/>
  <c r="O365" i="1"/>
  <c r="N365" i="1" s="1"/>
  <c r="O366" i="1"/>
  <c r="N366" i="1" s="1"/>
  <c r="O367" i="1"/>
  <c r="N367" i="1" s="1"/>
  <c r="O368" i="1"/>
  <c r="N368" i="1" s="1"/>
  <c r="O369" i="1"/>
  <c r="N369" i="1" s="1"/>
  <c r="O370" i="1"/>
  <c r="N370" i="1" s="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M338" i="1"/>
  <c r="L338" i="1" s="1"/>
  <c r="M339" i="1"/>
  <c r="L339" i="1" s="1"/>
  <c r="M340" i="1"/>
  <c r="L340" i="1" s="1"/>
  <c r="M341" i="1"/>
  <c r="L341" i="1" s="1"/>
  <c r="M342" i="1"/>
  <c r="L342" i="1" s="1"/>
  <c r="M343" i="1"/>
  <c r="L343" i="1" s="1"/>
  <c r="M344" i="1"/>
  <c r="L344" i="1" s="1"/>
  <c r="M345" i="1"/>
  <c r="L345" i="1" s="1"/>
  <c r="M346" i="1"/>
  <c r="L346" i="1" s="1"/>
  <c r="M347" i="1"/>
  <c r="L347" i="1" s="1"/>
  <c r="M348" i="1"/>
  <c r="L348" i="1" s="1"/>
  <c r="O338" i="1"/>
  <c r="N338" i="1" s="1"/>
  <c r="O339" i="1"/>
  <c r="N339" i="1" s="1"/>
  <c r="O340" i="1"/>
  <c r="N340" i="1" s="1"/>
  <c r="O341" i="1"/>
  <c r="N341" i="1" s="1"/>
  <c r="O342" i="1"/>
  <c r="N342" i="1" s="1"/>
  <c r="O343" i="1"/>
  <c r="N343" i="1" s="1"/>
  <c r="O344" i="1"/>
  <c r="N344" i="1" s="1"/>
  <c r="O345" i="1"/>
  <c r="N345" i="1" s="1"/>
  <c r="O346" i="1"/>
  <c r="N346" i="1" s="1"/>
  <c r="O347" i="1"/>
  <c r="N347" i="1" s="1"/>
  <c r="O348" i="1"/>
  <c r="N348" i="1" s="1"/>
  <c r="D298" i="1"/>
  <c r="D299" i="1"/>
  <c r="D300" i="1"/>
  <c r="D301" i="1"/>
  <c r="D302" i="1"/>
  <c r="D303" i="1"/>
  <c r="D304" i="1"/>
  <c r="D305" i="1"/>
  <c r="D306" i="1"/>
  <c r="D307" i="1"/>
  <c r="D308" i="1"/>
  <c r="D310" i="1"/>
  <c r="D311" i="1"/>
  <c r="D312" i="1"/>
  <c r="D313" i="1"/>
  <c r="D314" i="1"/>
  <c r="D315" i="1"/>
  <c r="M327" i="1"/>
  <c r="L327" i="1" s="1"/>
  <c r="M328" i="1"/>
  <c r="L328" i="1" s="1"/>
  <c r="M329" i="1"/>
  <c r="L329" i="1" s="1"/>
  <c r="M330" i="1"/>
  <c r="L330" i="1" s="1"/>
  <c r="M331" i="1"/>
  <c r="L331" i="1" s="1"/>
  <c r="M332" i="1"/>
  <c r="L332" i="1" s="1"/>
  <c r="M333" i="1"/>
  <c r="L333" i="1" s="1"/>
  <c r="M334" i="1"/>
  <c r="L334" i="1" s="1"/>
  <c r="M335" i="1"/>
  <c r="L335" i="1" s="1"/>
  <c r="M336" i="1"/>
  <c r="L336" i="1" s="1"/>
  <c r="M337" i="1"/>
  <c r="L337" i="1" s="1"/>
  <c r="O327" i="1"/>
  <c r="N327" i="1" s="1"/>
  <c r="O328" i="1"/>
  <c r="N328" i="1" s="1"/>
  <c r="O329" i="1"/>
  <c r="N329" i="1" s="1"/>
  <c r="O330" i="1"/>
  <c r="N330" i="1" s="1"/>
  <c r="O331" i="1"/>
  <c r="N331" i="1" s="1"/>
  <c r="O332" i="1"/>
  <c r="N332" i="1" s="1"/>
  <c r="O333" i="1"/>
  <c r="N333" i="1" s="1"/>
  <c r="O334" i="1"/>
  <c r="N334" i="1" s="1"/>
  <c r="O335" i="1"/>
  <c r="N335" i="1" s="1"/>
  <c r="O336" i="1"/>
  <c r="N336" i="1" s="1"/>
  <c r="O337" i="1"/>
  <c r="N337" i="1" s="1"/>
  <c r="M316" i="1"/>
  <c r="L316" i="1" s="1"/>
  <c r="M317" i="1"/>
  <c r="L317" i="1" s="1"/>
  <c r="M318" i="1"/>
  <c r="L318" i="1" s="1"/>
  <c r="M319" i="1"/>
  <c r="L319" i="1" s="1"/>
  <c r="M320" i="1"/>
  <c r="L320" i="1" s="1"/>
  <c r="M321" i="1"/>
  <c r="L321" i="1" s="1"/>
  <c r="M322" i="1"/>
  <c r="L322" i="1" s="1"/>
  <c r="M323" i="1"/>
  <c r="L323" i="1" s="1"/>
  <c r="M324" i="1"/>
  <c r="L324" i="1" s="1"/>
  <c r="M325" i="1"/>
  <c r="L325" i="1" s="1"/>
  <c r="M326" i="1"/>
  <c r="L326" i="1" s="1"/>
  <c r="O316" i="1"/>
  <c r="N316" i="1" s="1"/>
  <c r="O317" i="1"/>
  <c r="N317" i="1" s="1"/>
  <c r="O318" i="1"/>
  <c r="N318" i="1" s="1"/>
  <c r="O319" i="1"/>
  <c r="N319" i="1" s="1"/>
  <c r="O320" i="1"/>
  <c r="N320" i="1" s="1"/>
  <c r="O321" i="1"/>
  <c r="N321" i="1" s="1"/>
  <c r="O322" i="1"/>
  <c r="N322" i="1" s="1"/>
  <c r="O323" i="1"/>
  <c r="N323" i="1" s="1"/>
  <c r="O324" i="1"/>
  <c r="N324" i="1" s="1"/>
  <c r="O325" i="1"/>
  <c r="N325" i="1" s="1"/>
  <c r="O326" i="1"/>
  <c r="N326" i="1" s="1"/>
  <c r="K19" i="19"/>
  <c r="K16" i="19"/>
  <c r="K17" i="19"/>
  <c r="K18" i="19"/>
  <c r="T7" i="29" l="1"/>
  <c r="S7" i="29"/>
  <c r="R7" i="29"/>
  <c r="D63" i="1"/>
  <c r="W7" i="29"/>
  <c r="J5" i="29"/>
  <c r="J6" i="29"/>
  <c r="J7" i="29"/>
  <c r="J4" i="29"/>
  <c r="I5" i="29"/>
  <c r="I4" i="29"/>
  <c r="M315" i="1"/>
  <c r="L315" i="1" s="1"/>
  <c r="O315" i="1"/>
  <c r="N315" i="1" s="1"/>
  <c r="O7" i="29"/>
  <c r="P7" i="29" s="1"/>
  <c r="M313" i="1"/>
  <c r="L313" i="1" s="1"/>
  <c r="O313" i="1"/>
  <c r="N313" i="1" s="1"/>
  <c r="M314" i="1"/>
  <c r="L314" i="1" s="1"/>
  <c r="O314" i="1"/>
  <c r="N314" i="1" s="1"/>
  <c r="M305" i="1"/>
  <c r="L305" i="1" s="1"/>
  <c r="M306" i="1"/>
  <c r="L306" i="1" s="1"/>
  <c r="M307" i="1"/>
  <c r="L307" i="1" s="1"/>
  <c r="M308" i="1"/>
  <c r="L308" i="1" s="1"/>
  <c r="M310" i="1"/>
  <c r="L310" i="1" s="1"/>
  <c r="M311" i="1"/>
  <c r="L311" i="1" s="1"/>
  <c r="M312" i="1"/>
  <c r="L312" i="1" s="1"/>
  <c r="O305" i="1"/>
  <c r="N305" i="1" s="1"/>
  <c r="O306" i="1"/>
  <c r="N306" i="1" s="1"/>
  <c r="O307" i="1"/>
  <c r="N307" i="1" s="1"/>
  <c r="O308" i="1"/>
  <c r="N308" i="1" s="1"/>
  <c r="O310" i="1"/>
  <c r="N310" i="1" s="1"/>
  <c r="O311" i="1"/>
  <c r="N311" i="1" s="1"/>
  <c r="O312" i="1"/>
  <c r="N312" i="1" s="1"/>
  <c r="D296" i="1"/>
  <c r="D297" i="1"/>
  <c r="M304" i="1"/>
  <c r="L304" i="1" s="1"/>
  <c r="O304" i="1"/>
  <c r="N304" i="1" s="1"/>
  <c r="M300" i="1"/>
  <c r="L300" i="1" s="1"/>
  <c r="M301" i="1"/>
  <c r="L301" i="1" s="1"/>
  <c r="M302" i="1"/>
  <c r="L302" i="1" s="1"/>
  <c r="M303" i="1"/>
  <c r="L303" i="1" s="1"/>
  <c r="O300" i="1"/>
  <c r="N300" i="1" s="1"/>
  <c r="O301" i="1"/>
  <c r="N301" i="1" s="1"/>
  <c r="O302" i="1"/>
  <c r="N302" i="1" s="1"/>
  <c r="O303" i="1"/>
  <c r="N303" i="1" s="1"/>
  <c r="J21" i="19"/>
  <c r="J20" i="19"/>
  <c r="J19" i="19"/>
  <c r="J18" i="19"/>
  <c r="J17" i="19"/>
  <c r="J16" i="19"/>
  <c r="M299" i="1"/>
  <c r="L299" i="1" s="1"/>
  <c r="O299" i="1"/>
  <c r="N299" i="1" s="1"/>
  <c r="U7" i="29"/>
  <c r="M298" i="1"/>
  <c r="L298" i="1" s="1"/>
  <c r="O298" i="1"/>
  <c r="N298" i="1" s="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M289" i="1"/>
  <c r="L289" i="1" s="1"/>
  <c r="M290" i="1"/>
  <c r="L290" i="1" s="1"/>
  <c r="M291" i="1"/>
  <c r="L291" i="1" s="1"/>
  <c r="M292" i="1"/>
  <c r="L292" i="1" s="1"/>
  <c r="M293" i="1"/>
  <c r="L293" i="1" s="1"/>
  <c r="M294" i="1"/>
  <c r="L294" i="1" s="1"/>
  <c r="M295" i="1"/>
  <c r="L295" i="1" s="1"/>
  <c r="M296" i="1"/>
  <c r="L296" i="1" s="1"/>
  <c r="M297" i="1"/>
  <c r="L297" i="1" s="1"/>
  <c r="O289" i="1"/>
  <c r="N289" i="1" s="1"/>
  <c r="O290" i="1"/>
  <c r="N290" i="1" s="1"/>
  <c r="O291" i="1"/>
  <c r="N291" i="1" s="1"/>
  <c r="O292" i="1"/>
  <c r="N292" i="1" s="1"/>
  <c r="O293" i="1"/>
  <c r="N293" i="1" s="1"/>
  <c r="O294" i="1"/>
  <c r="N294" i="1" s="1"/>
  <c r="O295" i="1"/>
  <c r="N295" i="1" s="1"/>
  <c r="O296" i="1"/>
  <c r="N296" i="1" s="1"/>
  <c r="O297" i="1"/>
  <c r="N297" i="1" s="1"/>
  <c r="P6" i="30"/>
  <c r="AY7" i="31"/>
  <c r="AY1" i="31"/>
  <c r="AX6" i="31"/>
  <c r="AB6" i="30"/>
  <c r="AX1" i="31"/>
  <c r="AX7" i="31"/>
  <c r="AY6" i="31"/>
  <c r="Q4" i="30"/>
  <c r="AO6" i="31"/>
  <c r="E1" i="30"/>
  <c r="AO5" i="31"/>
  <c r="BQ5" i="33"/>
  <c r="BQ4" i="33"/>
  <c r="AV5" i="33"/>
  <c r="AV4" i="33"/>
  <c r="AV6" i="33"/>
  <c r="BE4" i="33"/>
  <c r="BE5" i="33"/>
  <c r="C1048575" i="15"/>
  <c r="K20" i="19"/>
  <c r="K21" i="19"/>
  <c r="F1" i="30" l="1"/>
  <c r="M271" i="1"/>
  <c r="L271" i="1" s="1"/>
  <c r="M272" i="1"/>
  <c r="L272" i="1" s="1"/>
  <c r="M273" i="1"/>
  <c r="L273" i="1" s="1"/>
  <c r="M274" i="1"/>
  <c r="L274" i="1" s="1"/>
  <c r="M275" i="1"/>
  <c r="L275" i="1" s="1"/>
  <c r="M276" i="1"/>
  <c r="L276" i="1" s="1"/>
  <c r="M277" i="1"/>
  <c r="L277" i="1" s="1"/>
  <c r="M278" i="1"/>
  <c r="L278" i="1" s="1"/>
  <c r="M279" i="1"/>
  <c r="L279" i="1" s="1"/>
  <c r="M280" i="1"/>
  <c r="L280" i="1" s="1"/>
  <c r="M281" i="1"/>
  <c r="L281" i="1" s="1"/>
  <c r="M282" i="1"/>
  <c r="L282" i="1" s="1"/>
  <c r="M283" i="1"/>
  <c r="L283" i="1" s="1"/>
  <c r="M284" i="1"/>
  <c r="L284" i="1" s="1"/>
  <c r="M285" i="1"/>
  <c r="L285" i="1" s="1"/>
  <c r="M286" i="1"/>
  <c r="L286" i="1" s="1"/>
  <c r="M287" i="1"/>
  <c r="L287" i="1" s="1"/>
  <c r="M288" i="1"/>
  <c r="L288" i="1" s="1"/>
  <c r="O271" i="1"/>
  <c r="N271" i="1" s="1"/>
  <c r="O272" i="1"/>
  <c r="N272" i="1" s="1"/>
  <c r="O273" i="1"/>
  <c r="N273" i="1" s="1"/>
  <c r="O274" i="1"/>
  <c r="N274" i="1" s="1"/>
  <c r="O275" i="1"/>
  <c r="N275" i="1" s="1"/>
  <c r="O276" i="1"/>
  <c r="N276" i="1" s="1"/>
  <c r="O277" i="1"/>
  <c r="N277" i="1" s="1"/>
  <c r="O278" i="1"/>
  <c r="N278" i="1" s="1"/>
  <c r="O279" i="1"/>
  <c r="N279" i="1" s="1"/>
  <c r="O280" i="1"/>
  <c r="N280" i="1" s="1"/>
  <c r="O281" i="1"/>
  <c r="N281" i="1" s="1"/>
  <c r="O282" i="1"/>
  <c r="N282" i="1" s="1"/>
  <c r="O283" i="1"/>
  <c r="N283" i="1" s="1"/>
  <c r="O284" i="1"/>
  <c r="N284" i="1" s="1"/>
  <c r="O285" i="1"/>
  <c r="N285" i="1" s="1"/>
  <c r="O286" i="1"/>
  <c r="N286" i="1" s="1"/>
  <c r="O287" i="1"/>
  <c r="N287" i="1" s="1"/>
  <c r="O288" i="1"/>
  <c r="N288" i="1" s="1"/>
  <c r="M270" i="1"/>
  <c r="L270" i="1" s="1"/>
  <c r="O270" i="1"/>
  <c r="N270" i="1" s="1"/>
  <c r="M265" i="1"/>
  <c r="L265" i="1" s="1"/>
  <c r="M266" i="1"/>
  <c r="L266" i="1" s="1"/>
  <c r="M267" i="1"/>
  <c r="L267" i="1" s="1"/>
  <c r="M268" i="1"/>
  <c r="L268" i="1" s="1"/>
  <c r="M269" i="1"/>
  <c r="L269" i="1" s="1"/>
  <c r="O265" i="1"/>
  <c r="N265" i="1" s="1"/>
  <c r="O266" i="1"/>
  <c r="N266" i="1" s="1"/>
  <c r="O267" i="1"/>
  <c r="N267" i="1" s="1"/>
  <c r="O268" i="1"/>
  <c r="N268" i="1" s="1"/>
  <c r="O269" i="1"/>
  <c r="N269" i="1" s="1"/>
  <c r="D250" i="1"/>
  <c r="M250" i="1"/>
  <c r="L250" i="1" s="1"/>
  <c r="M251" i="1"/>
  <c r="L251" i="1" s="1"/>
  <c r="M252" i="1"/>
  <c r="L252" i="1" s="1"/>
  <c r="M253" i="1"/>
  <c r="L253" i="1" s="1"/>
  <c r="M254" i="1"/>
  <c r="L254" i="1" s="1"/>
  <c r="M255" i="1"/>
  <c r="L255" i="1" s="1"/>
  <c r="M256" i="1"/>
  <c r="L256" i="1" s="1"/>
  <c r="M257" i="1"/>
  <c r="L257" i="1" s="1"/>
  <c r="M258" i="1"/>
  <c r="L258" i="1" s="1"/>
  <c r="M259" i="1"/>
  <c r="L259" i="1" s="1"/>
  <c r="M260" i="1"/>
  <c r="L260" i="1" s="1"/>
  <c r="M261" i="1"/>
  <c r="L261" i="1" s="1"/>
  <c r="M262" i="1"/>
  <c r="L262" i="1" s="1"/>
  <c r="M263" i="1"/>
  <c r="L263" i="1" s="1"/>
  <c r="M264" i="1"/>
  <c r="L264" i="1" s="1"/>
  <c r="O250" i="1"/>
  <c r="N250" i="1" s="1"/>
  <c r="O251" i="1"/>
  <c r="N251" i="1" s="1"/>
  <c r="O252" i="1"/>
  <c r="N252" i="1" s="1"/>
  <c r="O253" i="1"/>
  <c r="N253" i="1" s="1"/>
  <c r="O254" i="1"/>
  <c r="N254" i="1" s="1"/>
  <c r="O255" i="1"/>
  <c r="N255" i="1" s="1"/>
  <c r="O256" i="1"/>
  <c r="N256" i="1" s="1"/>
  <c r="O257" i="1"/>
  <c r="N257" i="1" s="1"/>
  <c r="O258" i="1"/>
  <c r="N258" i="1" s="1"/>
  <c r="O259" i="1"/>
  <c r="N259" i="1" s="1"/>
  <c r="O260" i="1"/>
  <c r="N260" i="1" s="1"/>
  <c r="O261" i="1"/>
  <c r="N261" i="1" s="1"/>
  <c r="O262" i="1"/>
  <c r="N262" i="1" s="1"/>
  <c r="O263" i="1"/>
  <c r="N263" i="1" s="1"/>
  <c r="O264" i="1"/>
  <c r="N264" i="1" s="1"/>
  <c r="W4" i="29"/>
  <c r="W5" i="29"/>
  <c r="W6" i="29"/>
  <c r="D151" i="1"/>
  <c r="M151" i="1"/>
  <c r="L151" i="1" s="1"/>
  <c r="O151" i="1"/>
  <c r="N151" i="1" s="1"/>
  <c r="D78" i="1"/>
  <c r="M78" i="1"/>
  <c r="L78" i="1" s="1"/>
  <c r="O78" i="1"/>
  <c r="N78" i="1" s="1"/>
  <c r="O5" i="1"/>
  <c r="N5" i="1" s="1"/>
  <c r="O6" i="1"/>
  <c r="N6" i="1" s="1"/>
  <c r="O7" i="1"/>
  <c r="N7" i="1" s="1"/>
  <c r="O8" i="1"/>
  <c r="N8" i="1" s="1"/>
  <c r="O9" i="1"/>
  <c r="N9" i="1" s="1"/>
  <c r="O10" i="1"/>
  <c r="N10" i="1" s="1"/>
  <c r="O11" i="1"/>
  <c r="N11" i="1" s="1"/>
  <c r="O12" i="1"/>
  <c r="N12" i="1" s="1"/>
  <c r="O13" i="1"/>
  <c r="N13" i="1" s="1"/>
  <c r="O14" i="1"/>
  <c r="N14" i="1" s="1"/>
  <c r="O15" i="1"/>
  <c r="N15" i="1" s="1"/>
  <c r="O16" i="1"/>
  <c r="N16" i="1" s="1"/>
  <c r="O17" i="1"/>
  <c r="N17" i="1" s="1"/>
  <c r="O18" i="1"/>
  <c r="N18" i="1" s="1"/>
  <c r="O19" i="1"/>
  <c r="N19" i="1" s="1"/>
  <c r="O20" i="1"/>
  <c r="N20" i="1" s="1"/>
  <c r="O21" i="1"/>
  <c r="N21" i="1" s="1"/>
  <c r="O22" i="1"/>
  <c r="N22" i="1" s="1"/>
  <c r="O23" i="1"/>
  <c r="N23" i="1" s="1"/>
  <c r="O24" i="1"/>
  <c r="N24" i="1" s="1"/>
  <c r="O25" i="1"/>
  <c r="N25" i="1" s="1"/>
  <c r="O26" i="1"/>
  <c r="N26" i="1" s="1"/>
  <c r="O27" i="1"/>
  <c r="N27" i="1" s="1"/>
  <c r="O28" i="1"/>
  <c r="N28" i="1" s="1"/>
  <c r="O29" i="1"/>
  <c r="N29" i="1" s="1"/>
  <c r="O30" i="1"/>
  <c r="N30" i="1" s="1"/>
  <c r="O31" i="1"/>
  <c r="N31" i="1" s="1"/>
  <c r="O32" i="1"/>
  <c r="N32" i="1" s="1"/>
  <c r="O33" i="1"/>
  <c r="N33" i="1" s="1"/>
  <c r="O34" i="1"/>
  <c r="N34" i="1" s="1"/>
  <c r="O35" i="1"/>
  <c r="N35" i="1" s="1"/>
  <c r="O36" i="1"/>
  <c r="N36" i="1" s="1"/>
  <c r="O37" i="1"/>
  <c r="N37" i="1" s="1"/>
  <c r="O38" i="1"/>
  <c r="N38" i="1" s="1"/>
  <c r="O39" i="1"/>
  <c r="N39" i="1" s="1"/>
  <c r="O40" i="1"/>
  <c r="N40" i="1" s="1"/>
  <c r="O41" i="1"/>
  <c r="N41" i="1" s="1"/>
  <c r="O42" i="1"/>
  <c r="N42" i="1" s="1"/>
  <c r="O43" i="1"/>
  <c r="N43" i="1" s="1"/>
  <c r="O44" i="1"/>
  <c r="N44" i="1" s="1"/>
  <c r="O45" i="1"/>
  <c r="N45" i="1" s="1"/>
  <c r="O46" i="1"/>
  <c r="N46" i="1" s="1"/>
  <c r="O47" i="1"/>
  <c r="N47" i="1" s="1"/>
  <c r="O48" i="1"/>
  <c r="N48" i="1" s="1"/>
  <c r="O49" i="1"/>
  <c r="N49" i="1" s="1"/>
  <c r="O50" i="1"/>
  <c r="N50" i="1" s="1"/>
  <c r="O51" i="1"/>
  <c r="N51" i="1" s="1"/>
  <c r="O52" i="1"/>
  <c r="N52" i="1" s="1"/>
  <c r="O53" i="1"/>
  <c r="N53" i="1" s="1"/>
  <c r="O54" i="1"/>
  <c r="N54" i="1" s="1"/>
  <c r="O55" i="1"/>
  <c r="N55" i="1" s="1"/>
  <c r="O56" i="1"/>
  <c r="N56" i="1" s="1"/>
  <c r="O57" i="1"/>
  <c r="N57" i="1" s="1"/>
  <c r="O58" i="1"/>
  <c r="N58" i="1" s="1"/>
  <c r="O59" i="1"/>
  <c r="N59" i="1" s="1"/>
  <c r="O60" i="1"/>
  <c r="N60" i="1" s="1"/>
  <c r="O61" i="1"/>
  <c r="N61" i="1" s="1"/>
  <c r="O62" i="1"/>
  <c r="N62" i="1" s="1"/>
  <c r="O63" i="1"/>
  <c r="N63" i="1" s="1"/>
  <c r="O64" i="1"/>
  <c r="N64" i="1" s="1"/>
  <c r="O65" i="1"/>
  <c r="N65" i="1" s="1"/>
  <c r="O66" i="1"/>
  <c r="N66" i="1" s="1"/>
  <c r="O67" i="1"/>
  <c r="N67" i="1" s="1"/>
  <c r="O68" i="1"/>
  <c r="N68" i="1" s="1"/>
  <c r="O69" i="1"/>
  <c r="N69" i="1" s="1"/>
  <c r="O70" i="1"/>
  <c r="N70" i="1" s="1"/>
  <c r="O71" i="1"/>
  <c r="N71" i="1" s="1"/>
  <c r="O72" i="1"/>
  <c r="N72" i="1" s="1"/>
  <c r="O73" i="1"/>
  <c r="N73" i="1" s="1"/>
  <c r="O74" i="1"/>
  <c r="N74" i="1" s="1"/>
  <c r="O75" i="1"/>
  <c r="N75" i="1" s="1"/>
  <c r="O76" i="1"/>
  <c r="N76" i="1" s="1"/>
  <c r="O77" i="1"/>
  <c r="N77" i="1" s="1"/>
  <c r="O80" i="1"/>
  <c r="N80" i="1" s="1"/>
  <c r="O81" i="1"/>
  <c r="N81" i="1" s="1"/>
  <c r="O82" i="1"/>
  <c r="N82" i="1" s="1"/>
  <c r="O83" i="1"/>
  <c r="N83" i="1" s="1"/>
  <c r="O84" i="1"/>
  <c r="N84" i="1" s="1"/>
  <c r="O85" i="1"/>
  <c r="N85" i="1" s="1"/>
  <c r="O86" i="1"/>
  <c r="N86" i="1" s="1"/>
  <c r="O87" i="1"/>
  <c r="N87" i="1" s="1"/>
  <c r="O88" i="1"/>
  <c r="N88" i="1" s="1"/>
  <c r="O89" i="1"/>
  <c r="N89" i="1" s="1"/>
  <c r="O90" i="1"/>
  <c r="N90" i="1" s="1"/>
  <c r="O91" i="1"/>
  <c r="N91" i="1" s="1"/>
  <c r="O92" i="1"/>
  <c r="N92" i="1" s="1"/>
  <c r="O93" i="1"/>
  <c r="N93" i="1" s="1"/>
  <c r="O94" i="1"/>
  <c r="N94" i="1" s="1"/>
  <c r="O95" i="1"/>
  <c r="N95" i="1" s="1"/>
  <c r="O96" i="1"/>
  <c r="N96" i="1" s="1"/>
  <c r="O97" i="1"/>
  <c r="N97" i="1" s="1"/>
  <c r="O98" i="1"/>
  <c r="N98" i="1" s="1"/>
  <c r="O99" i="1"/>
  <c r="N99" i="1" s="1"/>
  <c r="O100" i="1"/>
  <c r="N100" i="1" s="1"/>
  <c r="O101" i="1"/>
  <c r="N101" i="1" s="1"/>
  <c r="O102" i="1"/>
  <c r="N102" i="1" s="1"/>
  <c r="O103" i="1"/>
  <c r="N103" i="1" s="1"/>
  <c r="O104" i="1"/>
  <c r="N104" i="1" s="1"/>
  <c r="O105" i="1"/>
  <c r="N105" i="1" s="1"/>
  <c r="O106" i="1"/>
  <c r="N106" i="1" s="1"/>
  <c r="O107" i="1"/>
  <c r="N107" i="1" s="1"/>
  <c r="O108" i="1"/>
  <c r="N108" i="1" s="1"/>
  <c r="O109" i="1"/>
  <c r="N109" i="1" s="1"/>
  <c r="O110" i="1"/>
  <c r="N110" i="1" s="1"/>
  <c r="O111" i="1"/>
  <c r="N111" i="1" s="1"/>
  <c r="O112" i="1"/>
  <c r="N112" i="1" s="1"/>
  <c r="O113" i="1"/>
  <c r="N113" i="1" s="1"/>
  <c r="O114" i="1"/>
  <c r="N114" i="1" s="1"/>
  <c r="O115" i="1"/>
  <c r="N115" i="1" s="1"/>
  <c r="O116" i="1"/>
  <c r="N116" i="1" s="1"/>
  <c r="O117" i="1"/>
  <c r="N117" i="1" s="1"/>
  <c r="O118" i="1"/>
  <c r="N118" i="1" s="1"/>
  <c r="O119" i="1"/>
  <c r="N119" i="1" s="1"/>
  <c r="O120" i="1"/>
  <c r="N120" i="1" s="1"/>
  <c r="O121" i="1"/>
  <c r="N121" i="1" s="1"/>
  <c r="O122" i="1"/>
  <c r="N122" i="1" s="1"/>
  <c r="O123" i="1"/>
  <c r="N123" i="1" s="1"/>
  <c r="O124" i="1"/>
  <c r="N124" i="1" s="1"/>
  <c r="O125" i="1"/>
  <c r="N125" i="1" s="1"/>
  <c r="O126" i="1"/>
  <c r="N126" i="1" s="1"/>
  <c r="O127" i="1"/>
  <c r="N127" i="1" s="1"/>
  <c r="O128" i="1"/>
  <c r="N128" i="1" s="1"/>
  <c r="O129" i="1"/>
  <c r="N129" i="1" s="1"/>
  <c r="O130" i="1"/>
  <c r="N130" i="1" s="1"/>
  <c r="O131" i="1"/>
  <c r="N131" i="1" s="1"/>
  <c r="O132" i="1"/>
  <c r="N132" i="1" s="1"/>
  <c r="O133" i="1"/>
  <c r="N133" i="1" s="1"/>
  <c r="O134" i="1"/>
  <c r="N134" i="1" s="1"/>
  <c r="O135" i="1"/>
  <c r="N135" i="1" s="1"/>
  <c r="O136" i="1"/>
  <c r="N136" i="1" s="1"/>
  <c r="O137" i="1"/>
  <c r="N137" i="1" s="1"/>
  <c r="O138" i="1"/>
  <c r="N138" i="1" s="1"/>
  <c r="O139" i="1"/>
  <c r="N139" i="1" s="1"/>
  <c r="O140" i="1"/>
  <c r="N140" i="1" s="1"/>
  <c r="O141" i="1"/>
  <c r="N141" i="1" s="1"/>
  <c r="O142" i="1"/>
  <c r="N142" i="1" s="1"/>
  <c r="O143" i="1"/>
  <c r="N143" i="1" s="1"/>
  <c r="O144" i="1"/>
  <c r="N144" i="1" s="1"/>
  <c r="O145" i="1"/>
  <c r="N145" i="1" s="1"/>
  <c r="O146" i="1"/>
  <c r="N146" i="1" s="1"/>
  <c r="O147" i="1"/>
  <c r="N147" i="1" s="1"/>
  <c r="O148" i="1"/>
  <c r="N148" i="1" s="1"/>
  <c r="O149" i="1"/>
  <c r="N149" i="1" s="1"/>
  <c r="O150" i="1"/>
  <c r="N150" i="1" s="1"/>
  <c r="O154" i="1"/>
  <c r="N154" i="1" s="1"/>
  <c r="O155" i="1"/>
  <c r="N155" i="1" s="1"/>
  <c r="O156" i="1"/>
  <c r="N156" i="1" s="1"/>
  <c r="O157" i="1"/>
  <c r="N157" i="1" s="1"/>
  <c r="O158" i="1"/>
  <c r="N158" i="1" s="1"/>
  <c r="O159" i="1"/>
  <c r="N159" i="1" s="1"/>
  <c r="O160" i="1"/>
  <c r="N160" i="1" s="1"/>
  <c r="O161" i="1"/>
  <c r="N161" i="1" s="1"/>
  <c r="O162" i="1"/>
  <c r="N162" i="1" s="1"/>
  <c r="O163" i="1"/>
  <c r="N163" i="1" s="1"/>
  <c r="O164" i="1"/>
  <c r="N164" i="1" s="1"/>
  <c r="O165" i="1"/>
  <c r="N165" i="1" s="1"/>
  <c r="O166" i="1"/>
  <c r="N166" i="1" s="1"/>
  <c r="O167" i="1"/>
  <c r="N167" i="1" s="1"/>
  <c r="O168" i="1"/>
  <c r="N168" i="1" s="1"/>
  <c r="O169" i="1"/>
  <c r="N169" i="1" s="1"/>
  <c r="O170" i="1"/>
  <c r="N170" i="1" s="1"/>
  <c r="O171" i="1"/>
  <c r="N171" i="1" s="1"/>
  <c r="O172" i="1"/>
  <c r="N172" i="1" s="1"/>
  <c r="O173" i="1"/>
  <c r="N173" i="1" s="1"/>
  <c r="O174" i="1"/>
  <c r="N174" i="1" s="1"/>
  <c r="O175" i="1"/>
  <c r="N175" i="1" s="1"/>
  <c r="O176" i="1"/>
  <c r="N176" i="1" s="1"/>
  <c r="O177" i="1"/>
  <c r="N177" i="1" s="1"/>
  <c r="O178" i="1"/>
  <c r="N178" i="1" s="1"/>
  <c r="O179" i="1"/>
  <c r="N179" i="1" s="1"/>
  <c r="O180" i="1"/>
  <c r="N180" i="1" s="1"/>
  <c r="O181" i="1"/>
  <c r="N181" i="1" s="1"/>
  <c r="O182" i="1"/>
  <c r="N182" i="1" s="1"/>
  <c r="O183" i="1"/>
  <c r="N183" i="1" s="1"/>
  <c r="O184" i="1"/>
  <c r="N184" i="1" s="1"/>
  <c r="O185" i="1"/>
  <c r="N185" i="1" s="1"/>
  <c r="O186" i="1"/>
  <c r="N186" i="1" s="1"/>
  <c r="O187" i="1"/>
  <c r="N187" i="1" s="1"/>
  <c r="O188" i="1"/>
  <c r="N188" i="1" s="1"/>
  <c r="O189" i="1"/>
  <c r="N189" i="1" s="1"/>
  <c r="O190" i="1"/>
  <c r="N190" i="1" s="1"/>
  <c r="O191" i="1"/>
  <c r="N191" i="1" s="1"/>
  <c r="O192" i="1"/>
  <c r="N192" i="1" s="1"/>
  <c r="O193" i="1"/>
  <c r="N193" i="1" s="1"/>
  <c r="O194" i="1"/>
  <c r="N194" i="1" s="1"/>
  <c r="O195" i="1"/>
  <c r="N195" i="1" s="1"/>
  <c r="O196" i="1"/>
  <c r="N196" i="1" s="1"/>
  <c r="O197" i="1"/>
  <c r="N197" i="1" s="1"/>
  <c r="O198" i="1"/>
  <c r="N198" i="1" s="1"/>
  <c r="O199" i="1"/>
  <c r="N199" i="1" s="1"/>
  <c r="O200" i="1"/>
  <c r="N200" i="1" s="1"/>
  <c r="O201" i="1"/>
  <c r="N201" i="1" s="1"/>
  <c r="O202" i="1"/>
  <c r="N202" i="1" s="1"/>
  <c r="O203" i="1"/>
  <c r="N203" i="1" s="1"/>
  <c r="O204" i="1"/>
  <c r="N204" i="1" s="1"/>
  <c r="O205" i="1"/>
  <c r="N205" i="1" s="1"/>
  <c r="O206" i="1"/>
  <c r="N206" i="1" s="1"/>
  <c r="O207" i="1"/>
  <c r="N207" i="1" s="1"/>
  <c r="O208" i="1"/>
  <c r="N208" i="1" s="1"/>
  <c r="O209" i="1"/>
  <c r="N209" i="1" s="1"/>
  <c r="O210" i="1"/>
  <c r="N210" i="1" s="1"/>
  <c r="O211" i="1"/>
  <c r="N211" i="1" s="1"/>
  <c r="O212" i="1"/>
  <c r="N212" i="1" s="1"/>
  <c r="O213" i="1"/>
  <c r="N213" i="1" s="1"/>
  <c r="O214" i="1"/>
  <c r="N214" i="1" s="1"/>
  <c r="O215" i="1"/>
  <c r="N215" i="1" s="1"/>
  <c r="O216" i="1"/>
  <c r="N216" i="1" s="1"/>
  <c r="O217" i="1"/>
  <c r="N217" i="1" s="1"/>
  <c r="O218" i="1"/>
  <c r="N218" i="1" s="1"/>
  <c r="O219" i="1"/>
  <c r="N219" i="1" s="1"/>
  <c r="O220" i="1"/>
  <c r="N220" i="1" s="1"/>
  <c r="O221" i="1"/>
  <c r="N221" i="1" s="1"/>
  <c r="O222" i="1"/>
  <c r="N222" i="1" s="1"/>
  <c r="O223" i="1"/>
  <c r="N223" i="1" s="1"/>
  <c r="O224" i="1"/>
  <c r="N224" i="1" s="1"/>
  <c r="O225" i="1"/>
  <c r="N225" i="1" s="1"/>
  <c r="O226" i="1"/>
  <c r="N226" i="1" s="1"/>
  <c r="O227" i="1"/>
  <c r="N227" i="1" s="1"/>
  <c r="O228" i="1"/>
  <c r="N228" i="1" s="1"/>
  <c r="O229" i="1"/>
  <c r="N229" i="1" s="1"/>
  <c r="O230" i="1"/>
  <c r="N230" i="1" s="1"/>
  <c r="O231" i="1"/>
  <c r="N231" i="1" s="1"/>
  <c r="O234" i="1"/>
  <c r="N234" i="1" s="1"/>
  <c r="O235" i="1"/>
  <c r="N235" i="1" s="1"/>
  <c r="O236" i="1"/>
  <c r="N236" i="1" s="1"/>
  <c r="O237" i="1"/>
  <c r="N237" i="1" s="1"/>
  <c r="O238" i="1"/>
  <c r="N238" i="1" s="1"/>
  <c r="O239" i="1"/>
  <c r="N239" i="1" s="1"/>
  <c r="O240" i="1"/>
  <c r="N240" i="1" s="1"/>
  <c r="O241" i="1"/>
  <c r="N241" i="1" s="1"/>
  <c r="O242" i="1"/>
  <c r="N242" i="1" s="1"/>
  <c r="O243" i="1"/>
  <c r="N243" i="1" s="1"/>
  <c r="O244" i="1"/>
  <c r="N244" i="1" s="1"/>
  <c r="O245" i="1"/>
  <c r="N245" i="1" s="1"/>
  <c r="O246" i="1"/>
  <c r="N246" i="1" s="1"/>
  <c r="O247" i="1"/>
  <c r="N247" i="1" s="1"/>
  <c r="O248" i="1"/>
  <c r="N248" i="1" s="1"/>
  <c r="O249" i="1"/>
  <c r="N249" i="1" s="1"/>
  <c r="O4" i="1"/>
  <c r="N4" i="1" s="1"/>
  <c r="M5" i="1"/>
  <c r="M6" i="1"/>
  <c r="M7" i="1"/>
  <c r="M8" i="1"/>
  <c r="M9" i="1"/>
  <c r="M10" i="1"/>
  <c r="M11" i="1"/>
  <c r="M12" i="1"/>
  <c r="M13" i="1"/>
  <c r="M14" i="1"/>
  <c r="M15" i="1"/>
  <c r="L15" i="1" s="1"/>
  <c r="M16" i="1"/>
  <c r="L16" i="1" s="1"/>
  <c r="M17" i="1"/>
  <c r="L17" i="1" s="1"/>
  <c r="M18" i="1"/>
  <c r="L18" i="1" s="1"/>
  <c r="M19" i="1"/>
  <c r="L19" i="1" s="1"/>
  <c r="M20" i="1"/>
  <c r="L20" i="1" s="1"/>
  <c r="M21" i="1"/>
  <c r="L21" i="1" s="1"/>
  <c r="M22" i="1"/>
  <c r="L22" i="1" s="1"/>
  <c r="M23" i="1"/>
  <c r="L23" i="1" s="1"/>
  <c r="M24" i="1"/>
  <c r="L24" i="1" s="1"/>
  <c r="M25" i="1"/>
  <c r="L25" i="1" s="1"/>
  <c r="M26" i="1"/>
  <c r="L26" i="1" s="1"/>
  <c r="M27" i="1"/>
  <c r="L27" i="1" s="1"/>
  <c r="M28" i="1"/>
  <c r="L28" i="1" s="1"/>
  <c r="M29" i="1"/>
  <c r="L29" i="1" s="1"/>
  <c r="M30" i="1"/>
  <c r="L30" i="1" s="1"/>
  <c r="M31" i="1"/>
  <c r="L31" i="1" s="1"/>
  <c r="M32" i="1"/>
  <c r="L32" i="1" s="1"/>
  <c r="M33" i="1"/>
  <c r="L33" i="1" s="1"/>
  <c r="M34" i="1"/>
  <c r="L34" i="1" s="1"/>
  <c r="M35" i="1"/>
  <c r="L35" i="1" s="1"/>
  <c r="M36" i="1"/>
  <c r="L36" i="1" s="1"/>
  <c r="M37" i="1"/>
  <c r="L37" i="1" s="1"/>
  <c r="M38" i="1"/>
  <c r="L38" i="1" s="1"/>
  <c r="M39" i="1"/>
  <c r="L39" i="1" s="1"/>
  <c r="M40" i="1"/>
  <c r="L40" i="1" s="1"/>
  <c r="M41" i="1"/>
  <c r="L41" i="1" s="1"/>
  <c r="M42" i="1"/>
  <c r="L42" i="1" s="1"/>
  <c r="M43" i="1"/>
  <c r="L43" i="1" s="1"/>
  <c r="M44" i="1"/>
  <c r="L44" i="1" s="1"/>
  <c r="M45" i="1"/>
  <c r="L45" i="1" s="1"/>
  <c r="M46" i="1"/>
  <c r="L46" i="1" s="1"/>
  <c r="M47" i="1"/>
  <c r="L47" i="1" s="1"/>
  <c r="M48" i="1"/>
  <c r="L48" i="1" s="1"/>
  <c r="M49" i="1"/>
  <c r="L49" i="1" s="1"/>
  <c r="M50" i="1"/>
  <c r="L50" i="1" s="1"/>
  <c r="M51" i="1"/>
  <c r="L51" i="1" s="1"/>
  <c r="M52" i="1"/>
  <c r="L52" i="1" s="1"/>
  <c r="M53" i="1"/>
  <c r="L53" i="1" s="1"/>
  <c r="M54" i="1"/>
  <c r="L54" i="1" s="1"/>
  <c r="M55" i="1"/>
  <c r="L55" i="1" s="1"/>
  <c r="M56" i="1"/>
  <c r="L56" i="1" s="1"/>
  <c r="M57" i="1"/>
  <c r="L57" i="1" s="1"/>
  <c r="M58" i="1"/>
  <c r="L58" i="1" s="1"/>
  <c r="M59" i="1"/>
  <c r="L59" i="1" s="1"/>
  <c r="M60" i="1"/>
  <c r="L60" i="1" s="1"/>
  <c r="M61" i="1"/>
  <c r="L61" i="1" s="1"/>
  <c r="M62" i="1"/>
  <c r="L62" i="1" s="1"/>
  <c r="M63" i="1"/>
  <c r="L63" i="1" s="1"/>
  <c r="M64" i="1"/>
  <c r="L64" i="1" s="1"/>
  <c r="M65" i="1"/>
  <c r="L65" i="1" s="1"/>
  <c r="M66" i="1"/>
  <c r="L66" i="1" s="1"/>
  <c r="M67" i="1"/>
  <c r="L67" i="1" s="1"/>
  <c r="M68" i="1"/>
  <c r="L68" i="1" s="1"/>
  <c r="M69" i="1"/>
  <c r="L69" i="1" s="1"/>
  <c r="M70" i="1"/>
  <c r="L70" i="1" s="1"/>
  <c r="M71" i="1"/>
  <c r="L71" i="1" s="1"/>
  <c r="M72" i="1"/>
  <c r="L72" i="1" s="1"/>
  <c r="M73" i="1"/>
  <c r="L73" i="1" s="1"/>
  <c r="M74" i="1"/>
  <c r="L74" i="1" s="1"/>
  <c r="M75" i="1"/>
  <c r="L75" i="1" s="1"/>
  <c r="M76" i="1"/>
  <c r="L76" i="1" s="1"/>
  <c r="M77" i="1"/>
  <c r="L77" i="1" s="1"/>
  <c r="M80" i="1"/>
  <c r="L80" i="1" s="1"/>
  <c r="M81" i="1"/>
  <c r="L81" i="1" s="1"/>
  <c r="M82" i="1"/>
  <c r="L82" i="1" s="1"/>
  <c r="M83" i="1"/>
  <c r="L83" i="1" s="1"/>
  <c r="M84" i="1"/>
  <c r="L84" i="1" s="1"/>
  <c r="M85" i="1"/>
  <c r="L85" i="1" s="1"/>
  <c r="M86" i="1"/>
  <c r="L86" i="1" s="1"/>
  <c r="M87" i="1"/>
  <c r="L87" i="1" s="1"/>
  <c r="M88" i="1"/>
  <c r="L88" i="1" s="1"/>
  <c r="M89" i="1"/>
  <c r="L89" i="1" s="1"/>
  <c r="M90" i="1"/>
  <c r="L90" i="1" s="1"/>
  <c r="M91" i="1"/>
  <c r="L91" i="1" s="1"/>
  <c r="M92" i="1"/>
  <c r="L92" i="1" s="1"/>
  <c r="M93" i="1"/>
  <c r="L93" i="1" s="1"/>
  <c r="M94" i="1"/>
  <c r="L94" i="1" s="1"/>
  <c r="M95" i="1"/>
  <c r="L95" i="1" s="1"/>
  <c r="M96" i="1"/>
  <c r="L96" i="1" s="1"/>
  <c r="M97" i="1"/>
  <c r="L97" i="1" s="1"/>
  <c r="M98" i="1"/>
  <c r="L98" i="1" s="1"/>
  <c r="M99" i="1"/>
  <c r="L99" i="1" s="1"/>
  <c r="M100" i="1"/>
  <c r="L100" i="1" s="1"/>
  <c r="M101" i="1"/>
  <c r="L101" i="1" s="1"/>
  <c r="M102" i="1"/>
  <c r="L102" i="1" s="1"/>
  <c r="M103" i="1"/>
  <c r="L103" i="1" s="1"/>
  <c r="M104" i="1"/>
  <c r="L104" i="1" s="1"/>
  <c r="M105" i="1"/>
  <c r="L105" i="1" s="1"/>
  <c r="M106" i="1"/>
  <c r="L106" i="1" s="1"/>
  <c r="M107" i="1"/>
  <c r="L107" i="1" s="1"/>
  <c r="M108" i="1"/>
  <c r="L108" i="1" s="1"/>
  <c r="M109" i="1"/>
  <c r="L109" i="1" s="1"/>
  <c r="M110" i="1"/>
  <c r="L110" i="1" s="1"/>
  <c r="M111" i="1"/>
  <c r="L111" i="1" s="1"/>
  <c r="M112" i="1"/>
  <c r="L112" i="1" s="1"/>
  <c r="M113" i="1"/>
  <c r="L113" i="1" s="1"/>
  <c r="M114" i="1"/>
  <c r="L114" i="1" s="1"/>
  <c r="M115" i="1"/>
  <c r="L115" i="1" s="1"/>
  <c r="M116" i="1"/>
  <c r="L116" i="1" s="1"/>
  <c r="M117" i="1"/>
  <c r="L117" i="1" s="1"/>
  <c r="M118" i="1"/>
  <c r="L118" i="1" s="1"/>
  <c r="M119" i="1"/>
  <c r="L119" i="1" s="1"/>
  <c r="M120" i="1"/>
  <c r="L120" i="1" s="1"/>
  <c r="M121" i="1"/>
  <c r="L121" i="1" s="1"/>
  <c r="M122" i="1"/>
  <c r="L122" i="1" s="1"/>
  <c r="M123" i="1"/>
  <c r="L123" i="1" s="1"/>
  <c r="M124" i="1"/>
  <c r="L124" i="1" s="1"/>
  <c r="M125" i="1"/>
  <c r="L125" i="1" s="1"/>
  <c r="M126" i="1"/>
  <c r="L126" i="1" s="1"/>
  <c r="M127" i="1"/>
  <c r="L127" i="1" s="1"/>
  <c r="M128" i="1"/>
  <c r="L128" i="1" s="1"/>
  <c r="M129" i="1"/>
  <c r="L129" i="1" s="1"/>
  <c r="M130" i="1"/>
  <c r="L130" i="1" s="1"/>
  <c r="M131" i="1"/>
  <c r="L131" i="1" s="1"/>
  <c r="M132" i="1"/>
  <c r="L132" i="1" s="1"/>
  <c r="M133" i="1"/>
  <c r="L133" i="1" s="1"/>
  <c r="M134" i="1"/>
  <c r="L134" i="1" s="1"/>
  <c r="M135" i="1"/>
  <c r="L135" i="1" s="1"/>
  <c r="M136" i="1"/>
  <c r="L136" i="1" s="1"/>
  <c r="M137" i="1"/>
  <c r="L137" i="1" s="1"/>
  <c r="M138" i="1"/>
  <c r="L138" i="1" s="1"/>
  <c r="M139" i="1"/>
  <c r="L139" i="1" s="1"/>
  <c r="M140" i="1"/>
  <c r="L140" i="1" s="1"/>
  <c r="M141" i="1"/>
  <c r="L141" i="1" s="1"/>
  <c r="M142" i="1"/>
  <c r="L142" i="1" s="1"/>
  <c r="M143" i="1"/>
  <c r="L143" i="1" s="1"/>
  <c r="M144" i="1"/>
  <c r="L144" i="1" s="1"/>
  <c r="M145" i="1"/>
  <c r="L145" i="1" s="1"/>
  <c r="M146" i="1"/>
  <c r="L146" i="1" s="1"/>
  <c r="M147" i="1"/>
  <c r="L147" i="1" s="1"/>
  <c r="M148" i="1"/>
  <c r="L148" i="1" s="1"/>
  <c r="M149" i="1"/>
  <c r="L149" i="1" s="1"/>
  <c r="M150" i="1"/>
  <c r="L150" i="1" s="1"/>
  <c r="M154" i="1"/>
  <c r="L154" i="1" s="1"/>
  <c r="M155" i="1"/>
  <c r="L155" i="1" s="1"/>
  <c r="M156" i="1"/>
  <c r="L156" i="1" s="1"/>
  <c r="M157" i="1"/>
  <c r="L157" i="1" s="1"/>
  <c r="M158" i="1"/>
  <c r="L158" i="1" s="1"/>
  <c r="M159" i="1"/>
  <c r="L159" i="1" s="1"/>
  <c r="M160" i="1"/>
  <c r="L160" i="1" s="1"/>
  <c r="M161" i="1"/>
  <c r="L161" i="1" s="1"/>
  <c r="M162" i="1"/>
  <c r="L162" i="1" s="1"/>
  <c r="M163" i="1"/>
  <c r="L163" i="1" s="1"/>
  <c r="M164" i="1"/>
  <c r="L164" i="1" s="1"/>
  <c r="M165" i="1"/>
  <c r="L165" i="1" s="1"/>
  <c r="M166" i="1"/>
  <c r="L166" i="1" s="1"/>
  <c r="M167" i="1"/>
  <c r="L167" i="1" s="1"/>
  <c r="M168" i="1"/>
  <c r="L168" i="1" s="1"/>
  <c r="M169" i="1"/>
  <c r="L169" i="1" s="1"/>
  <c r="M170" i="1"/>
  <c r="L170" i="1" s="1"/>
  <c r="M171" i="1"/>
  <c r="L171" i="1" s="1"/>
  <c r="M172" i="1"/>
  <c r="L172" i="1" s="1"/>
  <c r="M173" i="1"/>
  <c r="L173" i="1" s="1"/>
  <c r="M174" i="1"/>
  <c r="L174" i="1" s="1"/>
  <c r="M175" i="1"/>
  <c r="L175" i="1" s="1"/>
  <c r="M176" i="1"/>
  <c r="L176" i="1" s="1"/>
  <c r="M177" i="1"/>
  <c r="L177" i="1" s="1"/>
  <c r="M178" i="1"/>
  <c r="L178" i="1" s="1"/>
  <c r="M179" i="1"/>
  <c r="L179" i="1" s="1"/>
  <c r="M180" i="1"/>
  <c r="L180" i="1" s="1"/>
  <c r="M181" i="1"/>
  <c r="L181" i="1" s="1"/>
  <c r="M182" i="1"/>
  <c r="L182" i="1" s="1"/>
  <c r="M183" i="1"/>
  <c r="L183" i="1" s="1"/>
  <c r="M184" i="1"/>
  <c r="L184" i="1" s="1"/>
  <c r="M185" i="1"/>
  <c r="L185" i="1" s="1"/>
  <c r="M186" i="1"/>
  <c r="L186" i="1" s="1"/>
  <c r="M187" i="1"/>
  <c r="L187" i="1" s="1"/>
  <c r="M188" i="1"/>
  <c r="L188" i="1" s="1"/>
  <c r="M189" i="1"/>
  <c r="L189" i="1" s="1"/>
  <c r="M190" i="1"/>
  <c r="L190" i="1" s="1"/>
  <c r="M191" i="1"/>
  <c r="L191" i="1" s="1"/>
  <c r="M192" i="1"/>
  <c r="L192" i="1" s="1"/>
  <c r="M193" i="1"/>
  <c r="L193" i="1" s="1"/>
  <c r="M194" i="1"/>
  <c r="L194" i="1" s="1"/>
  <c r="M195" i="1"/>
  <c r="L195" i="1" s="1"/>
  <c r="M196" i="1"/>
  <c r="L196" i="1" s="1"/>
  <c r="M197" i="1"/>
  <c r="L197" i="1" s="1"/>
  <c r="M198" i="1"/>
  <c r="L198" i="1" s="1"/>
  <c r="M199" i="1"/>
  <c r="L199" i="1" s="1"/>
  <c r="M200" i="1"/>
  <c r="L200" i="1" s="1"/>
  <c r="M201" i="1"/>
  <c r="L201" i="1" s="1"/>
  <c r="M202" i="1"/>
  <c r="L202" i="1" s="1"/>
  <c r="M203" i="1"/>
  <c r="L203" i="1" s="1"/>
  <c r="M204" i="1"/>
  <c r="L204" i="1" s="1"/>
  <c r="M205" i="1"/>
  <c r="L205" i="1" s="1"/>
  <c r="M206" i="1"/>
  <c r="L206" i="1" s="1"/>
  <c r="M207" i="1"/>
  <c r="L207" i="1" s="1"/>
  <c r="M208" i="1"/>
  <c r="L208" i="1" s="1"/>
  <c r="M209" i="1"/>
  <c r="L209" i="1" s="1"/>
  <c r="M210" i="1"/>
  <c r="L210" i="1" s="1"/>
  <c r="M211" i="1"/>
  <c r="L211" i="1" s="1"/>
  <c r="M212" i="1"/>
  <c r="L212" i="1" s="1"/>
  <c r="M213" i="1"/>
  <c r="L213" i="1" s="1"/>
  <c r="M214" i="1"/>
  <c r="L214" i="1" s="1"/>
  <c r="M215" i="1"/>
  <c r="L215" i="1" s="1"/>
  <c r="M216" i="1"/>
  <c r="L216" i="1" s="1"/>
  <c r="M217" i="1"/>
  <c r="L217" i="1" s="1"/>
  <c r="M218" i="1"/>
  <c r="L218" i="1" s="1"/>
  <c r="M219" i="1"/>
  <c r="L219" i="1" s="1"/>
  <c r="M220" i="1"/>
  <c r="L220" i="1" s="1"/>
  <c r="M221" i="1"/>
  <c r="L221" i="1" s="1"/>
  <c r="M222" i="1"/>
  <c r="L222" i="1" s="1"/>
  <c r="M223" i="1"/>
  <c r="L223" i="1" s="1"/>
  <c r="M224" i="1"/>
  <c r="L224" i="1" s="1"/>
  <c r="M225" i="1"/>
  <c r="L225" i="1" s="1"/>
  <c r="M226" i="1"/>
  <c r="L226" i="1" s="1"/>
  <c r="M227" i="1"/>
  <c r="L227" i="1" s="1"/>
  <c r="M228" i="1"/>
  <c r="L228" i="1" s="1"/>
  <c r="M229" i="1"/>
  <c r="L229" i="1" s="1"/>
  <c r="M230" i="1"/>
  <c r="L230" i="1" s="1"/>
  <c r="M231" i="1"/>
  <c r="L231" i="1" s="1"/>
  <c r="M234" i="1"/>
  <c r="L234" i="1" s="1"/>
  <c r="M235" i="1"/>
  <c r="L235" i="1" s="1"/>
  <c r="M236" i="1"/>
  <c r="L236" i="1" s="1"/>
  <c r="M237" i="1"/>
  <c r="L237" i="1" s="1"/>
  <c r="M238" i="1"/>
  <c r="L238" i="1" s="1"/>
  <c r="M239" i="1"/>
  <c r="L239" i="1" s="1"/>
  <c r="M240" i="1"/>
  <c r="L240" i="1" s="1"/>
  <c r="M241" i="1"/>
  <c r="L241" i="1" s="1"/>
  <c r="M242" i="1"/>
  <c r="L242" i="1" s="1"/>
  <c r="M243" i="1"/>
  <c r="L243" i="1" s="1"/>
  <c r="M244" i="1"/>
  <c r="L244" i="1" s="1"/>
  <c r="M245" i="1"/>
  <c r="L245" i="1" s="1"/>
  <c r="M246" i="1"/>
  <c r="L246" i="1" s="1"/>
  <c r="M247" i="1"/>
  <c r="L247" i="1" s="1"/>
  <c r="M248" i="1"/>
  <c r="L248" i="1" s="1"/>
  <c r="M249" i="1"/>
  <c r="L249" i="1" s="1"/>
  <c r="M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7" i="1"/>
  <c r="D68" i="1"/>
  <c r="D69" i="1"/>
  <c r="D70" i="1"/>
  <c r="D71" i="1"/>
  <c r="D72" i="1"/>
  <c r="D73" i="1"/>
  <c r="D74" i="1"/>
  <c r="D75" i="1"/>
  <c r="D76" i="1"/>
  <c r="D77"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4" i="1"/>
  <c r="D235" i="1"/>
  <c r="D236" i="1"/>
  <c r="D237" i="1"/>
  <c r="D238" i="1"/>
  <c r="D239" i="1"/>
  <c r="D240" i="1"/>
  <c r="D241" i="1"/>
  <c r="D242" i="1"/>
  <c r="D243" i="1"/>
  <c r="D244" i="1"/>
  <c r="D245" i="1"/>
  <c r="D246" i="1"/>
  <c r="D247" i="1"/>
  <c r="D248" i="1"/>
  <c r="D249" i="1"/>
  <c r="D4" i="1"/>
  <c r="AF5" i="31"/>
  <c r="X5" i="31"/>
  <c r="AF6" i="31"/>
  <c r="X6" i="31"/>
  <c r="L12" i="1" l="1"/>
  <c r="L8" i="1"/>
  <c r="L4" i="1"/>
  <c r="L11" i="1"/>
  <c r="L7" i="1"/>
  <c r="L14" i="1"/>
  <c r="L10" i="1"/>
  <c r="L6" i="1"/>
  <c r="L13" i="1"/>
  <c r="L9" i="1"/>
  <c r="L5" i="1"/>
  <c r="X7" i="31"/>
  <c r="BQ6" i="33"/>
  <c r="BR1" i="33" s="1"/>
  <c r="BE6" i="33"/>
  <c r="BF1" i="33" s="1"/>
  <c r="R6" i="29" l="1"/>
  <c r="J7" i="38"/>
  <c r="J8" i="38"/>
  <c r="K6" i="38"/>
  <c r="K8" i="38"/>
  <c r="K7" i="38"/>
  <c r="J6" i="38" l="1"/>
  <c r="J5" i="38"/>
  <c r="J4" i="38"/>
  <c r="AY3" i="31"/>
  <c r="E6" i="38"/>
  <c r="K4" i="38"/>
  <c r="K5" i="38"/>
  <c r="E4" i="38"/>
  <c r="E5" i="38"/>
  <c r="AF7" i="31" l="1"/>
  <c r="AG5" i="31" s="1"/>
  <c r="Y5" i="31"/>
  <c r="K20" i="16"/>
  <c r="H21" i="16" s="1"/>
  <c r="H20" i="16"/>
  <c r="J20" i="16" s="1"/>
  <c r="K19" i="16"/>
  <c r="J19" i="16"/>
  <c r="J21" i="16" l="1"/>
  <c r="G3" i="33"/>
  <c r="L4" i="29"/>
  <c r="AT6" i="33"/>
  <c r="AT5" i="33"/>
  <c r="AT4" i="33"/>
  <c r="AB4" i="30"/>
  <c r="F3" i="33"/>
  <c r="K21" i="16" l="1"/>
  <c r="H22" i="16" s="1"/>
  <c r="AC4" i="30"/>
  <c r="G5" i="33"/>
  <c r="G6" i="33"/>
  <c r="G7" i="33"/>
  <c r="G8" i="33"/>
  <c r="G9" i="33"/>
  <c r="G10" i="33"/>
  <c r="G11" i="33"/>
  <c r="G12" i="33"/>
  <c r="G13" i="33"/>
  <c r="G4" i="33"/>
  <c r="AB5" i="30"/>
  <c r="O1" i="31"/>
  <c r="AG4" i="33"/>
  <c r="N1" i="31"/>
  <c r="F6" i="33"/>
  <c r="T4" i="33"/>
  <c r="F13" i="33"/>
  <c r="F11" i="33"/>
  <c r="F7" i="33"/>
  <c r="F10" i="33"/>
  <c r="F5" i="33"/>
  <c r="F8" i="33"/>
  <c r="F12" i="33"/>
  <c r="F4" i="33"/>
  <c r="F9" i="33"/>
  <c r="J22" i="16" l="1"/>
  <c r="AG5" i="33"/>
  <c r="AG6" i="33" s="1"/>
  <c r="AH4" i="33" s="1"/>
  <c r="T5" i="33"/>
  <c r="T6" i="33" s="1"/>
  <c r="U4" i="33" s="1"/>
  <c r="K22" i="16" l="1"/>
  <c r="H23" i="16" s="1"/>
  <c r="U4" i="29"/>
  <c r="U5" i="29"/>
  <c r="U6" i="29"/>
  <c r="AJ1" i="30"/>
  <c r="F1" i="31"/>
  <c r="AK1" i="30"/>
  <c r="J23" i="16" l="1"/>
  <c r="K23" i="16" s="1"/>
  <c r="H24" i="16" s="1"/>
  <c r="O4" i="29"/>
  <c r="S4" i="29" s="1"/>
  <c r="AO4" i="31"/>
  <c r="E1" i="31"/>
  <c r="P4" i="30"/>
  <c r="AP4" i="31" l="1"/>
  <c r="J24" i="16"/>
  <c r="O5" i="29"/>
  <c r="S5" i="29" s="1"/>
  <c r="O6" i="29"/>
  <c r="R4" i="29"/>
  <c r="R5" i="29"/>
  <c r="K5" i="29"/>
  <c r="P5" i="30"/>
  <c r="P6" i="29" l="1"/>
  <c r="S6" i="29"/>
  <c r="T6" i="29" s="1"/>
  <c r="L5" i="29"/>
  <c r="K6" i="29" s="1"/>
  <c r="K24" i="16"/>
  <c r="H25" i="16" s="1"/>
  <c r="T5" i="29"/>
  <c r="P5" i="29"/>
  <c r="T4" i="29"/>
  <c r="P4" i="29"/>
  <c r="I1048575" i="15"/>
  <c r="F1048575" i="15"/>
  <c r="I6" i="29" l="1"/>
  <c r="L6" i="29"/>
  <c r="K7" i="29" s="1"/>
  <c r="I7" i="29" s="1"/>
  <c r="J25" i="16"/>
  <c r="C1048576" i="15"/>
  <c r="L7" i="29" l="1"/>
  <c r="K25" i="16"/>
  <c r="H26" i="16" s="1"/>
  <c r="J26" i="16" l="1"/>
  <c r="K26" i="16" l="1"/>
  <c r="H27" i="16" s="1"/>
  <c r="J27" i="16" l="1"/>
  <c r="K27" i="16" l="1"/>
  <c r="H28" i="16" s="1"/>
  <c r="J28" i="16" l="1"/>
  <c r="K28" i="1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0A1F30-1C61-4B87-8B28-B2E7B5CCA00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BFB10D-AEF2-4BE8-8E7B-412B1A397A3A}" name="WorksheetConnection_BELAJAR PIVOT TABEL.xlsx!UBC_MASUK" type="102" refreshedVersion="7" minRefreshableVersion="5">
    <extLst>
      <ext xmlns:x15="http://schemas.microsoft.com/office/spreadsheetml/2010/11/main" uri="{DE250136-89BD-433C-8126-D09CA5730AF9}">
        <x15:connection id="UBC_MASUK" autoDelete="1">
          <x15:rangePr sourceName="_xlcn.WorksheetConnection_BELAJARPIVOTTABEL.xlsxUBC_MASUK1"/>
        </x15:connection>
      </ext>
    </extLst>
  </connection>
  <connection id="3" xr16:uid="{45DD3EB1-2C6C-4492-A1A7-622D80B97FFF}" name="WorksheetConnection_ECOTP - 2021 PIVOT.xlsx!UBC_AKTIVITAS" type="102" refreshedVersion="7" minRefreshableVersion="5">
    <extLst>
      <ext xmlns:x15="http://schemas.microsoft.com/office/spreadsheetml/2010/11/main" uri="{DE250136-89BD-433C-8126-D09CA5730AF9}">
        <x15:connection id="UBC_AKTIVITAS" autoDelete="1">
          <x15:rangePr sourceName="_xlcn.WorksheetConnection_ECOTP2021PIVOT.xlsxUBC_AKTIVITAS1"/>
        </x15:connection>
      </ext>
    </extLst>
  </connection>
</connections>
</file>

<file path=xl/sharedStrings.xml><?xml version="1.0" encoding="utf-8"?>
<sst xmlns="http://schemas.openxmlformats.org/spreadsheetml/2006/main" count="2778" uniqueCount="370">
  <si>
    <t>Minggu</t>
  </si>
  <si>
    <t>Tanggal</t>
  </si>
  <si>
    <t>Bulan</t>
  </si>
  <si>
    <t>Tahun</t>
  </si>
  <si>
    <t>Partisipan</t>
  </si>
  <si>
    <t>Kategori</t>
  </si>
  <si>
    <t>Wilayah</t>
  </si>
  <si>
    <t>TPS3R</t>
  </si>
  <si>
    <t>Badung</t>
  </si>
  <si>
    <t>Tabanan</t>
  </si>
  <si>
    <t>Tambyak Lestari</t>
  </si>
  <si>
    <t>Grand Total</t>
  </si>
  <si>
    <t>Rumah kompos padang tegal</t>
  </si>
  <si>
    <t>TPST3R</t>
  </si>
  <si>
    <t>Gianyar</t>
  </si>
  <si>
    <t>Mitra Gianyar Bagus</t>
  </si>
  <si>
    <t>TPA</t>
  </si>
  <si>
    <t>Pak Legito</t>
  </si>
  <si>
    <t>Pengepul</t>
  </si>
  <si>
    <t>Denpasar</t>
  </si>
  <si>
    <t>Pak Jero mangku</t>
  </si>
  <si>
    <t>Jasa sampah</t>
  </si>
  <si>
    <t>Pak Sueb</t>
  </si>
  <si>
    <t>Pak Komang pemelisan</t>
  </si>
  <si>
    <t>Pak Rono</t>
  </si>
  <si>
    <t>Ibu Awi</t>
  </si>
  <si>
    <t>Pak Sidik</t>
  </si>
  <si>
    <t>Gelato factory</t>
  </si>
  <si>
    <t>Milk up</t>
  </si>
  <si>
    <t>Gusto gelato</t>
  </si>
  <si>
    <t>Paletas wey</t>
  </si>
  <si>
    <t>Bisnis</t>
  </si>
  <si>
    <t>denpasar</t>
  </si>
  <si>
    <t>Alila uluwatu</t>
  </si>
  <si>
    <t>Hotel</t>
  </si>
  <si>
    <t>Green School</t>
  </si>
  <si>
    <t>Sekolah</t>
  </si>
  <si>
    <t>Bank Sampah Unit</t>
  </si>
  <si>
    <t>ecoBali</t>
  </si>
  <si>
    <t>Pak Moyo</t>
  </si>
  <si>
    <t>Pak Kidul</t>
  </si>
  <si>
    <t>Aid hub</t>
  </si>
  <si>
    <t>PT Berkat Daur Ulang</t>
  </si>
  <si>
    <t>Klungkung</t>
  </si>
  <si>
    <t>Alila ubud</t>
  </si>
  <si>
    <t>Four season ubud</t>
  </si>
  <si>
    <t>LF Bali</t>
  </si>
  <si>
    <t>BIS (Bali Island School)</t>
  </si>
  <si>
    <t>Data dinamika jumlah UBC per Partisipan</t>
  </si>
  <si>
    <t>Data dinamika jumlah UBC per Kategori</t>
  </si>
  <si>
    <t>Data dinamika jumlah UBC Total</t>
  </si>
  <si>
    <t>Data Total Kabupaten</t>
  </si>
  <si>
    <t>Data Total Partisipan</t>
  </si>
  <si>
    <t xml:space="preserve">Data Total UBC Terkumpul </t>
  </si>
  <si>
    <t>Data jumlah partisipan (Share Value)</t>
  </si>
  <si>
    <t>Data kontibusi partisipan (Share Value)</t>
  </si>
  <si>
    <t>Angka</t>
  </si>
  <si>
    <t>Grafik Garis</t>
  </si>
  <si>
    <t>Diagram Lingkaran</t>
  </si>
  <si>
    <t>Data jumlah partisipan per wilayah</t>
  </si>
  <si>
    <t>Peta</t>
  </si>
  <si>
    <t>Data nilai UBC per wilayah</t>
  </si>
  <si>
    <t>Date</t>
  </si>
  <si>
    <t>UBC (Ton)</t>
  </si>
  <si>
    <t>UBC (Kg)</t>
  </si>
  <si>
    <t>TOTAL</t>
  </si>
  <si>
    <t>Jumlah Kabupaten</t>
  </si>
  <si>
    <t>Kabupaten</t>
  </si>
  <si>
    <t>% Partisipan</t>
  </si>
  <si>
    <t>∑ Partisipan</t>
  </si>
  <si>
    <t>Total</t>
  </si>
  <si>
    <t>Tabel Jumlah Partisipan Berdasarkan Kategori</t>
  </si>
  <si>
    <t>Tabel Jumlah UBC Berdasarkan Kategori</t>
  </si>
  <si>
    <t xml:space="preserve"> </t>
  </si>
  <si>
    <t>Tabel Jumlah Partisipan Berdasarkan Wilayah</t>
  </si>
  <si>
    <t>Tabel Jumlah Kabupaten</t>
  </si>
  <si>
    <t>Tabel Jumlah UBC Berdasarkan Partisipan (Bulanan)</t>
  </si>
  <si>
    <t>Row Labels</t>
  </si>
  <si>
    <t>Column Labels</t>
  </si>
  <si>
    <t>Total 
UBC (Kg)</t>
  </si>
  <si>
    <t>Tabel Jumlah UBC Berdasarkan Wilayah</t>
  </si>
  <si>
    <t>Tabel Jumlah UBC Mingguan
(Untuk Komparasi)</t>
  </si>
  <si>
    <t>Terkumpul</t>
  </si>
  <si>
    <t>Pak Bob</t>
  </si>
  <si>
    <t>Sungai Watch</t>
  </si>
  <si>
    <t>SUEB</t>
  </si>
  <si>
    <t>LEGITO</t>
  </si>
  <si>
    <t>PRESS MANUAL</t>
  </si>
  <si>
    <t>IBU AWI</t>
  </si>
  <si>
    <t>PAK KOMANG PEMELISAN</t>
  </si>
  <si>
    <t>Month</t>
  </si>
  <si>
    <t>Year</t>
  </si>
  <si>
    <t>% Weighing scale Gap ecoBali</t>
  </si>
  <si>
    <t>Weighing scale Gap ecoBali (Kg)</t>
  </si>
  <si>
    <t>Weighing scale Gap papermill (Kg)</t>
  </si>
  <si>
    <t>% Weighing scale Gap papermill</t>
  </si>
  <si>
    <t>Moisture Content and Contaminant (Kg)</t>
  </si>
  <si>
    <t xml:space="preserve">% Moisture Content and Contaminant </t>
  </si>
  <si>
    <t>Total Gap / Deduction (Kg)</t>
  </si>
  <si>
    <t>% Total Gap / Deduction</t>
  </si>
  <si>
    <t>Sum of Weighing scale Gap ecoBali (Kg)</t>
  </si>
  <si>
    <t>Susut</t>
  </si>
  <si>
    <t>Tidak Susut</t>
  </si>
  <si>
    <t>Sum of Weighing scale Gap papermill (Kg)</t>
  </si>
  <si>
    <t>TOTAL UBC COLLECTED BY ECOBALI</t>
  </si>
  <si>
    <t>TABEL UBC MASUK ECOBALI</t>
  </si>
  <si>
    <t>TABEL UBC DIKIRIM DARI ECOBALI</t>
  </si>
  <si>
    <t>Keterangan</t>
  </si>
  <si>
    <t>Jumlah</t>
  </si>
  <si>
    <t>TABEL JUMLAH SUSUT DARI BARANG TERKUMPUL DI ECOBALI</t>
  </si>
  <si>
    <t>TOTAL UBC DITERIMA PABRIK</t>
  </si>
  <si>
    <t>Tabel Jumlah UBC diterima Pabrik</t>
  </si>
  <si>
    <t>TABEL JUMLAH SUSUT DI PABRIK (PAPERMILL)</t>
  </si>
  <si>
    <t>Sum of Total Gap / Deduction (Kg)</t>
  </si>
  <si>
    <t>Sum of Moisture Content and Contaminant (Kg)</t>
  </si>
  <si>
    <t>TOTAL UBC SHIPPED TO PAPERMILL</t>
  </si>
  <si>
    <t>Total Weight Accepted</t>
  </si>
  <si>
    <t>Sum of Total Weight Accepted</t>
  </si>
  <si>
    <t>UBC</t>
  </si>
  <si>
    <t>Kuartal</t>
  </si>
  <si>
    <t>Q1</t>
  </si>
  <si>
    <t>Monsieur spoon</t>
  </si>
  <si>
    <t>Target Bulanan</t>
  </si>
  <si>
    <t>Target Tahunan</t>
  </si>
  <si>
    <t xml:space="preserve"> ∑ UBC (Kg)</t>
  </si>
  <si>
    <t>Belum</t>
  </si>
  <si>
    <t>TARGET BULANAN</t>
  </si>
  <si>
    <t>TARGET TAHUNAN</t>
  </si>
  <si>
    <t>TARGET</t>
  </si>
  <si>
    <t>ACTUAL</t>
  </si>
  <si>
    <t>Values</t>
  </si>
  <si>
    <t xml:space="preserve">REKAP UBC </t>
  </si>
  <si>
    <t>Delivered to Papermill (Kg)</t>
  </si>
  <si>
    <t>Tabel Perbandingan UBC ecoBali dan Papermill</t>
  </si>
  <si>
    <t>Tabel Perbandingan UBC dikirim dan diterima</t>
  </si>
  <si>
    <t>Sum of Delivered to Papermill (Kg)</t>
  </si>
  <si>
    <t>Tabel Total UBC Didaur ulang di pabrik (setelah dikurangi kontaminan)</t>
  </si>
  <si>
    <t>Seminyak Clean</t>
  </si>
  <si>
    <t>The Samaya Ubud</t>
  </si>
  <si>
    <t>Quartal</t>
  </si>
  <si>
    <t>(01) JAN</t>
  </si>
  <si>
    <t>(02) FEB</t>
  </si>
  <si>
    <t>(03) MAR</t>
  </si>
  <si>
    <t>MCC</t>
  </si>
  <si>
    <t>Br Pempatan Munggu</t>
  </si>
  <si>
    <t>Br Gambang Munggu</t>
  </si>
  <si>
    <t>Br Aseman Kangin Tibubeneng</t>
  </si>
  <si>
    <t>Br Sangiangan Cemagi</t>
  </si>
  <si>
    <t>Br Kaja Kangin Cemagi</t>
  </si>
  <si>
    <t>Br Krisnantara Tibubeneng</t>
  </si>
  <si>
    <t>Br Uma Buluh Canggu</t>
  </si>
  <si>
    <t>Br Dukuh Pandean Munggu</t>
  </si>
  <si>
    <t>Br Pande Pemaron Munggu</t>
  </si>
  <si>
    <t>Br Dukuh Sengguan Munggu</t>
  </si>
  <si>
    <t>Br Kayu Tulang Canggu</t>
  </si>
  <si>
    <t>Br Kulibul Kangin Tibubeneng</t>
  </si>
  <si>
    <t xml:space="preserve">Tambyak Lestari </t>
  </si>
  <si>
    <t>Br Umabuluh Munggu</t>
  </si>
  <si>
    <t>Tabel Kategori Target Bulanan</t>
  </si>
  <si>
    <t>BSI E-darling Buleleng</t>
  </si>
  <si>
    <t>Bank Sampah Induk</t>
  </si>
  <si>
    <t>Buleleng</t>
  </si>
  <si>
    <t>Br Canggu Canggu</t>
  </si>
  <si>
    <t>Target bulan berikutnya (%)</t>
  </si>
  <si>
    <t>Target bulan berikutnya (Kg)</t>
  </si>
  <si>
    <t>JAN</t>
  </si>
  <si>
    <t>FEB</t>
  </si>
  <si>
    <t>MAR</t>
  </si>
  <si>
    <t>APR</t>
  </si>
  <si>
    <t>MEI</t>
  </si>
  <si>
    <t>JUN</t>
  </si>
  <si>
    <t>JUL</t>
  </si>
  <si>
    <t>AGU</t>
  </si>
  <si>
    <t>SEP</t>
  </si>
  <si>
    <t>OKT</t>
  </si>
  <si>
    <t>NOV</t>
  </si>
  <si>
    <t>DES</t>
  </si>
  <si>
    <t>Target Pencapaian Bulan (Kg)</t>
  </si>
  <si>
    <t>Target Total Target bulan berikut (Kg)</t>
  </si>
  <si>
    <t>Q2</t>
  </si>
  <si>
    <t>(04) APR</t>
  </si>
  <si>
    <t>Bali Wastu Lestari</t>
  </si>
  <si>
    <t xml:space="preserve">       </t>
  </si>
  <si>
    <t xml:space="preserve">Belum </t>
  </si>
  <si>
    <t>TABEL UBC SENT TARGET BULANAN</t>
  </si>
  <si>
    <t>Papermill</t>
  </si>
  <si>
    <t>Jayantara Sakti</t>
  </si>
  <si>
    <t>Program</t>
  </si>
  <si>
    <t>Kegiatan</t>
  </si>
  <si>
    <t>Lokasi</t>
  </si>
  <si>
    <t>Jumlah Partisipan</t>
  </si>
  <si>
    <t>(10) OKT</t>
  </si>
  <si>
    <t>Dropbox</t>
  </si>
  <si>
    <t>Sosialisasi Daur Ulang Kemasan Minuman Karton</t>
  </si>
  <si>
    <t>TK Sarin Rare</t>
  </si>
  <si>
    <t>SD Widiatmika</t>
  </si>
  <si>
    <t>(09 ) SEP</t>
  </si>
  <si>
    <t>Pelatihan Guru</t>
  </si>
  <si>
    <t>DLH Kab. Buleleng</t>
  </si>
  <si>
    <t>DLHK Kab. Tabanan</t>
  </si>
  <si>
    <t>Roadshow</t>
  </si>
  <si>
    <t>Bank Sampah Br Karang Suwung</t>
  </si>
  <si>
    <t>Bank Sampah Br Peken Delodan</t>
  </si>
  <si>
    <t>Bank Sampah Br Pemangkalan</t>
  </si>
  <si>
    <t>Bank Sampah Br Pemaron Munggu</t>
  </si>
  <si>
    <t>Bank Sampah Br Pande Pemaron Munggu</t>
  </si>
  <si>
    <t>Bank Sampah Br Pemaron Delodan Munggu</t>
  </si>
  <si>
    <t>Bank Sampah Br Badung Munggu</t>
  </si>
  <si>
    <t>Bank Sampah Br Kerobokan Munggu</t>
  </si>
  <si>
    <t>Bank Sampah Br Pasekan Munggu</t>
  </si>
  <si>
    <t>Bank Sampah Br Sedahan Munggu</t>
  </si>
  <si>
    <t>Bank Sampah Br Pengayehan Munggu</t>
  </si>
  <si>
    <t>Bank Sampah Br Gambang Munggu</t>
  </si>
  <si>
    <t>Bank Sampah Br Pandean Munggu</t>
  </si>
  <si>
    <t>Bank Sampah Br Pempatan Munggu</t>
  </si>
  <si>
    <t>Bank Sampah Br Dukuh Sengguan Munggu</t>
  </si>
  <si>
    <t>Bank Sampah Br Dukuh Pandean Munggu</t>
  </si>
  <si>
    <t>Bank Sampah Br Padang Tawang Canggu</t>
  </si>
  <si>
    <t>Bank Sampah Br Padang Linjong Canggu</t>
  </si>
  <si>
    <t>(06) JUNI</t>
  </si>
  <si>
    <t>Bank Sampah Br Babakan Canggu</t>
  </si>
  <si>
    <t>(07) JULI</t>
  </si>
  <si>
    <t>Bank Sampah Br Kayu Tulang Canggu</t>
  </si>
  <si>
    <t>Bank Sampah Br Uma Buluh Canggu</t>
  </si>
  <si>
    <t>Bank Sampah Br Pipitan Canggu</t>
  </si>
  <si>
    <t>Bank Sampah Br Canggu Canggu</t>
  </si>
  <si>
    <t>Bank Sampah Br Kaja Kangin Cemagi</t>
  </si>
  <si>
    <t>Bank Sampah Br Keliki Cemagi</t>
  </si>
  <si>
    <t>Bank Sampah Br Sangiangan Cemagi</t>
  </si>
  <si>
    <t>Bank Sampah Br Sogsogan Cemagi</t>
  </si>
  <si>
    <t>Bank Sampah Br Seseh Cemagi</t>
  </si>
  <si>
    <t>Bank Sampah Br Mengening Cemagi</t>
  </si>
  <si>
    <t>Bank Sampah Br Tangkeban Cemagi</t>
  </si>
  <si>
    <t>Bank Sampah Br Batan Tanjung Cemagi</t>
  </si>
  <si>
    <t>Bank Sampah Br Petapan Cemagi</t>
  </si>
  <si>
    <t>Bank Sampah Br Sengguan Cemagi</t>
  </si>
  <si>
    <t>Bank Sampah Br Bale Agung Cemagi</t>
  </si>
  <si>
    <t>Bank Sampah Br Pengayehan, Cemagi</t>
  </si>
  <si>
    <t>(11) NOV</t>
  </si>
  <si>
    <t>Bank Sampah Br Gunung Pande Tumbak Bayuh</t>
  </si>
  <si>
    <t>Bank Sampah Br Kelepekan Tumbak Bayuh</t>
  </si>
  <si>
    <t>Bank Sampah Br Dangin Sema Tumbak Bayuh</t>
  </si>
  <si>
    <t>Bank Sampah Br Jerowan Tumbak Bayuh</t>
  </si>
  <si>
    <t>Bank Sampah Br Pempatan Tumbak Bayuh</t>
  </si>
  <si>
    <t>Bank Sampah Br Tiying Tutul Tumbak Bayuh</t>
  </si>
  <si>
    <t>Bank Sampah Br Datengan Tumbak Bayuh</t>
  </si>
  <si>
    <t>Bank Sampah Br Aseman Kawan Tibubeneng</t>
  </si>
  <si>
    <t>Bank Sampah Br Aseman Kangin Tibubeneng</t>
  </si>
  <si>
    <t>Bank Sampah Br Tibubeneng Tibubeneng</t>
  </si>
  <si>
    <t>Bank Sampah Br Dawas Tibubeneng</t>
  </si>
  <si>
    <t>Pemerintah</t>
  </si>
  <si>
    <t>Continous building informal sector</t>
  </si>
  <si>
    <t>TPA Temesi Gianyar</t>
  </si>
  <si>
    <t>Distinct Count of Kabupaten</t>
  </si>
  <si>
    <t>Sum of Jumlah Partisipan</t>
  </si>
  <si>
    <t>Distinct Count of Lokasi</t>
  </si>
  <si>
    <t>Tabel Rekap Data Aktivitas</t>
  </si>
  <si>
    <t>Tabel Distribusi Peserta Berdasarkan Kabupaten</t>
  </si>
  <si>
    <t>Tabel Jumlah Peserta Berdasarkan Program</t>
  </si>
  <si>
    <t>(12) DES</t>
  </si>
  <si>
    <t>Buleleng Recycle Plaza</t>
  </si>
  <si>
    <t>Socialization for waste bank</t>
  </si>
  <si>
    <t>9/28/2020</t>
  </si>
  <si>
    <t>10/28/2021</t>
  </si>
  <si>
    <t>Socialization for School</t>
  </si>
  <si>
    <t>Pelangi School</t>
  </si>
  <si>
    <t>Training for Hotel</t>
  </si>
  <si>
    <t>Four Seasons Jimbaran</t>
  </si>
  <si>
    <t>Sintesa Hotel</t>
  </si>
  <si>
    <t>SD 3 Peguyangan</t>
  </si>
  <si>
    <t>Socialization for Bisnis</t>
  </si>
  <si>
    <t>Starbucks Dewata</t>
  </si>
  <si>
    <t>Video Competition</t>
  </si>
  <si>
    <t>SMA N 1 Mengwi</t>
  </si>
  <si>
    <t>SMK PGRI 3 Badung</t>
  </si>
  <si>
    <t>SMAK Soverdi</t>
  </si>
  <si>
    <t>SMA N 2 Kuta Selatan</t>
  </si>
  <si>
    <t>SMA N 1 Kuta</t>
  </si>
  <si>
    <t>SMK TI Global Badung</t>
  </si>
  <si>
    <t>SD N 1 Tibubeneng</t>
  </si>
  <si>
    <t>SD N 1 Munggu</t>
  </si>
  <si>
    <t>SD No 4 Kuta</t>
  </si>
  <si>
    <t>SD N 4 Mambal</t>
  </si>
  <si>
    <t>SD N 11 Peguyangan</t>
  </si>
  <si>
    <t>SD N 24 Pemecutan</t>
  </si>
  <si>
    <t>SD Tunas Daud</t>
  </si>
  <si>
    <t>SD Satu Bumi</t>
  </si>
  <si>
    <t>SD N 1 Lotunduh</t>
  </si>
  <si>
    <t>SD N 5 Kediri</t>
  </si>
  <si>
    <t>Role Foundation</t>
  </si>
  <si>
    <t>EB Residential Service</t>
  </si>
  <si>
    <t>Target Bulan</t>
  </si>
  <si>
    <t>Tg Bulan</t>
  </si>
  <si>
    <t>Target Tahun</t>
  </si>
  <si>
    <t>Tg Tahun</t>
  </si>
  <si>
    <t>Tabel Aktual Vs Target Berdasarkan Bulan</t>
  </si>
  <si>
    <t>Tabel Aktual Vs Target Berdasarkan Tahun</t>
  </si>
  <si>
    <t>Sum of Target Bulanan</t>
  </si>
  <si>
    <t>Sum of Target Tahunan</t>
  </si>
  <si>
    <t>DLHK Kab. Badung</t>
  </si>
  <si>
    <t>TPS3R Bantas Lestari</t>
  </si>
  <si>
    <t>DLHK Kota Denpasar</t>
  </si>
  <si>
    <t>BSI TPS3R Bantas Lestari</t>
  </si>
  <si>
    <t>Gusto Gelato</t>
  </si>
  <si>
    <t>Gelato Factory</t>
  </si>
  <si>
    <t>Aid Hub</t>
  </si>
  <si>
    <t>sekolah</t>
  </si>
  <si>
    <t>Bantas Lestari</t>
  </si>
  <si>
    <t>sundays coffee</t>
  </si>
  <si>
    <t>Sundays coffee</t>
  </si>
  <si>
    <t>Sundays Coffee</t>
  </si>
  <si>
    <t>Dinas PPKBPAP Kab. Badung</t>
  </si>
  <si>
    <t>Milk Up</t>
  </si>
  <si>
    <t>Pak Yusuf</t>
  </si>
  <si>
    <t>Griya Luhu</t>
  </si>
  <si>
    <t>Sersan Kopi</t>
  </si>
  <si>
    <t>Br Padang Linjong Canggu</t>
  </si>
  <si>
    <t>KMK KELUAR (Kg)</t>
  </si>
  <si>
    <t>Tabel Data KMK Masuk (Harian)</t>
  </si>
  <si>
    <t>∑ KMK (Kg)</t>
  </si>
  <si>
    <t>Collected by ecoBali (Kg)</t>
  </si>
  <si>
    <t>Sisa KMK Bulan Lalu (Kg)</t>
  </si>
  <si>
    <t>Sisa KMK untuk bulan depan (Kg)</t>
  </si>
  <si>
    <t>Received at Papermill (Kg)</t>
  </si>
  <si>
    <t>Susut ecoBali (Kg)</t>
  </si>
  <si>
    <t>Sum of Collected by ecoBali (Kg)</t>
  </si>
  <si>
    <t>KMK untuk bulan depan (Kg)</t>
  </si>
  <si>
    <t>KMK Bulan Lalu (Kg)</t>
  </si>
  <si>
    <t>KMK MASUK(Kg)</t>
  </si>
  <si>
    <t>Sum of Received at Papermill (Kg)</t>
  </si>
  <si>
    <t>Sum of ∑ KMK (Kg)</t>
  </si>
  <si>
    <t>Tabel Jumlah KMK Berdasarkan Partisipan (Mingguan)</t>
  </si>
  <si>
    <t>Tabel Jumlah KMK Mingguan</t>
  </si>
  <si>
    <t>Sum of R-S</t>
  </si>
  <si>
    <t>Sum of %R-S</t>
  </si>
  <si>
    <t>Jumlah UBC sebelum tgl pengiriman</t>
  </si>
  <si>
    <t>Br Seseh Cemagi</t>
  </si>
  <si>
    <t>Collected H-1 Sell (Kg)</t>
  </si>
  <si>
    <t>Sum of Before Delivered</t>
  </si>
  <si>
    <t>UBC MASUK (KG)</t>
  </si>
  <si>
    <t>SISA UBC BULAN LALU (KG)</t>
  </si>
  <si>
    <t>SUSUT (KG)</t>
  </si>
  <si>
    <t>UBC KELUAR (KG)</t>
  </si>
  <si>
    <t>SISA UBC BULAN INI (KG)</t>
  </si>
  <si>
    <t>JUMLAH UBC H-1 JUAL (KG)</t>
  </si>
  <si>
    <t>SUSUT (%)</t>
  </si>
  <si>
    <t>PENCAPAIAN</t>
  </si>
  <si>
    <t>(05) MEI</t>
  </si>
  <si>
    <t>BSI Bali Bersih</t>
  </si>
  <si>
    <t>May</t>
  </si>
  <si>
    <t>Ibu Nia</t>
  </si>
  <si>
    <t>Pak Vina</t>
  </si>
  <si>
    <t>Br Aseman Kawan Tibubeneng</t>
  </si>
  <si>
    <t>Br Tandeg Tibubeneng</t>
  </si>
  <si>
    <t>Br Sogsogan Cemagi</t>
  </si>
  <si>
    <t>One People</t>
  </si>
  <si>
    <t>Serenity</t>
  </si>
  <si>
    <t>Pak rono</t>
  </si>
  <si>
    <t>Br Keliki Cemagi</t>
  </si>
  <si>
    <t>TPS3R Bayu Suci</t>
  </si>
  <si>
    <t>TPS3R Rumah Hijau</t>
  </si>
  <si>
    <t>TPS3R Bindu</t>
  </si>
  <si>
    <t>Br Petapan</t>
  </si>
  <si>
    <t>Br Seseh</t>
  </si>
  <si>
    <t>Total Bulanan</t>
  </si>
  <si>
    <t>Sekolah Sarin Rare</t>
  </si>
  <si>
    <t>Jan</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</si>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</sst>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1" formatCode="_-* #,##0_-;\-* #,##0_-;_-* &quot;-&quot;_-;_-@_-"/>
    <numFmt numFmtId="164" formatCode="0.0"/>
    <numFmt numFmtId="165" formatCode="0.0%"/>
    <numFmt numFmtId="166" formatCode="#,##0.0"/>
    <numFmt numFmtId="167" formatCode="&quot;&quot;#.##0&quot; &quot;;&quot; (&quot;#.##0&quot;)&quot;;&quot;-&quot;#&quot;&quot;;&quot;&quot;@&quot;&quot;"/>
    <numFmt numFmtId="168" formatCode="_-* #,##0.0_-;\-* #,##0.0_-;_-* &quot;-&quot;_-;_-@_-"/>
    <numFmt numFmtId="169" formatCode="[$-13809]dd/mm/yyyy;@"/>
  </numFmts>
  <fonts count="44" x14ac:knownFonts="1">
    <font>
      <sz val="11"/>
      <color theme="1"/>
      <name val="Calibri"/>
      <family val="2"/>
      <scheme val="minor"/>
    </font>
    <font>
      <sz val="12"/>
      <color theme="1"/>
      <name val="Times New Roman"/>
      <family val="1"/>
    </font>
    <font>
      <sz val="8"/>
      <name val="Calibri"/>
      <family val="2"/>
      <scheme val="minor"/>
    </font>
    <font>
      <b/>
      <sz val="16"/>
      <color theme="1"/>
      <name val="Calibri"/>
      <family val="2"/>
      <scheme val="minor"/>
    </font>
    <font>
      <sz val="16"/>
      <color theme="1"/>
      <name val="Calibri"/>
      <family val="2"/>
      <scheme val="minor"/>
    </font>
    <font>
      <sz val="14"/>
      <color theme="1"/>
      <name val="Bodoni MT"/>
      <family val="1"/>
    </font>
    <font>
      <b/>
      <sz val="16"/>
      <color theme="1"/>
      <name val="Bodoni MT"/>
      <family val="1"/>
    </font>
    <font>
      <b/>
      <sz val="18"/>
      <color theme="1"/>
      <name val="Bodoni MT"/>
      <family val="1"/>
    </font>
    <font>
      <b/>
      <sz val="18"/>
      <color theme="0"/>
      <name val="Bodoni MT"/>
      <family val="1"/>
    </font>
    <font>
      <b/>
      <sz val="14"/>
      <color theme="0"/>
      <name val="Bodoni MT"/>
      <family val="1"/>
    </font>
    <font>
      <sz val="16"/>
      <color theme="1"/>
      <name val="Bodoni MT"/>
      <family val="1"/>
    </font>
    <font>
      <sz val="18"/>
      <color theme="1"/>
      <name val="Bodoni MT"/>
      <family val="1"/>
    </font>
    <font>
      <sz val="14"/>
      <color theme="0"/>
      <name val="Bodoni MT"/>
      <family val="1"/>
    </font>
    <font>
      <sz val="11"/>
      <color theme="1"/>
      <name val="Bodoni MT"/>
      <family val="1"/>
    </font>
    <font>
      <sz val="11"/>
      <color theme="0"/>
      <name val="Bodoni MT"/>
      <family val="1"/>
    </font>
    <font>
      <b/>
      <sz val="16"/>
      <color theme="0"/>
      <name val="Bodoni MT"/>
      <family val="1"/>
    </font>
    <font>
      <sz val="16"/>
      <color theme="0"/>
      <name val="Bodoni MT"/>
      <family val="1"/>
    </font>
    <font>
      <b/>
      <sz val="20"/>
      <color theme="1"/>
      <name val="Bodoni MT"/>
      <family val="1"/>
    </font>
    <font>
      <b/>
      <sz val="22"/>
      <color theme="1"/>
      <name val="Bodoni MT"/>
      <family val="1"/>
    </font>
    <font>
      <sz val="20"/>
      <color theme="1"/>
      <name val="Bodoni MT"/>
      <family val="1"/>
    </font>
    <font>
      <sz val="22"/>
      <color theme="1"/>
      <name val="Bodoni MT"/>
      <family val="1"/>
    </font>
    <font>
      <b/>
      <sz val="18"/>
      <color theme="1"/>
      <name val="Calibri"/>
      <family val="2"/>
      <scheme val="minor"/>
    </font>
    <font>
      <sz val="26"/>
      <color theme="1"/>
      <name val="Calibri"/>
      <family val="2"/>
      <scheme val="minor"/>
    </font>
    <font>
      <sz val="26"/>
      <color theme="1"/>
      <name val="Bodoni MT"/>
      <family val="1"/>
    </font>
    <font>
      <b/>
      <sz val="26"/>
      <color theme="0"/>
      <name val="Bodoni MT"/>
      <family val="1"/>
    </font>
    <font>
      <b/>
      <sz val="22"/>
      <color theme="1"/>
      <name val="Calibri"/>
      <family val="2"/>
      <scheme val="minor"/>
    </font>
    <font>
      <sz val="11"/>
      <color theme="0"/>
      <name val="Calibri"/>
      <family val="2"/>
      <scheme val="minor"/>
    </font>
    <font>
      <b/>
      <sz val="14"/>
      <color theme="1"/>
      <name val="Bodoni MT"/>
      <family val="1"/>
    </font>
    <font>
      <b/>
      <sz val="14"/>
      <color theme="1"/>
      <name val="Calibri"/>
      <family val="2"/>
      <scheme val="minor"/>
    </font>
    <font>
      <b/>
      <sz val="11"/>
      <color theme="1"/>
      <name val="Bodoni MT"/>
      <family val="1"/>
    </font>
    <font>
      <b/>
      <sz val="12"/>
      <color theme="0"/>
      <name val="Bodoni MT"/>
      <family val="1"/>
    </font>
    <font>
      <b/>
      <sz val="11"/>
      <color theme="0"/>
      <name val="Bodoni MT"/>
      <family val="1"/>
    </font>
    <font>
      <sz val="12"/>
      <color theme="1"/>
      <name val="Bodoni MT"/>
      <family val="1"/>
    </font>
    <font>
      <b/>
      <sz val="12"/>
      <color theme="1"/>
      <name val="Bodoni MT"/>
      <family val="1"/>
    </font>
    <font>
      <sz val="18"/>
      <color theme="0"/>
      <name val="Bodoni MT"/>
      <family val="1"/>
    </font>
    <font>
      <b/>
      <sz val="14"/>
      <color theme="0"/>
      <name val="Calibri"/>
      <family val="2"/>
      <scheme val="minor"/>
    </font>
    <font>
      <sz val="18"/>
      <color theme="1"/>
      <name val="Calibri"/>
      <family val="2"/>
      <scheme val="minor"/>
    </font>
    <font>
      <sz val="11"/>
      <color theme="1"/>
      <name val="Calibri"/>
      <family val="2"/>
      <scheme val="minor"/>
    </font>
    <font>
      <sz val="11"/>
      <color rgb="FF000000"/>
      <name val="Calibri"/>
      <family val="2"/>
      <scheme val="minor"/>
    </font>
    <font>
      <sz val="11"/>
      <color rgb="FFC00000"/>
      <name val="Bodoni MT"/>
      <family val="1"/>
    </font>
    <font>
      <b/>
      <sz val="16"/>
      <color theme="0"/>
      <name val="Calibri"/>
      <family val="2"/>
      <scheme val="minor"/>
    </font>
    <font>
      <b/>
      <sz val="11"/>
      <color theme="1"/>
      <name val="Calibri"/>
      <family val="2"/>
      <scheme val="minor"/>
    </font>
    <font>
      <b/>
      <sz val="16"/>
      <color theme="1"/>
      <name val="Arial"/>
      <family val="2"/>
    </font>
    <font>
      <sz val="26"/>
      <color theme="0"/>
      <name val="Bodoni MT"/>
      <family val="1"/>
    </font>
  </fonts>
  <fills count="3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1BC"/>
        <bgColor indexed="64"/>
      </patternFill>
    </fill>
    <fill>
      <patternFill patternType="solid">
        <fgColor rgb="FF00B05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9954CC"/>
        <bgColor indexed="64"/>
      </patternFill>
    </fill>
    <fill>
      <patternFill patternType="solid">
        <fgColor theme="5"/>
        <bgColor indexed="64"/>
      </patternFill>
    </fill>
    <fill>
      <patternFill patternType="solid">
        <fgColor theme="1"/>
        <bgColor indexed="64"/>
      </patternFill>
    </fill>
    <fill>
      <patternFill patternType="solid">
        <fgColor theme="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rgb="FF4B91D1"/>
        <bgColor indexed="64"/>
      </patternFill>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theme="4"/>
        <bgColor indexed="64"/>
      </patternFill>
    </fill>
    <fill>
      <patternFill patternType="solid">
        <fgColor rgb="FF3B87CD"/>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92D050"/>
        <bgColor indexed="64"/>
      </patternFill>
    </fill>
    <fill>
      <patternFill patternType="solid">
        <fgColor rgb="FFA8CBEA"/>
        <bgColor indexed="64"/>
      </patternFill>
    </fill>
    <fill>
      <patternFill patternType="solid">
        <fgColor rgb="FFC00000"/>
        <bgColor indexed="64"/>
      </patternFill>
    </fill>
    <fill>
      <patternFill patternType="solid">
        <fgColor rgb="FFA8CBEA"/>
        <bgColor theme="4" tint="0.79998168889431442"/>
      </patternFill>
    </fill>
    <fill>
      <patternFill patternType="solid">
        <fgColor theme="4"/>
        <bgColor theme="4"/>
      </patternFill>
    </fill>
    <fill>
      <patternFill patternType="solid">
        <fgColor rgb="FFC5E0B3"/>
        <bgColor indexed="64"/>
      </patternFill>
    </fill>
    <fill>
      <patternFill patternType="solid">
        <fgColor rgb="FFFFE598"/>
        <bgColor indexed="64"/>
      </patternFill>
    </fill>
    <fill>
      <patternFill patternType="solid">
        <fgColor rgb="FFF4B083"/>
        <bgColor indexed="64"/>
      </patternFill>
    </fill>
    <fill>
      <patternFill patternType="solid">
        <fgColor rgb="FF9CC2E5"/>
        <bgColor indexed="64"/>
      </patternFill>
    </fill>
    <fill>
      <patternFill patternType="solid">
        <fgColor rgb="FFC8C8C8"/>
        <bgColor indexed="64"/>
      </patternFill>
    </fill>
    <fill>
      <patternFill patternType="solid">
        <fgColor rgb="FFF569D7"/>
        <bgColor indexed="64"/>
      </patternFill>
    </fill>
    <fill>
      <patternFill patternType="solid">
        <fgColor rgb="FFFFD966"/>
        <bgColor indexed="64"/>
      </patternFill>
    </fill>
    <fill>
      <patternFill patternType="solid">
        <fgColor theme="8" tint="-0.249977111117893"/>
        <bgColor indexed="64"/>
      </patternFill>
    </fill>
    <fill>
      <patternFill patternType="solid">
        <fgColor rgb="FF00462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style="thick">
        <color theme="0"/>
      </right>
      <top/>
      <bottom/>
      <diagonal/>
    </border>
    <border>
      <left style="thick">
        <color theme="0"/>
      </left>
      <right/>
      <top/>
      <bottom/>
      <diagonal/>
    </border>
    <border>
      <left/>
      <right/>
      <top/>
      <bottom style="thin">
        <color theme="0"/>
      </bottom>
      <diagonal/>
    </border>
    <border>
      <left/>
      <right/>
      <top style="thin">
        <color theme="0"/>
      </top>
      <bottom style="thin">
        <color theme="0"/>
      </bottom>
      <diagonal/>
    </border>
    <border>
      <left/>
      <right/>
      <top style="thin">
        <color theme="0"/>
      </top>
      <bottom/>
      <diagonal/>
    </border>
    <border>
      <left style="thin">
        <color theme="4" tint="0.59999389629810485"/>
      </left>
      <right style="thin">
        <color theme="4" tint="0.59999389629810485"/>
      </right>
      <top/>
      <bottom style="thin">
        <color theme="0"/>
      </bottom>
      <diagonal/>
    </border>
    <border>
      <left style="thin">
        <color theme="4" tint="0.59999389629810485"/>
      </left>
      <right style="thin">
        <color theme="4" tint="0.59999389629810485"/>
      </right>
      <top style="thin">
        <color theme="0"/>
      </top>
      <bottom style="thin">
        <color theme="0"/>
      </bottom>
      <diagonal/>
    </border>
    <border>
      <left style="thin">
        <color theme="4" tint="0.59999389629810485"/>
      </left>
      <right style="thin">
        <color theme="4" tint="0.59999389629810485"/>
      </right>
      <top style="thin">
        <color theme="0"/>
      </top>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right style="medium">
        <color indexed="64"/>
      </right>
      <top style="thin">
        <color theme="0"/>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thick">
        <color theme="0"/>
      </top>
      <bottom style="medium">
        <color indexed="64"/>
      </bottom>
      <diagonal/>
    </border>
    <border>
      <left style="medium">
        <color theme="0"/>
      </left>
      <right style="medium">
        <color indexed="64"/>
      </right>
      <top/>
      <bottom style="medium">
        <color indexed="64"/>
      </bottom>
      <diagonal/>
    </border>
    <border>
      <left style="thin">
        <color theme="4" tint="0.59999389629810485"/>
      </left>
      <right/>
      <top/>
      <bottom style="thin">
        <color theme="0"/>
      </bottom>
      <diagonal/>
    </border>
    <border>
      <left style="thin">
        <color theme="4" tint="0.59999389629810485"/>
      </left>
      <right/>
      <top style="thin">
        <color theme="0"/>
      </top>
      <bottom style="thin">
        <color theme="0"/>
      </bottom>
      <diagonal/>
    </border>
    <border>
      <left style="thin">
        <color theme="4" tint="0.59999389629810485"/>
      </left>
      <right/>
      <top style="thin">
        <color theme="0"/>
      </top>
      <bottom/>
      <diagonal/>
    </border>
    <border>
      <left/>
      <right/>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ck">
        <color theme="0"/>
      </top>
      <bottom style="medium">
        <color indexed="64"/>
      </bottom>
      <diagonal/>
    </border>
    <border>
      <left/>
      <right style="medium">
        <color indexed="64"/>
      </right>
      <top/>
      <bottom style="medium">
        <color indexed="64"/>
      </bottom>
      <diagonal/>
    </border>
    <border>
      <left style="medium">
        <color theme="0"/>
      </left>
      <right style="medium">
        <color theme="0"/>
      </right>
      <top/>
      <bottom/>
      <diagonal/>
    </border>
    <border>
      <left style="thin">
        <color theme="4" tint="0.59999389629810485"/>
      </left>
      <right style="thin">
        <color theme="4" tint="0.59999389629810485"/>
      </right>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theme="0"/>
      </left>
      <right style="medium">
        <color theme="0"/>
      </right>
      <top/>
      <bottom style="medium">
        <color indexed="64"/>
      </bottom>
      <diagonal/>
    </border>
    <border>
      <left style="medium">
        <color indexed="64"/>
      </left>
      <right/>
      <top/>
      <bottom style="thin">
        <color theme="0"/>
      </bottom>
      <diagonal/>
    </border>
    <border>
      <left style="medium">
        <color indexed="64"/>
      </left>
      <right/>
      <top style="thin">
        <color theme="0"/>
      </top>
      <bottom style="thin">
        <color theme="0"/>
      </bottom>
      <diagonal/>
    </border>
    <border>
      <left style="medium">
        <color indexed="64"/>
      </left>
      <right/>
      <top style="thin">
        <color theme="0"/>
      </top>
      <bottom/>
      <diagonal/>
    </border>
    <border>
      <left style="medium">
        <color indexed="64"/>
      </left>
      <right style="medium">
        <color theme="0"/>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2">
    <xf numFmtId="0" fontId="0" fillId="0" borderId="0"/>
    <xf numFmtId="41" fontId="37" fillId="0" borderId="0" applyFont="0" applyFill="0" applyBorder="0" applyAlignment="0" applyProtection="0"/>
  </cellStyleXfs>
  <cellXfs count="511">
    <xf numFmtId="0" fontId="0" fillId="0" borderId="0" xfId="0"/>
    <xf numFmtId="14" fontId="0" fillId="0" borderId="0" xfId="0" applyNumberFormat="1"/>
    <xf numFmtId="0" fontId="0" fillId="0" borderId="0" xfId="0" applyNumberFormat="1"/>
    <xf numFmtId="49" fontId="0" fillId="0" borderId="0" xfId="0" applyNumberFormat="1"/>
    <xf numFmtId="14" fontId="1" fillId="0" borderId="0" xfId="0" applyNumberFormat="1" applyFont="1" applyBorder="1" applyAlignment="1">
      <alignment horizontal="right" wrapText="1"/>
    </xf>
    <xf numFmtId="0" fontId="1" fillId="0" borderId="0" xfId="0" applyFont="1" applyBorder="1" applyAlignment="1">
      <alignment horizontal="right" wrapText="1"/>
    </xf>
    <xf numFmtId="0" fontId="0" fillId="0" borderId="0" xfId="0" applyAlignment="1">
      <alignment horizontal="center" vertical="center"/>
    </xf>
    <xf numFmtId="164" fontId="0" fillId="0" borderId="0" xfId="0" applyNumberFormat="1"/>
    <xf numFmtId="0" fontId="0" fillId="12" borderId="0" xfId="0" applyFill="1"/>
    <xf numFmtId="0" fontId="3" fillId="0" borderId="0" xfId="0" applyFont="1"/>
    <xf numFmtId="10" fontId="7" fillId="0" borderId="7" xfId="0" applyNumberFormat="1" applyFont="1" applyBorder="1"/>
    <xf numFmtId="0" fontId="9" fillId="0" borderId="7" xfId="0" applyFont="1" applyBorder="1" applyAlignment="1">
      <alignment horizontal="center" vertical="center"/>
    </xf>
    <xf numFmtId="0" fontId="7" fillId="0" borderId="6" xfId="0" applyNumberFormat="1" applyFont="1" applyBorder="1"/>
    <xf numFmtId="0" fontId="9" fillId="0" borderId="0" xfId="0" pivotButton="1" applyFont="1" applyBorder="1" applyAlignment="1">
      <alignment horizontal="center" vertical="center"/>
    </xf>
    <xf numFmtId="0" fontId="9" fillId="0" borderId="6" xfId="0" applyFont="1" applyBorder="1" applyAlignment="1">
      <alignment horizontal="center" vertical="center"/>
    </xf>
    <xf numFmtId="0" fontId="6" fillId="0" borderId="0" xfId="0" applyFont="1" applyBorder="1"/>
    <xf numFmtId="0" fontId="7" fillId="0" borderId="0" xfId="0" applyNumberFormat="1" applyFont="1" applyBorder="1"/>
    <xf numFmtId="165" fontId="7" fillId="0" borderId="0" xfId="0" applyNumberFormat="1" applyFont="1" applyBorder="1"/>
    <xf numFmtId="0" fontId="5" fillId="4" borderId="9" xfId="0" applyFont="1" applyFill="1" applyBorder="1" applyAlignment="1">
      <alignment horizontal="left"/>
    </xf>
    <xf numFmtId="0" fontId="5" fillId="13" borderId="9" xfId="0" applyFont="1" applyFill="1" applyBorder="1" applyAlignment="1">
      <alignment horizontal="left"/>
    </xf>
    <xf numFmtId="0" fontId="5" fillId="7" borderId="9" xfId="0" applyFont="1" applyFill="1" applyBorder="1" applyAlignment="1">
      <alignment horizontal="left"/>
    </xf>
    <xf numFmtId="0" fontId="5" fillId="8" borderId="9" xfId="0" applyFont="1" applyFill="1" applyBorder="1" applyAlignment="1">
      <alignment horizontal="left"/>
    </xf>
    <xf numFmtId="0" fontId="5" fillId="9" borderId="9" xfId="0" applyFont="1" applyFill="1" applyBorder="1" applyAlignment="1">
      <alignment horizontal="left"/>
    </xf>
    <xf numFmtId="0" fontId="5" fillId="5" borderId="9" xfId="0" applyFont="1" applyFill="1" applyBorder="1" applyAlignment="1">
      <alignment horizontal="left"/>
    </xf>
    <xf numFmtId="0" fontId="5" fillId="2" borderId="10" xfId="0" applyFont="1" applyFill="1" applyBorder="1" applyAlignment="1">
      <alignment horizontal="left"/>
    </xf>
    <xf numFmtId="0" fontId="10" fillId="0" borderId="8" xfId="0" applyNumberFormat="1" applyFont="1" applyBorder="1"/>
    <xf numFmtId="0" fontId="10" fillId="0" borderId="9" xfId="0" applyNumberFormat="1" applyFont="1" applyBorder="1"/>
    <xf numFmtId="0" fontId="10" fillId="0" borderId="10" xfId="0" applyNumberFormat="1" applyFont="1" applyBorder="1"/>
    <xf numFmtId="165" fontId="10" fillId="0" borderId="8" xfId="0" applyNumberFormat="1" applyFont="1" applyBorder="1"/>
    <xf numFmtId="165" fontId="10" fillId="0" borderId="9" xfId="0" applyNumberFormat="1" applyFont="1" applyBorder="1"/>
    <xf numFmtId="165" fontId="10" fillId="0" borderId="10" xfId="0" applyNumberFormat="1" applyFont="1" applyBorder="1"/>
    <xf numFmtId="0" fontId="5" fillId="4" borderId="9" xfId="0" applyFont="1" applyFill="1" applyBorder="1"/>
    <xf numFmtId="0" fontId="5" fillId="13" borderId="9" xfId="0" applyFont="1" applyFill="1" applyBorder="1"/>
    <xf numFmtId="0" fontId="5" fillId="7" borderId="9" xfId="0" applyFont="1" applyFill="1" applyBorder="1"/>
    <xf numFmtId="0" fontId="5" fillId="8" borderId="9" xfId="0" applyFont="1" applyFill="1" applyBorder="1"/>
    <xf numFmtId="0" fontId="5" fillId="9" borderId="9" xfId="0" applyFont="1" applyFill="1" applyBorder="1"/>
    <xf numFmtId="0" fontId="5" fillId="5" borderId="9" xfId="0" applyFont="1" applyFill="1" applyBorder="1"/>
    <xf numFmtId="0" fontId="5" fillId="2" borderId="10" xfId="0" applyFont="1" applyFill="1" applyBorder="1"/>
    <xf numFmtId="0" fontId="6" fillId="0" borderId="0" xfId="0" pivotButton="1" applyFont="1" applyBorder="1" applyAlignment="1">
      <alignment horizontal="center" vertical="center"/>
    </xf>
    <xf numFmtId="0" fontId="11" fillId="0" borderId="0" xfId="0" applyFont="1" applyBorder="1" applyAlignment="1">
      <alignment horizontal="left"/>
    </xf>
    <xf numFmtId="0" fontId="0" fillId="11" borderId="0" xfId="0" applyFill="1"/>
    <xf numFmtId="0" fontId="3" fillId="0" borderId="0" xfId="0" applyFont="1" applyAlignment="1">
      <alignment horizontal="center" vertical="center"/>
    </xf>
    <xf numFmtId="0" fontId="0" fillId="0" borderId="0" xfId="0" pivotButton="1"/>
    <xf numFmtId="0" fontId="0" fillId="0" borderId="0" xfId="0" applyAlignment="1">
      <alignment horizontal="left"/>
    </xf>
    <xf numFmtId="0" fontId="11" fillId="0" borderId="0" xfId="0" applyFont="1" applyAlignment="1">
      <alignment horizontal="left"/>
    </xf>
    <xf numFmtId="0" fontId="6" fillId="0" borderId="0" xfId="0" pivotButton="1" applyFont="1" applyAlignment="1">
      <alignment horizontal="center" vertical="center"/>
    </xf>
    <xf numFmtId="0" fontId="6" fillId="0" borderId="0" xfId="0" applyFont="1" applyAlignment="1">
      <alignment horizontal="center" vertical="center"/>
    </xf>
    <xf numFmtId="0" fontId="4" fillId="0" borderId="0" xfId="0" applyFont="1"/>
    <xf numFmtId="0" fontId="6" fillId="0" borderId="0" xfId="0" pivotButton="1" applyFont="1" applyBorder="1" applyAlignment="1">
      <alignment horizontal="center" vertical="center" wrapText="1"/>
    </xf>
    <xf numFmtId="0" fontId="6" fillId="0" borderId="0" xfId="0" applyFont="1" applyBorder="1" applyAlignment="1">
      <alignment horizontal="left" vertical="center" wrapText="1"/>
    </xf>
    <xf numFmtId="0" fontId="6" fillId="0" borderId="0" xfId="0" applyFont="1" applyBorder="1" applyAlignment="1">
      <alignment horizontal="center" vertical="center" wrapText="1"/>
    </xf>
    <xf numFmtId="0" fontId="10" fillId="0" borderId="8" xfId="0" applyFont="1" applyBorder="1" applyAlignment="1">
      <alignment horizontal="left" wrapText="1"/>
    </xf>
    <xf numFmtId="0" fontId="10" fillId="0" borderId="8" xfId="0" applyNumberFormat="1" applyFont="1" applyBorder="1" applyAlignment="1">
      <alignment wrapText="1"/>
    </xf>
    <xf numFmtId="0" fontId="10" fillId="0" borderId="9" xfId="0" applyFont="1" applyBorder="1" applyAlignment="1">
      <alignment horizontal="left" wrapText="1"/>
    </xf>
    <xf numFmtId="0" fontId="10" fillId="0" borderId="9" xfId="0" applyNumberFormat="1" applyFont="1" applyBorder="1" applyAlignment="1">
      <alignment wrapText="1"/>
    </xf>
    <xf numFmtId="0" fontId="10" fillId="0" borderId="10" xfId="0" applyFont="1" applyBorder="1" applyAlignment="1">
      <alignment horizontal="left" wrapText="1"/>
    </xf>
    <xf numFmtId="0" fontId="10" fillId="0" borderId="10" xfId="0" applyNumberFormat="1" applyFont="1" applyBorder="1" applyAlignment="1">
      <alignment wrapText="1"/>
    </xf>
    <xf numFmtId="0" fontId="18" fillId="0" borderId="0" xfId="0" applyNumberFormat="1" applyFont="1" applyBorder="1" applyAlignment="1">
      <alignment vertical="center" wrapText="1"/>
    </xf>
    <xf numFmtId="0" fontId="9" fillId="0" borderId="0" xfId="0" applyFont="1" applyFill="1" applyAlignment="1">
      <alignment vertical="center"/>
    </xf>
    <xf numFmtId="0" fontId="6" fillId="0" borderId="0" xfId="0" applyFont="1" applyAlignment="1">
      <alignment horizontal="left"/>
    </xf>
    <xf numFmtId="0" fontId="10" fillId="11" borderId="0" xfId="0" applyFont="1" applyFill="1"/>
    <xf numFmtId="0" fontId="10" fillId="0" borderId="8" xfId="0" applyFont="1" applyBorder="1" applyAlignment="1">
      <alignment horizontal="left" indent="1"/>
    </xf>
    <xf numFmtId="0" fontId="10" fillId="0" borderId="9" xfId="0" applyFont="1" applyBorder="1" applyAlignment="1">
      <alignment horizontal="left" indent="1"/>
    </xf>
    <xf numFmtId="0" fontId="10" fillId="0" borderId="10" xfId="0" applyFont="1" applyBorder="1" applyAlignment="1">
      <alignment horizontal="left" indent="1"/>
    </xf>
    <xf numFmtId="0" fontId="10" fillId="0" borderId="0" xfId="0" applyFont="1" applyBorder="1" applyAlignment="1">
      <alignment horizontal="left" indent="1"/>
    </xf>
    <xf numFmtId="0" fontId="16" fillId="11" borderId="0" xfId="0" applyFont="1" applyFill="1"/>
    <xf numFmtId="0" fontId="10" fillId="10" borderId="0" xfId="0" applyFont="1" applyFill="1"/>
    <xf numFmtId="0" fontId="17" fillId="0" borderId="0" xfId="0" applyFont="1"/>
    <xf numFmtId="0" fontId="0" fillId="0" borderId="0" xfId="0" applyBorder="1" applyAlignment="1">
      <alignment vertical="center"/>
    </xf>
    <xf numFmtId="0" fontId="10" fillId="3" borderId="2" xfId="0" applyFont="1" applyFill="1" applyBorder="1" applyAlignment="1">
      <alignment horizontal="left"/>
    </xf>
    <xf numFmtId="0" fontId="10" fillId="4" borderId="2" xfId="0" applyFont="1" applyFill="1" applyBorder="1" applyAlignment="1">
      <alignment horizontal="left"/>
    </xf>
    <xf numFmtId="0" fontId="10" fillId="6" borderId="2" xfId="0" applyFont="1" applyFill="1" applyBorder="1" applyAlignment="1">
      <alignment horizontal="left"/>
    </xf>
    <xf numFmtId="0" fontId="10" fillId="7" borderId="2" xfId="0" applyFont="1" applyFill="1" applyBorder="1" applyAlignment="1">
      <alignment horizontal="left"/>
    </xf>
    <xf numFmtId="0" fontId="10" fillId="8" borderId="2" xfId="0" applyFont="1" applyFill="1" applyBorder="1" applyAlignment="1">
      <alignment horizontal="left"/>
    </xf>
    <xf numFmtId="0" fontId="10" fillId="9" borderId="2" xfId="0" applyFont="1" applyFill="1" applyBorder="1" applyAlignment="1">
      <alignment horizontal="left"/>
    </xf>
    <xf numFmtId="0" fontId="10" fillId="5" borderId="2" xfId="0" applyFont="1" applyFill="1" applyBorder="1" applyAlignment="1">
      <alignment horizontal="left"/>
    </xf>
    <xf numFmtId="0" fontId="10" fillId="2" borderId="2" xfId="0" applyFont="1" applyFill="1" applyBorder="1" applyAlignment="1">
      <alignment horizontal="left"/>
    </xf>
    <xf numFmtId="0" fontId="10" fillId="0" borderId="1" xfId="0" applyFont="1" applyBorder="1"/>
    <xf numFmtId="0" fontId="21" fillId="0" borderId="0" xfId="0" applyFont="1"/>
    <xf numFmtId="0" fontId="7" fillId="0" borderId="1" xfId="0" applyFont="1" applyBorder="1"/>
    <xf numFmtId="0" fontId="13" fillId="11" borderId="17" xfId="0" applyFont="1" applyFill="1" applyBorder="1" applyAlignment="1">
      <alignment vertical="center"/>
    </xf>
    <xf numFmtId="0" fontId="11" fillId="0" borderId="8" xfId="0" applyFont="1" applyBorder="1" applyAlignment="1">
      <alignment horizontal="left"/>
    </xf>
    <xf numFmtId="0" fontId="11" fillId="0" borderId="8" xfId="0" applyNumberFormat="1" applyFont="1" applyBorder="1"/>
    <xf numFmtId="0" fontId="11" fillId="0" borderId="9" xfId="0" applyFont="1" applyBorder="1" applyAlignment="1">
      <alignment horizontal="left"/>
    </xf>
    <xf numFmtId="0" fontId="11" fillId="0" borderId="9" xfId="0" applyNumberFormat="1" applyFont="1" applyBorder="1"/>
    <xf numFmtId="0" fontId="11" fillId="0" borderId="10" xfId="0" applyFont="1" applyBorder="1" applyAlignment="1">
      <alignment horizontal="left"/>
    </xf>
    <xf numFmtId="0" fontId="11" fillId="0" borderId="10" xfId="0" applyNumberFormat="1" applyFont="1" applyBorder="1"/>
    <xf numFmtId="0" fontId="20" fillId="0" borderId="0" xfId="0" applyNumberFormat="1" applyFont="1"/>
    <xf numFmtId="0" fontId="13" fillId="0" borderId="0" xfId="0" applyFont="1"/>
    <xf numFmtId="0" fontId="0" fillId="0" borderId="0" xfId="0" applyAlignment="1">
      <alignment horizontal="left" indent="1"/>
    </xf>
    <xf numFmtId="0" fontId="13" fillId="0" borderId="0" xfId="0" applyFont="1" applyAlignment="1">
      <alignment horizontal="left" indent="1"/>
    </xf>
    <xf numFmtId="0" fontId="10" fillId="0" borderId="0" xfId="0" applyFont="1" applyAlignment="1">
      <alignment horizontal="left" indent="1"/>
    </xf>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0" xfId="0" applyFill="1"/>
    <xf numFmtId="166" fontId="6" fillId="0" borderId="0" xfId="0" applyNumberFormat="1" applyFont="1"/>
    <xf numFmtId="3" fontId="0" fillId="0" borderId="0" xfId="0" applyNumberFormat="1"/>
    <xf numFmtId="0" fontId="18" fillId="0" borderId="22" xfId="0" applyFont="1" applyBorder="1" applyAlignment="1">
      <alignment horizontal="center" vertical="center" wrapText="1"/>
    </xf>
    <xf numFmtId="0" fontId="18" fillId="0" borderId="0" xfId="0" applyFont="1" applyAlignment="1">
      <alignment horizontal="center" vertical="center"/>
    </xf>
    <xf numFmtId="0" fontId="25" fillId="0" borderId="0" xfId="0" applyFont="1" applyAlignment="1">
      <alignment horizontal="center" vertical="center"/>
    </xf>
    <xf numFmtId="0" fontId="5" fillId="0" borderId="0" xfId="0" pivotButton="1" applyFont="1"/>
    <xf numFmtId="0" fontId="5" fillId="0" borderId="0" xfId="0" applyFont="1"/>
    <xf numFmtId="0" fontId="5" fillId="0" borderId="0" xfId="0" applyFont="1" applyAlignment="1">
      <alignment horizontal="left" indent="1"/>
    </xf>
    <xf numFmtId="0" fontId="7" fillId="0" borderId="0" xfId="0" applyFont="1" applyAlignment="1">
      <alignment horizontal="left"/>
    </xf>
    <xf numFmtId="0" fontId="27" fillId="0" borderId="0" xfId="0" applyFont="1"/>
    <xf numFmtId="0" fontId="17" fillId="0" borderId="0" xfId="0" pivotButton="1" applyFont="1"/>
    <xf numFmtId="0" fontId="18" fillId="0" borderId="0" xfId="0" applyFont="1" applyAlignment="1">
      <alignment horizontal="left"/>
    </xf>
    <xf numFmtId="166" fontId="5" fillId="0" borderId="0" xfId="0" applyNumberFormat="1" applyFont="1"/>
    <xf numFmtId="0" fontId="28" fillId="0" borderId="0" xfId="0" applyFont="1"/>
    <xf numFmtId="0" fontId="18" fillId="0" borderId="18" xfId="0" applyFont="1" applyBorder="1" applyAlignment="1">
      <alignment horizontal="center" vertical="center" wrapText="1"/>
    </xf>
    <xf numFmtId="0" fontId="18" fillId="0" borderId="5" xfId="0" applyFont="1" applyBorder="1" applyAlignment="1">
      <alignment horizontal="center" vertical="center" wrapText="1"/>
    </xf>
    <xf numFmtId="0" fontId="10" fillId="0" borderId="0" xfId="0" applyFont="1" applyFill="1" applyBorder="1" applyAlignment="1">
      <alignment horizontal="left" wrapText="1"/>
    </xf>
    <xf numFmtId="0" fontId="13" fillId="0" borderId="0" xfId="0" applyFont="1" applyAlignment="1">
      <alignment horizontal="left"/>
    </xf>
    <xf numFmtId="166" fontId="0" fillId="0" borderId="0" xfId="0" applyNumberFormat="1"/>
    <xf numFmtId="0" fontId="0" fillId="0" borderId="0" xfId="0"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166" fontId="5" fillId="0" borderId="38" xfId="0" applyNumberFormat="1" applyFont="1" applyBorder="1" applyAlignment="1">
      <alignment horizontal="center" vertical="center" wrapText="1"/>
    </xf>
    <xf numFmtId="0" fontId="11" fillId="0" borderId="1" xfId="0" applyFont="1" applyBorder="1" applyAlignment="1">
      <alignment vertical="center" wrapText="1"/>
    </xf>
    <xf numFmtId="166" fontId="11" fillId="0" borderId="1" xfId="0" applyNumberFormat="1" applyFont="1" applyBorder="1" applyAlignment="1">
      <alignment vertical="center" wrapText="1"/>
    </xf>
    <xf numFmtId="164" fontId="11" fillId="0" borderId="1" xfId="0" applyNumberFormat="1" applyFont="1" applyBorder="1" applyAlignment="1">
      <alignment vertical="center" wrapText="1"/>
    </xf>
    <xf numFmtId="14" fontId="5" fillId="0" borderId="37" xfId="0" applyNumberFormat="1" applyFont="1" applyBorder="1" applyAlignment="1">
      <alignment horizontal="center" vertical="center" wrapText="1"/>
    </xf>
    <xf numFmtId="0" fontId="13" fillId="0" borderId="0" xfId="0" applyFont="1" applyAlignment="1">
      <alignment horizontal="right"/>
    </xf>
    <xf numFmtId="0" fontId="13" fillId="0" borderId="0" xfId="0" applyFont="1" applyAlignment="1">
      <alignment horizontal="left" vertical="center"/>
    </xf>
    <xf numFmtId="0" fontId="11" fillId="0" borderId="0" xfId="0" applyFont="1" applyAlignment="1">
      <alignment horizontal="left" vertical="center"/>
    </xf>
    <xf numFmtId="0" fontId="32" fillId="0" borderId="0" xfId="0" applyFont="1" applyAlignment="1">
      <alignment horizontal="left" vertical="center"/>
    </xf>
    <xf numFmtId="166" fontId="7" fillId="0" borderId="0" xfId="0" applyNumberFormat="1" applyFont="1" applyAlignment="1">
      <alignment vertical="center"/>
    </xf>
    <xf numFmtId="166" fontId="17" fillId="0" borderId="0" xfId="0" applyNumberFormat="1" applyFont="1" applyAlignment="1">
      <alignment vertical="center"/>
    </xf>
    <xf numFmtId="166" fontId="8" fillId="17" borderId="0" xfId="0" applyNumberFormat="1" applyFont="1" applyFill="1"/>
    <xf numFmtId="166" fontId="7" fillId="0" borderId="0" xfId="0" applyNumberFormat="1" applyFont="1"/>
    <xf numFmtId="0" fontId="13" fillId="0" borderId="1" xfId="0" applyFont="1" applyBorder="1" applyAlignment="1">
      <alignment horizontal="center" vertical="center"/>
    </xf>
    <xf numFmtId="0" fontId="14" fillId="17" borderId="1" xfId="0" applyFont="1" applyFill="1" applyBorder="1" applyAlignment="1">
      <alignment horizontal="center" vertical="center"/>
    </xf>
    <xf numFmtId="0" fontId="31" fillId="17" borderId="1" xfId="0" applyFont="1" applyFill="1" applyBorder="1" applyAlignment="1">
      <alignment horizontal="center" vertical="center"/>
    </xf>
    <xf numFmtId="0" fontId="29" fillId="0" borderId="0" xfId="0" pivotButton="1" applyFont="1" applyAlignment="1">
      <alignment horizontal="center" vertical="center" wrapText="1"/>
    </xf>
    <xf numFmtId="0" fontId="29" fillId="0" borderId="0" xfId="0" applyFont="1" applyAlignment="1">
      <alignment horizontal="center" vertical="center" wrapText="1"/>
    </xf>
    <xf numFmtId="0" fontId="33" fillId="0" borderId="0" xfId="0" pivotButton="1" applyFont="1" applyAlignment="1">
      <alignment horizontal="center" vertical="center" wrapText="1"/>
    </xf>
    <xf numFmtId="166" fontId="33" fillId="0" borderId="0" xfId="0" applyNumberFormat="1" applyFont="1" applyAlignment="1">
      <alignment horizontal="center" vertical="center" wrapText="1"/>
    </xf>
    <xf numFmtId="9" fontId="7" fillId="0" borderId="1" xfId="0" applyNumberFormat="1" applyFont="1" applyBorder="1" applyAlignment="1">
      <alignment horizontal="center" vertical="center"/>
    </xf>
    <xf numFmtId="165" fontId="7" fillId="0" borderId="1" xfId="0" applyNumberFormat="1" applyFont="1" applyBorder="1" applyAlignment="1">
      <alignment horizontal="center" vertical="center"/>
    </xf>
    <xf numFmtId="166" fontId="31" fillId="17" borderId="1" xfId="0" applyNumberFormat="1" applyFont="1" applyFill="1" applyBorder="1" applyAlignment="1">
      <alignment horizontal="center" vertical="center"/>
    </xf>
    <xf numFmtId="166" fontId="7" fillId="0" borderId="1" xfId="0" applyNumberFormat="1" applyFont="1" applyBorder="1" applyAlignment="1">
      <alignment horizontal="center" vertical="center"/>
    </xf>
    <xf numFmtId="166" fontId="8" fillId="17" borderId="1" xfId="0" applyNumberFormat="1" applyFont="1" applyFill="1" applyBorder="1" applyAlignment="1">
      <alignment horizontal="center" vertical="center"/>
    </xf>
    <xf numFmtId="0" fontId="29" fillId="0" borderId="0" xfId="0" applyFont="1" applyAlignment="1">
      <alignment horizontal="left" vertical="center"/>
    </xf>
    <xf numFmtId="0" fontId="8" fillId="17" borderId="0" xfId="0" applyFont="1" applyFill="1" applyAlignment="1">
      <alignment vertical="center"/>
    </xf>
    <xf numFmtId="0" fontId="13" fillId="0" borderId="1" xfId="0" applyFont="1" applyBorder="1"/>
    <xf numFmtId="0" fontId="14" fillId="18" borderId="1" xfId="0" applyFont="1" applyFill="1" applyBorder="1"/>
    <xf numFmtId="0" fontId="13" fillId="0" borderId="0" xfId="0" applyFont="1" applyAlignment="1">
      <alignment horizontal="right" vertical="center"/>
    </xf>
    <xf numFmtId="0" fontId="6" fillId="0" borderId="0" xfId="0" applyFont="1" applyAlignment="1">
      <alignment vertical="center"/>
    </xf>
    <xf numFmtId="0" fontId="6" fillId="0" borderId="8" xfId="0" applyNumberFormat="1" applyFont="1" applyBorder="1"/>
    <xf numFmtId="0" fontId="6" fillId="0" borderId="9" xfId="0" applyNumberFormat="1" applyFont="1" applyBorder="1"/>
    <xf numFmtId="0" fontId="6" fillId="0" borderId="10" xfId="0" applyNumberFormat="1" applyFont="1" applyBorder="1"/>
    <xf numFmtId="3" fontId="8" fillId="17" borderId="0" xfId="0" applyNumberFormat="1" applyFont="1" applyFill="1"/>
    <xf numFmtId="167" fontId="5" fillId="0" borderId="38" xfId="0" applyNumberFormat="1" applyFont="1" applyBorder="1" applyAlignment="1">
      <alignment horizontal="center" vertical="center" wrapText="1"/>
    </xf>
    <xf numFmtId="167" fontId="11" fillId="0" borderId="1" xfId="0" applyNumberFormat="1" applyFont="1" applyBorder="1" applyAlignment="1">
      <alignment vertical="center" wrapText="1"/>
    </xf>
    <xf numFmtId="167" fontId="0" fillId="0" borderId="0" xfId="0" applyNumberFormat="1" applyFont="1"/>
    <xf numFmtId="3" fontId="29" fillId="0" borderId="0" xfId="0" applyNumberFormat="1" applyFont="1" applyAlignment="1">
      <alignment horizontal="center" vertical="center" wrapText="1"/>
    </xf>
    <xf numFmtId="3" fontId="11" fillId="0" borderId="0" xfId="0" applyNumberFormat="1" applyFont="1" applyAlignment="1">
      <alignment vertical="center"/>
    </xf>
    <xf numFmtId="3" fontId="7" fillId="0" borderId="0" xfId="0" applyNumberFormat="1" applyFont="1" applyAlignment="1">
      <alignment vertical="center"/>
    </xf>
    <xf numFmtId="0" fontId="33" fillId="0" borderId="0" xfId="0" pivotButton="1" applyFont="1" applyAlignment="1">
      <alignment horizontal="center" vertical="center"/>
    </xf>
    <xf numFmtId="166" fontId="8" fillId="17" borderId="0" xfId="0" applyNumberFormat="1" applyFont="1" applyFill="1" applyAlignment="1">
      <alignment vertical="center"/>
    </xf>
    <xf numFmtId="0" fontId="27" fillId="0" borderId="0" xfId="0" applyNumberFormat="1" applyFont="1" applyAlignment="1">
      <alignment vertical="center"/>
    </xf>
    <xf numFmtId="0" fontId="8" fillId="18" borderId="1" xfId="0" applyFont="1" applyFill="1" applyBorder="1"/>
    <xf numFmtId="0" fontId="13" fillId="0" borderId="0" xfId="0" pivotButton="1" applyFont="1"/>
    <xf numFmtId="0" fontId="10" fillId="0" borderId="0" xfId="0" applyFont="1" applyFill="1" applyBorder="1"/>
    <xf numFmtId="0" fontId="10" fillId="0" borderId="0" xfId="0" applyFont="1" applyFill="1" applyBorder="1" applyAlignment="1">
      <alignment horizontal="center" vertical="center"/>
    </xf>
    <xf numFmtId="0" fontId="10" fillId="0" borderId="0" xfId="0" applyFont="1" applyFill="1" applyBorder="1" applyAlignment="1">
      <alignment wrapText="1"/>
    </xf>
    <xf numFmtId="0" fontId="7" fillId="0" borderId="0" xfId="0" applyFont="1" applyFill="1" applyBorder="1" applyAlignment="1">
      <alignment horizontal="right" wrapText="1"/>
    </xf>
    <xf numFmtId="14" fontId="10" fillId="0" borderId="0" xfId="0" applyNumberFormat="1" applyFont="1" applyFill="1" applyBorder="1" applyAlignment="1">
      <alignment horizontal="right" vertical="center" wrapText="1"/>
    </xf>
    <xf numFmtId="0" fontId="10" fillId="0" borderId="0" xfId="0" applyFont="1" applyFill="1" applyBorder="1" applyAlignment="1">
      <alignment horizontal="left" vertical="center" wrapText="1"/>
    </xf>
    <xf numFmtId="0" fontId="10" fillId="0" borderId="0" xfId="0" applyFont="1" applyFill="1" applyBorder="1" applyAlignment="1">
      <alignment horizontal="right" wrapText="1"/>
    </xf>
    <xf numFmtId="14" fontId="10" fillId="0" borderId="0" xfId="0" applyNumberFormat="1" applyFont="1" applyFill="1" applyBorder="1" applyAlignment="1">
      <alignment horizontal="right" wrapText="1"/>
    </xf>
    <xf numFmtId="0" fontId="5" fillId="0" borderId="1" xfId="0" applyFont="1" applyBorder="1"/>
    <xf numFmtId="0" fontId="15" fillId="14" borderId="1" xfId="0" applyFont="1" applyFill="1" applyBorder="1" applyAlignment="1">
      <alignment horizontal="center" vertical="center"/>
    </xf>
    <xf numFmtId="166" fontId="15" fillId="14" borderId="1" xfId="0" applyNumberFormat="1" applyFont="1" applyFill="1" applyBorder="1" applyAlignment="1">
      <alignment horizontal="center" vertical="center"/>
    </xf>
    <xf numFmtId="166" fontId="10" fillId="0" borderId="1" xfId="0" applyNumberFormat="1" applyFont="1" applyBorder="1"/>
    <xf numFmtId="164" fontId="10" fillId="0" borderId="1" xfId="0" applyNumberFormat="1" applyFont="1" applyBorder="1"/>
    <xf numFmtId="0" fontId="6" fillId="0" borderId="0" xfId="0" applyNumberFormat="1" applyFont="1"/>
    <xf numFmtId="0" fontId="15" fillId="14" borderId="1" xfId="0" applyFont="1" applyFill="1" applyBorder="1" applyAlignment="1">
      <alignment horizontal="right" vertical="center"/>
    </xf>
    <xf numFmtId="9" fontId="6" fillId="0" borderId="0" xfId="0" applyNumberFormat="1" applyFont="1"/>
    <xf numFmtId="0" fontId="13" fillId="0" borderId="0" xfId="0" applyNumberFormat="1" applyFont="1"/>
    <xf numFmtId="0" fontId="32" fillId="0" borderId="0" xfId="0" pivotButton="1" applyFont="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center"/>
    </xf>
    <xf numFmtId="0" fontId="10" fillId="0" borderId="0" xfId="0" applyNumberFormat="1" applyFont="1" applyAlignment="1">
      <alignment horizontal="center"/>
    </xf>
    <xf numFmtId="0" fontId="33" fillId="0" borderId="0" xfId="0" applyFont="1" applyAlignment="1">
      <alignment horizontal="center" vertical="center" wrapText="1"/>
    </xf>
    <xf numFmtId="0" fontId="6" fillId="0" borderId="0" xfId="0" applyNumberFormat="1" applyFont="1" applyAlignment="1">
      <alignment horizontal="center" vertical="center" wrapText="1"/>
    </xf>
    <xf numFmtId="0" fontId="6" fillId="0" borderId="8"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0" fontId="27" fillId="0" borderId="0" xfId="0" pivotButton="1" applyFont="1" applyAlignment="1">
      <alignment horizontal="center" vertical="center" wrapText="1"/>
    </xf>
    <xf numFmtId="0" fontId="27" fillId="0" borderId="0" xfId="0" applyFont="1" applyAlignment="1">
      <alignment horizontal="center" vertical="center"/>
    </xf>
    <xf numFmtId="0" fontId="27" fillId="0" borderId="0" xfId="0" applyNumberFormat="1" applyFont="1" applyAlignment="1">
      <alignment horizontal="center" vertical="center"/>
    </xf>
    <xf numFmtId="9" fontId="7" fillId="0" borderId="0" xfId="0" applyNumberFormat="1" applyFont="1"/>
    <xf numFmtId="0" fontId="13" fillId="0" borderId="0" xfId="0" applyFont="1" applyAlignment="1">
      <alignment vertical="center"/>
    </xf>
    <xf numFmtId="0" fontId="13" fillId="0" borderId="0" xfId="0" applyFont="1" applyAlignment="1">
      <alignment horizontal="center" vertical="center" wrapText="1"/>
    </xf>
    <xf numFmtId="0" fontId="13" fillId="0" borderId="0" xfId="0" applyFont="1" applyBorder="1" applyAlignment="1">
      <alignment horizontal="left" vertical="center"/>
    </xf>
    <xf numFmtId="0" fontId="13" fillId="0" borderId="17" xfId="0" applyFont="1" applyBorder="1" applyAlignment="1">
      <alignment vertical="center"/>
    </xf>
    <xf numFmtId="0" fontId="13" fillId="0" borderId="27" xfId="0" applyFont="1" applyBorder="1" applyAlignment="1">
      <alignment vertical="center"/>
    </xf>
    <xf numFmtId="0" fontId="20" fillId="0" borderId="40" xfId="0" pivotButton="1" applyFont="1" applyBorder="1" applyAlignment="1">
      <alignment horizontal="center" vertical="center"/>
    </xf>
    <xf numFmtId="0" fontId="13" fillId="3" borderId="21" xfId="0" applyFont="1" applyFill="1" applyBorder="1" applyAlignment="1">
      <alignment horizontal="left" vertical="center"/>
    </xf>
    <xf numFmtId="0" fontId="13" fillId="4" borderId="21" xfId="0" applyFont="1" applyFill="1" applyBorder="1" applyAlignment="1">
      <alignment horizontal="left" vertical="center"/>
    </xf>
    <xf numFmtId="0" fontId="13" fillId="6" borderId="21" xfId="0" applyFont="1" applyFill="1" applyBorder="1" applyAlignment="1">
      <alignment horizontal="left" vertical="center"/>
    </xf>
    <xf numFmtId="0" fontId="13" fillId="7" borderId="21" xfId="0" applyFont="1" applyFill="1" applyBorder="1" applyAlignment="1">
      <alignment horizontal="left" vertical="center"/>
    </xf>
    <xf numFmtId="0" fontId="13" fillId="8" borderId="21" xfId="0" applyFont="1" applyFill="1" applyBorder="1" applyAlignment="1">
      <alignment horizontal="left" vertical="center"/>
    </xf>
    <xf numFmtId="0" fontId="13" fillId="9" borderId="21" xfId="0" applyFont="1" applyFill="1" applyBorder="1" applyAlignment="1">
      <alignment horizontal="left" vertical="center"/>
    </xf>
    <xf numFmtId="0" fontId="13" fillId="5" borderId="21" xfId="0" applyFont="1" applyFill="1" applyBorder="1" applyAlignment="1">
      <alignment horizontal="left" vertical="center"/>
    </xf>
    <xf numFmtId="0" fontId="13" fillId="2" borderId="21" xfId="0" applyFont="1" applyFill="1" applyBorder="1" applyAlignment="1">
      <alignment horizontal="left" vertical="center"/>
    </xf>
    <xf numFmtId="0" fontId="13" fillId="0" borderId="21" xfId="0" applyFont="1" applyBorder="1" applyAlignment="1">
      <alignment horizontal="left" vertical="center"/>
    </xf>
    <xf numFmtId="0" fontId="13" fillId="0" borderId="17" xfId="0" applyFont="1" applyBorder="1" applyAlignment="1">
      <alignment horizontal="left" vertical="center"/>
    </xf>
    <xf numFmtId="0" fontId="13" fillId="0" borderId="27" xfId="0" applyFont="1" applyBorder="1" applyAlignment="1">
      <alignment horizontal="left" vertical="center"/>
    </xf>
    <xf numFmtId="3" fontId="8" fillId="17" borderId="0" xfId="0" applyNumberFormat="1" applyFont="1" applyFill="1" applyAlignment="1">
      <alignment vertical="center"/>
    </xf>
    <xf numFmtId="14" fontId="11" fillId="0" borderId="1" xfId="0" applyNumberFormat="1" applyFont="1" applyBorder="1" applyAlignment="1">
      <alignment vertical="center" wrapText="1"/>
    </xf>
    <xf numFmtId="0" fontId="5" fillId="0" borderId="0" xfId="0" applyFont="1" applyBorder="1" applyAlignment="1">
      <alignment horizontal="left"/>
    </xf>
    <xf numFmtId="0" fontId="13" fillId="0" borderId="0" xfId="0" applyFont="1" applyAlignment="1">
      <alignment horizontal="center" vertical="center"/>
    </xf>
    <xf numFmtId="0" fontId="13" fillId="0" borderId="0" xfId="0" pivotButton="1" applyFont="1" applyAlignment="1">
      <alignment horizontal="center" vertical="center"/>
    </xf>
    <xf numFmtId="49" fontId="10" fillId="0" borderId="0" xfId="0" applyNumberFormat="1" applyFont="1" applyFill="1" applyBorder="1" applyAlignment="1">
      <alignment horizontal="right"/>
    </xf>
    <xf numFmtId="0" fontId="6" fillId="0" borderId="0" xfId="0" applyFont="1" applyFill="1" applyBorder="1" applyAlignment="1">
      <alignment horizontal="right" wrapText="1"/>
    </xf>
    <xf numFmtId="0" fontId="6" fillId="0" borderId="0" xfId="0" applyFont="1" applyFill="1" applyBorder="1" applyAlignment="1">
      <alignment horizontal="right" vertical="center" wrapText="1"/>
    </xf>
    <xf numFmtId="49" fontId="10" fillId="0" borderId="0" xfId="0" applyNumberFormat="1" applyFont="1" applyFill="1" applyBorder="1" applyAlignment="1">
      <alignment horizontal="right" wrapText="1"/>
    </xf>
    <xf numFmtId="0" fontId="6" fillId="0" borderId="0" xfId="0" applyNumberFormat="1" applyFont="1" applyAlignment="1">
      <alignment horizontal="center" vertical="center"/>
    </xf>
    <xf numFmtId="0" fontId="5" fillId="15" borderId="9" xfId="0" applyFont="1" applyFill="1" applyBorder="1"/>
    <xf numFmtId="0" fontId="5" fillId="15" borderId="9" xfId="0" applyFont="1" applyFill="1" applyBorder="1" applyAlignment="1">
      <alignment horizontal="left"/>
    </xf>
    <xf numFmtId="0" fontId="10" fillId="19" borderId="0" xfId="0" applyFont="1" applyFill="1" applyBorder="1" applyAlignment="1">
      <alignment horizontal="left"/>
    </xf>
    <xf numFmtId="0" fontId="13" fillId="19" borderId="21" xfId="0" applyFont="1" applyFill="1" applyBorder="1" applyAlignment="1">
      <alignment horizontal="left" vertical="center"/>
    </xf>
    <xf numFmtId="0" fontId="5" fillId="19" borderId="8" xfId="0" applyFont="1" applyFill="1" applyBorder="1"/>
    <xf numFmtId="0" fontId="5" fillId="19" borderId="8" xfId="0" applyFont="1" applyFill="1" applyBorder="1" applyAlignment="1">
      <alignment horizontal="left"/>
    </xf>
    <xf numFmtId="0" fontId="36" fillId="0" borderId="0" xfId="0" applyFont="1" applyAlignment="1">
      <alignment horizontal="center" vertical="center"/>
    </xf>
    <xf numFmtId="0" fontId="11" fillId="0" borderId="1" xfId="0" applyFont="1" applyFill="1" applyBorder="1"/>
    <xf numFmtId="166" fontId="11" fillId="0" borderId="1" xfId="0" applyNumberFormat="1" applyFont="1" applyFill="1" applyBorder="1" applyAlignment="1">
      <alignment vertical="center" wrapText="1"/>
    </xf>
    <xf numFmtId="9" fontId="11" fillId="0" borderId="1" xfId="0" applyNumberFormat="1" applyFont="1" applyFill="1" applyBorder="1"/>
    <xf numFmtId="41" fontId="11" fillId="0" borderId="1" xfId="1" applyFont="1" applyFill="1" applyBorder="1"/>
    <xf numFmtId="166" fontId="11" fillId="0" borderId="1" xfId="0" applyNumberFormat="1" applyFont="1" applyFill="1" applyBorder="1"/>
    <xf numFmtId="0" fontId="11" fillId="20" borderId="1" xfId="0" applyFont="1" applyFill="1" applyBorder="1" applyAlignment="1">
      <alignment horizontal="center" vertical="center" wrapText="1"/>
    </xf>
    <xf numFmtId="0" fontId="10" fillId="0" borderId="0" xfId="0" applyFont="1" applyBorder="1" applyAlignment="1">
      <alignment horizontal="left"/>
    </xf>
    <xf numFmtId="0" fontId="5" fillId="0" borderId="9" xfId="0" applyFont="1" applyBorder="1"/>
    <xf numFmtId="0" fontId="5" fillId="0" borderId="9" xfId="0" applyFont="1" applyBorder="1" applyAlignment="1">
      <alignment horizontal="left"/>
    </xf>
    <xf numFmtId="165" fontId="0" fillId="0" borderId="0" xfId="0" applyNumberFormat="1"/>
    <xf numFmtId="0" fontId="13" fillId="0" borderId="0" xfId="0" pivotButton="1" applyFont="1" applyAlignment="1">
      <alignment horizontal="center" vertical="center" wrapText="1"/>
    </xf>
    <xf numFmtId="0" fontId="13" fillId="0" borderId="0" xfId="0" applyFont="1" applyAlignment="1">
      <alignment horizontal="left" wrapText="1"/>
    </xf>
    <xf numFmtId="0" fontId="9" fillId="17" borderId="1" xfId="0" applyFont="1" applyFill="1" applyBorder="1" applyAlignment="1">
      <alignment horizontal="center" vertical="center"/>
    </xf>
    <xf numFmtId="0" fontId="5" fillId="0" borderId="1" xfId="0" applyFont="1" applyBorder="1" applyAlignment="1">
      <alignment horizontal="center" vertical="center"/>
    </xf>
    <xf numFmtId="0" fontId="12" fillId="17" borderId="1" xfId="0" applyFont="1" applyFill="1" applyBorder="1" applyAlignment="1">
      <alignment horizontal="center" vertical="center"/>
    </xf>
    <xf numFmtId="0" fontId="16" fillId="14" borderId="1" xfId="0" applyFont="1" applyFill="1" applyBorder="1" applyAlignment="1">
      <alignment horizontal="center" vertical="center"/>
    </xf>
    <xf numFmtId="0" fontId="32" fillId="0" borderId="0" xfId="0" pivotButton="1" applyFont="1" applyAlignment="1">
      <alignment wrapText="1"/>
    </xf>
    <xf numFmtId="0" fontId="32" fillId="0" borderId="0" xfId="0" applyFont="1" applyAlignment="1">
      <alignment wrapText="1"/>
    </xf>
    <xf numFmtId="0" fontId="32" fillId="0" borderId="0" xfId="0" applyFont="1" applyAlignment="1">
      <alignment horizontal="left" wrapText="1"/>
    </xf>
    <xf numFmtId="0" fontId="7" fillId="0" borderId="0" xfId="0" applyNumberFormat="1" applyFont="1" applyAlignment="1">
      <alignment wrapText="1"/>
    </xf>
    <xf numFmtId="9" fontId="3" fillId="0" borderId="0" xfId="0" applyNumberFormat="1" applyFont="1"/>
    <xf numFmtId="3" fontId="10" fillId="0" borderId="1" xfId="0" applyNumberFormat="1" applyFont="1" applyBorder="1"/>
    <xf numFmtId="3" fontId="17" fillId="0" borderId="1" xfId="0" applyNumberFormat="1" applyFont="1" applyBorder="1"/>
    <xf numFmtId="3" fontId="19" fillId="0" borderId="1" xfId="0" applyNumberFormat="1" applyFont="1" applyBorder="1"/>
    <xf numFmtId="9" fontId="17" fillId="0" borderId="0" xfId="0" applyNumberFormat="1" applyFont="1"/>
    <xf numFmtId="0" fontId="17" fillId="0" borderId="0" xfId="0" applyNumberFormat="1" applyFont="1" applyAlignment="1">
      <alignment wrapText="1"/>
    </xf>
    <xf numFmtId="0" fontId="36" fillId="0" borderId="0" xfId="0" applyFont="1"/>
    <xf numFmtId="3" fontId="36" fillId="0" borderId="0" xfId="0" applyNumberFormat="1" applyFont="1"/>
    <xf numFmtId="0" fontId="32" fillId="0" borderId="0" xfId="0" pivotButton="1" applyFont="1"/>
    <xf numFmtId="0" fontId="32" fillId="0" borderId="0" xfId="0" applyFont="1"/>
    <xf numFmtId="0" fontId="32" fillId="0" borderId="0" xfId="0" applyFont="1" applyAlignment="1">
      <alignment horizontal="left"/>
    </xf>
    <xf numFmtId="0" fontId="32" fillId="0" borderId="0" xfId="0" applyNumberFormat="1" applyFont="1"/>
    <xf numFmtId="0" fontId="10" fillId="0" borderId="0" xfId="0" applyFont="1"/>
    <xf numFmtId="0" fontId="33" fillId="0" borderId="0" xfId="0" applyNumberFormat="1" applyFont="1" applyAlignment="1">
      <alignment wrapText="1"/>
    </xf>
    <xf numFmtId="0" fontId="27" fillId="0" borderId="0" xfId="0" applyNumberFormat="1" applyFont="1" applyAlignment="1">
      <alignment wrapText="1"/>
    </xf>
    <xf numFmtId="0" fontId="13" fillId="0" borderId="0" xfId="0" applyFont="1" applyAlignment="1">
      <alignment horizontal="left" vertical="center" wrapText="1"/>
    </xf>
    <xf numFmtId="0" fontId="27" fillId="0" borderId="0" xfId="0" applyNumberFormat="1" applyFont="1" applyAlignment="1">
      <alignment vertical="center" wrapText="1"/>
    </xf>
    <xf numFmtId="0" fontId="32" fillId="0" borderId="0" xfId="0" applyFont="1" applyAlignment="1">
      <alignment horizontal="left" vertical="center" wrapText="1"/>
    </xf>
    <xf numFmtId="0" fontId="17" fillId="0" borderId="21" xfId="0" applyFont="1" applyBorder="1" applyAlignment="1">
      <alignment horizontal="center" vertical="center"/>
    </xf>
    <xf numFmtId="0" fontId="39" fillId="0" borderId="17" xfId="0" applyFont="1" applyBorder="1" applyAlignment="1">
      <alignment horizontal="left" vertical="center"/>
    </xf>
    <xf numFmtId="0" fontId="39" fillId="0" borderId="0" xfId="0" applyFont="1" applyBorder="1" applyAlignment="1">
      <alignment horizontal="left" vertical="center"/>
    </xf>
    <xf numFmtId="0" fontId="39" fillId="0" borderId="27" xfId="0" applyFont="1" applyBorder="1" applyAlignment="1">
      <alignment horizontal="left" vertical="center"/>
    </xf>
    <xf numFmtId="164" fontId="5" fillId="0" borderId="1" xfId="0" applyNumberFormat="1" applyFont="1" applyBorder="1"/>
    <xf numFmtId="164" fontId="15" fillId="14" borderId="1" xfId="0" applyNumberFormat="1" applyFont="1" applyFill="1" applyBorder="1" applyAlignment="1">
      <alignment horizontal="right" vertical="center"/>
    </xf>
    <xf numFmtId="9" fontId="4" fillId="0" borderId="0" xfId="0" applyNumberFormat="1" applyFont="1"/>
    <xf numFmtId="3" fontId="5" fillId="0" borderId="0" xfId="0" applyNumberFormat="1" applyFont="1"/>
    <xf numFmtId="0" fontId="5" fillId="0" borderId="0" xfId="0" applyFont="1" applyAlignment="1">
      <alignment horizontal="left"/>
    </xf>
    <xf numFmtId="0" fontId="5" fillId="0" borderId="0" xfId="0" applyNumberFormat="1" applyFont="1"/>
    <xf numFmtId="0" fontId="5" fillId="0" borderId="0" xfId="0" pivotButton="1" applyFont="1" applyAlignment="1">
      <alignment wrapText="1"/>
    </xf>
    <xf numFmtId="3" fontId="5" fillId="0" borderId="0" xfId="0" applyNumberFormat="1" applyFont="1" applyAlignment="1">
      <alignment wrapText="1"/>
    </xf>
    <xf numFmtId="0" fontId="40" fillId="18" borderId="0" xfId="0" applyFont="1" applyFill="1"/>
    <xf numFmtId="3" fontId="40" fillId="18" borderId="0" xfId="0" applyNumberFormat="1" applyFont="1" applyFill="1"/>
    <xf numFmtId="0" fontId="11" fillId="0" borderId="0" xfId="0" pivotButton="1" applyFont="1"/>
    <xf numFmtId="0" fontId="11" fillId="0" borderId="0" xfId="0" applyFont="1"/>
    <xf numFmtId="0" fontId="11" fillId="0" borderId="0" xfId="0" applyNumberFormat="1" applyFont="1"/>
    <xf numFmtId="0" fontId="13" fillId="0" borderId="0" xfId="0" pivotButton="1" applyFont="1" applyAlignment="1">
      <alignment wrapText="1"/>
    </xf>
    <xf numFmtId="0" fontId="13" fillId="0" borderId="0" xfId="0" applyFont="1" applyAlignment="1">
      <alignment wrapText="1"/>
    </xf>
    <xf numFmtId="0" fontId="13" fillId="0" borderId="0" xfId="0" applyNumberFormat="1" applyFont="1" applyAlignment="1">
      <alignment wrapText="1"/>
    </xf>
    <xf numFmtId="0" fontId="9" fillId="0" borderId="0" xfId="0" applyNumberFormat="1" applyFont="1" applyAlignment="1">
      <alignment wrapText="1"/>
    </xf>
    <xf numFmtId="166" fontId="13" fillId="0" borderId="0" xfId="0" applyNumberFormat="1" applyFont="1" applyAlignment="1">
      <alignment wrapText="1"/>
    </xf>
    <xf numFmtId="166" fontId="9" fillId="0" borderId="0" xfId="0" applyNumberFormat="1" applyFont="1" applyAlignment="1">
      <alignment wrapText="1"/>
    </xf>
    <xf numFmtId="166" fontId="11" fillId="0" borderId="38" xfId="0" applyNumberFormat="1" applyFont="1" applyBorder="1" applyAlignment="1">
      <alignment vertical="center" wrapText="1"/>
    </xf>
    <xf numFmtId="0" fontId="0" fillId="0" borderId="0" xfId="0" applyFill="1" applyBorder="1"/>
    <xf numFmtId="169" fontId="0" fillId="0" borderId="0" xfId="0" applyNumberFormat="1" applyFill="1" applyBorder="1" applyAlignment="1">
      <alignment horizontal="left" wrapText="1"/>
    </xf>
    <xf numFmtId="0" fontId="0" fillId="0" borderId="0" xfId="0" applyFill="1" applyBorder="1" applyAlignment="1">
      <alignment wrapText="1"/>
    </xf>
    <xf numFmtId="0" fontId="0" fillId="0" borderId="0" xfId="0" applyFill="1" applyBorder="1" applyAlignment="1">
      <alignment horizontal="right" wrapText="1"/>
    </xf>
    <xf numFmtId="169" fontId="38" fillId="0" borderId="0" xfId="0" applyNumberFormat="1" applyFont="1" applyFill="1" applyBorder="1" applyAlignment="1">
      <alignment horizontal="left" wrapText="1"/>
    </xf>
    <xf numFmtId="0" fontId="38" fillId="0" borderId="0" xfId="0" applyFont="1" applyFill="1" applyBorder="1" applyAlignment="1">
      <alignment wrapText="1"/>
    </xf>
    <xf numFmtId="0" fontId="38" fillId="0" borderId="0" xfId="0" applyFont="1" applyFill="1" applyBorder="1" applyAlignment="1">
      <alignment horizontal="right" wrapText="1"/>
    </xf>
    <xf numFmtId="168" fontId="0" fillId="0" borderId="0" xfId="1" applyNumberFormat="1" applyFont="1"/>
    <xf numFmtId="41" fontId="0" fillId="0" borderId="0" xfId="1" applyFont="1"/>
    <xf numFmtId="168" fontId="10" fillId="0" borderId="0" xfId="1" applyNumberFormat="1" applyFont="1" applyFill="1" applyBorder="1"/>
    <xf numFmtId="0" fontId="0" fillId="0" borderId="0" xfId="0" applyAlignment="1">
      <alignment vertical="center"/>
    </xf>
    <xf numFmtId="0" fontId="0" fillId="0" borderId="0" xfId="0" applyFill="1" applyAlignment="1">
      <alignment vertical="center"/>
    </xf>
    <xf numFmtId="0" fontId="22" fillId="0" borderId="0" xfId="0" applyFont="1" applyBorder="1" applyAlignment="1">
      <alignment vertical="center"/>
    </xf>
    <xf numFmtId="0" fontId="13" fillId="11" borderId="21" xfId="0" applyFont="1" applyFill="1" applyBorder="1" applyAlignment="1">
      <alignment vertical="center"/>
    </xf>
    <xf numFmtId="0" fontId="0" fillId="11" borderId="0" xfId="0" applyFill="1" applyAlignment="1">
      <alignment vertical="center"/>
    </xf>
    <xf numFmtId="0" fontId="7" fillId="0" borderId="19" xfId="0" applyFont="1" applyBorder="1" applyAlignment="1">
      <alignment vertical="center"/>
    </xf>
    <xf numFmtId="0" fontId="7" fillId="0" borderId="21" xfId="0" applyFont="1" applyBorder="1" applyAlignment="1">
      <alignment vertical="center"/>
    </xf>
    <xf numFmtId="0" fontId="7" fillId="0" borderId="20" xfId="0" applyFont="1" applyBorder="1" applyAlignment="1">
      <alignment vertical="center"/>
    </xf>
    <xf numFmtId="0" fontId="10" fillId="19" borderId="0" xfId="0" applyNumberFormat="1" applyFont="1" applyFill="1" applyAlignment="1">
      <alignment vertical="center"/>
    </xf>
    <xf numFmtId="0" fontId="23" fillId="19" borderId="18" xfId="0" applyNumberFormat="1" applyFont="1" applyFill="1" applyBorder="1" applyAlignment="1">
      <alignment vertical="center"/>
    </xf>
    <xf numFmtId="0" fontId="10" fillId="0" borderId="0" xfId="0" applyNumberFormat="1" applyFont="1" applyBorder="1" applyAlignment="1">
      <alignment vertical="center"/>
    </xf>
    <xf numFmtId="0" fontId="10" fillId="0" borderId="0" xfId="0" applyNumberFormat="1" applyFont="1" applyAlignment="1">
      <alignment vertical="center"/>
    </xf>
    <xf numFmtId="0" fontId="23" fillId="0" borderId="5" xfId="0" applyNumberFormat="1" applyFont="1" applyBorder="1" applyAlignment="1">
      <alignment vertical="center"/>
    </xf>
    <xf numFmtId="0" fontId="10" fillId="3" borderId="27" xfId="0" applyNumberFormat="1" applyFont="1" applyFill="1" applyBorder="1" applyAlignment="1">
      <alignment vertical="center"/>
    </xf>
    <xf numFmtId="0" fontId="23" fillId="3" borderId="41" xfId="0" applyNumberFormat="1" applyFont="1" applyFill="1" applyBorder="1" applyAlignment="1">
      <alignment vertical="center"/>
    </xf>
    <xf numFmtId="0" fontId="10" fillId="4" borderId="21" xfId="0" applyNumberFormat="1" applyFont="1" applyFill="1" applyBorder="1" applyAlignment="1">
      <alignment vertical="center"/>
    </xf>
    <xf numFmtId="0" fontId="23" fillId="4" borderId="20" xfId="0" applyNumberFormat="1" applyFont="1" applyFill="1" applyBorder="1" applyAlignment="1">
      <alignment vertical="center"/>
    </xf>
    <xf numFmtId="0" fontId="10" fillId="0" borderId="8" xfId="0" applyNumberFormat="1" applyFont="1" applyBorder="1" applyAlignment="1">
      <alignment vertical="center"/>
    </xf>
    <xf numFmtId="0" fontId="23" fillId="0" borderId="14" xfId="0" applyNumberFormat="1" applyFont="1" applyBorder="1" applyAlignment="1">
      <alignment vertical="center"/>
    </xf>
    <xf numFmtId="0" fontId="10" fillId="0" borderId="9" xfId="0" applyNumberFormat="1" applyFont="1" applyBorder="1" applyAlignment="1">
      <alignment vertical="center"/>
    </xf>
    <xf numFmtId="0" fontId="23" fillId="0" borderId="15" xfId="0" applyNumberFormat="1" applyFont="1" applyBorder="1" applyAlignment="1">
      <alignment vertical="center"/>
    </xf>
    <xf numFmtId="0" fontId="10" fillId="0" borderId="10" xfId="0" applyNumberFormat="1" applyFont="1" applyBorder="1" applyAlignment="1">
      <alignment vertical="center"/>
    </xf>
    <xf numFmtId="0" fontId="23" fillId="0" borderId="16" xfId="0" applyNumberFormat="1" applyFont="1" applyBorder="1" applyAlignment="1">
      <alignment vertical="center"/>
    </xf>
    <xf numFmtId="0" fontId="10" fillId="6" borderId="21" xfId="0" applyNumberFormat="1" applyFont="1" applyFill="1" applyBorder="1" applyAlignment="1">
      <alignment vertical="center"/>
    </xf>
    <xf numFmtId="0" fontId="23" fillId="6" borderId="20" xfId="0" applyNumberFormat="1" applyFont="1" applyFill="1" applyBorder="1" applyAlignment="1">
      <alignment vertical="center"/>
    </xf>
    <xf numFmtId="0" fontId="10" fillId="7" borderId="21" xfId="0" applyNumberFormat="1" applyFont="1" applyFill="1" applyBorder="1" applyAlignment="1">
      <alignment vertical="center"/>
    </xf>
    <xf numFmtId="0" fontId="23" fillId="7" borderId="20" xfId="0" applyNumberFormat="1" applyFont="1" applyFill="1" applyBorder="1" applyAlignment="1">
      <alignment vertical="center"/>
    </xf>
    <xf numFmtId="0" fontId="10" fillId="8" borderId="21" xfId="0" applyNumberFormat="1" applyFont="1" applyFill="1" applyBorder="1" applyAlignment="1">
      <alignment vertical="center"/>
    </xf>
    <xf numFmtId="0" fontId="23" fillId="8" borderId="20" xfId="0" applyNumberFormat="1" applyFont="1" applyFill="1" applyBorder="1" applyAlignment="1">
      <alignment vertical="center"/>
    </xf>
    <xf numFmtId="0" fontId="10" fillId="9" borderId="21" xfId="0" applyNumberFormat="1" applyFont="1" applyFill="1" applyBorder="1" applyAlignment="1">
      <alignment vertical="center"/>
    </xf>
    <xf numFmtId="0" fontId="23" fillId="9" borderId="20" xfId="0" applyNumberFormat="1" applyFont="1" applyFill="1" applyBorder="1" applyAlignment="1">
      <alignment vertical="center"/>
    </xf>
    <xf numFmtId="0" fontId="10" fillId="5" borderId="21" xfId="0" applyNumberFormat="1" applyFont="1" applyFill="1" applyBorder="1" applyAlignment="1">
      <alignment vertical="center"/>
    </xf>
    <xf numFmtId="0" fontId="23" fillId="5" borderId="20" xfId="0" applyNumberFormat="1" applyFont="1" applyFill="1" applyBorder="1" applyAlignment="1">
      <alignment vertical="center"/>
    </xf>
    <xf numFmtId="0" fontId="10" fillId="2" borderId="21" xfId="0" applyNumberFormat="1" applyFont="1" applyFill="1" applyBorder="1" applyAlignment="1">
      <alignment vertical="center"/>
    </xf>
    <xf numFmtId="0" fontId="23" fillId="2" borderId="20" xfId="0" applyNumberFormat="1" applyFont="1" applyFill="1" applyBorder="1" applyAlignment="1">
      <alignment vertical="center"/>
    </xf>
    <xf numFmtId="0" fontId="19" fillId="0" borderId="42" xfId="0" applyNumberFormat="1" applyFont="1" applyBorder="1" applyAlignment="1">
      <alignment vertical="center"/>
    </xf>
    <xf numFmtId="0" fontId="23" fillId="0" borderId="23" xfId="0" applyNumberFormat="1"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22" fillId="0" borderId="3" xfId="0" applyFont="1" applyBorder="1" applyAlignment="1">
      <alignment vertical="center"/>
    </xf>
    <xf numFmtId="0" fontId="16" fillId="0" borderId="0" xfId="0" applyFont="1" applyFill="1" applyBorder="1" applyAlignment="1">
      <alignment horizontal="center" vertical="center"/>
    </xf>
    <xf numFmtId="49" fontId="16"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168" fontId="15" fillId="0" borderId="0" xfId="1" applyNumberFormat="1" applyFont="1" applyFill="1" applyBorder="1" applyAlignment="1">
      <alignment horizontal="center" vertical="center"/>
    </xf>
    <xf numFmtId="168" fontId="16" fillId="0" borderId="0" xfId="1" applyNumberFormat="1" applyFont="1" applyFill="1" applyBorder="1" applyAlignment="1">
      <alignment horizontal="center" vertical="center"/>
    </xf>
    <xf numFmtId="41" fontId="16" fillId="0" borderId="0" xfId="1" applyFont="1" applyFill="1" applyBorder="1" applyAlignment="1">
      <alignment horizontal="center" vertical="center"/>
    </xf>
    <xf numFmtId="41" fontId="10" fillId="0" borderId="0" xfId="1" applyFont="1" applyFill="1" applyBorder="1"/>
    <xf numFmtId="0" fontId="10" fillId="0" borderId="0" xfId="0" applyFont="1" applyFill="1" applyBorder="1" applyAlignment="1">
      <alignment horizontal="left"/>
    </xf>
    <xf numFmtId="0" fontId="10" fillId="0" borderId="0" xfId="0" applyFont="1" applyFill="1" applyBorder="1" applyAlignment="1">
      <alignment horizontal="right"/>
    </xf>
    <xf numFmtId="0" fontId="6" fillId="0" borderId="0" xfId="0" applyFont="1" applyFill="1" applyBorder="1" applyAlignment="1">
      <alignment horizontal="right"/>
    </xf>
    <xf numFmtId="0" fontId="7" fillId="0" borderId="0" xfId="0" applyFont="1" applyFill="1" applyBorder="1" applyAlignment="1">
      <alignment horizontal="right"/>
    </xf>
    <xf numFmtId="14" fontId="16" fillId="0" borderId="0" xfId="0" applyNumberFormat="1" applyFont="1" applyFill="1" applyBorder="1" applyAlignment="1">
      <alignment horizontal="right" vertical="center"/>
    </xf>
    <xf numFmtId="14" fontId="10" fillId="0" borderId="0" xfId="0" applyNumberFormat="1" applyFont="1" applyFill="1" applyBorder="1" applyAlignment="1">
      <alignment horizontal="right"/>
    </xf>
    <xf numFmtId="14" fontId="0" fillId="0" borderId="0" xfId="0" applyNumberFormat="1" applyAlignment="1">
      <alignment horizontal="right"/>
    </xf>
    <xf numFmtId="169" fontId="0" fillId="0" borderId="0" xfId="0" applyNumberFormat="1" applyFill="1" applyAlignment="1">
      <alignment horizontal="left"/>
    </xf>
    <xf numFmtId="0" fontId="13" fillId="16" borderId="43" xfId="0" applyFont="1" applyFill="1" applyBorder="1" applyAlignment="1">
      <alignment horizontal="left"/>
    </xf>
    <xf numFmtId="14" fontId="11" fillId="0" borderId="44" xfId="0" applyNumberFormat="1" applyFont="1" applyBorder="1" applyAlignment="1">
      <alignment vertical="center" wrapText="1"/>
    </xf>
    <xf numFmtId="0" fontId="11" fillId="0" borderId="44" xfId="0" applyFont="1" applyBorder="1" applyAlignment="1">
      <alignment vertical="center" wrapText="1"/>
    </xf>
    <xf numFmtId="166" fontId="11" fillId="0" borderId="44" xfId="0" applyNumberFormat="1" applyFont="1" applyBorder="1" applyAlignment="1">
      <alignment vertical="center" wrapText="1"/>
    </xf>
    <xf numFmtId="167" fontId="11" fillId="0" borderId="44" xfId="0" applyNumberFormat="1" applyFont="1" applyBorder="1" applyAlignment="1">
      <alignment vertical="center" wrapText="1"/>
    </xf>
    <xf numFmtId="0" fontId="26" fillId="11" borderId="0" xfId="0" applyFont="1" applyFill="1"/>
    <xf numFmtId="0" fontId="12" fillId="11" borderId="0" xfId="0" applyFont="1" applyFill="1"/>
    <xf numFmtId="0" fontId="5" fillId="21" borderId="0" xfId="0" applyFont="1" applyFill="1" applyAlignment="1">
      <alignment horizontal="left"/>
    </xf>
    <xf numFmtId="0" fontId="5" fillId="12" borderId="0" xfId="0" applyFont="1" applyFill="1" applyAlignment="1">
      <alignment horizontal="left"/>
    </xf>
    <xf numFmtId="0" fontId="5" fillId="22" borderId="0" xfId="0" applyFont="1" applyFill="1" applyAlignment="1">
      <alignment horizontal="left"/>
    </xf>
    <xf numFmtId="0" fontId="12" fillId="23" borderId="0" xfId="0" applyFont="1" applyFill="1" applyAlignment="1">
      <alignment horizontal="left"/>
    </xf>
    <xf numFmtId="0" fontId="27" fillId="0" borderId="0" xfId="0" pivotButton="1" applyFont="1" applyAlignment="1">
      <alignment horizontal="center" vertical="center"/>
    </xf>
    <xf numFmtId="0" fontId="41" fillId="0" borderId="0" xfId="0" applyFont="1" applyAlignment="1">
      <alignment horizontal="center" vertical="center"/>
    </xf>
    <xf numFmtId="0" fontId="17" fillId="0" borderId="0" xfId="0" applyNumberFormat="1" applyFont="1"/>
    <xf numFmtId="166" fontId="29" fillId="0" borderId="0" xfId="0" applyNumberFormat="1" applyFont="1" applyAlignment="1">
      <alignment horizontal="center" vertical="center" wrapText="1"/>
    </xf>
    <xf numFmtId="0" fontId="5" fillId="23" borderId="9" xfId="0" applyFont="1" applyFill="1" applyBorder="1" applyAlignment="1">
      <alignment horizontal="left"/>
    </xf>
    <xf numFmtId="0" fontId="10" fillId="23" borderId="2" xfId="0" applyFont="1" applyFill="1" applyBorder="1" applyAlignment="1">
      <alignment horizontal="left"/>
    </xf>
    <xf numFmtId="0" fontId="5" fillId="23" borderId="9" xfId="0" applyFont="1" applyFill="1" applyBorder="1"/>
    <xf numFmtId="0" fontId="13" fillId="23" borderId="21" xfId="0" applyFont="1" applyFill="1" applyBorder="1" applyAlignment="1">
      <alignment horizontal="left" vertical="center"/>
    </xf>
    <xf numFmtId="0" fontId="10" fillId="0" borderId="0" xfId="0" applyNumberFormat="1" applyFont="1"/>
    <xf numFmtId="0" fontId="10" fillId="0" borderId="0" xfId="0" applyNumberFormat="1" applyFont="1" applyBorder="1"/>
    <xf numFmtId="0" fontId="10" fillId="4" borderId="21" xfId="0" applyNumberFormat="1" applyFont="1" applyFill="1" applyBorder="1"/>
    <xf numFmtId="0" fontId="10" fillId="6" borderId="21" xfId="0" applyNumberFormat="1" applyFont="1" applyFill="1" applyBorder="1"/>
    <xf numFmtId="0" fontId="10" fillId="7" borderId="21" xfId="0" applyNumberFormat="1" applyFont="1" applyFill="1" applyBorder="1"/>
    <xf numFmtId="0" fontId="10" fillId="8" borderId="21" xfId="0" applyNumberFormat="1" applyFont="1" applyFill="1" applyBorder="1"/>
    <xf numFmtId="0" fontId="10" fillId="9" borderId="21" xfId="0" applyNumberFormat="1" applyFont="1" applyFill="1" applyBorder="1"/>
    <xf numFmtId="0" fontId="10" fillId="23" borderId="21" xfId="0" applyNumberFormat="1" applyFont="1" applyFill="1" applyBorder="1"/>
    <xf numFmtId="0" fontId="10" fillId="5" borderId="21" xfId="0" applyNumberFormat="1" applyFont="1" applyFill="1" applyBorder="1"/>
    <xf numFmtId="0" fontId="10" fillId="2" borderId="21" xfId="0" applyNumberFormat="1" applyFont="1" applyFill="1" applyBorder="1"/>
    <xf numFmtId="0" fontId="10" fillId="19" borderId="0" xfId="0" applyNumberFormat="1" applyFont="1" applyFill="1"/>
    <xf numFmtId="0" fontId="10" fillId="4" borderId="20" xfId="0" applyNumberFormat="1" applyFont="1" applyFill="1" applyBorder="1"/>
    <xf numFmtId="0" fontId="10" fillId="6" borderId="20" xfId="0" applyNumberFormat="1" applyFont="1" applyFill="1" applyBorder="1"/>
    <xf numFmtId="0" fontId="10" fillId="7" borderId="20" xfId="0" applyNumberFormat="1" applyFont="1" applyFill="1" applyBorder="1"/>
    <xf numFmtId="0" fontId="10" fillId="8" borderId="20" xfId="0" applyNumberFormat="1" applyFont="1" applyFill="1" applyBorder="1"/>
    <xf numFmtId="0" fontId="10" fillId="9" borderId="20" xfId="0" applyNumberFormat="1" applyFont="1" applyFill="1" applyBorder="1"/>
    <xf numFmtId="0" fontId="10" fillId="23" borderId="20" xfId="0" applyNumberFormat="1" applyFont="1" applyFill="1" applyBorder="1"/>
    <xf numFmtId="0" fontId="10" fillId="5" borderId="20" xfId="0" applyNumberFormat="1" applyFont="1" applyFill="1" applyBorder="1"/>
    <xf numFmtId="0" fontId="10" fillId="2" borderId="20" xfId="0" applyNumberFormat="1" applyFont="1" applyFill="1" applyBorder="1"/>
    <xf numFmtId="0" fontId="10" fillId="23" borderId="21" xfId="0" applyNumberFormat="1" applyFont="1" applyFill="1" applyBorder="1" applyAlignment="1">
      <alignment vertical="center"/>
    </xf>
    <xf numFmtId="0" fontId="23" fillId="23" borderId="20" xfId="0" applyNumberFormat="1" applyFont="1" applyFill="1" applyBorder="1" applyAlignment="1">
      <alignment vertical="center"/>
    </xf>
    <xf numFmtId="0" fontId="10" fillId="3" borderId="21" xfId="0" applyNumberFormat="1" applyFont="1" applyFill="1" applyBorder="1"/>
    <xf numFmtId="0" fontId="10" fillId="3" borderId="20" xfId="0" applyNumberFormat="1" applyFont="1" applyFill="1" applyBorder="1"/>
    <xf numFmtId="0" fontId="27" fillId="0" borderId="0" xfId="0" applyNumberFormat="1" applyFont="1"/>
    <xf numFmtId="0" fontId="18" fillId="0" borderId="0" xfId="0" applyNumberFormat="1" applyFont="1"/>
    <xf numFmtId="0" fontId="10" fillId="24" borderId="11" xfId="0" applyFont="1" applyFill="1" applyBorder="1" applyAlignment="1">
      <alignment horizontal="left"/>
    </xf>
    <xf numFmtId="0" fontId="10" fillId="22" borderId="24" xfId="0" applyFont="1" applyFill="1" applyBorder="1"/>
    <xf numFmtId="0" fontId="10" fillId="24" borderId="12" xfId="0" applyFont="1" applyFill="1" applyBorder="1" applyAlignment="1">
      <alignment horizontal="left"/>
    </xf>
    <xf numFmtId="0" fontId="10" fillId="22" borderId="25" xfId="0" applyFont="1" applyFill="1" applyBorder="1"/>
    <xf numFmtId="0" fontId="10" fillId="24" borderId="13" xfId="0" applyFont="1" applyFill="1" applyBorder="1" applyAlignment="1">
      <alignment horizontal="left"/>
    </xf>
    <xf numFmtId="0" fontId="10" fillId="22" borderId="26" xfId="0" applyFont="1" applyFill="1" applyBorder="1"/>
    <xf numFmtId="0" fontId="10" fillId="24" borderId="43" xfId="0" applyFont="1" applyFill="1" applyBorder="1" applyAlignment="1">
      <alignment horizontal="left"/>
    </xf>
    <xf numFmtId="0" fontId="10" fillId="22" borderId="0" xfId="0" applyFont="1" applyFill="1"/>
    <xf numFmtId="0" fontId="11" fillId="0" borderId="0" xfId="0" applyNumberFormat="1" applyFont="1" applyBorder="1"/>
    <xf numFmtId="0" fontId="7" fillId="0" borderId="0" xfId="0" applyNumberFormat="1" applyFont="1"/>
    <xf numFmtId="0" fontId="5" fillId="3" borderId="0" xfId="0" applyFont="1" applyFill="1" applyAlignment="1">
      <alignment horizontal="left"/>
    </xf>
    <xf numFmtId="0" fontId="32" fillId="0" borderId="0" xfId="0" applyFont="1" applyBorder="1" applyAlignment="1">
      <alignment horizontal="center" vertical="center" wrapText="1"/>
    </xf>
    <xf numFmtId="166" fontId="11" fillId="16" borderId="1" xfId="0" applyNumberFormat="1" applyFont="1" applyFill="1" applyBorder="1" applyAlignment="1">
      <alignment vertical="center" wrapText="1"/>
    </xf>
    <xf numFmtId="0" fontId="9" fillId="25" borderId="1" xfId="0" applyFont="1" applyFill="1" applyBorder="1" applyAlignment="1">
      <alignment horizontal="center" vertical="center" wrapText="1"/>
    </xf>
    <xf numFmtId="0" fontId="13" fillId="0" borderId="45" xfId="0" applyFont="1" applyBorder="1" applyAlignment="1">
      <alignment vertical="center"/>
    </xf>
    <xf numFmtId="0" fontId="17" fillId="0" borderId="20" xfId="0" applyFont="1" applyBorder="1" applyAlignment="1">
      <alignment horizontal="center" vertical="center"/>
    </xf>
    <xf numFmtId="0" fontId="13" fillId="0" borderId="41" xfId="0" applyFont="1" applyBorder="1" applyAlignment="1">
      <alignment vertical="center"/>
    </xf>
    <xf numFmtId="0" fontId="10" fillId="19" borderId="0" xfId="0" applyNumberFormat="1" applyFont="1" applyFill="1" applyBorder="1" applyAlignment="1">
      <alignment vertical="center"/>
    </xf>
    <xf numFmtId="0" fontId="10" fillId="19" borderId="5" xfId="0" applyNumberFormat="1" applyFont="1" applyFill="1" applyBorder="1" applyAlignment="1">
      <alignment vertical="center"/>
    </xf>
    <xf numFmtId="0" fontId="10" fillId="0" borderId="5" xfId="0" applyNumberFormat="1" applyFont="1" applyBorder="1" applyAlignment="1">
      <alignment vertical="center"/>
    </xf>
    <xf numFmtId="0" fontId="10" fillId="3" borderId="41" xfId="0" applyNumberFormat="1" applyFont="1" applyFill="1" applyBorder="1" applyAlignment="1">
      <alignment vertical="center"/>
    </xf>
    <xf numFmtId="0" fontId="10" fillId="4" borderId="20" xfId="0" applyNumberFormat="1" applyFont="1" applyFill="1" applyBorder="1" applyAlignment="1">
      <alignment vertical="center"/>
    </xf>
    <xf numFmtId="0" fontId="10" fillId="0" borderId="14" xfId="0" applyNumberFormat="1" applyFont="1" applyBorder="1" applyAlignment="1">
      <alignment vertical="center"/>
    </xf>
    <xf numFmtId="0" fontId="10" fillId="0" borderId="15" xfId="0" applyNumberFormat="1" applyFont="1" applyBorder="1" applyAlignment="1">
      <alignment vertical="center"/>
    </xf>
    <xf numFmtId="0" fontId="10" fillId="0" borderId="16" xfId="0" applyNumberFormat="1" applyFont="1" applyBorder="1" applyAlignment="1">
      <alignment vertical="center"/>
    </xf>
    <xf numFmtId="0" fontId="10" fillId="6" borderId="20" xfId="0" applyNumberFormat="1" applyFont="1" applyFill="1" applyBorder="1" applyAlignment="1">
      <alignment vertical="center"/>
    </xf>
    <xf numFmtId="0" fontId="10" fillId="7" borderId="20" xfId="0" applyNumberFormat="1" applyFont="1" applyFill="1" applyBorder="1" applyAlignment="1">
      <alignment vertical="center"/>
    </xf>
    <xf numFmtId="0" fontId="10" fillId="8" borderId="20" xfId="0" applyNumberFormat="1" applyFont="1" applyFill="1" applyBorder="1" applyAlignment="1">
      <alignment vertical="center"/>
    </xf>
    <xf numFmtId="0" fontId="10" fillId="9" borderId="20" xfId="0" applyNumberFormat="1" applyFont="1" applyFill="1" applyBorder="1" applyAlignment="1">
      <alignment vertical="center"/>
    </xf>
    <xf numFmtId="0" fontId="10" fillId="23" borderId="20" xfId="0" applyNumberFormat="1" applyFont="1" applyFill="1" applyBorder="1" applyAlignment="1">
      <alignment vertical="center"/>
    </xf>
    <xf numFmtId="0" fontId="10" fillId="5" borderId="20" xfId="0" applyNumberFormat="1" applyFont="1" applyFill="1" applyBorder="1" applyAlignment="1">
      <alignment vertical="center"/>
    </xf>
    <xf numFmtId="0" fontId="10" fillId="2" borderId="20" xfId="0" applyNumberFormat="1" applyFont="1" applyFill="1" applyBorder="1" applyAlignment="1">
      <alignment vertical="center"/>
    </xf>
    <xf numFmtId="0" fontId="19" fillId="0" borderId="46" xfId="0" applyNumberFormat="1" applyFont="1" applyBorder="1" applyAlignment="1">
      <alignment vertical="center"/>
    </xf>
    <xf numFmtId="0" fontId="19" fillId="0" borderId="23" xfId="0" applyNumberFormat="1" applyFont="1" applyBorder="1" applyAlignment="1">
      <alignment vertical="center"/>
    </xf>
    <xf numFmtId="165" fontId="5" fillId="0" borderId="38" xfId="0" applyNumberFormat="1" applyFont="1" applyBorder="1" applyAlignment="1">
      <alignment horizontal="center" vertical="center" wrapText="1"/>
    </xf>
    <xf numFmtId="165" fontId="11" fillId="0" borderId="1" xfId="0" applyNumberFormat="1" applyFont="1" applyBorder="1" applyAlignment="1">
      <alignment vertical="center" wrapText="1"/>
    </xf>
    <xf numFmtId="0" fontId="17" fillId="0" borderId="19" xfId="0" applyFont="1" applyBorder="1" applyAlignment="1">
      <alignment horizontal="center" vertical="center"/>
    </xf>
    <xf numFmtId="0" fontId="13" fillId="11" borderId="0" xfId="0" applyFont="1" applyFill="1" applyBorder="1" applyAlignment="1">
      <alignment vertical="center"/>
    </xf>
    <xf numFmtId="0" fontId="10" fillId="19" borderId="4" xfId="0" applyNumberFormat="1" applyFont="1" applyFill="1" applyBorder="1" applyAlignment="1">
      <alignment vertical="center"/>
    </xf>
    <xf numFmtId="0" fontId="10" fillId="0" borderId="4" xfId="0" applyNumberFormat="1" applyFont="1" applyBorder="1" applyAlignment="1">
      <alignment vertical="center"/>
    </xf>
    <xf numFmtId="0" fontId="10" fillId="3" borderId="45" xfId="0" applyNumberFormat="1" applyFont="1" applyFill="1" applyBorder="1" applyAlignment="1">
      <alignment vertical="center"/>
    </xf>
    <xf numFmtId="0" fontId="10" fillId="4" borderId="19" xfId="0" applyNumberFormat="1" applyFont="1" applyFill="1" applyBorder="1" applyAlignment="1">
      <alignment vertical="center"/>
    </xf>
    <xf numFmtId="0" fontId="10" fillId="0" borderId="47" xfId="0" applyNumberFormat="1" applyFont="1" applyBorder="1" applyAlignment="1">
      <alignment vertical="center"/>
    </xf>
    <xf numFmtId="0" fontId="10" fillId="0" borderId="48" xfId="0" applyNumberFormat="1" applyFont="1" applyBorder="1" applyAlignment="1">
      <alignment vertical="center"/>
    </xf>
    <xf numFmtId="0" fontId="10" fillId="0" borderId="49" xfId="0" applyNumberFormat="1" applyFont="1" applyBorder="1" applyAlignment="1">
      <alignment vertical="center"/>
    </xf>
    <xf numFmtId="0" fontId="10" fillId="6" borderId="19" xfId="0" applyNumberFormat="1" applyFont="1" applyFill="1" applyBorder="1" applyAlignment="1">
      <alignment vertical="center"/>
    </xf>
    <xf numFmtId="0" fontId="10" fillId="7" borderId="19" xfId="0" applyNumberFormat="1" applyFont="1" applyFill="1" applyBorder="1" applyAlignment="1">
      <alignment vertical="center"/>
    </xf>
    <xf numFmtId="0" fontId="10" fillId="8" borderId="19" xfId="0" applyNumberFormat="1" applyFont="1" applyFill="1" applyBorder="1" applyAlignment="1">
      <alignment vertical="center"/>
    </xf>
    <xf numFmtId="0" fontId="10" fillId="9" borderId="19" xfId="0" applyNumberFormat="1" applyFont="1" applyFill="1" applyBorder="1" applyAlignment="1">
      <alignment vertical="center"/>
    </xf>
    <xf numFmtId="0" fontId="10" fillId="23" borderId="19" xfId="0" applyNumberFormat="1" applyFont="1" applyFill="1" applyBorder="1" applyAlignment="1">
      <alignment vertical="center"/>
    </xf>
    <xf numFmtId="0" fontId="10" fillId="5" borderId="19" xfId="0" applyNumberFormat="1" applyFont="1" applyFill="1" applyBorder="1" applyAlignment="1">
      <alignment vertical="center"/>
    </xf>
    <xf numFmtId="0" fontId="10" fillId="2" borderId="19" xfId="0" applyNumberFormat="1" applyFont="1" applyFill="1" applyBorder="1" applyAlignment="1">
      <alignment vertical="center"/>
    </xf>
    <xf numFmtId="0" fontId="19" fillId="0" borderId="50" xfId="0" applyNumberFormat="1" applyFont="1" applyBorder="1" applyAlignment="1">
      <alignment vertical="center"/>
    </xf>
    <xf numFmtId="0" fontId="42" fillId="26" borderId="51" xfId="0" applyFont="1" applyFill="1" applyBorder="1" applyAlignment="1">
      <alignment wrapText="1"/>
    </xf>
    <xf numFmtId="0" fontId="42" fillId="27" borderId="52" xfId="0" applyFont="1" applyFill="1" applyBorder="1" applyAlignment="1">
      <alignment wrapText="1"/>
    </xf>
    <xf numFmtId="0" fontId="42" fillId="28" borderId="52" xfId="0" applyFont="1" applyFill="1" applyBorder="1" applyAlignment="1">
      <alignment wrapText="1"/>
    </xf>
    <xf numFmtId="0" fontId="42" fillId="29" borderId="52" xfId="0" applyFont="1" applyFill="1" applyBorder="1" applyAlignment="1">
      <alignment wrapText="1"/>
    </xf>
    <xf numFmtId="0" fontId="42" fillId="30" borderId="52" xfId="0" applyFont="1" applyFill="1" applyBorder="1" applyAlignment="1">
      <alignment wrapText="1"/>
    </xf>
    <xf numFmtId="0" fontId="42" fillId="31" borderId="52" xfId="0" applyFont="1" applyFill="1" applyBorder="1" applyAlignment="1">
      <alignment wrapText="1"/>
    </xf>
    <xf numFmtId="0" fontId="42" fillId="32" borderId="52" xfId="0" applyFont="1" applyFill="1" applyBorder="1" applyAlignment="1">
      <alignment wrapText="1"/>
    </xf>
    <xf numFmtId="0" fontId="24" fillId="33" borderId="0" xfId="0" applyFont="1" applyFill="1" applyAlignment="1">
      <alignment vertical="center"/>
    </xf>
    <xf numFmtId="168" fontId="24" fillId="33" borderId="0" xfId="1" applyNumberFormat="1" applyFont="1" applyFill="1" applyAlignment="1">
      <alignment vertical="center"/>
    </xf>
    <xf numFmtId="41" fontId="24" fillId="33" borderId="0" xfId="1" applyFont="1" applyFill="1" applyAlignment="1">
      <alignment vertical="center"/>
    </xf>
    <xf numFmtId="0" fontId="0" fillId="33" borderId="0" xfId="0" applyFill="1"/>
    <xf numFmtId="0" fontId="0" fillId="0" borderId="1" xfId="0" applyBorder="1"/>
    <xf numFmtId="0" fontId="11" fillId="0" borderId="1" xfId="0" applyFont="1" applyBorder="1"/>
    <xf numFmtId="0" fontId="14" fillId="34" borderId="19" xfId="0" applyFont="1" applyFill="1" applyBorder="1" applyAlignment="1">
      <alignment horizontal="left" vertical="center"/>
    </xf>
    <xf numFmtId="0" fontId="16" fillId="34" borderId="19" xfId="0" applyNumberFormat="1" applyFont="1" applyFill="1" applyBorder="1" applyAlignment="1">
      <alignment vertical="center"/>
    </xf>
    <xf numFmtId="0" fontId="16" fillId="34" borderId="21" xfId="0" applyNumberFormat="1" applyFont="1" applyFill="1" applyBorder="1" applyAlignment="1">
      <alignment vertical="center"/>
    </xf>
    <xf numFmtId="0" fontId="16" fillId="34" borderId="20" xfId="0" applyNumberFormat="1" applyFont="1" applyFill="1" applyBorder="1" applyAlignment="1">
      <alignment vertical="center"/>
    </xf>
    <xf numFmtId="0" fontId="43" fillId="34" borderId="20" xfId="0" applyNumberFormat="1" applyFont="1" applyFill="1" applyBorder="1" applyAlignment="1">
      <alignment vertical="center"/>
    </xf>
    <xf numFmtId="41" fontId="10" fillId="0" borderId="0" xfId="1" applyFont="1" applyFill="1"/>
    <xf numFmtId="0" fontId="10" fillId="0" borderId="0" xfId="0" applyFont="1" applyFill="1"/>
    <xf numFmtId="14" fontId="10" fillId="0" borderId="0" xfId="0" applyNumberFormat="1" applyFont="1" applyFill="1" applyAlignment="1">
      <alignment horizontal="right" wrapText="1"/>
    </xf>
    <xf numFmtId="0" fontId="10" fillId="0" borderId="0" xfId="0" applyFont="1" applyFill="1" applyAlignment="1">
      <alignment horizontal="right" wrapText="1"/>
    </xf>
    <xf numFmtId="49" fontId="10" fillId="0" borderId="0" xfId="0" applyNumberFormat="1" applyFont="1" applyFill="1" applyAlignment="1">
      <alignment horizontal="right" wrapText="1"/>
    </xf>
    <xf numFmtId="0" fontId="7" fillId="0" borderId="0" xfId="0" applyFont="1" applyFill="1" applyAlignment="1">
      <alignment horizontal="right"/>
    </xf>
    <xf numFmtId="0" fontId="10" fillId="0" borderId="0" xfId="0" applyFont="1" applyAlignment="1">
      <alignment horizontal="left" wrapText="1"/>
    </xf>
    <xf numFmtId="0" fontId="10" fillId="0" borderId="0" xfId="0" applyFont="1" applyAlignment="1">
      <alignment wrapText="1"/>
    </xf>
    <xf numFmtId="0" fontId="10" fillId="19" borderId="17" xfId="0" applyNumberFormat="1" applyFont="1" applyFill="1" applyBorder="1" applyAlignment="1">
      <alignment vertical="center"/>
    </xf>
    <xf numFmtId="0" fontId="10" fillId="19" borderId="18" xfId="0" applyNumberFormat="1" applyFont="1" applyFill="1" applyBorder="1" applyAlignment="1">
      <alignment vertical="center"/>
    </xf>
    <xf numFmtId="0" fontId="7" fillId="0" borderId="0" xfId="0" applyFont="1" applyBorder="1" applyAlignment="1">
      <alignment horizontal="right" wrapText="1"/>
    </xf>
    <xf numFmtId="14" fontId="10" fillId="0" borderId="0" xfId="0" applyNumberFormat="1" applyFont="1" applyFill="1" applyAlignment="1">
      <alignment horizontal="right"/>
    </xf>
    <xf numFmtId="0" fontId="10" fillId="0" borderId="0" xfId="0" applyFont="1" applyFill="1" applyAlignment="1">
      <alignment horizontal="right"/>
    </xf>
    <xf numFmtId="0" fontId="10" fillId="0" borderId="0" xfId="0" applyFont="1" applyFill="1" applyAlignment="1">
      <alignment horizontal="center" vertical="center"/>
    </xf>
    <xf numFmtId="0" fontId="10" fillId="0" borderId="0" xfId="0" applyFont="1" applyFill="1" applyAlignment="1">
      <alignment horizontal="left"/>
    </xf>
    <xf numFmtId="0" fontId="39" fillId="0" borderId="21" xfId="0" applyFont="1" applyBorder="1" applyAlignment="1">
      <alignment horizontal="left" vertical="center"/>
    </xf>
    <xf numFmtId="0" fontId="30" fillId="17" borderId="0" xfId="0" applyFont="1" applyFill="1" applyAlignment="1">
      <alignment horizontal="center" vertical="center"/>
    </xf>
    <xf numFmtId="0" fontId="26" fillId="14" borderId="0" xfId="0" applyFont="1" applyFill="1" applyAlignment="1">
      <alignment horizontal="center" vertical="center"/>
    </xf>
    <xf numFmtId="0" fontId="12" fillId="14" borderId="0" xfId="0" applyFont="1" applyFill="1" applyAlignment="1">
      <alignment horizontal="center" vertical="center"/>
    </xf>
    <xf numFmtId="0" fontId="15" fillId="17" borderId="0" xfId="0" applyFont="1" applyFill="1" applyAlignment="1">
      <alignment horizontal="center" vertical="center" wrapText="1"/>
    </xf>
    <xf numFmtId="0" fontId="9" fillId="17" borderId="0" xfId="0" applyFont="1" applyFill="1" applyAlignment="1">
      <alignment horizontal="center" vertical="center"/>
    </xf>
    <xf numFmtId="0" fontId="34" fillId="14" borderId="0" xfId="0" applyFont="1" applyFill="1" applyAlignment="1">
      <alignment horizontal="center" vertical="center"/>
    </xf>
    <xf numFmtId="0" fontId="12" fillId="18" borderId="0" xfId="0" applyFont="1" applyFill="1" applyAlignment="1">
      <alignment horizontal="center"/>
    </xf>
    <xf numFmtId="0" fontId="12" fillId="18" borderId="0" xfId="0" applyFont="1" applyFill="1" applyAlignment="1">
      <alignment horizontal="center" wrapText="1"/>
    </xf>
    <xf numFmtId="0" fontId="12" fillId="18" borderId="0" xfId="0" applyFont="1" applyFill="1" applyAlignment="1">
      <alignment horizontal="center" vertical="center" wrapText="1"/>
    </xf>
    <xf numFmtId="0" fontId="24" fillId="14" borderId="0" xfId="0" applyFont="1" applyFill="1" applyAlignment="1">
      <alignment horizontal="center" vertical="center"/>
    </xf>
    <xf numFmtId="0" fontId="15" fillId="14" borderId="0" xfId="0" applyFont="1" applyFill="1" applyAlignment="1">
      <alignment horizontal="center" vertical="center"/>
    </xf>
    <xf numFmtId="0" fontId="9" fillId="14" borderId="0" xfId="0" applyFont="1" applyFill="1" applyAlignment="1">
      <alignment horizontal="center" vertical="center" wrapText="1"/>
    </xf>
    <xf numFmtId="0" fontId="35" fillId="14" borderId="0" xfId="0" applyFont="1" applyFill="1" applyAlignment="1">
      <alignment horizontal="center"/>
    </xf>
    <xf numFmtId="0" fontId="26" fillId="14" borderId="0" xfId="0" applyFont="1" applyFill="1" applyAlignment="1">
      <alignment horizontal="center"/>
    </xf>
    <xf numFmtId="0" fontId="9" fillId="14" borderId="0" xfId="0" applyFont="1" applyFill="1" applyAlignment="1">
      <alignment horizontal="center" vertical="center"/>
    </xf>
    <xf numFmtId="0" fontId="15" fillId="14" borderId="0" xfId="0" applyFont="1" applyFill="1" applyAlignment="1">
      <alignment horizontal="center" vertical="center" wrapText="1"/>
    </xf>
    <xf numFmtId="0" fontId="8" fillId="14" borderId="0" xfId="0" applyFont="1" applyFill="1" applyAlignment="1">
      <alignment horizontal="center" vertical="center"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cellXfs>
  <cellStyles count="2">
    <cellStyle name="Comma [0]" xfId="1" builtinId="6"/>
    <cellStyle name="Normal" xfId="0" builtinId="0"/>
  </cellStyles>
  <dxfs count="2387">
    <dxf>
      <alignment wrapText="1"/>
    </dxf>
    <dxf>
      <alignment wrapText="1"/>
    </dxf>
    <dxf>
      <alignment wrapText="1"/>
    </dxf>
    <dxf>
      <alignment wrapText="1"/>
    </dxf>
    <dxf>
      <alignment wrapText="1"/>
    </dxf>
    <dxf>
      <alignment wrapText="1"/>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4"/>
      </font>
    </dxf>
    <dxf>
      <font>
        <color theme="0"/>
      </font>
    </dxf>
    <dxf>
      <font>
        <b/>
      </font>
    </dxf>
    <dxf>
      <numFmt numFmtId="166" formatCode="#,##0.0"/>
    </dxf>
    <dxf>
      <numFmt numFmtId="166" formatCode="#,##0.0"/>
    </dxf>
    <dxf>
      <numFmt numFmtId="3" formatCode="#,##0"/>
    </dxf>
    <dxf>
      <numFmt numFmtId="3" formatCode="#,##0"/>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4"/>
      </font>
    </dxf>
    <dxf>
      <font>
        <sz val="14"/>
      </font>
    </dxf>
    <dxf>
      <font>
        <sz val="14"/>
      </font>
    </dxf>
    <dxf>
      <font>
        <sz val="14"/>
      </font>
    </dxf>
    <dxf>
      <font>
        <sz val="14"/>
      </font>
    </dxf>
    <dxf>
      <font>
        <sz val="14"/>
      </font>
    </dxf>
    <dxf>
      <font>
        <sz val="14"/>
      </font>
    </dxf>
    <dxf>
      <font>
        <sz val="14"/>
      </font>
    </dxf>
    <dxf>
      <alignment wrapText="1"/>
    </dxf>
    <dxf>
      <alignment wrapText="1"/>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4"/>
      </font>
    </dxf>
    <dxf>
      <font>
        <sz val="14"/>
      </font>
    </dxf>
    <dxf>
      <font>
        <sz val="14"/>
      </font>
    </dxf>
    <dxf>
      <font>
        <sz val="16"/>
      </font>
    </dxf>
    <dxf>
      <font>
        <sz val="18"/>
      </font>
    </dxf>
    <dxf>
      <font>
        <sz val="18"/>
      </font>
    </dxf>
    <dxf>
      <border>
        <horizontal style="thin">
          <color theme="0"/>
        </horizontal>
      </border>
    </dxf>
    <dxf>
      <font>
        <b/>
      </font>
    </dxf>
    <dxf>
      <alignment vertical="center"/>
    </dxf>
    <dxf>
      <alignment horizontal="center"/>
    </dxf>
    <dxf>
      <fill>
        <patternFill patternType="solid">
          <bgColor rgb="FFFFFF00"/>
        </patternFill>
      </fill>
    </dxf>
    <dxf>
      <fill>
        <patternFill patternType="solid">
          <bgColor rgb="FFFF01BC"/>
        </patternFill>
      </fill>
    </dxf>
    <dxf>
      <fill>
        <patternFill patternType="solid">
          <bgColor theme="2" tint="-0.249977111117893"/>
        </patternFill>
      </fill>
    </dxf>
    <dxf>
      <fill>
        <patternFill patternType="solid">
          <bgColor theme="9" tint="0.39997558519241921"/>
        </patternFill>
      </fill>
    </dxf>
    <dxf>
      <fill>
        <patternFill patternType="solid">
          <bgColor rgb="FF9954CC"/>
        </patternFill>
      </fill>
    </dxf>
    <dxf>
      <fill>
        <patternFill patternType="solid">
          <bgColor theme="5"/>
        </patternFill>
      </fill>
    </dxf>
    <dxf>
      <fill>
        <patternFill patternType="solid">
          <bgColor rgb="FFC00000"/>
        </patternFill>
      </fill>
    </dxf>
    <dxf>
      <fill>
        <patternFill patternType="solid">
          <bgColor rgb="FF00B050"/>
        </patternFill>
      </fill>
    </dxf>
    <dxf>
      <fill>
        <patternFill patternType="solid">
          <bgColor rgb="FF00B0F0"/>
        </patternFill>
      </fill>
    </dxf>
    <dxf>
      <font>
        <sz val="16"/>
      </font>
    </dxf>
    <dxf>
      <border>
        <vertical style="thick">
          <color theme="0"/>
        </vertical>
      </border>
    </dxf>
    <dxf>
      <border>
        <vertical style="thick">
          <color theme="0"/>
        </vertical>
      </border>
    </dxf>
    <dxf>
      <border>
        <vertical style="thick">
          <color theme="0"/>
        </vertical>
      </border>
    </dxf>
    <dxf>
      <fill>
        <patternFill>
          <bgColor theme="7" tint="0.39997558519241921"/>
        </patternFill>
      </fill>
    </dxf>
    <dxf>
      <font>
        <b/>
      </font>
    </dxf>
    <dxf>
      <fill>
        <patternFill patternType="solid">
          <bgColor theme="5" tint="0.59999389629810485"/>
        </patternFill>
      </fill>
    </dxf>
    <dxf>
      <border>
        <horizontal style="thin">
          <color theme="0"/>
        </horizontal>
      </border>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4"/>
      </font>
    </dxf>
    <dxf>
      <font>
        <sz val="14"/>
      </font>
    </dxf>
    <dxf>
      <font>
        <sz val="14"/>
      </font>
    </dxf>
    <dxf>
      <font>
        <sz val="14"/>
      </font>
    </dxf>
    <dxf>
      <font>
        <sz val="14"/>
      </font>
    </dxf>
    <dxf>
      <font>
        <b/>
      </font>
    </dxf>
    <dxf>
      <font>
        <b/>
      </font>
    </dxf>
    <dxf>
      <font>
        <sz val="22"/>
      </font>
    </dxf>
    <dxf>
      <font>
        <sz val="22"/>
      </font>
    </dxf>
    <dxf>
      <font>
        <b/>
      </font>
    </dxf>
    <dxf>
      <font>
        <b/>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6"/>
      </font>
    </dxf>
    <dxf>
      <font>
        <sz val="16"/>
      </font>
    </dxf>
    <dxf>
      <font>
        <sz val="16"/>
      </font>
    </dxf>
    <dxf>
      <font>
        <sz val="16"/>
      </font>
    </dxf>
    <dxf>
      <border>
        <horizontal style="thin">
          <color theme="0"/>
        </horizontal>
      </border>
    </dxf>
    <dxf>
      <border>
        <horizontal style="thin">
          <color theme="0"/>
        </horizontal>
      </border>
    </dxf>
    <dxf>
      <font>
        <b/>
      </font>
    </dxf>
    <dxf>
      <font>
        <b/>
      </font>
    </dxf>
    <dxf>
      <alignment vertical="center"/>
    </dxf>
    <dxf>
      <alignment vertical="center"/>
    </dxf>
    <dxf>
      <alignment horizontal="center"/>
    </dxf>
    <dxf>
      <alignment horizontal="center"/>
    </dxf>
    <dxf>
      <font>
        <sz val="18"/>
      </font>
    </dxf>
    <dxf>
      <font>
        <sz val="18"/>
      </font>
    </dxf>
    <dxf>
      <font>
        <sz val="18"/>
      </font>
    </dxf>
    <dxf>
      <font>
        <sz val="22"/>
      </font>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6"/>
      </font>
    </dxf>
    <dxf>
      <font>
        <b/>
      </font>
    </dxf>
    <dxf>
      <font>
        <name val="Bodoni MT"/>
        <family val="1"/>
        <scheme val="none"/>
      </font>
    </dxf>
    <dxf>
      <font>
        <sz val="16"/>
      </font>
    </dxf>
    <dxf>
      <font>
        <sz val="20"/>
      </font>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right/>
        <vertical/>
      </border>
    </dxf>
    <dxf>
      <border>
        <left/>
        <right/>
        <vertical/>
      </border>
    </dxf>
    <dxf>
      <border>
        <left/>
        <right/>
        <vertical/>
      </border>
    </dxf>
    <dxf>
      <border>
        <left/>
        <right/>
        <vertical/>
      </border>
    </dxf>
    <dxf>
      <border>
        <left/>
        <right/>
        <vertical/>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font>
        <sz val="18"/>
      </font>
    </dxf>
    <dxf>
      <font>
        <color theme="0"/>
      </font>
    </dxf>
    <dxf>
      <fill>
        <patternFill patternType="solid">
          <bgColor rgb="FFFF01BC"/>
        </patternFill>
      </fill>
    </dxf>
    <dxf>
      <font>
        <color theme="1"/>
      </font>
    </dxf>
    <dxf>
      <fill>
        <patternFill patternType="solid">
          <bgColor theme="0" tint="-0.34998626667073579"/>
        </patternFill>
      </fill>
    </dxf>
    <dxf>
      <fill>
        <patternFill patternType="solid">
          <bgColor theme="9" tint="0.39997558519241921"/>
        </patternFill>
      </fill>
    </dxf>
    <dxf>
      <fill>
        <patternFill patternType="solid">
          <bgColor rgb="FF9954CC"/>
        </patternFill>
      </fill>
    </dxf>
    <dxf>
      <fill>
        <patternFill patternType="solid">
          <bgColor theme="5"/>
        </patternFill>
      </fill>
    </dxf>
    <dxf>
      <fill>
        <patternFill patternType="solid">
          <bgColor rgb="FFC00000"/>
        </patternFill>
      </fill>
    </dxf>
    <dxf>
      <fill>
        <patternFill patternType="solid">
          <bgColor rgb="FF00B050"/>
        </patternFill>
      </fill>
    </dxf>
    <dxf>
      <fill>
        <patternFill patternType="solid">
          <bgColor rgb="FF00B0F0"/>
        </patternFill>
      </fill>
    </dxf>
    <dxf>
      <border>
        <top style="thick">
          <color theme="0"/>
        </top>
        <vertical style="thick">
          <color theme="0"/>
        </vertical>
      </border>
    </dxf>
    <dxf>
      <border>
        <top style="thick">
          <color theme="0"/>
        </top>
        <vertical style="thick">
          <color theme="0"/>
        </vertical>
      </border>
    </dxf>
    <dxf>
      <border>
        <vertical style="medium">
          <color theme="0"/>
        </vertical>
      </border>
    </dxf>
    <dxf>
      <border>
        <vertical style="medium">
          <color theme="0"/>
        </vertical>
      </border>
    </dxf>
    <dxf>
      <font>
        <sz val="20"/>
      </font>
    </dxf>
    <dxf>
      <font>
        <sz val="22"/>
      </font>
    </dxf>
    <dxf>
      <alignment wrapText="1"/>
    </dxf>
    <dxf>
      <alignment horizontal="center"/>
    </dxf>
    <dxf>
      <alignment vertical="center"/>
    </dxf>
    <dxf>
      <font>
        <b/>
      </fon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ont>
        <sz val="26"/>
      </font>
    </dxf>
    <dxf>
      <border>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fill>
        <patternFill>
          <bgColor rgb="FFFFFF00"/>
        </patternFill>
      </fill>
    </dxf>
    <dxf>
      <fill>
        <patternFill>
          <bgColor rgb="FFFF01BC"/>
        </patternFill>
      </fill>
    </dxf>
    <dxf>
      <fill>
        <patternFill>
          <bgColor theme="0" tint="-0.34998626667073579"/>
        </patternFill>
      </fill>
    </dxf>
    <dxf>
      <fill>
        <patternFill>
          <bgColor theme="9" tint="0.39997558519241921"/>
        </patternFill>
      </fill>
    </dxf>
    <dxf>
      <fill>
        <patternFill>
          <bgColor rgb="FF9954CC"/>
        </patternFill>
      </fill>
    </dxf>
    <dxf>
      <fill>
        <patternFill>
          <bgColor theme="5"/>
        </patternFill>
      </fill>
    </dxf>
    <dxf>
      <fill>
        <patternFill>
          <bgColor rgb="FFC00000"/>
        </patternFill>
      </fill>
    </dxf>
    <dxf>
      <fill>
        <patternFill>
          <bgColor rgb="FF00B050"/>
        </patternFill>
      </fill>
    </dxf>
    <dxf>
      <fill>
        <patternFill>
          <bgColor rgb="FF00B0F0"/>
        </patternFill>
      </fill>
    </dxf>
    <dxf>
      <alignment horizontal="center"/>
    </dxf>
    <dxf>
      <alignment horizontal="center"/>
    </dxf>
    <dxf>
      <alignment vertical="bottom"/>
    </dxf>
    <dxf>
      <alignment vertical="bottom"/>
    </dxf>
    <dxf>
      <font>
        <name val="Bodoni MT"/>
        <family val="1"/>
        <scheme val="none"/>
      </font>
    </dxf>
    <dxf>
      <font>
        <name val="Bodoni MT"/>
        <family val="1"/>
        <scheme val="none"/>
      </font>
    </dxf>
    <dxf>
      <font>
        <sz val="22"/>
      </font>
    </dxf>
    <dxf>
      <font>
        <sz val="22"/>
      </font>
    </dxf>
    <dxf>
      <alignment vertical="center"/>
    </dxf>
    <dxf>
      <alignment vertical="center"/>
    </dxf>
    <dxf>
      <border>
        <vertical style="medium">
          <color theme="0"/>
        </vertical>
      </border>
    </dxf>
    <dxf>
      <border>
        <vertical style="medium">
          <color theme="0"/>
        </vertical>
      </border>
    </dxf>
    <dxf>
      <alignment horizontal="center"/>
    </dxf>
    <dxf>
      <alignment horizontal="center"/>
    </dxf>
    <dxf>
      <font>
        <sz val="22"/>
      </font>
    </dxf>
    <dxf>
      <font>
        <b/>
      </font>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fill>
        <patternFill patternType="solid">
          <bgColor theme="5" tint="0.59999389629810485"/>
        </patternFill>
      </fill>
    </dxf>
    <dxf>
      <alignment horizontal="center"/>
    </dxf>
    <dxf>
      <alignment vertical="center"/>
    </dxf>
    <dxf>
      <font>
        <b/>
      </font>
    </dxf>
    <dxf>
      <font>
        <sz val="20"/>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font>
        <color rgb="FFC00000"/>
      </font>
    </dxf>
    <dxf>
      <font>
        <color rgb="FFC00000"/>
      </font>
    </dxf>
    <dxf>
      <font>
        <color rgb="FFC00000"/>
      </font>
    </dxf>
    <dxf>
      <font>
        <color rgb="FFC00000"/>
      </font>
    </dxf>
    <dxf>
      <font>
        <color rgb="FFC00000"/>
      </fon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ill>
        <patternFill patternType="solid">
          <bgColor rgb="FF004620"/>
        </patternFill>
      </fill>
    </dxf>
    <dxf>
      <font>
        <color theme="0"/>
      </font>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font>
        <color theme="1"/>
      </font>
    </dxf>
    <dxf>
      <border>
        <horizontal style="thin">
          <color theme="0"/>
        </horizontal>
      </border>
    </dxf>
    <dxf>
      <font>
        <sz val="14"/>
      </font>
    </dxf>
    <dxf>
      <font>
        <sz val="14"/>
      </font>
    </dxf>
    <dxf>
      <font>
        <sz val="14"/>
      </font>
    </dxf>
    <dxf>
      <font>
        <name val="Bodoni MT"/>
        <family val="1"/>
      </font>
    </dxf>
    <dxf>
      <font>
        <name val="Bodoni MT"/>
        <family val="1"/>
      </font>
    </dxf>
    <dxf>
      <font>
        <name val="Bodoni MT"/>
        <family val="1"/>
      </font>
    </dxf>
    <dxf>
      <font>
        <name val="Bodoni MT"/>
        <family val="1"/>
      </font>
    </dxf>
    <dxf>
      <font>
        <name val="Bodoni MT"/>
        <family val="1"/>
      </font>
    </dxf>
    <dxf>
      <font>
        <name val="Bodoni MT"/>
        <family val="1"/>
      </font>
    </dxf>
    <dxf>
      <font>
        <sz val="20"/>
      </font>
    </dxf>
    <dxf>
      <font>
        <sz val="18"/>
      </font>
    </dxf>
    <dxf>
      <font>
        <b/>
      </font>
    </dxf>
    <dxf>
      <font>
        <b/>
      </font>
    </dxf>
    <dxf>
      <font>
        <b/>
      </font>
    </dxf>
    <dxf>
      <font>
        <b/>
      </font>
    </dxf>
    <dxf>
      <font>
        <sz val="20"/>
      </font>
    </dxf>
    <dxf>
      <font>
        <sz val="20"/>
      </font>
    </dxf>
    <dxf>
      <alignment wrapText="1"/>
    </dxf>
    <dxf>
      <alignment wrapText="1"/>
    </dxf>
    <dxf>
      <alignment wrapText="1"/>
    </dxf>
    <dxf>
      <alignment wrapText="1"/>
    </dxf>
    <dxf>
      <alignment wrapText="1"/>
    </dxf>
    <dxf>
      <alignment wrapText="1"/>
    </dxf>
    <dxf>
      <alignment vertical="center"/>
    </dxf>
    <dxf>
      <alignment vertical="center"/>
    </dxf>
    <dxf>
      <alignment horizontal="center"/>
    </dxf>
    <dxf>
      <alignment horizontal="center"/>
    </dxf>
    <dxf>
      <font>
        <b/>
      </font>
    </dxf>
    <dxf>
      <font>
        <b/>
      </font>
    </dxf>
    <dxf>
      <font>
        <sz val="16"/>
      </font>
    </dxf>
    <dxf>
      <font>
        <sz val="16"/>
      </font>
    </dxf>
    <dxf>
      <font>
        <b/>
      </font>
    </dxf>
    <dxf>
      <font>
        <b/>
      </font>
    </dxf>
    <dxf>
      <font>
        <sz val="16"/>
      </font>
    </dxf>
    <dxf>
      <font>
        <sz val="16"/>
      </font>
    </dxf>
    <dxf>
      <alignment vertical="center"/>
    </dxf>
    <dxf>
      <alignment vertical="center"/>
    </dxf>
    <dxf>
      <border>
        <vertical style="thick">
          <color theme="0"/>
        </vertical>
      </border>
    </dxf>
    <dxf>
      <border>
        <vertical style="thick">
          <color theme="0"/>
        </vertical>
      </border>
    </dxf>
    <dxf>
      <border>
        <vertical style="thick">
          <color theme="0"/>
        </vertical>
      </border>
    </dxf>
    <dxf>
      <border>
        <vertical style="thick">
          <color theme="0"/>
        </vertical>
      </border>
    </dxf>
    <dxf>
      <border>
        <horizontal style="thin">
          <color theme="0"/>
        </horizontal>
      </border>
    </dxf>
    <dxf>
      <border>
        <horizontal style="thin">
          <color theme="0"/>
        </horizontal>
      </border>
    </dxf>
    <dxf>
      <alignment vertical="center"/>
    </dxf>
    <dxf>
      <alignment vertical="center"/>
    </dxf>
    <dxf>
      <alignment horizontal="center"/>
    </dxf>
    <dxf>
      <alignment horizontal="center"/>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6"/>
      </font>
    </dxf>
    <dxf>
      <font>
        <sz val="16"/>
      </font>
    </dxf>
    <dxf>
      <font>
        <sz val="16"/>
      </font>
    </dxf>
    <dxf>
      <font>
        <sz val="16"/>
      </font>
    </dxf>
    <dxf>
      <font>
        <sz val="22"/>
      </font>
    </dxf>
    <dxf>
      <border>
        <vertical style="thick">
          <color theme="0"/>
        </vertical>
      </border>
    </dxf>
    <dxf>
      <border>
        <vertical style="thick">
          <color theme="0"/>
        </vertical>
      </border>
    </dxf>
    <dxf>
      <alignment wrapText="1"/>
    </dxf>
    <dxf>
      <alignment wrapText="1"/>
    </dxf>
    <dxf>
      <alignment wrapText="1"/>
    </dxf>
    <dxf>
      <alignment wrapText="1"/>
    </dxf>
    <dxf>
      <alignment wrapText="1"/>
    </dxf>
    <dxf>
      <alignment wrapText="1"/>
    </dxf>
    <dxf>
      <alignment vertical="center"/>
    </dxf>
    <dxf>
      <alignment vertical="center"/>
    </dxf>
    <dxf>
      <alignment horizontal="center"/>
    </dxf>
    <dxf>
      <alignment horizontal="center"/>
    </dxf>
    <dxf>
      <font>
        <b/>
      </font>
    </dxf>
    <dxf>
      <font>
        <b/>
      </font>
    </dxf>
    <dxf>
      <font>
        <sz val="16"/>
      </font>
    </dxf>
    <dxf>
      <font>
        <sz val="16"/>
      </font>
    </dxf>
    <dxf>
      <font>
        <b/>
      </font>
    </dxf>
    <dxf>
      <font>
        <b/>
      </font>
    </dxf>
    <dxf>
      <font>
        <sz val="16"/>
      </font>
    </dxf>
    <dxf>
      <font>
        <sz val="16"/>
      </font>
    </dxf>
    <dxf>
      <alignment vertical="center"/>
    </dxf>
    <dxf>
      <alignment vertical="center"/>
    </dxf>
    <dxf>
      <border>
        <vertical style="thick">
          <color theme="0"/>
        </vertical>
      </border>
    </dxf>
    <dxf>
      <border>
        <vertical style="thick">
          <color theme="0"/>
        </vertical>
      </border>
    </dxf>
    <dxf>
      <border>
        <vertical style="thick">
          <color theme="0"/>
        </vertical>
      </border>
    </dxf>
    <dxf>
      <border>
        <vertical style="thick">
          <color theme="0"/>
        </vertical>
      </border>
    </dxf>
    <dxf>
      <border>
        <horizontal style="thin">
          <color theme="0"/>
        </horizontal>
      </border>
    </dxf>
    <dxf>
      <border>
        <horizontal style="thin">
          <color theme="0"/>
        </horizontal>
      </border>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6"/>
      </font>
    </dxf>
    <dxf>
      <font>
        <sz val="16"/>
      </font>
    </dxf>
    <dxf>
      <font>
        <sz val="16"/>
      </font>
    </dxf>
    <dxf>
      <font>
        <sz val="16"/>
      </font>
    </dxf>
    <dxf>
      <font>
        <sz val="22"/>
      </font>
    </dxf>
    <dxf>
      <border>
        <vertical style="thick">
          <color theme="0"/>
        </vertical>
      </border>
    </dxf>
    <dxf>
      <border>
        <vertical style="thick">
          <color theme="0"/>
        </vertical>
      </border>
    </dxf>
    <dxf>
      <border>
        <vertical style="thick">
          <color theme="0"/>
        </vertical>
      </border>
    </dxf>
    <dxf>
      <border>
        <vertical style="thick">
          <color theme="0"/>
        </vertical>
      </border>
    </dxf>
    <dxf>
      <alignment wrapText="1"/>
    </dxf>
    <dxf>
      <alignment horizontal="center"/>
    </dxf>
    <dxf>
      <alignment horizontal="center"/>
    </dxf>
    <dxf>
      <alignment vertical="center"/>
    </dxf>
    <dxf>
      <alignment vertical="center"/>
    </dxf>
    <dxf>
      <font>
        <b/>
      </font>
    </dxf>
    <dxf>
      <font>
        <b/>
      </font>
    </dxf>
    <dxf>
      <font>
        <sz val="14"/>
      </font>
    </dxf>
    <dxf>
      <font>
        <sz val="14"/>
      </font>
    </dxf>
    <dxf>
      <font>
        <sz val="16"/>
      </font>
    </dxf>
    <dxf>
      <font>
        <sz val="16"/>
      </font>
    </dxf>
    <dxf>
      <font>
        <b/>
      </font>
    </dxf>
    <dxf>
      <font>
        <b/>
      </font>
    </dxf>
    <dxf>
      <border>
        <horizontal style="thin">
          <color theme="8" tint="0.79998168889431442"/>
        </horizontal>
      </border>
    </dxf>
    <dxf>
      <border>
        <left/>
        <right/>
      </border>
    </dxf>
    <dxf>
      <border>
        <left/>
        <right/>
      </border>
    </dxf>
    <dxf>
      <border>
        <left/>
        <right/>
      </border>
    </dxf>
    <dxf>
      <border>
        <left/>
        <right/>
      </border>
    </dxf>
    <dxf>
      <border>
        <horizontal style="thin">
          <color theme="0"/>
        </horizontal>
      </border>
    </dxf>
    <dxf>
      <numFmt numFmtId="14" formatCode="0.00%"/>
    </dxf>
    <dxf>
      <numFmt numFmtId="165" formatCode="0.0%"/>
    </dxf>
    <dxf>
      <alignment horizontal="center"/>
    </dxf>
    <dxf>
      <alignment horizontal="center"/>
    </dxf>
    <dxf>
      <alignment vertical="bottom"/>
    </dxf>
    <dxf>
      <alignment vertical="bottom"/>
    </dxf>
    <dxf>
      <font>
        <color theme="0"/>
      </font>
    </dxf>
    <dxf>
      <font>
        <color theme="0"/>
      </font>
    </dxf>
    <dxf>
      <font>
        <sz val="12"/>
      </font>
    </dxf>
    <dxf>
      <font>
        <sz val="12"/>
      </font>
    </dxf>
    <dxf>
      <font>
        <b/>
      </font>
    </dxf>
    <dxf>
      <fill>
        <patternFill patternType="solid">
          <bgColor rgb="FFFFFF00"/>
        </patternFill>
      </fill>
    </dxf>
    <dxf>
      <fill>
        <patternFill patternType="solid">
          <bgColor rgb="FFFF01BC"/>
        </patternFill>
      </fill>
    </dxf>
    <dxf>
      <fill>
        <patternFill patternType="solid">
          <bgColor theme="2" tint="-0.249977111117893"/>
        </patternFill>
      </fill>
    </dxf>
    <dxf>
      <fill>
        <patternFill patternType="solid">
          <bgColor theme="9" tint="0.39997558519241921"/>
        </patternFill>
      </fill>
    </dxf>
    <dxf>
      <fill>
        <patternFill patternType="solid">
          <bgColor rgb="FF9954CC"/>
        </patternFill>
      </fill>
    </dxf>
    <dxf>
      <fill>
        <patternFill patternType="solid">
          <bgColor theme="5"/>
        </patternFill>
      </fill>
    </dxf>
    <dxf>
      <fill>
        <patternFill patternType="solid">
          <bgColor rgb="FFC00000"/>
        </patternFill>
      </fill>
    </dxf>
    <dxf>
      <fill>
        <patternFill patternType="solid">
          <bgColor rgb="FF00B050"/>
        </patternFill>
      </fill>
    </dxf>
    <dxf>
      <fill>
        <patternFill patternType="solid">
          <bgColor rgb="FF00B0F0"/>
        </patternFill>
      </fill>
    </dxf>
    <dxf>
      <border>
        <vertical style="thick">
          <color theme="0"/>
        </vertical>
      </border>
    </dxf>
    <dxf>
      <border>
        <vertical style="thick">
          <color theme="0"/>
        </vertical>
      </border>
    </dxf>
    <dxf>
      <border>
        <vertical style="thick">
          <color theme="0"/>
        </vertical>
      </border>
    </dxf>
    <dxf>
      <border>
        <vertical style="thick">
          <color theme="0"/>
        </vertical>
      </border>
    </dxf>
    <dxf>
      <alignment vertical="center"/>
    </dxf>
    <dxf>
      <alignment vertical="center"/>
    </dxf>
    <dxf>
      <font>
        <name val="Bodoni MT"/>
        <family val="1"/>
        <scheme val="none"/>
      </font>
    </dxf>
    <dxf>
      <font>
        <name val="Bodoni MT"/>
        <family val="1"/>
        <scheme val="none"/>
      </font>
    </dxf>
    <dxf>
      <font>
        <sz val="18"/>
      </font>
    </dxf>
    <dxf>
      <font>
        <name val="Bodoni MT"/>
        <family val="1"/>
        <scheme val="none"/>
      </font>
    </dxf>
    <dxf>
      <font>
        <name val="Bodoni MT"/>
        <family val="1"/>
        <scheme val="none"/>
      </font>
    </dxf>
    <dxf>
      <font>
        <sz val="14"/>
      </font>
    </dxf>
    <dxf>
      <font>
        <sz val="14"/>
      </font>
    </dxf>
    <dxf>
      <font>
        <name val="Bodoni MT"/>
        <family val="1"/>
        <scheme val="none"/>
      </font>
    </dxf>
    <dxf>
      <font>
        <name val="Bodoni MT"/>
        <family val="1"/>
        <scheme val="none"/>
      </font>
    </dxf>
    <dxf>
      <font>
        <sz val="16"/>
      </font>
    </dxf>
    <dxf>
      <font>
        <sz val="14"/>
      </font>
    </dxf>
    <dxf>
      <border>
        <vertical style="thick">
          <color theme="0"/>
        </vertical>
      </border>
    </dxf>
    <dxf>
      <border>
        <vertical style="thick">
          <color theme="0"/>
        </vertical>
      </border>
    </dxf>
    <dxf>
      <border>
        <vertical style="thick">
          <color theme="0"/>
        </vertical>
      </border>
    </dxf>
    <dxf>
      <border>
        <vertical style="thick">
          <color theme="0"/>
        </vertical>
      </border>
    </dxf>
    <dxf>
      <fill>
        <patternFill>
          <bgColor theme="7" tint="0.39997558519241921"/>
        </patternFill>
      </fill>
    </dxf>
    <dxf>
      <fill>
        <patternFill patternType="solid">
          <bgColor theme="5" tint="0.59999389629810485"/>
        </patternFill>
      </fill>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fill>
        <patternFill patternType="solid">
          <bgColor theme="0"/>
        </patternFill>
      </fill>
    </dxf>
    <dxf>
      <fill>
        <patternFill patternType="solid">
          <bgColor theme="0"/>
        </patternFill>
      </fill>
    </dxf>
    <dxf>
      <fill>
        <patternFill patternType="solid">
          <bgColor theme="0"/>
        </patternFill>
      </fill>
    </dxf>
    <dxf>
      <font>
        <b/>
      </font>
    </dxf>
    <dxf>
      <font>
        <b/>
      </font>
    </dxf>
    <dxf>
      <font>
        <b/>
      </font>
    </dxf>
    <dxf>
      <font>
        <sz val="16"/>
      </font>
    </dxf>
    <dxf>
      <font>
        <sz val="16"/>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ill>
        <patternFill patternType="solid">
          <bgColor rgb="FFFFFF00"/>
        </patternFill>
      </fill>
    </dxf>
    <dxf>
      <fill>
        <patternFill patternType="solid">
          <bgColor rgb="FFFF01BC"/>
        </patternFill>
      </fill>
    </dxf>
    <dxf>
      <fill>
        <patternFill patternType="solid">
          <bgColor theme="0" tint="-0.34998626667073579"/>
        </patternFill>
      </fill>
    </dxf>
    <dxf>
      <fill>
        <patternFill patternType="solid">
          <bgColor theme="9" tint="0.39997558519241921"/>
        </patternFill>
      </fill>
    </dxf>
    <dxf>
      <fill>
        <patternFill patternType="solid">
          <bgColor theme="9" tint="0.39997558519241921"/>
        </patternFill>
      </fill>
    </dxf>
    <dxf>
      <fill>
        <patternFill patternType="solid">
          <bgColor theme="5"/>
        </patternFill>
      </fill>
    </dxf>
    <dxf>
      <fill>
        <patternFill patternType="solid">
          <bgColor rgb="FFC00000"/>
        </patternFill>
      </fill>
    </dxf>
    <dxf>
      <fill>
        <patternFill patternType="solid">
          <bgColor rgb="FF00B050"/>
        </patternFill>
      </fill>
    </dxf>
    <dxf>
      <fill>
        <patternFill>
          <bgColor rgb="FF9954CC"/>
        </patternFill>
      </fill>
    </dxf>
    <dxf>
      <fill>
        <patternFill patternType="solid">
          <bgColor rgb="FF00B0F0"/>
        </patternFill>
      </fill>
    </dxf>
    <dxf>
      <font>
        <color theme="0"/>
      </font>
    </dxf>
    <dxf>
      <fill>
        <patternFill patternType="solid">
          <bgColor theme="0"/>
        </patternFill>
      </fill>
    </dxf>
    <dxf>
      <fill>
        <patternFill>
          <bgColor theme="1"/>
        </patternFill>
      </fill>
    </dxf>
    <dxf>
      <font>
        <b/>
      </font>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00"/>
        </patternFill>
      </fill>
    </dxf>
    <dxf>
      <fill>
        <patternFill>
          <bgColor rgb="FFFF01BC"/>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0" tint="-0.34998626667073579"/>
        </patternFill>
      </fill>
    </dxf>
    <dxf>
      <border>
        <right style="medium">
          <color indexed="64"/>
        </right>
        <top style="medium">
          <color indexed="64"/>
        </top>
        <bottom style="medium">
          <color indexed="64"/>
        </bottom>
      </border>
    </dxf>
    <dxf>
      <fill>
        <patternFill>
          <bgColor theme="9" tint="0.39997558519241921"/>
        </patternFill>
      </fill>
    </dxf>
    <dxf>
      <border>
        <right style="medium">
          <color indexed="64"/>
        </right>
        <top style="medium">
          <color indexed="64"/>
        </top>
        <bottom style="medium">
          <color indexed="64"/>
        </bottom>
      </border>
    </dxf>
    <dxf>
      <fill>
        <patternFill>
          <bgColor rgb="FF9954CC"/>
        </patternFill>
      </fill>
    </dxf>
    <dxf>
      <fill>
        <patternFill>
          <bgColor theme="5"/>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rgb="FFC00000"/>
        </patternFill>
      </fill>
    </dxf>
    <dxf>
      <fill>
        <patternFill>
          <bgColor rgb="FF00B050"/>
        </patternFill>
      </fill>
    </dxf>
    <dxf>
      <border>
        <right style="medium">
          <color indexed="64"/>
        </right>
        <top style="medium">
          <color indexed="64"/>
        </top>
        <bottom style="medium">
          <color indexed="64"/>
        </bottom>
      </border>
    </dxf>
    <dxf>
      <fill>
        <patternFill>
          <bgColor rgb="FF00B0F0"/>
        </patternFill>
      </fill>
    </dxf>
    <dxf>
      <border>
        <right style="medium">
          <color indexed="64"/>
        </right>
        <top style="medium">
          <color indexed="64"/>
        </top>
        <bottom style="medium">
          <color indexed="64"/>
        </bottom>
      </border>
    </dxf>
    <dxf>
      <fill>
        <patternFill patternType="solid">
          <bgColor theme="5" tint="0.59999389629810485"/>
        </patternFill>
      </fill>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4"/>
      </font>
    </dxf>
    <dxf>
      <font>
        <sz val="14"/>
      </font>
    </dxf>
    <dxf>
      <font>
        <sz val="14"/>
      </font>
    </dxf>
    <dxf>
      <font>
        <sz val="16"/>
      </font>
    </dxf>
    <dxf>
      <font>
        <sz val="18"/>
      </font>
    </dxf>
    <dxf>
      <font>
        <sz val="18"/>
      </font>
    </dxf>
    <dxf>
      <border>
        <horizontal style="thin">
          <color theme="0"/>
        </horizontal>
      </border>
    </dxf>
    <dxf>
      <font>
        <b/>
      </font>
    </dxf>
    <dxf>
      <alignment vertical="center"/>
    </dxf>
    <dxf>
      <alignment horizontal="center"/>
    </dxf>
    <dxf>
      <fill>
        <patternFill patternType="solid">
          <bgColor rgb="FFFFFF00"/>
        </patternFill>
      </fill>
    </dxf>
    <dxf>
      <fill>
        <patternFill patternType="solid">
          <bgColor rgb="FFFF01BC"/>
        </patternFill>
      </fill>
    </dxf>
    <dxf>
      <fill>
        <patternFill patternType="solid">
          <bgColor theme="2" tint="-0.249977111117893"/>
        </patternFill>
      </fill>
    </dxf>
    <dxf>
      <fill>
        <patternFill patternType="solid">
          <bgColor theme="9" tint="0.39997558519241921"/>
        </patternFill>
      </fill>
    </dxf>
    <dxf>
      <fill>
        <patternFill patternType="solid">
          <bgColor rgb="FF9954CC"/>
        </patternFill>
      </fill>
    </dxf>
    <dxf>
      <fill>
        <patternFill patternType="solid">
          <bgColor theme="5"/>
        </patternFill>
      </fill>
    </dxf>
    <dxf>
      <fill>
        <patternFill patternType="solid">
          <bgColor rgb="FFC00000"/>
        </patternFill>
      </fill>
    </dxf>
    <dxf>
      <fill>
        <patternFill patternType="solid">
          <bgColor rgb="FF00B050"/>
        </patternFill>
      </fill>
    </dxf>
    <dxf>
      <fill>
        <patternFill patternType="solid">
          <bgColor rgb="FF00B0F0"/>
        </patternFill>
      </fill>
    </dxf>
    <dxf>
      <font>
        <sz val="16"/>
      </font>
    </dxf>
    <dxf>
      <border>
        <vertical style="thick">
          <color theme="0"/>
        </vertical>
      </border>
    </dxf>
    <dxf>
      <border>
        <vertical style="thick">
          <color theme="0"/>
        </vertical>
      </border>
    </dxf>
    <dxf>
      <border>
        <vertical style="thick">
          <color theme="0"/>
        </vertical>
      </border>
    </dxf>
    <dxf>
      <fill>
        <patternFill>
          <bgColor theme="7" tint="0.39997558519241921"/>
        </patternFill>
      </fill>
    </dxf>
    <dxf>
      <fill>
        <patternFill patternType="solid">
          <bgColor theme="5" tint="0.59999389629810485"/>
        </patternFill>
      </fill>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font>
        <sz val="14"/>
      </font>
    </dxf>
    <dxf>
      <font>
        <sz val="14"/>
      </font>
    </dxf>
    <dxf>
      <font>
        <sz val="14"/>
      </font>
    </dxf>
    <dxf>
      <font>
        <name val="Bodoni MT"/>
        <family val="1"/>
      </font>
    </dxf>
    <dxf>
      <font>
        <name val="Bodoni MT"/>
        <family val="1"/>
      </font>
    </dxf>
    <dxf>
      <font>
        <name val="Bodoni MT"/>
        <family val="1"/>
      </font>
    </dxf>
    <dxf>
      <font>
        <name val="Bodoni MT"/>
        <family val="1"/>
      </font>
    </dxf>
    <dxf>
      <font>
        <name val="Bodoni MT"/>
        <family val="1"/>
      </font>
    </dxf>
    <dxf>
      <font>
        <name val="Bodoni MT"/>
        <family val="1"/>
      </font>
    </dxf>
    <dxf>
      <font>
        <sz val="20"/>
      </font>
    </dxf>
    <dxf>
      <font>
        <sz val="18"/>
      </font>
    </dxf>
    <dxf>
      <font>
        <b/>
      </font>
    </dxf>
    <dxf>
      <font>
        <b/>
      </font>
    </dxf>
    <dxf>
      <font>
        <b/>
      </font>
    </dxf>
    <dxf>
      <font>
        <b/>
      </font>
    </dxf>
    <dxf>
      <font>
        <sz val="20"/>
      </font>
    </dxf>
    <dxf>
      <font>
        <sz val="20"/>
      </font>
    </dxf>
    <dxf>
      <border>
        <horizontal style="thin">
          <color theme="0"/>
        </horizontal>
      </border>
    </dxf>
    <dxf>
      <font>
        <sz val="14"/>
      </font>
    </dxf>
    <dxf>
      <font>
        <sz val="14"/>
      </font>
    </dxf>
    <dxf>
      <font>
        <sz val="14"/>
      </font>
    </dxf>
    <dxf>
      <font>
        <name val="Bodoni MT"/>
        <family val="1"/>
      </font>
    </dxf>
    <dxf>
      <font>
        <name val="Bodoni MT"/>
        <family val="1"/>
      </font>
    </dxf>
    <dxf>
      <font>
        <name val="Bodoni MT"/>
        <family val="1"/>
      </font>
    </dxf>
    <dxf>
      <font>
        <name val="Bodoni MT"/>
        <family val="1"/>
      </font>
    </dxf>
    <dxf>
      <font>
        <name val="Bodoni MT"/>
        <family val="1"/>
      </font>
    </dxf>
    <dxf>
      <font>
        <name val="Bodoni MT"/>
        <family val="1"/>
      </font>
    </dxf>
    <dxf>
      <font>
        <sz val="20"/>
      </font>
    </dxf>
    <dxf>
      <font>
        <sz val="18"/>
      </font>
    </dxf>
    <dxf>
      <font>
        <b/>
      </font>
    </dxf>
    <dxf>
      <font>
        <b/>
      </font>
    </dxf>
    <dxf>
      <font>
        <b/>
      </font>
    </dxf>
    <dxf>
      <font>
        <b/>
      </font>
    </dxf>
    <dxf>
      <font>
        <sz val="20"/>
      </font>
    </dxf>
    <dxf>
      <font>
        <sz val="20"/>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4"/>
      </font>
    </dxf>
    <dxf>
      <font>
        <sz val="14"/>
      </font>
    </dxf>
    <dxf>
      <font>
        <sz val="14"/>
      </font>
    </dxf>
    <dxf>
      <font>
        <sz val="16"/>
      </font>
    </dxf>
    <dxf>
      <font>
        <sz val="18"/>
      </font>
    </dxf>
    <dxf>
      <font>
        <sz val="18"/>
      </font>
    </dxf>
    <dxf>
      <border>
        <horizontal style="thin">
          <color theme="0"/>
        </horizontal>
      </border>
    </dxf>
    <dxf>
      <font>
        <b/>
      </font>
    </dxf>
    <dxf>
      <alignment vertical="center"/>
    </dxf>
    <dxf>
      <alignment horizontal="center"/>
    </dxf>
    <dxf>
      <fill>
        <patternFill patternType="solid">
          <bgColor rgb="FFFFFF00"/>
        </patternFill>
      </fill>
    </dxf>
    <dxf>
      <fill>
        <patternFill patternType="solid">
          <bgColor rgb="FFFF01BC"/>
        </patternFill>
      </fill>
    </dxf>
    <dxf>
      <fill>
        <patternFill patternType="solid">
          <bgColor theme="2" tint="-0.249977111117893"/>
        </patternFill>
      </fill>
    </dxf>
    <dxf>
      <fill>
        <patternFill patternType="solid">
          <bgColor theme="9" tint="0.39997558519241921"/>
        </patternFill>
      </fill>
    </dxf>
    <dxf>
      <fill>
        <patternFill patternType="solid">
          <bgColor rgb="FF9954CC"/>
        </patternFill>
      </fill>
    </dxf>
    <dxf>
      <fill>
        <patternFill patternType="solid">
          <bgColor theme="5"/>
        </patternFill>
      </fill>
    </dxf>
    <dxf>
      <fill>
        <patternFill patternType="solid">
          <bgColor rgb="FFC00000"/>
        </patternFill>
      </fill>
    </dxf>
    <dxf>
      <fill>
        <patternFill patternType="solid">
          <bgColor rgb="FF00B050"/>
        </patternFill>
      </fill>
    </dxf>
    <dxf>
      <fill>
        <patternFill patternType="solid">
          <bgColor rgb="FF00B0F0"/>
        </patternFill>
      </fill>
    </dxf>
    <dxf>
      <font>
        <sz val="16"/>
      </font>
    </dxf>
    <dxf>
      <border>
        <vertical style="thick">
          <color theme="0"/>
        </vertical>
      </border>
    </dxf>
    <dxf>
      <border>
        <vertical style="thick">
          <color theme="0"/>
        </vertical>
      </border>
    </dxf>
    <dxf>
      <border>
        <vertical style="thick">
          <color theme="0"/>
        </vertical>
      </border>
    </dxf>
    <dxf>
      <fill>
        <patternFill>
          <bgColor theme="7" tint="0.39997558519241921"/>
        </patternFill>
      </fill>
    </dxf>
    <dxf>
      <font>
        <b/>
      </font>
    </dxf>
    <dxf>
      <fill>
        <patternFill patternType="solid">
          <bgColor theme="5" tint="0.59999389629810485"/>
        </patternFill>
      </fill>
    </dxf>
    <dxf>
      <border>
        <horizontal style="thin">
          <color theme="0"/>
        </horizontal>
      </border>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4"/>
      </font>
    </dxf>
    <dxf>
      <font>
        <sz val="14"/>
      </font>
    </dxf>
    <dxf>
      <font>
        <sz val="14"/>
      </font>
    </dxf>
    <dxf>
      <font>
        <sz val="14"/>
      </font>
    </dxf>
    <dxf>
      <font>
        <sz val="14"/>
      </font>
    </dxf>
    <dxf>
      <font>
        <b/>
      </font>
    </dxf>
    <dxf>
      <font>
        <b/>
      </font>
    </dxf>
    <dxf>
      <font>
        <sz val="22"/>
      </font>
    </dxf>
    <dxf>
      <font>
        <sz val="22"/>
      </font>
    </dxf>
    <dxf>
      <font>
        <b/>
      </font>
    </dxf>
    <dxf>
      <font>
        <b/>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6"/>
      </font>
    </dxf>
    <dxf>
      <font>
        <sz val="16"/>
      </font>
    </dxf>
    <dxf>
      <font>
        <sz val="16"/>
      </font>
    </dxf>
    <dxf>
      <font>
        <sz val="16"/>
      </font>
    </dxf>
    <dxf>
      <border>
        <horizontal style="thin">
          <color theme="0"/>
        </horizontal>
      </border>
    </dxf>
    <dxf>
      <border>
        <horizontal style="thin">
          <color theme="0"/>
        </horizontal>
      </border>
    </dxf>
    <dxf>
      <font>
        <b/>
      </font>
    </dxf>
    <dxf>
      <font>
        <b/>
      </font>
    </dxf>
    <dxf>
      <alignment vertical="center"/>
    </dxf>
    <dxf>
      <alignment vertical="center"/>
    </dxf>
    <dxf>
      <alignment horizontal="center"/>
    </dxf>
    <dxf>
      <alignment horizontal="center"/>
    </dxf>
    <dxf>
      <font>
        <sz val="18"/>
      </font>
    </dxf>
    <dxf>
      <font>
        <sz val="18"/>
      </font>
    </dxf>
    <dxf>
      <font>
        <sz val="18"/>
      </font>
    </dxf>
    <dxf>
      <font>
        <sz val="22"/>
      </font>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sz val="16"/>
      </font>
    </dxf>
    <dxf>
      <font>
        <b/>
      </font>
    </dxf>
    <dxf>
      <font>
        <name val="Bodoni MT"/>
        <family val="1"/>
        <scheme val="none"/>
      </font>
    </dxf>
    <dxf>
      <font>
        <sz val="16"/>
      </font>
    </dxf>
    <dxf>
      <font>
        <sz val="20"/>
      </font>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right/>
        <vertical/>
      </border>
    </dxf>
    <dxf>
      <border>
        <left/>
        <right/>
        <vertical/>
      </border>
    </dxf>
    <dxf>
      <border>
        <left/>
        <right/>
        <vertical/>
      </border>
    </dxf>
    <dxf>
      <border>
        <left/>
        <right/>
        <vertical/>
      </border>
    </dxf>
    <dxf>
      <border>
        <left/>
        <right/>
        <vertical/>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font>
        <sz val="18"/>
      </font>
    </dxf>
    <dxf>
      <font>
        <color theme="0"/>
      </font>
    </dxf>
    <dxf>
      <fill>
        <patternFill patternType="solid">
          <bgColor rgb="FFFF01BC"/>
        </patternFill>
      </fill>
    </dxf>
    <dxf>
      <font>
        <color theme="1"/>
      </font>
    </dxf>
    <dxf>
      <fill>
        <patternFill patternType="solid">
          <bgColor theme="0" tint="-0.34998626667073579"/>
        </patternFill>
      </fill>
    </dxf>
    <dxf>
      <fill>
        <patternFill patternType="solid">
          <bgColor theme="9" tint="0.39997558519241921"/>
        </patternFill>
      </fill>
    </dxf>
    <dxf>
      <fill>
        <patternFill patternType="solid">
          <bgColor rgb="FF9954CC"/>
        </patternFill>
      </fill>
    </dxf>
    <dxf>
      <fill>
        <patternFill patternType="solid">
          <bgColor theme="5"/>
        </patternFill>
      </fill>
    </dxf>
    <dxf>
      <fill>
        <patternFill patternType="solid">
          <bgColor rgb="FFC00000"/>
        </patternFill>
      </fill>
    </dxf>
    <dxf>
      <fill>
        <patternFill patternType="solid">
          <bgColor rgb="FF00B050"/>
        </patternFill>
      </fill>
    </dxf>
    <dxf>
      <fill>
        <patternFill patternType="solid">
          <bgColor rgb="FF00B0F0"/>
        </patternFill>
      </fill>
    </dxf>
    <dxf>
      <border>
        <top style="thick">
          <color theme="0"/>
        </top>
        <vertical style="thick">
          <color theme="0"/>
        </vertical>
      </border>
    </dxf>
    <dxf>
      <border>
        <top style="thick">
          <color theme="0"/>
        </top>
        <vertical style="thick">
          <color theme="0"/>
        </vertical>
      </border>
    </dxf>
    <dxf>
      <border>
        <vertical style="medium">
          <color theme="0"/>
        </vertical>
      </border>
    </dxf>
    <dxf>
      <border>
        <vertical style="medium">
          <color theme="0"/>
        </vertical>
      </border>
    </dxf>
    <dxf>
      <font>
        <sz val="20"/>
      </font>
    </dxf>
    <dxf>
      <font>
        <sz val="22"/>
      </font>
    </dxf>
    <dxf>
      <alignment wrapText="1"/>
    </dxf>
    <dxf>
      <alignment horizontal="center"/>
    </dxf>
    <dxf>
      <alignment vertical="center"/>
    </dxf>
    <dxf>
      <font>
        <b/>
      </fon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ont>
        <sz val="26"/>
      </font>
    </dxf>
    <dxf>
      <border>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fill>
        <patternFill>
          <bgColor rgb="FFFFFF00"/>
        </patternFill>
      </fill>
    </dxf>
    <dxf>
      <fill>
        <patternFill>
          <bgColor rgb="FFFF01BC"/>
        </patternFill>
      </fill>
    </dxf>
    <dxf>
      <fill>
        <patternFill>
          <bgColor theme="0" tint="-0.34998626667073579"/>
        </patternFill>
      </fill>
    </dxf>
    <dxf>
      <fill>
        <patternFill>
          <bgColor theme="9" tint="0.39997558519241921"/>
        </patternFill>
      </fill>
    </dxf>
    <dxf>
      <fill>
        <patternFill>
          <bgColor rgb="FF9954CC"/>
        </patternFill>
      </fill>
    </dxf>
    <dxf>
      <fill>
        <patternFill>
          <bgColor theme="5"/>
        </patternFill>
      </fill>
    </dxf>
    <dxf>
      <fill>
        <patternFill>
          <bgColor rgb="FFC00000"/>
        </patternFill>
      </fill>
    </dxf>
    <dxf>
      <fill>
        <patternFill>
          <bgColor rgb="FF00B050"/>
        </patternFill>
      </fill>
    </dxf>
    <dxf>
      <fill>
        <patternFill>
          <bgColor rgb="FF00B0F0"/>
        </patternFill>
      </fill>
    </dxf>
    <dxf>
      <alignment horizontal="center"/>
    </dxf>
    <dxf>
      <alignment horizontal="center"/>
    </dxf>
    <dxf>
      <alignment vertical="bottom"/>
    </dxf>
    <dxf>
      <alignment vertical="bottom"/>
    </dxf>
    <dxf>
      <font>
        <name val="Bodoni MT"/>
        <family val="1"/>
        <scheme val="none"/>
      </font>
    </dxf>
    <dxf>
      <font>
        <name val="Bodoni MT"/>
        <family val="1"/>
        <scheme val="none"/>
      </font>
    </dxf>
    <dxf>
      <font>
        <sz val="22"/>
      </font>
    </dxf>
    <dxf>
      <font>
        <sz val="22"/>
      </font>
    </dxf>
    <dxf>
      <alignment vertical="center"/>
    </dxf>
    <dxf>
      <alignment vertical="center"/>
    </dxf>
    <dxf>
      <border>
        <vertical style="medium">
          <color theme="0"/>
        </vertical>
      </border>
    </dxf>
    <dxf>
      <border>
        <vertical style="medium">
          <color theme="0"/>
        </vertical>
      </border>
    </dxf>
    <dxf>
      <alignment horizontal="center"/>
    </dxf>
    <dxf>
      <alignment horizontal="center"/>
    </dxf>
    <dxf>
      <font>
        <sz val="22"/>
      </font>
    </dxf>
    <dxf>
      <font>
        <b/>
      </font>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fill>
        <patternFill patternType="solid">
          <bgColor theme="5" tint="0.59999389629810485"/>
        </patternFill>
      </fill>
    </dxf>
    <dxf>
      <alignment horizontal="center"/>
    </dxf>
    <dxf>
      <alignment vertical="center"/>
    </dxf>
    <dxf>
      <font>
        <b/>
      </font>
    </dxf>
    <dxf>
      <font>
        <sz val="20"/>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font>
        <color rgb="FFC00000"/>
      </font>
    </dxf>
    <dxf>
      <font>
        <color rgb="FFC00000"/>
      </font>
    </dxf>
    <dxf>
      <font>
        <color rgb="FFC00000"/>
      </font>
    </dxf>
    <dxf>
      <font>
        <color rgb="FFC00000"/>
      </font>
    </dxf>
    <dxf>
      <font>
        <color rgb="FFC00000"/>
      </fon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ill>
        <patternFill patternType="solid">
          <bgColor rgb="FF004620"/>
        </patternFill>
      </fill>
    </dxf>
    <dxf>
      <font>
        <color theme="0"/>
      </font>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font>
        <color theme="1"/>
      </font>
    </dxf>
    <dxf>
      <border>
        <horizontal style="thin">
          <color theme="0"/>
        </horizontal>
      </border>
    </dxf>
    <dxf>
      <font>
        <sz val="14"/>
      </font>
    </dxf>
    <dxf>
      <font>
        <sz val="14"/>
      </font>
    </dxf>
    <dxf>
      <font>
        <sz val="14"/>
      </font>
    </dxf>
    <dxf>
      <font>
        <name val="Bodoni MT"/>
        <family val="1"/>
      </font>
    </dxf>
    <dxf>
      <font>
        <name val="Bodoni MT"/>
        <family val="1"/>
      </font>
    </dxf>
    <dxf>
      <font>
        <name val="Bodoni MT"/>
        <family val="1"/>
      </font>
    </dxf>
    <dxf>
      <font>
        <name val="Bodoni MT"/>
        <family val="1"/>
      </font>
    </dxf>
    <dxf>
      <font>
        <name val="Bodoni MT"/>
        <family val="1"/>
      </font>
    </dxf>
    <dxf>
      <font>
        <name val="Bodoni MT"/>
        <family val="1"/>
      </font>
    </dxf>
    <dxf>
      <font>
        <sz val="20"/>
      </font>
    </dxf>
    <dxf>
      <font>
        <sz val="18"/>
      </font>
    </dxf>
    <dxf>
      <font>
        <b/>
      </font>
    </dxf>
    <dxf>
      <font>
        <b/>
      </font>
    </dxf>
    <dxf>
      <font>
        <b/>
      </font>
    </dxf>
    <dxf>
      <font>
        <b/>
      </font>
    </dxf>
    <dxf>
      <font>
        <sz val="20"/>
      </font>
    </dxf>
    <dxf>
      <font>
        <sz val="20"/>
      </font>
    </dxf>
    <dxf>
      <alignment wrapText="1"/>
    </dxf>
    <dxf>
      <alignment wrapText="1"/>
    </dxf>
    <dxf>
      <alignment wrapText="1"/>
    </dxf>
    <dxf>
      <alignment wrapText="1"/>
    </dxf>
    <dxf>
      <alignment wrapText="1"/>
    </dxf>
    <dxf>
      <alignment wrapText="1"/>
    </dxf>
    <dxf>
      <alignment vertical="center"/>
    </dxf>
    <dxf>
      <alignment vertical="center"/>
    </dxf>
    <dxf>
      <alignment horizontal="center"/>
    </dxf>
    <dxf>
      <alignment horizontal="center"/>
    </dxf>
    <dxf>
      <font>
        <b/>
      </font>
    </dxf>
    <dxf>
      <font>
        <b/>
      </font>
    </dxf>
    <dxf>
      <font>
        <sz val="16"/>
      </font>
    </dxf>
    <dxf>
      <font>
        <sz val="16"/>
      </font>
    </dxf>
    <dxf>
      <font>
        <b/>
      </font>
    </dxf>
    <dxf>
      <font>
        <b/>
      </font>
    </dxf>
    <dxf>
      <font>
        <sz val="16"/>
      </font>
    </dxf>
    <dxf>
      <font>
        <sz val="16"/>
      </font>
    </dxf>
    <dxf>
      <alignment vertical="center"/>
    </dxf>
    <dxf>
      <alignment vertical="center"/>
    </dxf>
    <dxf>
      <border>
        <vertical style="thick">
          <color theme="0"/>
        </vertical>
      </border>
    </dxf>
    <dxf>
      <border>
        <vertical style="thick">
          <color theme="0"/>
        </vertical>
      </border>
    </dxf>
    <dxf>
      <border>
        <vertical style="thick">
          <color theme="0"/>
        </vertical>
      </border>
    </dxf>
    <dxf>
      <border>
        <vertical style="thick">
          <color theme="0"/>
        </vertical>
      </border>
    </dxf>
    <dxf>
      <border>
        <horizontal style="thin">
          <color theme="0"/>
        </horizontal>
      </border>
    </dxf>
    <dxf>
      <border>
        <horizontal style="thin">
          <color theme="0"/>
        </horizontal>
      </border>
    </dxf>
    <dxf>
      <alignment vertical="center"/>
    </dxf>
    <dxf>
      <alignment vertical="center"/>
    </dxf>
    <dxf>
      <alignment horizontal="center"/>
    </dxf>
    <dxf>
      <alignment horizontal="center"/>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6"/>
      </font>
    </dxf>
    <dxf>
      <font>
        <sz val="16"/>
      </font>
    </dxf>
    <dxf>
      <font>
        <sz val="16"/>
      </font>
    </dxf>
    <dxf>
      <font>
        <sz val="16"/>
      </font>
    </dxf>
    <dxf>
      <font>
        <sz val="22"/>
      </font>
    </dxf>
    <dxf>
      <border>
        <vertical style="thick">
          <color theme="0"/>
        </vertical>
      </border>
    </dxf>
    <dxf>
      <border>
        <vertical style="thick">
          <color theme="0"/>
        </vertical>
      </border>
    </dxf>
    <dxf>
      <alignment wrapText="1"/>
    </dxf>
    <dxf>
      <alignment wrapText="1"/>
    </dxf>
    <dxf>
      <alignment wrapText="1"/>
    </dxf>
    <dxf>
      <alignment wrapText="1"/>
    </dxf>
    <dxf>
      <alignment wrapText="1"/>
    </dxf>
    <dxf>
      <alignment wrapText="1"/>
    </dxf>
    <dxf>
      <alignment vertical="center"/>
    </dxf>
    <dxf>
      <alignment vertical="center"/>
    </dxf>
    <dxf>
      <alignment horizontal="center"/>
    </dxf>
    <dxf>
      <alignment horizontal="center"/>
    </dxf>
    <dxf>
      <font>
        <b/>
      </font>
    </dxf>
    <dxf>
      <font>
        <b/>
      </font>
    </dxf>
    <dxf>
      <font>
        <sz val="16"/>
      </font>
    </dxf>
    <dxf>
      <font>
        <sz val="16"/>
      </font>
    </dxf>
    <dxf>
      <font>
        <b/>
      </font>
    </dxf>
    <dxf>
      <font>
        <b/>
      </font>
    </dxf>
    <dxf>
      <font>
        <sz val="16"/>
      </font>
    </dxf>
    <dxf>
      <font>
        <sz val="16"/>
      </font>
    </dxf>
    <dxf>
      <alignment vertical="center"/>
    </dxf>
    <dxf>
      <alignment vertical="center"/>
    </dxf>
    <dxf>
      <border>
        <vertical style="thick">
          <color theme="0"/>
        </vertical>
      </border>
    </dxf>
    <dxf>
      <border>
        <vertical style="thick">
          <color theme="0"/>
        </vertical>
      </border>
    </dxf>
    <dxf>
      <border>
        <vertical style="thick">
          <color theme="0"/>
        </vertical>
      </border>
    </dxf>
    <dxf>
      <border>
        <vertical style="thick">
          <color theme="0"/>
        </vertical>
      </border>
    </dxf>
    <dxf>
      <border>
        <horizontal style="thin">
          <color theme="0"/>
        </horizontal>
      </border>
    </dxf>
    <dxf>
      <border>
        <horizontal style="thin">
          <color theme="0"/>
        </horizontal>
      </border>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6"/>
      </font>
    </dxf>
    <dxf>
      <font>
        <sz val="16"/>
      </font>
    </dxf>
    <dxf>
      <font>
        <sz val="16"/>
      </font>
    </dxf>
    <dxf>
      <font>
        <sz val="16"/>
      </font>
    </dxf>
    <dxf>
      <font>
        <sz val="22"/>
      </font>
    </dxf>
    <dxf>
      <border>
        <vertical style="thick">
          <color theme="0"/>
        </vertical>
      </border>
    </dxf>
    <dxf>
      <border>
        <vertical style="thick">
          <color theme="0"/>
        </vertical>
      </border>
    </dxf>
    <dxf>
      <border>
        <vertical style="thick">
          <color theme="0"/>
        </vertical>
      </border>
    </dxf>
    <dxf>
      <border>
        <vertical style="thick">
          <color theme="0"/>
        </vertical>
      </border>
    </dxf>
    <dxf>
      <alignment wrapText="1"/>
    </dxf>
    <dxf>
      <alignment horizontal="center"/>
    </dxf>
    <dxf>
      <alignment horizontal="center"/>
    </dxf>
    <dxf>
      <alignment vertical="center"/>
    </dxf>
    <dxf>
      <alignment vertical="center"/>
    </dxf>
    <dxf>
      <font>
        <b/>
      </font>
    </dxf>
    <dxf>
      <font>
        <b/>
      </font>
    </dxf>
    <dxf>
      <font>
        <sz val="14"/>
      </font>
    </dxf>
    <dxf>
      <font>
        <sz val="14"/>
      </font>
    </dxf>
    <dxf>
      <font>
        <sz val="16"/>
      </font>
    </dxf>
    <dxf>
      <font>
        <sz val="16"/>
      </font>
    </dxf>
    <dxf>
      <font>
        <b/>
      </font>
    </dxf>
    <dxf>
      <font>
        <b/>
      </font>
    </dxf>
    <dxf>
      <border>
        <horizontal style="thin">
          <color theme="8" tint="0.79998168889431442"/>
        </horizontal>
      </border>
    </dxf>
    <dxf>
      <border>
        <left/>
        <right/>
      </border>
    </dxf>
    <dxf>
      <border>
        <left/>
        <right/>
      </border>
    </dxf>
    <dxf>
      <border>
        <left/>
        <right/>
      </border>
    </dxf>
    <dxf>
      <border>
        <left/>
        <right/>
      </border>
    </dxf>
    <dxf>
      <border>
        <horizontal style="thin">
          <color theme="0"/>
        </horizontal>
      </border>
    </dxf>
    <dxf>
      <numFmt numFmtId="14" formatCode="0.00%"/>
    </dxf>
    <dxf>
      <numFmt numFmtId="165" formatCode="0.0%"/>
    </dxf>
    <dxf>
      <alignment horizontal="center"/>
    </dxf>
    <dxf>
      <alignment horizontal="center"/>
    </dxf>
    <dxf>
      <alignment vertical="bottom"/>
    </dxf>
    <dxf>
      <alignment vertical="bottom"/>
    </dxf>
    <dxf>
      <font>
        <color theme="0"/>
      </font>
    </dxf>
    <dxf>
      <font>
        <color theme="0"/>
      </font>
    </dxf>
    <dxf>
      <font>
        <sz val="12"/>
      </font>
    </dxf>
    <dxf>
      <font>
        <sz val="12"/>
      </font>
    </dxf>
    <dxf>
      <font>
        <b/>
      </font>
    </dxf>
    <dxf>
      <fill>
        <patternFill patternType="solid">
          <bgColor rgb="FFFFFF00"/>
        </patternFill>
      </fill>
    </dxf>
    <dxf>
      <fill>
        <patternFill patternType="solid">
          <bgColor rgb="FFFF01BC"/>
        </patternFill>
      </fill>
    </dxf>
    <dxf>
      <fill>
        <patternFill patternType="solid">
          <bgColor theme="2" tint="-0.249977111117893"/>
        </patternFill>
      </fill>
    </dxf>
    <dxf>
      <fill>
        <patternFill patternType="solid">
          <bgColor theme="9" tint="0.39997558519241921"/>
        </patternFill>
      </fill>
    </dxf>
    <dxf>
      <fill>
        <patternFill patternType="solid">
          <bgColor rgb="FF9954CC"/>
        </patternFill>
      </fill>
    </dxf>
    <dxf>
      <fill>
        <patternFill patternType="solid">
          <bgColor theme="5"/>
        </patternFill>
      </fill>
    </dxf>
    <dxf>
      <fill>
        <patternFill patternType="solid">
          <bgColor rgb="FFC00000"/>
        </patternFill>
      </fill>
    </dxf>
    <dxf>
      <fill>
        <patternFill patternType="solid">
          <bgColor rgb="FF00B050"/>
        </patternFill>
      </fill>
    </dxf>
    <dxf>
      <fill>
        <patternFill patternType="solid">
          <bgColor rgb="FF00B0F0"/>
        </patternFill>
      </fill>
    </dxf>
    <dxf>
      <border>
        <vertical style="thick">
          <color theme="0"/>
        </vertical>
      </border>
    </dxf>
    <dxf>
      <border>
        <vertical style="thick">
          <color theme="0"/>
        </vertical>
      </border>
    </dxf>
    <dxf>
      <border>
        <vertical style="thick">
          <color theme="0"/>
        </vertical>
      </border>
    </dxf>
    <dxf>
      <border>
        <vertical style="thick">
          <color theme="0"/>
        </vertical>
      </border>
    </dxf>
    <dxf>
      <alignment vertical="center"/>
    </dxf>
    <dxf>
      <alignment vertical="center"/>
    </dxf>
    <dxf>
      <font>
        <name val="Bodoni MT"/>
        <family val="1"/>
        <scheme val="none"/>
      </font>
    </dxf>
    <dxf>
      <font>
        <name val="Bodoni MT"/>
        <family val="1"/>
        <scheme val="none"/>
      </font>
    </dxf>
    <dxf>
      <font>
        <sz val="18"/>
      </font>
    </dxf>
    <dxf>
      <font>
        <name val="Bodoni MT"/>
        <family val="1"/>
        <scheme val="none"/>
      </font>
    </dxf>
    <dxf>
      <font>
        <name val="Bodoni MT"/>
        <family val="1"/>
        <scheme val="none"/>
      </font>
    </dxf>
    <dxf>
      <font>
        <sz val="14"/>
      </font>
    </dxf>
    <dxf>
      <font>
        <sz val="14"/>
      </font>
    </dxf>
    <dxf>
      <font>
        <name val="Bodoni MT"/>
        <family val="1"/>
        <scheme val="none"/>
      </font>
    </dxf>
    <dxf>
      <font>
        <name val="Bodoni MT"/>
        <family val="1"/>
        <scheme val="none"/>
      </font>
    </dxf>
    <dxf>
      <font>
        <sz val="16"/>
      </font>
    </dxf>
    <dxf>
      <font>
        <sz val="14"/>
      </font>
    </dxf>
    <dxf>
      <border>
        <vertical style="thick">
          <color theme="0"/>
        </vertical>
      </border>
    </dxf>
    <dxf>
      <border>
        <vertical style="thick">
          <color theme="0"/>
        </vertical>
      </border>
    </dxf>
    <dxf>
      <border>
        <vertical style="thick">
          <color theme="0"/>
        </vertical>
      </border>
    </dxf>
    <dxf>
      <border>
        <vertical style="thick">
          <color theme="0"/>
        </vertical>
      </border>
    </dxf>
    <dxf>
      <fill>
        <patternFill>
          <bgColor theme="7" tint="0.39997558519241921"/>
        </patternFill>
      </fill>
    </dxf>
    <dxf>
      <fill>
        <patternFill patternType="solid">
          <bgColor theme="5" tint="0.59999389629810485"/>
        </patternFill>
      </fill>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fill>
        <patternFill patternType="solid">
          <bgColor theme="0"/>
        </patternFill>
      </fill>
    </dxf>
    <dxf>
      <fill>
        <patternFill patternType="solid">
          <bgColor theme="0"/>
        </patternFill>
      </fill>
    </dxf>
    <dxf>
      <fill>
        <patternFill patternType="solid">
          <bgColor theme="0"/>
        </patternFill>
      </fill>
    </dxf>
    <dxf>
      <font>
        <b/>
      </font>
    </dxf>
    <dxf>
      <font>
        <b/>
      </font>
    </dxf>
    <dxf>
      <font>
        <b/>
      </font>
    </dxf>
    <dxf>
      <font>
        <sz val="16"/>
      </font>
    </dxf>
    <dxf>
      <font>
        <sz val="16"/>
      </font>
    </dxf>
    <dxf>
      <font>
        <sz val="16"/>
      </font>
    </dxf>
    <dxf>
      <alignment horizontal="center"/>
    </dxf>
    <dxf>
      <alignment horizontal="center"/>
    </dxf>
    <dxf>
      <alignment horizontal="center"/>
    </dxf>
    <dxf>
      <alignment vertical="center"/>
    </dxf>
    <dxf>
      <alignment vertical="center"/>
    </dxf>
    <dxf>
      <alignment vertical="center"/>
    </dxf>
    <dxf>
      <font>
        <b/>
      </font>
    </dxf>
    <dxf>
      <font>
        <b/>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ill>
        <patternFill patternType="solid">
          <bgColor rgb="FFFFFF00"/>
        </patternFill>
      </fill>
    </dxf>
    <dxf>
      <fill>
        <patternFill patternType="solid">
          <bgColor rgb="FFFF01BC"/>
        </patternFill>
      </fill>
    </dxf>
    <dxf>
      <fill>
        <patternFill patternType="solid">
          <bgColor theme="0" tint="-0.34998626667073579"/>
        </patternFill>
      </fill>
    </dxf>
    <dxf>
      <fill>
        <patternFill patternType="solid">
          <bgColor theme="9" tint="0.39997558519241921"/>
        </patternFill>
      </fill>
    </dxf>
    <dxf>
      <fill>
        <patternFill patternType="solid">
          <bgColor theme="9" tint="0.39997558519241921"/>
        </patternFill>
      </fill>
    </dxf>
    <dxf>
      <fill>
        <patternFill patternType="solid">
          <bgColor theme="5"/>
        </patternFill>
      </fill>
    </dxf>
    <dxf>
      <fill>
        <patternFill patternType="solid">
          <bgColor rgb="FFC00000"/>
        </patternFill>
      </fill>
    </dxf>
    <dxf>
      <fill>
        <patternFill patternType="solid">
          <bgColor rgb="FF00B050"/>
        </patternFill>
      </fill>
    </dxf>
    <dxf>
      <fill>
        <patternFill>
          <bgColor rgb="FF9954CC"/>
        </patternFill>
      </fill>
    </dxf>
    <dxf>
      <fill>
        <patternFill patternType="solid">
          <bgColor rgb="FF00B0F0"/>
        </patternFill>
      </fill>
    </dxf>
    <dxf>
      <font>
        <color theme="0"/>
      </font>
    </dxf>
    <dxf>
      <fill>
        <patternFill patternType="solid">
          <bgColor theme="0"/>
        </patternFill>
      </fill>
    </dxf>
    <dxf>
      <fill>
        <patternFill>
          <bgColor theme="1"/>
        </patternFill>
      </fill>
    </dxf>
    <dxf>
      <font>
        <b/>
      </font>
    </dxf>
    <dxf>
      <font>
        <sz val="2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FF00"/>
        </patternFill>
      </fill>
    </dxf>
    <dxf>
      <fill>
        <patternFill>
          <bgColor rgb="FFFF01BC"/>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0" tint="-0.34998626667073579"/>
        </patternFill>
      </fill>
    </dxf>
    <dxf>
      <border>
        <right style="medium">
          <color indexed="64"/>
        </right>
        <top style="medium">
          <color indexed="64"/>
        </top>
        <bottom style="medium">
          <color indexed="64"/>
        </bottom>
      </border>
    </dxf>
    <dxf>
      <fill>
        <patternFill>
          <bgColor theme="9" tint="0.39997558519241921"/>
        </patternFill>
      </fill>
    </dxf>
    <dxf>
      <border>
        <right style="medium">
          <color indexed="64"/>
        </right>
        <top style="medium">
          <color indexed="64"/>
        </top>
        <bottom style="medium">
          <color indexed="64"/>
        </bottom>
      </border>
    </dxf>
    <dxf>
      <fill>
        <patternFill>
          <bgColor rgb="FF9954CC"/>
        </patternFill>
      </fill>
    </dxf>
    <dxf>
      <fill>
        <patternFill>
          <bgColor theme="5"/>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rgb="FFC00000"/>
        </patternFill>
      </fill>
    </dxf>
    <dxf>
      <fill>
        <patternFill>
          <bgColor rgb="FF00B050"/>
        </patternFill>
      </fill>
    </dxf>
    <dxf>
      <border>
        <right style="medium">
          <color indexed="64"/>
        </right>
        <top style="medium">
          <color indexed="64"/>
        </top>
        <bottom style="medium">
          <color indexed="64"/>
        </bottom>
      </border>
    </dxf>
    <dxf>
      <fill>
        <patternFill>
          <bgColor rgb="FF00B0F0"/>
        </patternFill>
      </fill>
    </dxf>
    <dxf>
      <border>
        <right style="medium">
          <color indexed="64"/>
        </right>
        <top style="medium">
          <color indexed="64"/>
        </top>
        <bottom style="medium">
          <color indexed="64"/>
        </bottom>
      </border>
    </dxf>
    <dxf>
      <fill>
        <patternFill patternType="solid">
          <bgColor theme="5" tint="0.59999389629810485"/>
        </patternFill>
      </fill>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4"/>
      </font>
    </dxf>
    <dxf>
      <font>
        <sz val="14"/>
      </font>
    </dxf>
    <dxf>
      <font>
        <sz val="14"/>
      </font>
    </dxf>
    <dxf>
      <font>
        <sz val="16"/>
      </font>
    </dxf>
    <dxf>
      <font>
        <sz val="18"/>
      </font>
    </dxf>
    <dxf>
      <font>
        <sz val="18"/>
      </font>
    </dxf>
    <dxf>
      <border>
        <horizontal style="thin">
          <color theme="0"/>
        </horizontal>
      </border>
    </dxf>
    <dxf>
      <font>
        <b/>
      </font>
    </dxf>
    <dxf>
      <alignment vertical="center"/>
    </dxf>
    <dxf>
      <alignment horizontal="center"/>
    </dxf>
    <dxf>
      <fill>
        <patternFill patternType="solid">
          <bgColor rgb="FFFFFF00"/>
        </patternFill>
      </fill>
    </dxf>
    <dxf>
      <fill>
        <patternFill patternType="solid">
          <bgColor rgb="FFFF01BC"/>
        </patternFill>
      </fill>
    </dxf>
    <dxf>
      <fill>
        <patternFill patternType="solid">
          <bgColor theme="2" tint="-0.249977111117893"/>
        </patternFill>
      </fill>
    </dxf>
    <dxf>
      <fill>
        <patternFill patternType="solid">
          <bgColor theme="9" tint="0.39997558519241921"/>
        </patternFill>
      </fill>
    </dxf>
    <dxf>
      <fill>
        <patternFill patternType="solid">
          <bgColor rgb="FF9954CC"/>
        </patternFill>
      </fill>
    </dxf>
    <dxf>
      <fill>
        <patternFill patternType="solid">
          <bgColor theme="5"/>
        </patternFill>
      </fill>
    </dxf>
    <dxf>
      <fill>
        <patternFill patternType="solid">
          <bgColor rgb="FFC00000"/>
        </patternFill>
      </fill>
    </dxf>
    <dxf>
      <fill>
        <patternFill patternType="solid">
          <bgColor rgb="FF00B050"/>
        </patternFill>
      </fill>
    </dxf>
    <dxf>
      <fill>
        <patternFill patternType="solid">
          <bgColor rgb="FF00B0F0"/>
        </patternFill>
      </fill>
    </dxf>
    <dxf>
      <font>
        <sz val="16"/>
      </font>
    </dxf>
    <dxf>
      <border>
        <vertical style="thick">
          <color theme="0"/>
        </vertical>
      </border>
    </dxf>
    <dxf>
      <border>
        <vertical style="thick">
          <color theme="0"/>
        </vertical>
      </border>
    </dxf>
    <dxf>
      <border>
        <vertical style="thick">
          <color theme="0"/>
        </vertical>
      </border>
    </dxf>
    <dxf>
      <fill>
        <patternFill>
          <bgColor theme="7" tint="0.39997558519241921"/>
        </patternFill>
      </fill>
    </dxf>
    <dxf>
      <fill>
        <patternFill patternType="solid">
          <bgColor theme="5" tint="0.59999389629810485"/>
        </patternFill>
      </fill>
    </dxf>
    <dxf>
      <fill>
        <patternFill patternType="solid">
          <bgColor rgb="FFFFFF00"/>
        </patternFill>
      </fill>
    </dxf>
    <dxf>
      <fill>
        <patternFill patternType="solid">
          <bgColor rgb="FFA8CBEA"/>
        </patternFill>
      </fill>
    </dxf>
    <dxf>
      <fill>
        <patternFill patternType="solid">
          <bgColor rgb="FF92D050"/>
        </patternFill>
      </fill>
    </dxf>
    <dxf>
      <font>
        <b/>
      </font>
    </dxf>
    <dxf>
      <font>
        <b/>
      </font>
    </dxf>
    <dxf>
      <font>
        <b/>
      </font>
    </dxf>
    <dxf>
      <alignment vertical="center"/>
    </dxf>
    <dxf>
      <alignment vertical="center"/>
    </dxf>
    <dxf>
      <alignment vertical="center"/>
    </dxf>
    <dxf>
      <alignment horizontal="center"/>
    </dxf>
    <dxf>
      <alignment horizontal="center"/>
    </dxf>
    <dxf>
      <alignment horizontal="center"/>
    </dxf>
    <dxf>
      <font>
        <color theme="0"/>
      </font>
    </dxf>
    <dxf>
      <fill>
        <patternFill>
          <bgColor rgb="FFC00000"/>
        </patternFill>
      </fill>
    </dxf>
    <dxf>
      <fill>
        <patternFill patternType="solid">
          <bgColor rgb="FF9954CC"/>
        </patternFill>
      </fill>
    </dxf>
    <dxf>
      <fill>
        <patternFill patternType="solid">
          <bgColor theme="5" tint="0.39997558519241921"/>
        </patternFill>
      </fill>
    </dxf>
    <dxf>
      <font>
        <sz val="14"/>
      </font>
    </dxf>
    <dxf>
      <font>
        <sz val="14"/>
      </font>
    </dxf>
    <dxf>
      <font>
        <sz val="14"/>
      </font>
    </dxf>
    <dxf>
      <font>
        <sz val="14"/>
      </font>
    </dxf>
    <dxf>
      <font>
        <sz val="14"/>
      </font>
    </dxf>
    <dxf>
      <font>
        <sz val="14"/>
      </font>
    </dxf>
    <dxf>
      <font>
        <sz val="14"/>
      </font>
    </dxf>
    <dxf>
      <font>
        <sz val="14"/>
      </font>
    </dxf>
    <dxf>
      <font>
        <sz val="14"/>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border>
        <horizontal style="thin">
          <color theme="0"/>
        </horizontal>
      </border>
    </dxf>
    <dxf>
      <fill>
        <patternFill patternType="solid">
          <bgColor theme="5" tint="0.59999389629810485"/>
        </patternFill>
      </fill>
    </dxf>
    <dxf>
      <fill>
        <patternFill>
          <bgColor theme="7" tint="0.39997558519241921"/>
        </patternFill>
      </fill>
    </dxf>
    <dxf>
      <border>
        <vertical style="thick">
          <color theme="0"/>
        </vertical>
      </border>
    </dxf>
    <dxf>
      <border>
        <vertical style="thick">
          <color theme="0"/>
        </vertical>
      </border>
    </dxf>
    <dxf>
      <border>
        <vertical style="thick">
          <color theme="0"/>
        </vertical>
      </border>
    </dxf>
    <dxf>
      <font>
        <sz val="16"/>
      </font>
    </dxf>
    <dxf>
      <fill>
        <patternFill patternType="solid">
          <bgColor rgb="FF00B0F0"/>
        </patternFill>
      </fill>
    </dxf>
    <dxf>
      <fill>
        <patternFill patternType="solid">
          <bgColor rgb="FF00B050"/>
        </patternFill>
      </fill>
    </dxf>
    <dxf>
      <fill>
        <patternFill patternType="solid">
          <bgColor rgb="FFC00000"/>
        </patternFill>
      </fill>
    </dxf>
    <dxf>
      <fill>
        <patternFill patternType="solid">
          <bgColor theme="5"/>
        </patternFill>
      </fill>
    </dxf>
    <dxf>
      <fill>
        <patternFill patternType="solid">
          <bgColor rgb="FF9954CC"/>
        </patternFill>
      </fill>
    </dxf>
    <dxf>
      <fill>
        <patternFill patternType="solid">
          <bgColor theme="9" tint="0.39997558519241921"/>
        </patternFill>
      </fill>
    </dxf>
    <dxf>
      <fill>
        <patternFill patternType="solid">
          <bgColor theme="2" tint="-0.249977111117893"/>
        </patternFill>
      </fill>
    </dxf>
    <dxf>
      <fill>
        <patternFill patternType="solid">
          <bgColor rgb="FFFF01BC"/>
        </patternFill>
      </fill>
    </dxf>
    <dxf>
      <fill>
        <patternFill patternType="solid">
          <bgColor rgb="FFFFFF00"/>
        </patternFill>
      </fill>
    </dxf>
    <dxf>
      <alignment horizontal="center"/>
    </dxf>
    <dxf>
      <alignment vertical="center"/>
    </dxf>
    <dxf>
      <font>
        <b/>
      </font>
    </dxf>
    <dxf>
      <border>
        <horizontal style="thin">
          <color theme="0"/>
        </horizontal>
      </border>
    </dxf>
    <dxf>
      <font>
        <sz val="18"/>
      </font>
    </dxf>
    <dxf>
      <font>
        <sz val="18"/>
      </font>
    </dxf>
    <dxf>
      <font>
        <sz val="16"/>
      </font>
    </dxf>
    <dxf>
      <font>
        <sz val="14"/>
      </font>
    </dxf>
    <dxf>
      <font>
        <sz val="14"/>
      </font>
    </dxf>
    <dxf>
      <font>
        <sz val="14"/>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ill>
        <patternFill patternType="solid">
          <bgColor theme="5" tint="0.59999389629810485"/>
        </patternFill>
      </fill>
    </dxf>
    <dxf>
      <font>
        <b/>
      </font>
    </dxf>
    <dxf>
      <fill>
        <patternFill>
          <bgColor theme="7" tint="0.39997558519241921"/>
        </patternFill>
      </fill>
    </dxf>
    <dxf>
      <border>
        <vertical style="thick">
          <color theme="0"/>
        </vertical>
      </border>
    </dxf>
    <dxf>
      <border>
        <vertical style="thick">
          <color theme="0"/>
        </vertical>
      </border>
    </dxf>
    <dxf>
      <border>
        <vertical style="thick">
          <color theme="0"/>
        </vertical>
      </border>
    </dxf>
    <dxf>
      <font>
        <sz val="16"/>
      </font>
    </dxf>
    <dxf>
      <fill>
        <patternFill patternType="solid">
          <bgColor rgb="FF00B0F0"/>
        </patternFill>
      </fill>
    </dxf>
    <dxf>
      <fill>
        <patternFill patternType="solid">
          <bgColor rgb="FF00B050"/>
        </patternFill>
      </fill>
    </dxf>
    <dxf>
      <fill>
        <patternFill patternType="solid">
          <bgColor rgb="FFC00000"/>
        </patternFill>
      </fill>
    </dxf>
    <dxf>
      <fill>
        <patternFill patternType="solid">
          <bgColor theme="5"/>
        </patternFill>
      </fill>
    </dxf>
    <dxf>
      <fill>
        <patternFill patternType="solid">
          <bgColor rgb="FF9954CC"/>
        </patternFill>
      </fill>
    </dxf>
    <dxf>
      <fill>
        <patternFill patternType="solid">
          <bgColor theme="9" tint="0.39997558519241921"/>
        </patternFill>
      </fill>
    </dxf>
    <dxf>
      <fill>
        <patternFill patternType="solid">
          <bgColor theme="2" tint="-0.249977111117893"/>
        </patternFill>
      </fill>
    </dxf>
    <dxf>
      <fill>
        <patternFill patternType="solid">
          <bgColor rgb="FFFF01BC"/>
        </patternFill>
      </fill>
    </dxf>
    <dxf>
      <fill>
        <patternFill patternType="solid">
          <bgColor rgb="FFFFFF00"/>
        </patternFill>
      </fill>
    </dxf>
    <dxf>
      <alignment horizontal="center"/>
    </dxf>
    <dxf>
      <alignment vertical="center"/>
    </dxf>
    <dxf>
      <font>
        <b/>
      </font>
    </dxf>
    <dxf>
      <border>
        <horizontal style="thin">
          <color theme="0"/>
        </horizontal>
      </border>
    </dxf>
    <dxf>
      <font>
        <sz val="18"/>
      </font>
    </dxf>
    <dxf>
      <font>
        <sz val="18"/>
      </font>
    </dxf>
    <dxf>
      <font>
        <sz val="16"/>
      </font>
    </dxf>
    <dxf>
      <font>
        <sz val="14"/>
      </font>
    </dxf>
    <dxf>
      <font>
        <sz val="14"/>
      </font>
    </dxf>
    <dxf>
      <font>
        <sz val="14"/>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ill>
        <patternFill patternType="solid">
          <bgColor theme="5" tint="0.59999389629810485"/>
        </patternFill>
      </fill>
    </dxf>
    <dxf>
      <fill>
        <patternFill>
          <bgColor theme="7" tint="0.39997558519241921"/>
        </patternFill>
      </fill>
    </dxf>
    <dxf>
      <border>
        <vertical style="thick">
          <color theme="0"/>
        </vertical>
      </border>
    </dxf>
    <dxf>
      <border>
        <vertical style="thick">
          <color theme="0"/>
        </vertical>
      </border>
    </dxf>
    <dxf>
      <border>
        <vertical style="thick">
          <color theme="0"/>
        </vertical>
      </border>
    </dxf>
    <dxf>
      <border>
        <vertical style="thick">
          <color theme="0"/>
        </vertical>
      </border>
    </dxf>
    <dxf>
      <font>
        <sz val="14"/>
      </font>
    </dxf>
    <dxf>
      <font>
        <sz val="16"/>
      </font>
    </dxf>
    <dxf>
      <font>
        <name val="Bodoni MT"/>
        <family val="1"/>
        <scheme val="none"/>
      </font>
    </dxf>
    <dxf>
      <font>
        <name val="Bodoni MT"/>
        <family val="1"/>
        <scheme val="none"/>
      </font>
    </dxf>
    <dxf>
      <font>
        <sz val="14"/>
      </font>
    </dxf>
    <dxf>
      <font>
        <sz val="14"/>
      </font>
    </dxf>
    <dxf>
      <font>
        <name val="Bodoni MT"/>
        <family val="1"/>
        <scheme val="none"/>
      </font>
    </dxf>
    <dxf>
      <font>
        <name val="Bodoni MT"/>
        <family val="1"/>
        <scheme val="none"/>
      </font>
    </dxf>
    <dxf>
      <font>
        <sz val="18"/>
      </font>
    </dxf>
    <dxf>
      <font>
        <name val="Bodoni MT"/>
        <family val="1"/>
        <scheme val="none"/>
      </font>
    </dxf>
    <dxf>
      <font>
        <name val="Bodoni MT"/>
        <family val="1"/>
        <scheme val="none"/>
      </font>
    </dxf>
    <dxf>
      <alignment vertical="center"/>
    </dxf>
    <dxf>
      <alignment vertical="center"/>
    </dxf>
    <dxf>
      <border>
        <vertical style="thick">
          <color theme="0"/>
        </vertical>
      </border>
    </dxf>
    <dxf>
      <border>
        <vertical style="thick">
          <color theme="0"/>
        </vertical>
      </border>
    </dxf>
    <dxf>
      <border>
        <vertical style="thick">
          <color theme="0"/>
        </vertical>
      </border>
    </dxf>
    <dxf>
      <border>
        <vertical style="thick">
          <color theme="0"/>
        </vertical>
      </border>
    </dxf>
    <dxf>
      <fill>
        <patternFill patternType="solid">
          <bgColor rgb="FF00B0F0"/>
        </patternFill>
      </fill>
    </dxf>
    <dxf>
      <fill>
        <patternFill patternType="solid">
          <bgColor rgb="FF00B050"/>
        </patternFill>
      </fill>
    </dxf>
    <dxf>
      <fill>
        <patternFill patternType="solid">
          <bgColor rgb="FFC00000"/>
        </patternFill>
      </fill>
    </dxf>
    <dxf>
      <fill>
        <patternFill patternType="solid">
          <bgColor theme="5"/>
        </patternFill>
      </fill>
    </dxf>
    <dxf>
      <fill>
        <patternFill patternType="solid">
          <bgColor rgb="FF9954CC"/>
        </patternFill>
      </fill>
    </dxf>
    <dxf>
      <fill>
        <patternFill patternType="solid">
          <bgColor theme="9" tint="0.39997558519241921"/>
        </patternFill>
      </fill>
    </dxf>
    <dxf>
      <fill>
        <patternFill patternType="solid">
          <bgColor theme="2" tint="-0.249977111117893"/>
        </patternFill>
      </fill>
    </dxf>
    <dxf>
      <fill>
        <patternFill patternType="solid">
          <bgColor rgb="FFFF01BC"/>
        </patternFill>
      </fill>
    </dxf>
    <dxf>
      <fill>
        <patternFill patternType="solid">
          <bgColor rgb="FFFFFF00"/>
        </patternFill>
      </fill>
    </dxf>
    <dxf>
      <font>
        <b/>
      </font>
    </dxf>
    <dxf>
      <font>
        <sz val="12"/>
      </font>
    </dxf>
    <dxf>
      <font>
        <sz val="12"/>
      </font>
    </dxf>
    <dxf>
      <font>
        <color theme="0"/>
      </font>
    </dxf>
    <dxf>
      <font>
        <color theme="0"/>
      </font>
    </dxf>
    <dxf>
      <alignment vertical="bottom"/>
    </dxf>
    <dxf>
      <alignment vertical="bottom"/>
    </dxf>
    <dxf>
      <alignment horizontal="center"/>
    </dxf>
    <dxf>
      <alignment horizontal="center"/>
    </dxf>
    <dxf>
      <numFmt numFmtId="165" formatCode="0.0%"/>
    </dxf>
    <dxf>
      <numFmt numFmtId="14" formatCode="0.00%"/>
    </dxf>
    <dxf>
      <border>
        <horizontal style="thin">
          <color theme="0"/>
        </horizontal>
      </border>
    </dxf>
    <dxf>
      <border>
        <left/>
        <right/>
      </border>
    </dxf>
    <dxf>
      <border>
        <left/>
        <right/>
      </border>
    </dxf>
    <dxf>
      <border>
        <left/>
        <right/>
      </border>
    </dxf>
    <dxf>
      <border>
        <left/>
        <right/>
      </border>
    </dxf>
    <dxf>
      <border>
        <horizontal style="thin">
          <color theme="8" tint="0.79998168889431442"/>
        </horizontal>
      </border>
    </dxf>
    <dxf>
      <font>
        <b/>
      </font>
    </dxf>
    <dxf>
      <font>
        <b/>
      </font>
    </dxf>
    <dxf>
      <font>
        <sz val="16"/>
      </font>
    </dxf>
    <dxf>
      <font>
        <sz val="16"/>
      </font>
    </dxf>
    <dxf>
      <font>
        <sz val="14"/>
      </font>
    </dxf>
    <dxf>
      <font>
        <sz val="14"/>
      </font>
    </dxf>
    <dxf>
      <font>
        <b/>
      </font>
    </dxf>
    <dxf>
      <font>
        <b/>
      </font>
    </dxf>
    <dxf>
      <alignment vertical="center"/>
    </dxf>
    <dxf>
      <alignment vertical="center"/>
    </dxf>
    <dxf>
      <alignment horizontal="center"/>
    </dxf>
    <dxf>
      <alignment horizontal="center"/>
    </dxf>
    <dxf>
      <alignment wrapText="1"/>
    </dxf>
    <dxf>
      <border>
        <vertical style="thick">
          <color theme="0"/>
        </vertical>
      </border>
    </dxf>
    <dxf>
      <border>
        <vertical style="thick">
          <color theme="0"/>
        </vertical>
      </border>
    </dxf>
    <dxf>
      <font>
        <sz val="22"/>
      </font>
    </dxf>
    <dxf>
      <font>
        <sz val="16"/>
      </font>
    </dxf>
    <dxf>
      <font>
        <sz val="16"/>
      </font>
    </dxf>
    <dxf>
      <font>
        <sz val="16"/>
      </font>
    </dxf>
    <dxf>
      <font>
        <sz val="16"/>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horizontal="center"/>
    </dxf>
    <dxf>
      <alignment horizontal="center"/>
    </dxf>
    <dxf>
      <alignment vertical="center"/>
    </dxf>
    <dxf>
      <alignment vertical="center"/>
    </dxf>
    <dxf>
      <border>
        <horizontal style="thin">
          <color theme="0"/>
        </horizontal>
      </border>
    </dxf>
    <dxf>
      <border>
        <horizontal style="thin">
          <color theme="0"/>
        </horizontal>
      </border>
    </dxf>
    <dxf>
      <border>
        <vertical style="thick">
          <color theme="0"/>
        </vertical>
      </border>
    </dxf>
    <dxf>
      <border>
        <vertical style="thick">
          <color theme="0"/>
        </vertical>
      </border>
    </dxf>
    <dxf>
      <border>
        <vertical style="thick">
          <color theme="0"/>
        </vertical>
      </border>
    </dxf>
    <dxf>
      <border>
        <vertical style="thick">
          <color theme="0"/>
        </vertical>
      </border>
    </dxf>
    <dxf>
      <alignment vertical="center"/>
    </dxf>
    <dxf>
      <alignment vertical="center"/>
    </dxf>
    <dxf>
      <font>
        <sz val="16"/>
      </font>
    </dxf>
    <dxf>
      <font>
        <sz val="16"/>
      </font>
    </dxf>
    <dxf>
      <font>
        <b/>
      </font>
    </dxf>
    <dxf>
      <font>
        <b/>
      </font>
    </dxf>
    <dxf>
      <font>
        <sz val="16"/>
      </font>
    </dxf>
    <dxf>
      <font>
        <sz val="16"/>
      </font>
    </dxf>
    <dxf>
      <font>
        <b/>
      </font>
    </dxf>
    <dxf>
      <font>
        <b/>
      </font>
    </dxf>
    <dxf>
      <alignment horizontal="center"/>
    </dxf>
    <dxf>
      <alignment horizontal="center"/>
    </dxf>
    <dxf>
      <alignment vertical="center"/>
    </dxf>
    <dxf>
      <alignment vertical="center"/>
    </dxf>
    <dxf>
      <alignment wrapText="1"/>
    </dxf>
    <dxf>
      <alignment wrapText="1"/>
    </dxf>
    <dxf>
      <alignment wrapText="1"/>
    </dxf>
    <dxf>
      <alignment wrapText="1"/>
    </dxf>
    <dxf>
      <alignment wrapText="1"/>
    </dxf>
    <dxf>
      <alignment wrapText="1"/>
    </dxf>
    <dxf>
      <font>
        <sz val="22"/>
      </font>
    </dxf>
    <dxf>
      <font>
        <sz val="18"/>
      </font>
    </dxf>
    <dxf>
      <font>
        <sz val="18"/>
      </font>
    </dxf>
    <dxf>
      <font>
        <sz val="18"/>
      </font>
    </dxf>
    <dxf>
      <alignment horizontal="center"/>
    </dxf>
    <dxf>
      <alignment horizontal="center"/>
    </dxf>
    <dxf>
      <alignment vertical="center"/>
    </dxf>
    <dxf>
      <alignment vertical="center"/>
    </dxf>
    <dxf>
      <font>
        <b/>
      </font>
    </dxf>
    <dxf>
      <font>
        <b/>
      </font>
    </dxf>
    <dxf>
      <border>
        <horizontal style="thin">
          <color theme="0"/>
        </horizontal>
      </border>
    </dxf>
    <dxf>
      <border>
        <horizontal style="thin">
          <color theme="0"/>
        </horizontal>
      </border>
    </dxf>
    <dxf>
      <font>
        <sz val="16"/>
      </font>
    </dxf>
    <dxf>
      <font>
        <sz val="16"/>
      </font>
    </dxf>
    <dxf>
      <font>
        <sz val="16"/>
      </font>
    </dxf>
    <dxf>
      <font>
        <sz val="16"/>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border>
        <vertical style="thick">
          <color theme="0"/>
        </vertical>
      </border>
    </dxf>
    <dxf>
      <border>
        <vertical style="thick">
          <color theme="0"/>
        </vertical>
      </border>
    </dxf>
    <dxf>
      <border>
        <vertical style="thick">
          <color theme="0"/>
        </vertical>
      </border>
    </dxf>
    <dxf>
      <border>
        <vertical style="thick">
          <color theme="0"/>
        </vertical>
      </border>
    </dxf>
    <dxf>
      <font>
        <sz val="22"/>
      </font>
    </dxf>
    <dxf>
      <font>
        <sz val="16"/>
      </font>
    </dxf>
    <dxf>
      <font>
        <sz val="16"/>
      </font>
    </dxf>
    <dxf>
      <font>
        <sz val="16"/>
      </font>
    </dxf>
    <dxf>
      <font>
        <sz val="16"/>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border>
        <horizontal style="thin">
          <color theme="0"/>
        </horizontal>
      </border>
    </dxf>
    <dxf>
      <border>
        <horizontal style="thin">
          <color theme="0"/>
        </horizontal>
      </border>
    </dxf>
    <dxf>
      <border>
        <vertical style="thick">
          <color theme="0"/>
        </vertical>
      </border>
    </dxf>
    <dxf>
      <border>
        <vertical style="thick">
          <color theme="0"/>
        </vertical>
      </border>
    </dxf>
    <dxf>
      <border>
        <vertical style="thick">
          <color theme="0"/>
        </vertical>
      </border>
    </dxf>
    <dxf>
      <border>
        <vertical style="thick">
          <color theme="0"/>
        </vertical>
      </border>
    </dxf>
    <dxf>
      <alignment vertical="center"/>
    </dxf>
    <dxf>
      <alignment vertical="center"/>
    </dxf>
    <dxf>
      <font>
        <sz val="16"/>
      </font>
    </dxf>
    <dxf>
      <font>
        <sz val="16"/>
      </font>
    </dxf>
    <dxf>
      <font>
        <b/>
      </font>
    </dxf>
    <dxf>
      <font>
        <b/>
      </font>
    </dxf>
    <dxf>
      <font>
        <sz val="16"/>
      </font>
    </dxf>
    <dxf>
      <font>
        <sz val="16"/>
      </font>
    </dxf>
    <dxf>
      <font>
        <b/>
      </font>
    </dxf>
    <dxf>
      <font>
        <b/>
      </font>
    </dxf>
    <dxf>
      <alignment horizontal="center"/>
    </dxf>
    <dxf>
      <alignment horizontal="center"/>
    </dxf>
    <dxf>
      <alignment vertical="center"/>
    </dxf>
    <dxf>
      <alignment vertical="center"/>
    </dxf>
    <dxf>
      <alignment wrapText="1"/>
    </dxf>
    <dxf>
      <alignment wrapText="1"/>
    </dxf>
    <dxf>
      <alignment wrapText="1"/>
    </dxf>
    <dxf>
      <alignment wrapText="1"/>
    </dxf>
    <dxf>
      <alignment wrapText="1"/>
    </dxf>
    <dxf>
      <alignment wrapText="1"/>
    </dxf>
    <dxf>
      <numFmt numFmtId="166" formatCode="#,##0.0"/>
    </dxf>
    <dxf>
      <numFmt numFmtId="166" formatCode="#,##0.0"/>
    </dxf>
    <dxf>
      <font>
        <b/>
      </font>
    </dxf>
    <dxf>
      <font>
        <color theme="0"/>
      </font>
    </dxf>
    <dxf>
      <font>
        <sz val="14"/>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wrapText="1"/>
    </dxf>
    <dxf>
      <alignment wrapText="1"/>
    </dxf>
    <dxf>
      <alignment wrapText="1"/>
    </dxf>
    <dxf>
      <alignment wrapText="1"/>
    </dxf>
    <dxf>
      <alignment wrapText="1"/>
    </dxf>
    <dxf>
      <alignment wrapText="1"/>
    </dxf>
    <dxf>
      <font>
        <sz val="18"/>
      </font>
    </dxf>
    <dxf>
      <font>
        <sz val="18"/>
      </font>
    </dxf>
    <dxf>
      <font>
        <sz val="18"/>
      </font>
    </dxf>
    <dxf>
      <font>
        <sz val="18"/>
      </font>
    </dxf>
    <dxf>
      <font>
        <sz val="18"/>
      </font>
    </dxf>
    <dxf>
      <font>
        <sz val="18"/>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wrapText="1"/>
    </dxf>
    <dxf>
      <alignment wrapText="1"/>
    </dxf>
    <dxf>
      <font>
        <sz val="14"/>
      </font>
    </dxf>
    <dxf>
      <font>
        <sz val="14"/>
      </font>
    </dxf>
    <dxf>
      <font>
        <sz val="14"/>
      </font>
    </dxf>
    <dxf>
      <font>
        <sz val="14"/>
      </font>
    </dxf>
    <dxf>
      <font>
        <sz val="14"/>
      </font>
    </dxf>
    <dxf>
      <font>
        <sz val="14"/>
      </font>
    </dxf>
    <dxf>
      <font>
        <sz val="14"/>
      </font>
    </dxf>
    <dxf>
      <font>
        <sz val="14"/>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numFmt numFmtId="3" formatCode="#,##0"/>
    </dxf>
    <dxf>
      <numFmt numFmtId="3" formatCode="#,##0"/>
    </dxf>
    <dxf>
      <font>
        <b/>
      </font>
    </dxf>
    <dxf>
      <font>
        <sz val="16"/>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b/>
      </font>
    </dxf>
    <dxf>
      <font>
        <b/>
      </font>
    </dxf>
    <dxf>
      <font>
        <sz val="22"/>
      </font>
    </dxf>
    <dxf>
      <font>
        <sz val="22"/>
      </font>
    </dxf>
    <dxf>
      <font>
        <b/>
      </font>
    </dxf>
    <dxf>
      <font>
        <b/>
      </font>
    </dxf>
    <dxf>
      <font>
        <sz val="14"/>
      </font>
    </dxf>
    <dxf>
      <font>
        <sz val="14"/>
      </font>
    </dxf>
    <dxf>
      <font>
        <sz val="14"/>
      </font>
    </dxf>
    <dxf>
      <font>
        <sz val="14"/>
      </font>
    </dxf>
    <dxf>
      <font>
        <sz val="14"/>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border>
        <horizontal style="thin">
          <color theme="0"/>
        </horizontal>
      </border>
    </dxf>
    <dxf>
      <font>
        <sz val="20"/>
      </font>
    </dxf>
    <dxf>
      <font>
        <sz val="20"/>
      </font>
    </dxf>
    <dxf>
      <font>
        <b/>
      </font>
    </dxf>
    <dxf>
      <font>
        <b/>
      </font>
    </dxf>
    <dxf>
      <font>
        <b/>
      </font>
    </dxf>
    <dxf>
      <font>
        <b/>
      </font>
    </dxf>
    <dxf>
      <font>
        <sz val="18"/>
      </font>
    </dxf>
    <dxf>
      <font>
        <sz val="20"/>
      </font>
    </dxf>
    <dxf>
      <font>
        <name val="Bodoni MT"/>
        <family val="1"/>
      </font>
    </dxf>
    <dxf>
      <font>
        <name val="Bodoni MT"/>
        <family val="1"/>
      </font>
    </dxf>
    <dxf>
      <font>
        <name val="Bodoni MT"/>
        <family val="1"/>
      </font>
    </dxf>
    <dxf>
      <font>
        <name val="Bodoni MT"/>
        <family val="1"/>
      </font>
    </dxf>
    <dxf>
      <font>
        <name val="Bodoni MT"/>
        <family val="1"/>
      </font>
    </dxf>
    <dxf>
      <font>
        <name val="Bodoni MT"/>
        <family val="1"/>
      </font>
    </dxf>
    <dxf>
      <font>
        <sz val="14"/>
      </font>
    </dxf>
    <dxf>
      <font>
        <sz val="14"/>
      </font>
    </dxf>
    <dxf>
      <font>
        <sz val="14"/>
      </font>
    </dxf>
    <dxf>
      <border>
        <horizontal style="thin">
          <color theme="0"/>
        </horizontal>
      </border>
    </dxf>
    <dxf>
      <fill>
        <patternFill patternType="solid">
          <bgColor theme="5" tint="0.59999389629810485"/>
        </patternFill>
      </fill>
    </dxf>
    <dxf>
      <border>
        <right style="medium">
          <color indexed="64"/>
        </right>
        <top style="medium">
          <color indexed="64"/>
        </top>
        <bottom style="medium">
          <color indexed="64"/>
        </bottom>
      </border>
    </dxf>
    <dxf>
      <fill>
        <patternFill>
          <bgColor rgb="FF00B0F0"/>
        </patternFill>
      </fill>
    </dxf>
    <dxf>
      <border>
        <right style="medium">
          <color indexed="64"/>
        </right>
        <top style="medium">
          <color indexed="64"/>
        </top>
        <bottom style="medium">
          <color indexed="64"/>
        </bottom>
      </border>
    </dxf>
    <dxf>
      <fill>
        <patternFill>
          <bgColor rgb="FF00B050"/>
        </patternFill>
      </fill>
    </dxf>
    <dxf>
      <fill>
        <patternFill>
          <bgColor rgb="FFC00000"/>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theme="5"/>
        </patternFill>
      </fill>
    </dxf>
    <dxf>
      <fill>
        <patternFill>
          <bgColor rgb="FF9954CC"/>
        </patternFill>
      </fill>
    </dxf>
    <dxf>
      <border>
        <right style="medium">
          <color indexed="64"/>
        </right>
        <top style="medium">
          <color indexed="64"/>
        </top>
        <bottom style="medium">
          <color indexed="64"/>
        </bottom>
      </border>
    </dxf>
    <dxf>
      <fill>
        <patternFill>
          <bgColor theme="9" tint="0.39997558519241921"/>
        </patternFill>
      </fill>
    </dxf>
    <dxf>
      <border>
        <right style="medium">
          <color indexed="64"/>
        </right>
        <top style="medium">
          <color indexed="64"/>
        </top>
        <bottom style="medium">
          <color indexed="64"/>
        </bottom>
      </border>
    </dxf>
    <dxf>
      <fill>
        <patternFill>
          <bgColor theme="0" tint="-0.34998626667073579"/>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ill>
        <patternFill>
          <bgColor rgb="FFFF01BC"/>
        </patternFill>
      </fill>
    </dxf>
    <dxf>
      <fill>
        <patternFill>
          <bgColor rgb="FFFFFF0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20"/>
      </font>
    </dxf>
    <dxf>
      <font>
        <b/>
      </font>
    </dxf>
    <dxf>
      <fill>
        <patternFill>
          <bgColor theme="1"/>
        </patternFill>
      </fill>
    </dxf>
    <dxf>
      <fill>
        <patternFill patternType="solid">
          <bgColor theme="0"/>
        </patternFill>
      </fill>
    </dxf>
    <dxf>
      <font>
        <color theme="0"/>
      </font>
    </dxf>
    <dxf>
      <fill>
        <patternFill patternType="solid">
          <bgColor rgb="FF00B0F0"/>
        </patternFill>
      </fill>
    </dxf>
    <dxf>
      <fill>
        <patternFill>
          <bgColor rgb="FF9954CC"/>
        </patternFill>
      </fill>
    </dxf>
    <dxf>
      <fill>
        <patternFill patternType="solid">
          <bgColor rgb="FF00B050"/>
        </patternFill>
      </fill>
    </dxf>
    <dxf>
      <fill>
        <patternFill patternType="solid">
          <bgColor rgb="FFC00000"/>
        </patternFill>
      </fill>
    </dxf>
    <dxf>
      <fill>
        <patternFill patternType="solid">
          <bgColor theme="5"/>
        </patternFill>
      </fill>
    </dxf>
    <dxf>
      <fill>
        <patternFill patternType="solid">
          <bgColor theme="9" tint="0.39997558519241921"/>
        </patternFill>
      </fill>
    </dxf>
    <dxf>
      <fill>
        <patternFill patternType="solid">
          <bgColor theme="9" tint="0.39997558519241921"/>
        </patternFill>
      </fill>
    </dxf>
    <dxf>
      <fill>
        <patternFill patternType="solid">
          <bgColor theme="0" tint="-0.34998626667073579"/>
        </patternFill>
      </fill>
    </dxf>
    <dxf>
      <fill>
        <patternFill patternType="solid">
          <bgColor rgb="FFFF01BC"/>
        </patternFill>
      </fill>
    </dxf>
    <dxf>
      <fill>
        <patternFill patternType="solid">
          <bgColor rgb="FFFFFF00"/>
        </patternFill>
      </fill>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b/>
      </font>
    </dxf>
    <dxf>
      <font>
        <b/>
      </font>
    </dxf>
    <dxf>
      <alignment vertical="center"/>
    </dxf>
    <dxf>
      <alignment vertical="center"/>
    </dxf>
    <dxf>
      <alignment vertical="center"/>
    </dxf>
    <dxf>
      <alignment horizontal="center"/>
    </dxf>
    <dxf>
      <alignment horizontal="center"/>
    </dxf>
    <dxf>
      <alignment horizontal="center"/>
    </dxf>
    <dxf>
      <font>
        <sz val="16"/>
      </font>
    </dxf>
    <dxf>
      <font>
        <sz val="16"/>
      </font>
    </dxf>
    <dxf>
      <font>
        <sz val="16"/>
      </font>
    </dxf>
    <dxf>
      <font>
        <b/>
      </font>
    </dxf>
    <dxf>
      <font>
        <b/>
      </font>
    </dxf>
    <dxf>
      <font>
        <b/>
      </font>
    </dxf>
    <dxf>
      <fill>
        <patternFill patternType="solid">
          <bgColor theme="0"/>
        </patternFill>
      </fill>
    </dxf>
    <dxf>
      <fill>
        <patternFill patternType="solid">
          <bgColor theme="0"/>
        </patternFill>
      </fill>
    </dxf>
    <dxf>
      <fill>
        <patternFill patternType="solid">
          <bgColor theme="0"/>
        </patternFill>
      </fill>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font>
        <color theme="1"/>
      </font>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font>
        <color theme="0"/>
      </font>
    </dxf>
    <dxf>
      <fill>
        <patternFill patternType="solid">
          <bgColor rgb="FF00462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ont>
        <color rgb="FFC00000"/>
      </font>
    </dxf>
    <dxf>
      <font>
        <color rgb="FFC00000"/>
      </font>
    </dxf>
    <dxf>
      <font>
        <color rgb="FFC00000"/>
      </font>
    </dxf>
    <dxf>
      <font>
        <color rgb="FFC00000"/>
      </font>
    </dxf>
    <dxf>
      <font>
        <color rgb="FFC00000"/>
      </fon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sz val="20"/>
      </font>
    </dxf>
    <dxf>
      <font>
        <b/>
      </font>
    </dxf>
    <dxf>
      <alignment vertical="center"/>
    </dxf>
    <dxf>
      <alignment horizontal="center"/>
    </dxf>
    <dxf>
      <fill>
        <patternFill patternType="solid">
          <bgColor theme="5" tint="0.59999389629810485"/>
        </patternFill>
      </fill>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font>
        <b/>
      </font>
    </dxf>
    <dxf>
      <font>
        <sz val="22"/>
      </font>
    </dxf>
    <dxf>
      <alignment horizontal="center"/>
    </dxf>
    <dxf>
      <alignment horizontal="center"/>
    </dxf>
    <dxf>
      <border>
        <vertical style="medium">
          <color theme="0"/>
        </vertical>
      </border>
    </dxf>
    <dxf>
      <border>
        <vertical style="medium">
          <color theme="0"/>
        </vertical>
      </border>
    </dxf>
    <dxf>
      <alignment vertical="center"/>
    </dxf>
    <dxf>
      <alignment vertical="center"/>
    </dxf>
    <dxf>
      <font>
        <sz val="22"/>
      </font>
    </dxf>
    <dxf>
      <font>
        <sz val="22"/>
      </font>
    </dxf>
    <dxf>
      <font>
        <name val="Bodoni MT"/>
        <family val="1"/>
        <scheme val="none"/>
      </font>
    </dxf>
    <dxf>
      <font>
        <name val="Bodoni MT"/>
        <family val="1"/>
        <scheme val="none"/>
      </font>
    </dxf>
    <dxf>
      <alignment vertical="bottom"/>
    </dxf>
    <dxf>
      <alignment vertical="bottom"/>
    </dxf>
    <dxf>
      <alignment horizontal="center"/>
    </dxf>
    <dxf>
      <alignment horizontal="center"/>
    </dxf>
    <dxf>
      <fill>
        <patternFill>
          <bgColor rgb="FF00B0F0"/>
        </patternFill>
      </fill>
    </dxf>
    <dxf>
      <fill>
        <patternFill>
          <bgColor rgb="FF00B050"/>
        </patternFill>
      </fill>
    </dxf>
    <dxf>
      <fill>
        <patternFill>
          <bgColor rgb="FFC00000"/>
        </patternFill>
      </fill>
    </dxf>
    <dxf>
      <fill>
        <patternFill>
          <bgColor theme="5"/>
        </patternFill>
      </fill>
    </dxf>
    <dxf>
      <fill>
        <patternFill>
          <bgColor rgb="FF9954CC"/>
        </patternFill>
      </fill>
    </dxf>
    <dxf>
      <fill>
        <patternFill>
          <bgColor theme="9" tint="0.39997558519241921"/>
        </patternFill>
      </fill>
    </dxf>
    <dxf>
      <fill>
        <patternFill>
          <bgColor theme="0" tint="-0.34998626667073579"/>
        </patternFill>
      </fill>
    </dxf>
    <dxf>
      <fill>
        <patternFill>
          <bgColor rgb="FFFF01BC"/>
        </patternFill>
      </fill>
    </dxf>
    <dxf>
      <fill>
        <patternFill>
          <bgColor rgb="FFFFFF00"/>
        </patternFill>
      </fill>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bottom style="medium">
          <color indexed="64"/>
        </bottom>
      </border>
    </dxf>
    <dxf>
      <font>
        <sz val="26"/>
      </font>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ont>
        <b/>
      </font>
    </dxf>
    <dxf>
      <alignment vertical="center"/>
    </dxf>
    <dxf>
      <alignment horizontal="center"/>
    </dxf>
    <dxf>
      <alignment wrapText="1"/>
    </dxf>
    <dxf>
      <font>
        <sz val="22"/>
      </font>
    </dxf>
    <dxf>
      <font>
        <sz val="20"/>
      </font>
    </dxf>
    <dxf>
      <border>
        <vertical style="medium">
          <color theme="0"/>
        </vertical>
      </border>
    </dxf>
    <dxf>
      <border>
        <vertical style="medium">
          <color theme="0"/>
        </vertical>
      </border>
    </dxf>
    <dxf>
      <border>
        <top style="thick">
          <color theme="0"/>
        </top>
        <vertical style="thick">
          <color theme="0"/>
        </vertical>
      </border>
    </dxf>
    <dxf>
      <border>
        <top style="thick">
          <color theme="0"/>
        </top>
        <vertical style="thick">
          <color theme="0"/>
        </vertical>
      </border>
    </dxf>
    <dxf>
      <fill>
        <patternFill patternType="solid">
          <bgColor rgb="FF00B0F0"/>
        </patternFill>
      </fill>
    </dxf>
    <dxf>
      <fill>
        <patternFill patternType="solid">
          <bgColor rgb="FF00B050"/>
        </patternFill>
      </fill>
    </dxf>
    <dxf>
      <fill>
        <patternFill patternType="solid">
          <bgColor rgb="FFC00000"/>
        </patternFill>
      </fill>
    </dxf>
    <dxf>
      <fill>
        <patternFill patternType="solid">
          <bgColor theme="5"/>
        </patternFill>
      </fill>
    </dxf>
    <dxf>
      <fill>
        <patternFill patternType="solid">
          <bgColor rgb="FF9954CC"/>
        </patternFill>
      </fill>
    </dxf>
    <dxf>
      <fill>
        <patternFill patternType="solid">
          <bgColor theme="9" tint="0.39997558519241921"/>
        </patternFill>
      </fill>
    </dxf>
    <dxf>
      <fill>
        <patternFill patternType="solid">
          <bgColor theme="0" tint="-0.34998626667073579"/>
        </patternFill>
      </fill>
    </dxf>
    <dxf>
      <font>
        <color theme="1"/>
      </font>
    </dxf>
    <dxf>
      <fill>
        <patternFill patternType="solid">
          <bgColor rgb="FFFF01BC"/>
        </patternFill>
      </fill>
    </dxf>
    <dxf>
      <font>
        <color theme="0"/>
      </font>
    </dxf>
    <dxf>
      <font>
        <sz val="18"/>
      </font>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right/>
        <vertical/>
      </border>
    </dxf>
    <dxf>
      <border>
        <left/>
        <right/>
        <vertical/>
      </border>
    </dxf>
    <dxf>
      <border>
        <left/>
        <right/>
        <vertical/>
      </border>
    </dxf>
    <dxf>
      <border>
        <left/>
        <right/>
        <vertical/>
      </border>
    </dxf>
    <dxf>
      <border>
        <left/>
        <right/>
        <vertical/>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border>
        <horizontal style="thin">
          <color theme="0"/>
        </horizontal>
      </border>
    </dxf>
    <dxf>
      <font>
        <sz val="20"/>
      </font>
    </dxf>
    <dxf>
      <font>
        <sz val="16"/>
      </font>
    </dxf>
    <dxf>
      <font>
        <name val="Bodoni MT"/>
        <family val="1"/>
        <scheme val="none"/>
      </font>
    </dxf>
    <dxf>
      <font>
        <b/>
      </font>
    </dxf>
    <dxf>
      <font>
        <sz val="16"/>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ont>
        <b/>
      </font>
    </dxf>
    <dxf>
      <font>
        <sz val="14"/>
      </font>
    </dxf>
    <dxf>
      <font>
        <sz val="12"/>
      </font>
    </dxf>
    <dxf>
      <font>
        <sz val="12"/>
      </font>
    </dxf>
    <dxf>
      <font>
        <sz val="12"/>
      </font>
    </dxf>
    <dxf>
      <font>
        <sz val="12"/>
      </font>
    </dxf>
    <dxf>
      <font>
        <sz val="12"/>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horizontal="center"/>
    </dxf>
    <dxf>
      <alignment horizontal="center"/>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font>
        <b/>
      </font>
    </dxf>
    <dxf>
      <font>
        <sz val="14"/>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font>
        <sz val="14"/>
      </font>
    </dxf>
    <dxf>
      <font>
        <sz val="12"/>
      </font>
    </dxf>
    <dxf>
      <font>
        <b/>
      </font>
    </dxf>
    <dxf>
      <alignment vertical="center"/>
    </dxf>
    <dxf>
      <alignment vertical="center"/>
    </dxf>
    <dxf>
      <alignment horizontal="center"/>
    </dxf>
    <dxf>
      <alignment horizontal="center"/>
    </dxf>
    <dxf>
      <alignment wrapText="1"/>
    </dxf>
    <dxf>
      <alignment wrapText="1"/>
    </dxf>
    <dxf>
      <alignment wrapText="1"/>
    </dxf>
    <dxf>
      <alignment wrapText="1"/>
    </dxf>
    <dxf>
      <alignment wrapText="1"/>
    </dxf>
    <dxf>
      <alignment wrapText="1"/>
    </dxf>
    <dxf>
      <font>
        <sz val="12"/>
      </font>
    </dxf>
    <dxf>
      <font>
        <sz val="12"/>
      </font>
    </dxf>
    <dxf>
      <font>
        <sz val="12"/>
      </font>
    </dxf>
    <dxf>
      <font>
        <sz val="12"/>
      </font>
    </dxf>
    <dxf>
      <font>
        <sz val="12"/>
      </font>
    </dxf>
    <dxf>
      <font>
        <sz val="12"/>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2"/>
      </font>
    </dxf>
    <dxf>
      <font>
        <sz val="12"/>
      </font>
    </dxf>
    <dxf>
      <font>
        <sz val="12"/>
      </font>
    </dxf>
    <dxf>
      <font>
        <sz val="12"/>
      </font>
    </dxf>
    <dxf>
      <font>
        <sz val="12"/>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4"/>
      </font>
    </dxf>
    <dxf>
      <font>
        <sz val="14"/>
      </font>
    </dxf>
    <dxf>
      <font>
        <b/>
      </font>
    </dxf>
    <dxf>
      <font>
        <b/>
      </font>
    </dxf>
    <dxf>
      <alignment vertical="center"/>
    </dxf>
    <dxf>
      <alignment vertical="center"/>
    </dxf>
    <dxf>
      <alignment horizontal="center"/>
    </dxf>
    <dxf>
      <alignment horizontal="center"/>
    </dxf>
    <dxf>
      <font>
        <sz val="14"/>
      </font>
    </dxf>
    <dxf>
      <font>
        <b/>
      </font>
    </dxf>
    <dxf>
      <alignment wrapText="1"/>
    </dxf>
    <dxf>
      <alignment horizontal="center"/>
    </dxf>
    <dxf>
      <alignment vertical="center"/>
    </dxf>
    <dxf>
      <numFmt numFmtId="3" formatCode="#,##0"/>
    </dxf>
    <dxf>
      <numFmt numFmtId="3" formatCode="#,##0"/>
    </dxf>
    <dxf>
      <alignment horizontal="center"/>
    </dxf>
    <dxf>
      <alignment horizontal="center"/>
    </dxf>
    <dxf>
      <alignment horizontal="center"/>
    </dxf>
    <dxf>
      <alignment wrapText="1"/>
    </dxf>
    <dxf>
      <alignment wrapText="1"/>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font>
        <sz val="18"/>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2"/>
      </font>
    </dxf>
    <dxf>
      <font>
        <sz val="12"/>
      </font>
    </dxf>
    <dxf>
      <font>
        <b/>
      </font>
    </dxf>
    <dxf>
      <alignment vertical="center"/>
    </dxf>
    <dxf>
      <alignment wrapText="1"/>
    </dxf>
    <dxf>
      <font>
        <sz val="16"/>
      </font>
    </dxf>
    <dxf>
      <alignment horizontal="center"/>
    </dxf>
    <dxf>
      <alignment horizontal="center"/>
    </dxf>
    <dxf>
      <alignment horizontal="center"/>
    </dxf>
    <dxf>
      <alignment horizontal="center"/>
    </dxf>
    <dxf>
      <alignment horizontal="center"/>
    </dxf>
    <dxf>
      <alignment horizontal="center"/>
    </dxf>
    <dxf>
      <font>
        <sz val="12"/>
      </font>
    </dxf>
    <dxf>
      <font>
        <sz val="12"/>
      </font>
    </dxf>
    <dxf>
      <font>
        <sz val="12"/>
      </font>
    </dxf>
    <dxf>
      <font>
        <sz val="12"/>
      </font>
    </dxf>
    <dxf>
      <font>
        <sz val="12"/>
      </font>
    </dxf>
    <dxf>
      <font>
        <sz val="12"/>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horizontal="center"/>
    </dxf>
    <dxf>
      <alignment horizontal="center"/>
    </dxf>
    <dxf>
      <alignment vertical="center"/>
    </dxf>
    <dxf>
      <alignment vertical="center"/>
    </dxf>
    <dxf>
      <alignment wrapText="1"/>
    </dxf>
    <dxf>
      <alignment wrapText="1"/>
    </dxf>
    <dxf>
      <font>
        <sz val="18"/>
      </font>
    </dxf>
    <dxf>
      <font>
        <sz val="18"/>
      </font>
    </dxf>
    <dxf>
      <font>
        <b/>
      </font>
    </dxf>
    <dxf>
      <font>
        <b/>
      </font>
    </dxf>
    <dxf>
      <font>
        <sz val="12"/>
      </font>
    </dxf>
    <dxf>
      <font>
        <sz val="12"/>
      </font>
    </dxf>
    <dxf>
      <font>
        <b/>
      </font>
    </dxf>
    <dxf>
      <font>
        <b/>
      </font>
    </dxf>
    <dxf>
      <numFmt numFmtId="166" formatCode="#,##0.0"/>
    </dxf>
    <dxf>
      <numFmt numFmtId="166" formatCode="#,##0.0"/>
    </dxf>
    <dxf>
      <font>
        <b/>
      </font>
    </dxf>
    <dxf>
      <font>
        <sz val="16"/>
      </font>
    </dxf>
    <dxf>
      <alignment wrapText="1"/>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horizontal="center"/>
    </dxf>
    <dxf>
      <alignment horizontal="center"/>
    </dxf>
    <dxf>
      <alignment vertical="center"/>
    </dxf>
    <dxf>
      <alignment vertical="center"/>
    </dxf>
    <dxf>
      <font>
        <b/>
      </font>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wrapText="1"/>
    </dxf>
    <dxf>
      <font>
        <b/>
      </font>
    </dxf>
    <dxf>
      <font>
        <sz val="14"/>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b/>
      </font>
    </dxf>
    <dxf>
      <font>
        <b/>
      </font>
    </dxf>
    <dxf>
      <alignment horizontal="center"/>
    </dxf>
    <dxf>
      <alignment horizontal="center"/>
    </dxf>
    <dxf>
      <alignment wrapText="1"/>
    </dxf>
    <dxf>
      <alignment wrapText="1"/>
    </dxf>
    <dxf>
      <alignment vertical="center"/>
    </dxf>
    <dxf>
      <alignment vertical="center"/>
    </dxf>
    <dxf>
      <alignment vertical="center"/>
    </dxf>
    <dxf>
      <alignment vertical="center"/>
    </dxf>
    <dxf>
      <alignment vertical="center"/>
    </dxf>
    <dxf>
      <alignment vertical="center"/>
    </dxf>
    <dxf>
      <font>
        <b/>
      </font>
    </dxf>
    <dxf>
      <font>
        <b/>
      </font>
    </dxf>
    <dxf>
      <font>
        <b/>
      </font>
    </dxf>
    <dxf>
      <numFmt numFmtId="166" formatCode="#,##0.0"/>
    </dxf>
    <dxf>
      <numFmt numFmtId="166" formatCode="#,##0.0"/>
    </dxf>
    <dxf>
      <alignment wrapText="1"/>
    </dxf>
    <dxf>
      <alignment wrapText="1"/>
    </dxf>
    <dxf>
      <alignment horizontal="center"/>
    </dxf>
    <dxf>
      <alignment horizontal="center"/>
    </dxf>
    <dxf>
      <font>
        <b/>
      </font>
    </dxf>
    <dxf>
      <font>
        <sz val="18"/>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vertical="center"/>
    </dxf>
    <dxf>
      <alignment vertical="center"/>
    </dxf>
    <dxf>
      <alignment vertical="center"/>
    </dxf>
    <dxf>
      <alignment vertical="center"/>
    </dxf>
    <dxf>
      <alignment vertical="center"/>
    </dxf>
    <dxf>
      <alignment vertical="center"/>
    </dxf>
    <dxf>
      <font>
        <b/>
      </font>
    </dxf>
    <dxf>
      <font>
        <sz val="18"/>
      </font>
    </dxf>
    <dxf>
      <font>
        <sz val="12"/>
      </font>
    </dxf>
    <dxf>
      <font>
        <sz val="12"/>
      </font>
    </dxf>
    <dxf>
      <font>
        <sz val="12"/>
      </font>
    </dxf>
    <dxf>
      <font>
        <sz val="12"/>
      </font>
    </dxf>
    <dxf>
      <font>
        <sz val="12"/>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wrapText="1"/>
    </dxf>
    <dxf>
      <alignment wrapText="1"/>
    </dxf>
    <dxf>
      <alignment wrapText="1"/>
    </dxf>
    <dxf>
      <alignment wrapText="1"/>
    </dxf>
    <dxf>
      <alignment wrapText="1"/>
    </dxf>
    <dxf>
      <alignment wrapText="1"/>
    </dxf>
    <dxf>
      <border>
        <horizontal style="thin">
          <color theme="0"/>
        </horizontal>
      </border>
    </dxf>
    <dxf>
      <border>
        <horizontal style="thin">
          <color theme="0"/>
        </horizontal>
      </border>
    </dxf>
    <dxf>
      <font>
        <b/>
      </font>
    </dxf>
    <dxf>
      <font>
        <sz val="16"/>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numFmt numFmtId="165" formatCode="0.0%"/>
    </dxf>
    <dxf>
      <numFmt numFmtId="3" formatCode="#,##0"/>
    </dxf>
    <dxf>
      <font>
        <b/>
      </font>
    </dxf>
    <dxf>
      <font>
        <b/>
      </font>
    </dxf>
    <dxf>
      <alignment vertical="center"/>
    </dxf>
    <dxf>
      <alignment vertical="center"/>
    </dxf>
    <dxf>
      <alignment horizontal="center"/>
    </dxf>
    <dxf>
      <alignment horizontal="center"/>
    </dxf>
    <dxf>
      <alignment wrapText="1"/>
    </dxf>
    <dxf>
      <alignment wrapText="1"/>
    </dxf>
    <dxf>
      <numFmt numFmtId="166" formatCode="#,##0.0"/>
    </dxf>
    <dxf>
      <numFmt numFmtId="166" formatCode="#,##0.0"/>
    </dxf>
    <dxf>
      <alignment vertical="center"/>
    </dxf>
    <dxf>
      <alignment vertical="center"/>
    </dxf>
    <dxf>
      <alignment vertical="center"/>
    </dxf>
    <dxf>
      <alignment vertical="center"/>
    </dxf>
    <dxf>
      <alignment vertical="center"/>
    </dxf>
    <dxf>
      <font>
        <b/>
      </font>
    </dxf>
    <dxf>
      <font>
        <sz val="20"/>
      </font>
    </dxf>
    <dxf>
      <font>
        <sz val="12"/>
      </font>
    </dxf>
    <dxf>
      <font>
        <sz val="12"/>
      </font>
    </dxf>
    <dxf>
      <font>
        <sz val="12"/>
      </font>
    </dxf>
    <dxf>
      <font>
        <sz val="12"/>
      </font>
    </dxf>
    <dxf>
      <font>
        <sz val="12"/>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sz val="12"/>
      </font>
    </dxf>
    <dxf>
      <font>
        <sz val="12"/>
      </font>
    </dxf>
    <dxf>
      <font>
        <b/>
      </font>
    </dxf>
    <dxf>
      <font>
        <b/>
      </font>
    </dxf>
    <dxf>
      <alignment vertical="center"/>
    </dxf>
    <dxf>
      <alignment vertical="center"/>
    </dxf>
    <dxf>
      <alignment horizontal="center"/>
    </dxf>
    <dxf>
      <alignment horizontal="center"/>
    </dxf>
    <dxf>
      <alignment wrapText="1"/>
    </dxf>
    <dxf>
      <alignment wrapText="1"/>
    </dxf>
    <dxf>
      <numFmt numFmtId="166" formatCode="#,##0.0"/>
    </dxf>
    <dxf>
      <numFmt numFmtId="166" formatCode="#,##0.0"/>
    </dxf>
    <dxf>
      <alignment vertical="center"/>
    </dxf>
    <dxf>
      <alignment vertical="center"/>
    </dxf>
    <dxf>
      <alignment vertical="center"/>
    </dxf>
    <dxf>
      <alignment vertical="center"/>
    </dxf>
    <dxf>
      <alignment vertical="center"/>
    </dxf>
    <dxf>
      <font>
        <b/>
      </font>
    </dxf>
    <dxf>
      <font>
        <sz val="18"/>
      </font>
    </dxf>
    <dxf>
      <font>
        <sz val="18"/>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b/>
      </font>
    </dxf>
    <dxf>
      <font>
        <sz val="20"/>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horizontal="center"/>
    </dxf>
    <dxf>
      <alignment horizontal="center"/>
    </dxf>
    <dxf>
      <alignment vertical="center"/>
    </dxf>
    <dxf>
      <alignment vertical="center"/>
    </dxf>
    <dxf>
      <alignment wrapText="1"/>
    </dxf>
    <dxf>
      <alignment wrapText="1"/>
    </dxf>
    <dxf>
      <alignment wrapText="1"/>
    </dxf>
    <dxf>
      <alignment wrapText="1"/>
    </dxf>
    <dxf>
      <alignment wrapText="1"/>
    </dxf>
    <dxf>
      <alignment wrapText="1"/>
    </dxf>
    <dxf>
      <numFmt numFmtId="166" formatCode="#,##0.0"/>
    </dxf>
    <dxf>
      <numFmt numFmtId="166" formatCode="#,##0.0"/>
    </dxf>
    <dxf>
      <font>
        <sz val="12"/>
      </font>
    </dxf>
    <dxf>
      <font>
        <sz val="12"/>
      </font>
    </dxf>
    <dxf>
      <font>
        <b/>
      </font>
    </dxf>
    <dxf>
      <font>
        <b/>
      </font>
    </dxf>
    <dxf>
      <font>
        <b/>
      </font>
    </dxf>
    <dxf>
      <font>
        <sz val="18"/>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font>
        <name val="Bodoni MT"/>
        <family val="1"/>
        <scheme val="none"/>
      </font>
    </dxf>
    <dxf>
      <alignment vertical="center"/>
    </dxf>
    <dxf>
      <alignment vertical="center"/>
    </dxf>
    <dxf>
      <alignment horizontal="center"/>
    </dxf>
    <dxf>
      <alignment horizontal="center"/>
    </dxf>
    <dxf>
      <alignment wrapText="1"/>
    </dxf>
    <dxf>
      <alignment wrapText="1"/>
    </dxf>
    <dxf>
      <font>
        <b/>
        <i val="0"/>
        <color rgb="FFC00000"/>
      </font>
    </dxf>
    <dxf>
      <font>
        <color rgb="FFC00000"/>
      </font>
    </dxf>
    <dxf>
      <font>
        <color rgb="FF00B050"/>
      </font>
    </dxf>
    <dxf>
      <font>
        <b/>
        <i val="0"/>
        <color rgb="FFC00000"/>
      </font>
    </dxf>
    <dxf>
      <font>
        <color rgb="FFC00000"/>
      </font>
    </dxf>
    <dxf>
      <font>
        <color rgb="FF00B050"/>
      </font>
    </dxf>
    <dxf>
      <font>
        <b/>
        <i val="0"/>
        <color rgb="FFC00000"/>
      </font>
    </dxf>
    <dxf>
      <font>
        <color rgb="FFC00000"/>
      </font>
    </dxf>
    <dxf>
      <font>
        <color rgb="FF00B050"/>
      </font>
    </dxf>
    <dxf>
      <font>
        <b/>
        <i val="0"/>
        <color rgb="FFC00000"/>
      </font>
    </dxf>
    <dxf>
      <font>
        <color rgb="FFC00000"/>
      </font>
    </dxf>
    <dxf>
      <font>
        <color rgb="FF00B050"/>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9" formatCode="[$-13809]dd/mm/yyyy;@"/>
      <fill>
        <patternFill patternType="none">
          <fgColor indexed="64"/>
          <bgColor auto="1"/>
        </patternFill>
      </fill>
      <alignment horizontal="left" vertical="bottom" textRotation="0" indent="0" justifyLastLine="0" shrinkToFit="0" readingOrder="0"/>
    </dxf>
    <dxf>
      <fill>
        <patternFill patternType="none">
          <fgColor indexed="64"/>
          <bgColor auto="1"/>
        </patternFill>
      </fill>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4"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4"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4"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7" formatCode="&quot;&quot;#.##0&quot; &quot;;&quot; (&quot;#.##0&quot;)&quot;;&quot;-&quot;#&quot;&quot;;&quot;&quot;@&quot;&quo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5"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Bodoni MT"/>
        <family val="1"/>
        <scheme val="none"/>
      </font>
      <numFmt numFmtId="166" formatCode="#,##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Bodoni MT"/>
        <family val="1"/>
        <scheme val="none"/>
      </font>
      <numFmt numFmtId="166" formatCode="#,##0.0"/>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Bodoni MT"/>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Bodoni MT"/>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8"/>
        <color theme="1"/>
        <name val="Bodoni MT"/>
        <family val="1"/>
        <scheme val="none"/>
      </font>
      <numFmt numFmtId="19" formatCode="dd/mm/yyyy"/>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Bodoni MT"/>
        <family val="1"/>
        <scheme val="none"/>
      </font>
      <alignment horizontal="general" vertical="center" textRotation="0" wrapText="1" indent="0" justifyLastLine="0" shrinkToFit="0" readingOrder="0"/>
    </dxf>
    <dxf>
      <border>
        <bottom style="thin">
          <color indexed="64"/>
        </bottom>
      </border>
    </dxf>
    <dxf>
      <font>
        <strike val="0"/>
        <outline val="0"/>
        <shadow val="0"/>
        <u val="none"/>
        <vertAlign val="baseline"/>
        <sz val="14"/>
        <color theme="1"/>
        <name val="Bodoni MT"/>
        <family val="1"/>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6"/>
        <color theme="1"/>
        <name val="Bodoni MT"/>
        <family val="1"/>
        <scheme val="none"/>
      </font>
      <fill>
        <patternFill patternType="none">
          <fgColor indexed="64"/>
          <bgColor auto="1"/>
        </patternFill>
      </fill>
    </dxf>
    <dxf>
      <font>
        <strike val="0"/>
        <outline val="0"/>
        <shadow val="0"/>
        <u val="none"/>
        <vertAlign val="baseline"/>
        <sz val="16"/>
        <color theme="1"/>
        <name val="Bodoni MT"/>
        <family val="1"/>
        <scheme val="none"/>
      </font>
      <numFmt numFmtId="168" formatCode="_-* #,##0.0_-;\-* #,##0.0_-;_-* &quot;-&quot;_-;_-@_-"/>
      <fill>
        <patternFill patternType="none">
          <fgColor indexed="64"/>
          <bgColor auto="1"/>
        </patternFill>
      </fill>
    </dxf>
    <dxf>
      <font>
        <strike val="0"/>
        <outline val="0"/>
        <shadow val="0"/>
        <u val="none"/>
        <vertAlign val="baseline"/>
        <sz val="16"/>
        <color theme="1"/>
        <name val="Bodoni MT"/>
        <family val="1"/>
        <scheme val="none"/>
      </font>
      <fill>
        <patternFill patternType="none">
          <fgColor indexed="64"/>
          <bgColor auto="1"/>
        </patternFill>
      </fill>
    </dxf>
    <dxf>
      <font>
        <strike val="0"/>
        <outline val="0"/>
        <shadow val="0"/>
        <u val="none"/>
        <vertAlign val="baseline"/>
        <sz val="16"/>
        <color theme="1"/>
        <name val="Bodoni MT"/>
        <family val="1"/>
        <scheme val="none"/>
      </font>
      <numFmt numFmtId="168" formatCode="_-* #,##0.0_-;\-* #,##0.0_-;_-* &quot;-&quot;_-;_-@_-"/>
      <fill>
        <patternFill patternType="none">
          <fgColor indexed="64"/>
          <bgColor auto="1"/>
        </patternFill>
      </fill>
    </dxf>
    <dxf>
      <font>
        <b/>
        <strike val="0"/>
        <outline val="0"/>
        <shadow val="0"/>
        <u val="none"/>
        <vertAlign val="baseline"/>
        <sz val="18"/>
        <color theme="1"/>
        <name val="Bodoni MT"/>
        <family val="1"/>
        <scheme val="none"/>
      </font>
      <fill>
        <patternFill patternType="none">
          <fgColor indexed="64"/>
          <bgColor auto="1"/>
        </patternFill>
      </fill>
      <alignment horizontal="right" textRotation="0" indent="0" justifyLastLine="0" shrinkToFit="0" readingOrder="0"/>
    </dxf>
    <dxf>
      <font>
        <strike val="0"/>
        <outline val="0"/>
        <shadow val="0"/>
        <u val="none"/>
        <vertAlign val="baseline"/>
        <sz val="16"/>
        <color theme="1"/>
        <name val="Bodoni MT"/>
        <family val="1"/>
        <scheme val="none"/>
      </font>
      <fill>
        <patternFill patternType="none">
          <fgColor indexed="64"/>
          <bgColor auto="1"/>
        </patternFill>
      </fill>
    </dxf>
    <dxf>
      <font>
        <strike val="0"/>
        <outline val="0"/>
        <shadow val="0"/>
        <u val="none"/>
        <vertAlign val="baseline"/>
        <sz val="16"/>
        <color theme="1"/>
        <name val="Bodoni MT"/>
        <family val="1"/>
        <scheme val="none"/>
      </font>
      <fill>
        <patternFill patternType="none">
          <fgColor indexed="64"/>
          <bgColor auto="1"/>
        </patternFill>
      </fill>
    </dxf>
    <dxf>
      <font>
        <strike val="0"/>
        <outline val="0"/>
        <shadow val="0"/>
        <u val="none"/>
        <vertAlign val="baseline"/>
        <sz val="16"/>
        <color theme="1"/>
        <name val="Bodoni MT"/>
        <family val="1"/>
        <scheme val="none"/>
      </font>
      <fill>
        <patternFill patternType="none">
          <fgColor indexed="64"/>
          <bgColor auto="1"/>
        </patternFill>
      </fill>
      <alignment horizontal="left" textRotation="0" indent="0" justifyLastLine="0" shrinkToFit="0" readingOrder="0"/>
    </dxf>
    <dxf>
      <font>
        <strike val="0"/>
        <outline val="0"/>
        <shadow val="0"/>
        <u val="none"/>
        <vertAlign val="baseline"/>
        <sz val="16"/>
        <color theme="1"/>
        <name val="Bodoni MT"/>
        <family val="1"/>
        <scheme val="none"/>
      </font>
      <fill>
        <patternFill patternType="none">
          <fgColor indexed="64"/>
          <bgColor auto="1"/>
        </patternFill>
      </fill>
    </dxf>
    <dxf>
      <font>
        <strike val="0"/>
        <outline val="0"/>
        <shadow val="0"/>
        <u val="none"/>
        <vertAlign val="baseline"/>
        <sz val="16"/>
        <color theme="1"/>
        <name val="Bodoni MT"/>
        <family val="1"/>
        <scheme val="none"/>
      </font>
      <numFmt numFmtId="30" formatCode="@"/>
      <fill>
        <patternFill patternType="none">
          <fgColor indexed="64"/>
          <bgColor auto="1"/>
        </patternFill>
      </fill>
      <alignment horizontal="right" vertical="bottom" textRotation="0" indent="0" justifyLastLine="0" shrinkToFit="0" readingOrder="0"/>
    </dxf>
    <dxf>
      <font>
        <strike val="0"/>
        <outline val="0"/>
        <shadow val="0"/>
        <u val="none"/>
        <vertAlign val="baseline"/>
        <sz val="16"/>
        <color theme="1"/>
        <name val="Bodoni MT"/>
        <family val="1"/>
        <scheme val="none"/>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6"/>
        <color theme="1"/>
        <name val="Bodoni MT"/>
        <family val="1"/>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6"/>
        <color theme="1"/>
        <name val="Bodoni MT"/>
        <family val="1"/>
        <scheme val="none"/>
      </font>
      <fill>
        <patternFill patternType="none">
          <fgColor indexed="64"/>
          <bgColor auto="1"/>
        </patternFill>
      </fill>
      <alignment horizontal="right" vertical="bottom" textRotation="0" indent="0" justifyLastLine="0" shrinkToFit="0" readingOrder="0"/>
    </dxf>
    <dxf>
      <font>
        <strike val="0"/>
        <outline val="0"/>
        <shadow val="0"/>
        <u val="none"/>
        <vertAlign val="baseline"/>
        <sz val="16"/>
        <color theme="1"/>
        <name val="Bodoni MT"/>
        <family val="1"/>
        <scheme val="none"/>
      </font>
      <numFmt numFmtId="19" formatCode="dd/mm/yyyy"/>
      <fill>
        <patternFill patternType="none">
          <fgColor indexed="64"/>
          <bgColor auto="1"/>
        </patternFill>
      </fill>
      <alignment horizontal="right" textRotation="0" indent="0" justifyLastLine="0" shrinkToFit="0" readingOrder="0"/>
    </dxf>
    <dxf>
      <font>
        <strike val="0"/>
        <outline val="0"/>
        <shadow val="0"/>
        <u val="none"/>
        <vertAlign val="baseline"/>
        <sz val="16"/>
        <color theme="1"/>
        <name val="Bodoni MT"/>
        <family val="1"/>
        <scheme val="none"/>
      </font>
      <fill>
        <patternFill patternType="none">
          <fgColor indexed="64"/>
          <bgColor auto="1"/>
        </patternFill>
      </fill>
    </dxf>
    <dxf>
      <font>
        <strike val="0"/>
        <outline val="0"/>
        <shadow val="0"/>
        <u val="none"/>
        <vertAlign val="baseline"/>
        <sz val="16"/>
        <color theme="0"/>
        <name val="Bodoni MT"/>
        <family val="1"/>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sz val="20"/>
        <color rgb="FF4B91D1"/>
        <name val="Bodoni MT"/>
        <family val="1"/>
        <scheme val="none"/>
      </font>
      <fill>
        <patternFill>
          <bgColor theme="0"/>
        </patternFill>
      </fill>
      <border diagonalUp="0" diagonalDown="0">
        <left/>
        <right/>
        <top/>
        <bottom/>
        <vertical/>
        <horizontal/>
      </border>
    </dxf>
    <dxf>
      <font>
        <sz val="22"/>
        <color theme="1"/>
      </font>
      <fill>
        <patternFill>
          <bgColor theme="0"/>
        </patternFill>
      </fill>
      <border diagonalUp="0" diagonalDown="0">
        <left/>
        <right/>
        <top/>
        <bottom/>
        <vertical/>
        <horizontal/>
      </border>
    </dxf>
    <dxf>
      <font>
        <b/>
        <i/>
        <sz val="20"/>
        <color theme="0"/>
        <name val="Bodoni MT"/>
        <family val="1"/>
        <scheme val="none"/>
      </font>
      <fill>
        <patternFill>
          <bgColor rgb="FF3B87CD"/>
        </patternFill>
      </fill>
      <border diagonalUp="0" diagonalDown="0">
        <left/>
        <right/>
        <top/>
        <bottom/>
        <vertical/>
        <horizontal/>
      </border>
    </dxf>
    <dxf>
      <font>
        <color theme="1"/>
      </font>
      <fill>
        <patternFill>
          <bgColor rgb="FF3B87CD"/>
        </patternFill>
      </fill>
      <border diagonalUp="0" diagonalDown="0">
        <left/>
        <right/>
        <top/>
        <bottom/>
        <vertical/>
        <horizontal/>
      </border>
    </dxf>
    <dxf>
      <font>
        <b/>
        <i/>
        <sz val="20"/>
        <color rgb="FF4B91D1"/>
        <name val="Bodoni MT"/>
        <family val="1"/>
        <scheme val="none"/>
      </font>
      <fill>
        <patternFill>
          <bgColor theme="0"/>
        </patternFill>
      </fill>
      <border diagonalUp="0" diagonalDown="0">
        <left/>
        <right/>
        <top/>
        <bottom/>
        <vertical/>
        <horizontal/>
      </border>
    </dxf>
    <dxf>
      <font>
        <color theme="1"/>
      </font>
      <fill>
        <patternFill>
          <bgColor theme="0"/>
        </patternFill>
      </fill>
      <border diagonalUp="0" diagonalDown="0">
        <left/>
        <right/>
        <top/>
        <bottom/>
        <vertical/>
        <horizontal/>
      </border>
    </dxf>
  </dxfs>
  <tableStyles count="3" defaultTableStyle="TableStyleMedium2" defaultPivotStyle="PivotStyleLight16">
    <tableStyle name="UBC-SLICER" pivot="0" table="0" count="10" xr9:uid="{E7EEFA63-8A5C-4699-97EC-C50903BC1E7D}">
      <tableStyleElement type="wholeTable" dxfId="2386"/>
      <tableStyleElement type="headerRow" dxfId="2385"/>
    </tableStyle>
    <tableStyle name="UBC-SLICER 2 2" pivot="0" table="0" count="10" xr9:uid="{6877AFA3-66D9-4AD6-916B-6DAABE2246B2}">
      <tableStyleElement type="wholeTable" dxfId="2384"/>
      <tableStyleElement type="headerRow" dxfId="2383"/>
    </tableStyle>
    <tableStyle name="UBC-SLICER 2X" pivot="0" table="0" count="10" xr9:uid="{9F8811F1-D19D-4F52-A1EA-D71C7983088C}">
      <tableStyleElement type="wholeTable" dxfId="2382"/>
      <tableStyleElement type="headerRow" dxfId="2381"/>
    </tableStyle>
  </tableStyles>
  <colors>
    <mruColors>
      <color rgb="FF004620"/>
      <color rgb="FFA8CBEA"/>
      <color rgb="FFF9C33D"/>
      <color rgb="FFFF01BC"/>
      <color rgb="FFB888DC"/>
      <color rgb="FF9954CC"/>
      <color rgb="FF3B87CD"/>
      <color rgb="FF1D4971"/>
      <color rgb="FF4B91D1"/>
      <color rgb="FF9BE5FF"/>
    </mruColors>
  </colors>
  <extLst>
    <ext xmlns:x14="http://schemas.microsoft.com/office/spreadsheetml/2009/9/main" uri="{46F421CA-312F-682f-3DD2-61675219B42D}">
      <x14:dxfs count="24">
        <dxf>
          <font>
            <sz val="1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6"/>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6"/>
            <color theme="0"/>
            <name val="Bodoni MT"/>
            <family val="1"/>
            <scheme val="none"/>
          </font>
          <fill>
            <gradientFill degree="90">
              <stop position="0">
                <color theme="4" tint="-0.25098422193060094"/>
              </stop>
              <stop position="1">
                <color rgb="FF002060"/>
              </stop>
            </gradientFill>
          </fill>
          <border diagonalUp="0" diagonalDown="0">
            <left/>
            <right/>
            <top/>
            <bottom/>
            <vertical/>
            <horizontal/>
          </border>
        </dxf>
        <dxf>
          <font>
            <sz val="16"/>
            <color theme="0"/>
            <name val="Bodoni MT"/>
            <family val="1"/>
            <scheme val="none"/>
          </font>
          <fill>
            <gradientFill degree="90">
              <stop position="0">
                <color theme="4" tint="-0.25098422193060094"/>
              </stop>
              <stop position="1">
                <color rgb="FF002060"/>
              </stop>
            </gradientFill>
          </fill>
          <border diagonalUp="0" diagonalDown="0">
            <left/>
            <right/>
            <top/>
            <bottom/>
            <vertical/>
            <horizontal/>
          </border>
        </dxf>
        <dxf>
          <font>
            <sz val="16"/>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6"/>
            <color theme="0"/>
            <name val="Bodoni MT"/>
            <family val="1"/>
            <scheme val="none"/>
          </font>
          <fill>
            <patternFill patternType="solid">
              <fgColor theme="4" tint="0.59999389629810485"/>
              <bgColor rgb="FF3B87CD"/>
            </patternFill>
          </fill>
          <border diagonalUp="0" diagonalDown="0">
            <left/>
            <right/>
            <top/>
            <bottom/>
            <vertical/>
            <horizontal/>
          </border>
        </dxf>
        <dxf>
          <font>
            <sz val="16"/>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6"/>
            <color rgb="FF3B87CD"/>
            <name val="Bodoni MT"/>
            <family val="1"/>
            <scheme val="none"/>
          </font>
          <fill>
            <patternFill patternType="none">
              <fgColor indexed="64"/>
              <bgColor auto="1"/>
            </patternFill>
          </fill>
          <border>
            <left style="thin">
              <color rgb="FF3B87CD"/>
            </left>
            <right style="thin">
              <color rgb="FF3B87CD"/>
            </right>
            <top style="thin">
              <color rgb="FF3B87CD"/>
            </top>
            <bottom style="thin">
              <color rgb="FF3B87CD"/>
            </bottom>
            <vertical/>
            <horizontal/>
          </border>
        </dxf>
        <dxf>
          <font>
            <sz val="16"/>
            <color theme="0"/>
            <name val="Bodoni MT"/>
            <family val="1"/>
            <scheme val="none"/>
          </font>
          <fill>
            <gradientFill degree="270">
              <stop position="0">
                <color rgb="FF002060"/>
              </stop>
              <stop position="1">
                <color theme="8"/>
              </stop>
            </gradientFill>
          </fill>
          <border>
            <left style="thin">
              <color theme="0"/>
            </left>
            <right style="thin">
              <color theme="0"/>
            </right>
            <top style="thin">
              <color theme="0"/>
            </top>
            <bottom style="thin">
              <color theme="0"/>
            </bottom>
            <vertical/>
            <horizontal/>
          </border>
        </dxf>
        <dxf>
          <font>
            <sz val="16"/>
            <color theme="0"/>
            <name val="Bodoni MT"/>
            <family val="1"/>
            <scheme val="none"/>
          </font>
          <fill>
            <gradientFill degree="90">
              <stop position="0">
                <color theme="8"/>
              </stop>
              <stop position="1">
                <color rgb="FF002060"/>
              </stop>
            </gradientFill>
          </fill>
          <border diagonalUp="0" diagonalDown="0">
            <left/>
            <right/>
            <top/>
            <bottom/>
            <vertical/>
            <horizontal/>
          </border>
        </dxf>
        <dxf>
          <font>
            <sz val="16"/>
            <color theme="0"/>
            <name val="Bodoni MT"/>
            <family val="1"/>
            <scheme val="none"/>
          </font>
          <fill>
            <gradientFill degree="90">
              <stop position="0">
                <color theme="4" tint="-0.25098422193060094"/>
              </stop>
              <stop position="1">
                <color rgb="FF002060"/>
              </stop>
            </gradientFill>
          </fill>
          <border diagonalUp="0" diagonalDown="0">
            <left/>
            <right/>
            <top/>
            <bottom/>
            <vertical/>
            <horizontal/>
          </border>
        </dxf>
        <dxf>
          <font>
            <sz val="16"/>
            <color theme="0"/>
            <name val="Bodoni MT"/>
            <family val="1"/>
            <scheme val="none"/>
          </font>
          <fill>
            <gradientFill degree="90">
              <stop position="0">
                <color theme="4" tint="-0.25098422193060094"/>
              </stop>
              <stop position="1">
                <color rgb="FF002060"/>
              </stop>
            </gradientFill>
          </fill>
          <border diagonalUp="0" diagonalDown="0">
            <left/>
            <right/>
            <top/>
            <bottom/>
            <vertical/>
            <horizontal/>
          </border>
        </dxf>
        <dxf>
          <font>
            <sz val="16"/>
            <color theme="0"/>
            <name val="Bodoni MT"/>
            <family val="1"/>
            <scheme val="none"/>
          </font>
          <fill>
            <patternFill patternType="solid">
              <fgColor theme="4" tint="0.79995117038483843"/>
              <bgColor theme="8"/>
            </patternFill>
          </fill>
          <border>
            <left style="thin">
              <color theme="0"/>
            </left>
            <right style="thin">
              <color theme="0"/>
            </right>
            <top style="thin">
              <color theme="0"/>
            </top>
            <bottom style="thin">
              <color theme="0"/>
            </bottom>
            <vertical/>
            <horizontal/>
          </border>
        </dxf>
        <dxf>
          <font>
            <sz val="16"/>
            <color rgb="FF3B87CD"/>
            <name val="Bodoni MT"/>
            <family val="1"/>
            <scheme val="none"/>
          </font>
          <fill>
            <patternFill patternType="solid">
              <fgColor theme="4" tint="0.59999389629810485"/>
              <bgColor theme="0"/>
            </patternFill>
          </fill>
          <border diagonalUp="0" diagonalDown="0">
            <left/>
            <right/>
            <top/>
            <bottom/>
            <vertical/>
            <horizontal/>
          </border>
        </dxf>
        <dxf>
          <font>
            <sz val="16"/>
            <color rgb="FF3B87CD"/>
            <name val="Bodoni MT"/>
            <family val="1"/>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6"/>
            <color theme="0"/>
            <name val="Bodoni MT"/>
            <family val="1"/>
            <scheme val="none"/>
          </font>
          <fill>
            <patternFill patternType="solid">
              <fgColor indexed="64"/>
              <bgColor theme="8"/>
            </patternFill>
          </fill>
          <border>
            <left style="thin">
              <color theme="0"/>
            </left>
            <right style="thin">
              <color theme="0"/>
            </right>
            <top style="thin">
              <color theme="0"/>
            </top>
            <bottom style="thin">
              <color theme="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1"/>
            <color theme="0"/>
            <name val="Bodoni MT"/>
            <family val="1"/>
            <scheme val="none"/>
          </font>
          <fill>
            <gradientFill degree="90">
              <stop position="0">
                <color theme="4" tint="-0.25098422193060094"/>
              </stop>
              <stop position="1">
                <color rgb="FF002060"/>
              </stop>
            </gradientFill>
          </fill>
          <border diagonalUp="0" diagonalDown="0">
            <left/>
            <right/>
            <top/>
            <bottom/>
            <vertical/>
            <horizontal/>
          </border>
        </dxf>
        <dxf>
          <font>
            <sz val="11"/>
            <color theme="0"/>
            <name val="Bodoni MT"/>
            <family val="1"/>
            <scheme val="none"/>
          </font>
          <fill>
            <gradientFill degree="90">
              <stop position="0">
                <color theme="4" tint="-0.25098422193060094"/>
              </stop>
              <stop position="1">
                <color rgb="FF002060"/>
              </stop>
            </gradient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1"/>
            <color theme="0"/>
            <name val="Bodoni MT"/>
            <family val="1"/>
            <scheme val="none"/>
          </font>
          <fill>
            <patternFill patternType="solid">
              <fgColor theme="4" tint="0.59999389629810485"/>
              <bgColor rgb="FF3B87CD"/>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1"/>
            <color rgb="FF3B87CD"/>
            <name val="Bodoni MT"/>
            <family val="1"/>
            <scheme val="none"/>
          </font>
          <fill>
            <patternFill patternType="none">
              <fgColor indexed="64"/>
              <bgColor auto="1"/>
            </patternFill>
          </fill>
          <border>
            <left style="thin">
              <color rgb="FF3B87CD"/>
            </left>
            <right style="thin">
              <color rgb="FF3B87CD"/>
            </right>
            <top style="thin">
              <color rgb="FF3B87CD"/>
            </top>
            <bottom style="thin">
              <color rgb="FF3B87CD"/>
            </bottom>
            <vertical/>
            <horizontal/>
          </border>
        </dxf>
      </x14:dxfs>
    </ext>
    <ext xmlns:x14="http://schemas.microsoft.com/office/spreadsheetml/2009/9/main" uri="{EB79DEF2-80B8-43e5-95BD-54CBDDF9020C}">
      <x14:slicerStyles defaultSlicerStyle="SlicerStyleLight1">
        <x14:slicerStyle name="UBC-SLICE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UBC-SLICER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UBC-SLICER 2X">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worksheet" Target="worksheets/sheet21.xml"/><Relationship Id="rId42" Type="http://schemas.openxmlformats.org/officeDocument/2006/relationships/pivotCacheDefinition" Target="pivotCache/pivotCacheDefinition21.xml"/><Relationship Id="rId47" Type="http://schemas.openxmlformats.org/officeDocument/2006/relationships/pivotCacheDefinition" Target="pivotCache/pivotCacheDefinition26.xml"/><Relationship Id="rId63" Type="http://schemas.microsoft.com/office/2007/relationships/slicerCache" Target="slicerCaches/slicerCache15.xml"/><Relationship Id="rId68" Type="http://schemas.openxmlformats.org/officeDocument/2006/relationships/connections" Target="connections.xml"/><Relationship Id="rId7" Type="http://schemas.openxmlformats.org/officeDocument/2006/relationships/worksheet" Target="worksheets/sheet7.xml"/><Relationship Id="rId71"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pivotCacheDefinition" Target="pivotCache/pivotCacheDefinition16.xml"/><Relationship Id="rId40" Type="http://schemas.openxmlformats.org/officeDocument/2006/relationships/pivotCacheDefinition" Target="pivotCache/pivotCacheDefinition19.xml"/><Relationship Id="rId45" Type="http://schemas.openxmlformats.org/officeDocument/2006/relationships/pivotCacheDefinition" Target="pivotCache/pivotCacheDefinition24.xml"/><Relationship Id="rId53" Type="http://schemas.microsoft.com/office/2007/relationships/slicerCache" Target="slicerCaches/slicerCache5.xml"/><Relationship Id="rId58" Type="http://schemas.microsoft.com/office/2007/relationships/slicerCache" Target="slicerCaches/slicerCache10.xml"/><Relationship Id="rId66" Type="http://schemas.microsoft.com/office/2007/relationships/slicerCache" Target="slicerCaches/slicerCache18.xml"/><Relationship Id="rId5" Type="http://schemas.openxmlformats.org/officeDocument/2006/relationships/worksheet" Target="worksheets/sheet5.xml"/><Relationship Id="rId61" Type="http://schemas.microsoft.com/office/2007/relationships/slicerCache" Target="slicerCaches/slicerCache1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pivotCacheDefinition" Target="pivotCache/pivotCacheDefinition14.xml"/><Relationship Id="rId43" Type="http://schemas.openxmlformats.org/officeDocument/2006/relationships/pivotCacheDefinition" Target="pivotCache/pivotCacheDefinition22.xml"/><Relationship Id="rId48" Type="http://schemas.openxmlformats.org/officeDocument/2006/relationships/pivotCacheDefinition" Target="pivotCache/pivotCacheDefinition27.xml"/><Relationship Id="rId56" Type="http://schemas.microsoft.com/office/2007/relationships/slicerCache" Target="slicerCaches/slicerCache8.xml"/><Relationship Id="rId64" Type="http://schemas.microsoft.com/office/2007/relationships/slicerCache" Target="slicerCaches/slicerCache16.xml"/><Relationship Id="rId69" Type="http://schemas.openxmlformats.org/officeDocument/2006/relationships/styles" Target="styles.xml"/><Relationship Id="rId8" Type="http://schemas.openxmlformats.org/officeDocument/2006/relationships/worksheet" Target="worksheets/sheet8.xml"/><Relationship Id="rId51" Type="http://schemas.microsoft.com/office/2007/relationships/slicerCache" Target="slicerCaches/slicerCache3.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openxmlformats.org/officeDocument/2006/relationships/pivotCacheDefinition" Target="pivotCache/pivotCacheDefinition17.xml"/><Relationship Id="rId46" Type="http://schemas.openxmlformats.org/officeDocument/2006/relationships/pivotCacheDefinition" Target="pivotCache/pivotCacheDefinition25.xml"/><Relationship Id="rId59" Type="http://schemas.microsoft.com/office/2007/relationships/slicerCache" Target="slicerCaches/slicerCache11.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pivotCacheDefinition" Target="pivotCache/pivotCacheDefinition20.xml"/><Relationship Id="rId54" Type="http://schemas.microsoft.com/office/2007/relationships/slicerCache" Target="slicerCaches/slicerCache6.xml"/><Relationship Id="rId62" Type="http://schemas.microsoft.com/office/2007/relationships/slicerCache" Target="slicerCaches/slicerCache14.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CacheDefinition" Target="pivotCache/pivotCacheDefinition15.xml"/><Relationship Id="rId49" Type="http://schemas.microsoft.com/office/2007/relationships/slicerCache" Target="slicerCaches/slicerCache1.xml"/><Relationship Id="rId57" Type="http://schemas.microsoft.com/office/2007/relationships/slicerCache" Target="slicerCaches/slicerCache9.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pivotCacheDefinition" Target="pivotCache/pivotCacheDefinition23.xml"/><Relationship Id="rId52" Type="http://schemas.microsoft.com/office/2007/relationships/slicerCache" Target="slicerCaches/slicerCache4.xml"/><Relationship Id="rId60" Type="http://schemas.microsoft.com/office/2007/relationships/slicerCache" Target="slicerCaches/slicerCache12.xml"/><Relationship Id="rId65" Type="http://schemas.microsoft.com/office/2007/relationships/slicerCache" Target="slicerCaches/slicerCache1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8.xml"/><Relationship Id="rId34" Type="http://schemas.openxmlformats.org/officeDocument/2006/relationships/pivotCacheDefinition" Target="pivotCache/pivotCacheDefinition13.xml"/><Relationship Id="rId50" Type="http://schemas.microsoft.com/office/2007/relationships/slicerCache" Target="slicerCaches/slicerCache2.xml"/><Relationship Id="rId55"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3.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4.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5.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6.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7.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3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2.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3.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4.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5.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6.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7.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48.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49.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1.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2.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5.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Ex6.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PIVOT.xlsx]MASUK-CATEGORY!Category-Participants UBC</c:name>
    <c:fmtId val="16"/>
  </c:pivotSource>
  <c:chart>
    <c:autoTitleDeleted val="1"/>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000">
                <a:srgbClr val="FFF5D5"/>
              </a:gs>
              <a:gs pos="72000">
                <a:srgbClr val="FFE390"/>
              </a:gs>
              <a:gs pos="44000">
                <a:srgbClr val="FFECB3"/>
              </a:gs>
              <a:gs pos="100000">
                <a:srgbClr val="FFD757"/>
              </a:gs>
            </a:gsLst>
            <a:path path="circle">
              <a:fillToRect t="100000" r="100000"/>
            </a:path>
            <a:tileRect l="-100000" b="-100000"/>
          </a:gradFill>
          <a:ln w="19050">
            <a:solidFill>
              <a:schemeClr val="lt1"/>
            </a:solidFill>
          </a:ln>
          <a:effectLst/>
        </c:spPr>
      </c:pivotFmt>
      <c:pivotFmt>
        <c:idx val="3"/>
        <c:spPr>
          <a:gradFill flip="none" rotWithShape="1">
            <a:gsLst>
              <a:gs pos="24800">
                <a:srgbClr val="FFC0EF"/>
              </a:gs>
              <a:gs pos="75000">
                <a:srgbClr val="FF41CD"/>
              </a:gs>
              <a:gs pos="50000">
                <a:srgbClr val="FF80DE"/>
              </a:gs>
              <a:gs pos="100000">
                <a:srgbClr val="FF01BC"/>
              </a:gs>
            </a:gsLst>
            <a:path path="circle">
              <a:fillToRect r="100000" b="100000"/>
            </a:path>
            <a:tileRect l="-100000" t="-100000"/>
          </a:gradFill>
          <a:ln w="19050">
            <a:solidFill>
              <a:schemeClr val="lt1"/>
            </a:solidFill>
          </a:ln>
          <a:effectLst/>
        </c:spPr>
      </c:pivotFmt>
      <c:pivotFmt>
        <c:idx val="4"/>
        <c:spPr>
          <a:gradFill flip="none" rotWithShape="1">
            <a:gsLst>
              <a:gs pos="0">
                <a:schemeClr val="accent2">
                  <a:lumMod val="0"/>
                  <a:lumOff val="100000"/>
                </a:schemeClr>
              </a:gs>
              <a:gs pos="100000">
                <a:srgbClr val="004620"/>
              </a:gs>
            </a:gsLst>
            <a:path path="circle">
              <a:fillToRect l="50000" t="-80000" r="50000" b="180000"/>
            </a:path>
            <a:tileRect/>
          </a:gradFill>
          <a:ln w="19050">
            <a:solidFill>
              <a:schemeClr val="lt1"/>
            </a:solidFill>
          </a:ln>
          <a:effectLst/>
        </c:spPr>
      </c:pivotFmt>
      <c:pivotFmt>
        <c:idx val="5"/>
        <c:spPr>
          <a:gradFill flip="none" rotWithShape="1">
            <a:gsLst>
              <a:gs pos="0">
                <a:schemeClr val="accent2">
                  <a:lumMod val="0"/>
                  <a:lumOff val="100000"/>
                </a:schemeClr>
              </a:gs>
              <a:gs pos="50000">
                <a:srgbClr val="D3D3D3"/>
              </a:gs>
              <a:gs pos="100000">
                <a:schemeClr val="bg1">
                  <a:lumMod val="65000"/>
                </a:schemeClr>
              </a:gs>
            </a:gsLst>
            <a:path path="circle">
              <a:fillToRect l="100000" b="100000"/>
            </a:path>
            <a:tileRect t="-100000" r="-100000"/>
          </a:gradFill>
          <a:ln w="19050">
            <a:solidFill>
              <a:schemeClr val="lt1"/>
            </a:solidFill>
          </a:ln>
          <a:effectLst/>
        </c:spPr>
      </c:pivotFmt>
      <c:pivotFmt>
        <c:idx val="6"/>
        <c:spPr>
          <a:gradFill flip="none" rotWithShape="1">
            <a:gsLst>
              <a:gs pos="50000">
                <a:srgbClr val="B8D6A3"/>
              </a:gs>
              <a:gs pos="19450">
                <a:srgbClr val="E3EFDB"/>
              </a:gs>
              <a:gs pos="100000">
                <a:schemeClr val="accent6">
                  <a:lumMod val="60000"/>
                  <a:lumOff val="40000"/>
                </a:schemeClr>
              </a:gs>
            </a:gsLst>
            <a:path path="circle">
              <a:fillToRect l="100000" b="100000"/>
            </a:path>
            <a:tileRect t="-100000" r="-100000"/>
          </a:gradFill>
          <a:ln w="19050">
            <a:solidFill>
              <a:schemeClr val="lt1"/>
            </a:solidFill>
          </a:ln>
          <a:effectLst/>
        </c:spPr>
      </c:pivotFmt>
      <c:pivotFmt>
        <c:idx val="7"/>
        <c:spPr>
          <a:gradFill flip="none" rotWithShape="1">
            <a:gsLst>
              <a:gs pos="73471">
                <a:srgbClr val="B482D9"/>
              </a:gs>
              <a:gs pos="22133">
                <a:srgbClr val="E9D9F4"/>
              </a:gs>
              <a:gs pos="52200">
                <a:srgbClr val="CAA6E4"/>
              </a:gs>
              <a:gs pos="0">
                <a:schemeClr val="bg1"/>
              </a:gs>
              <a:gs pos="100000">
                <a:srgbClr val="9954CC"/>
              </a:gs>
            </a:gsLst>
            <a:path path="circle">
              <a:fillToRect l="100000" b="100000"/>
            </a:path>
            <a:tileRect t="-100000" r="-100000"/>
          </a:gradFill>
          <a:ln w="19050">
            <a:solidFill>
              <a:schemeClr val="lt1"/>
            </a:solidFill>
          </a:ln>
          <a:effectLst/>
        </c:spPr>
      </c:pivotFmt>
      <c:pivotFmt>
        <c:idx val="8"/>
        <c:spPr>
          <a:gradFill flip="none" rotWithShape="1">
            <a:gsLst>
              <a:gs pos="0">
                <a:schemeClr val="bg1"/>
              </a:gs>
              <a:gs pos="76100">
                <a:srgbClr val="F19C62"/>
              </a:gs>
              <a:gs pos="50000">
                <a:srgbClr val="F6BE98"/>
              </a:gs>
              <a:gs pos="100000">
                <a:schemeClr val="accent2"/>
              </a:gs>
            </a:gsLst>
            <a:path path="circle">
              <a:fillToRect l="100000" b="100000"/>
            </a:path>
            <a:tileRect t="-100000" r="-100000"/>
          </a:gradFill>
          <a:ln w="19050">
            <a:solidFill>
              <a:schemeClr val="lt1"/>
            </a:solidFill>
          </a:ln>
          <a:effectLst/>
        </c:spPr>
      </c:pivotFmt>
      <c:pivotFmt>
        <c:idx val="9"/>
        <c:spPr>
          <a:gradFill flip="none" rotWithShape="1">
            <a:gsLst>
              <a:gs pos="50000">
                <a:srgbClr val="E08080"/>
              </a:gs>
              <a:gs pos="0">
                <a:schemeClr val="bg1"/>
              </a:gs>
              <a:gs pos="100000">
                <a:srgbClr val="C00000"/>
              </a:gs>
            </a:gsLst>
            <a:path path="circle">
              <a:fillToRect l="100000" t="100000"/>
            </a:path>
            <a:tileRect r="-100000" b="-100000"/>
          </a:gradFill>
          <a:ln w="19050">
            <a:solidFill>
              <a:schemeClr val="lt1"/>
            </a:solidFill>
          </a:ln>
          <a:effectLst/>
        </c:spPr>
      </c:pivotFmt>
      <c:pivotFmt>
        <c:idx val="10"/>
        <c:spPr>
          <a:gradFill>
            <a:gsLst>
              <a:gs pos="29200">
                <a:srgbClr val="B5E8CC"/>
              </a:gs>
              <a:gs pos="73450">
                <a:srgbClr val="44C57F"/>
              </a:gs>
              <a:gs pos="50000">
                <a:srgbClr val="80D8A8"/>
              </a:gs>
              <a:gs pos="0">
                <a:schemeClr val="bg1"/>
              </a:gs>
              <a:gs pos="100000">
                <a:srgbClr val="00B050"/>
              </a:gs>
            </a:gsLst>
            <a:path path="circle">
              <a:fillToRect l="100000" t="100000"/>
            </a:path>
          </a:gradFill>
          <a:ln w="19050">
            <a:solidFill>
              <a:schemeClr val="lt1"/>
            </a:solidFill>
          </a:ln>
          <a:effectLst/>
        </c:spPr>
      </c:pivotFmt>
      <c:pivotFmt>
        <c:idx val="11"/>
        <c:spPr>
          <a:gradFill flip="none" rotWithShape="1">
            <a:gsLst>
              <a:gs pos="0">
                <a:schemeClr val="accent5">
                  <a:lumMod val="0"/>
                  <a:lumOff val="100000"/>
                </a:schemeClr>
              </a:gs>
              <a:gs pos="50000">
                <a:srgbClr val="80D8F8"/>
              </a:gs>
              <a:gs pos="100000">
                <a:srgbClr val="00B0F0"/>
              </a:gs>
            </a:gsLst>
            <a:path path="circle">
              <a:fillToRect t="100000" r="100000"/>
            </a:path>
            <a:tileRect l="-100000" b="-100000"/>
          </a:gradFill>
          <a:ln w="19050">
            <a:solidFill>
              <a:schemeClr val="lt1"/>
            </a:solidFill>
          </a:ln>
          <a:effectLst/>
        </c:spPr>
      </c:pivotFmt>
      <c:pivotFmt>
        <c:idx val="12"/>
        <c:spPr>
          <a:gradFill flip="none" rotWithShape="1">
            <a:gsLst>
              <a:gs pos="0">
                <a:schemeClr val="accent5">
                  <a:lumMod val="0"/>
                  <a:lumOff val="100000"/>
                </a:schemeClr>
              </a:gs>
              <a:gs pos="100000">
                <a:srgbClr val="FFFF00"/>
              </a:gs>
            </a:gsLst>
            <a:path path="circle">
              <a:fillToRect t="100000" r="100000"/>
            </a:path>
            <a:tileRect l="-100000" b="-10000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gradFill flip="none" rotWithShape="1">
            <a:gsLst>
              <a:gs pos="3000">
                <a:srgbClr val="FFF5D5"/>
              </a:gs>
              <a:gs pos="72000">
                <a:srgbClr val="FFE390"/>
              </a:gs>
              <a:gs pos="44000">
                <a:srgbClr val="FFECB3"/>
              </a:gs>
              <a:gs pos="100000">
                <a:srgbClr val="FFD757"/>
              </a:gs>
            </a:gsLst>
            <a:path path="circle">
              <a:fillToRect t="100000" r="100000"/>
            </a:path>
            <a:tileRect l="-100000" b="-100000"/>
          </a:gradFill>
          <a:ln w="19050">
            <a:solidFill>
              <a:schemeClr val="lt1"/>
            </a:solidFill>
          </a:ln>
          <a:effectLst/>
        </c:spPr>
      </c:pivotFmt>
      <c:pivotFmt>
        <c:idx val="15"/>
        <c:spPr>
          <a:gradFill flip="none" rotWithShape="1">
            <a:gsLst>
              <a:gs pos="24800">
                <a:srgbClr val="FFC0EF"/>
              </a:gs>
              <a:gs pos="75000">
                <a:srgbClr val="FF41CD"/>
              </a:gs>
              <a:gs pos="50000">
                <a:srgbClr val="FF80DE"/>
              </a:gs>
              <a:gs pos="100000">
                <a:srgbClr val="FF01BC"/>
              </a:gs>
            </a:gsLst>
            <a:path path="circle">
              <a:fillToRect r="100000" b="100000"/>
            </a:path>
            <a:tileRect l="-100000" t="-100000"/>
          </a:gradFill>
          <a:ln w="19050">
            <a:solidFill>
              <a:schemeClr val="lt1"/>
            </a:solidFill>
          </a:ln>
          <a:effectLst/>
        </c:spPr>
      </c:pivotFmt>
      <c:pivotFmt>
        <c:idx val="16"/>
        <c:spPr>
          <a:gradFill flip="none" rotWithShape="1">
            <a:gsLst>
              <a:gs pos="0">
                <a:schemeClr val="accent2">
                  <a:lumMod val="0"/>
                  <a:lumOff val="100000"/>
                </a:schemeClr>
              </a:gs>
              <a:gs pos="100000">
                <a:srgbClr val="004620"/>
              </a:gs>
            </a:gsLst>
            <a:path path="circle">
              <a:fillToRect l="50000" t="-80000" r="50000" b="180000"/>
            </a:path>
            <a:tileRect/>
          </a:gradFill>
          <a:ln w="19050">
            <a:solidFill>
              <a:schemeClr val="lt1"/>
            </a:solidFill>
          </a:ln>
          <a:effectLst/>
        </c:spPr>
      </c:pivotFmt>
      <c:pivotFmt>
        <c:idx val="17"/>
        <c:spPr>
          <a:gradFill flip="none" rotWithShape="1">
            <a:gsLst>
              <a:gs pos="0">
                <a:schemeClr val="accent2">
                  <a:lumMod val="0"/>
                  <a:lumOff val="100000"/>
                </a:schemeClr>
              </a:gs>
              <a:gs pos="50000">
                <a:srgbClr val="D3D3D3"/>
              </a:gs>
              <a:gs pos="100000">
                <a:schemeClr val="bg1">
                  <a:lumMod val="65000"/>
                </a:schemeClr>
              </a:gs>
            </a:gsLst>
            <a:path path="circle">
              <a:fillToRect l="100000" b="100000"/>
            </a:path>
            <a:tileRect t="-100000" r="-100000"/>
          </a:gradFill>
          <a:ln w="19050">
            <a:solidFill>
              <a:schemeClr val="lt1"/>
            </a:solidFill>
          </a:ln>
          <a:effectLst/>
        </c:spPr>
      </c:pivotFmt>
      <c:pivotFmt>
        <c:idx val="18"/>
        <c:spPr>
          <a:gradFill flip="none" rotWithShape="1">
            <a:gsLst>
              <a:gs pos="50000">
                <a:srgbClr val="B8D6A3"/>
              </a:gs>
              <a:gs pos="19450">
                <a:srgbClr val="E3EFDB"/>
              </a:gs>
              <a:gs pos="100000">
                <a:schemeClr val="accent6">
                  <a:lumMod val="60000"/>
                  <a:lumOff val="40000"/>
                </a:schemeClr>
              </a:gs>
            </a:gsLst>
            <a:path path="circle">
              <a:fillToRect l="100000" b="100000"/>
            </a:path>
            <a:tileRect t="-100000" r="-100000"/>
          </a:gradFill>
          <a:ln w="19050">
            <a:solidFill>
              <a:schemeClr val="lt1"/>
            </a:solidFill>
          </a:ln>
          <a:effectLst/>
        </c:spPr>
      </c:pivotFmt>
      <c:pivotFmt>
        <c:idx val="19"/>
        <c:spPr>
          <a:gradFill flip="none" rotWithShape="1">
            <a:gsLst>
              <a:gs pos="73471">
                <a:srgbClr val="B482D9"/>
              </a:gs>
              <a:gs pos="22133">
                <a:srgbClr val="E9D9F4"/>
              </a:gs>
              <a:gs pos="52200">
                <a:srgbClr val="CAA6E4"/>
              </a:gs>
              <a:gs pos="0">
                <a:schemeClr val="bg1"/>
              </a:gs>
              <a:gs pos="100000">
                <a:srgbClr val="9954CC"/>
              </a:gs>
            </a:gsLst>
            <a:path path="circle">
              <a:fillToRect l="100000" b="100000"/>
            </a:path>
            <a:tileRect t="-100000" r="-100000"/>
          </a:gradFill>
          <a:ln w="19050">
            <a:solidFill>
              <a:schemeClr val="lt1"/>
            </a:solidFill>
          </a:ln>
          <a:effectLst/>
        </c:spPr>
      </c:pivotFmt>
      <c:pivotFmt>
        <c:idx val="20"/>
        <c:spPr>
          <a:gradFill flip="none" rotWithShape="1">
            <a:gsLst>
              <a:gs pos="0">
                <a:schemeClr val="bg1"/>
              </a:gs>
              <a:gs pos="76100">
                <a:srgbClr val="F19C62"/>
              </a:gs>
              <a:gs pos="50000">
                <a:srgbClr val="F6BE98"/>
              </a:gs>
              <a:gs pos="100000">
                <a:schemeClr val="accent2"/>
              </a:gs>
            </a:gsLst>
            <a:path path="circle">
              <a:fillToRect l="100000" b="100000"/>
            </a:path>
            <a:tileRect t="-100000" r="-100000"/>
          </a:gradFill>
          <a:ln w="19050">
            <a:solidFill>
              <a:schemeClr val="lt1"/>
            </a:solidFill>
          </a:ln>
          <a:effectLst/>
        </c:spPr>
      </c:pivotFmt>
      <c:pivotFmt>
        <c:idx val="21"/>
        <c:spPr>
          <a:gradFill flip="none" rotWithShape="1">
            <a:gsLst>
              <a:gs pos="50000">
                <a:srgbClr val="E08080"/>
              </a:gs>
              <a:gs pos="0">
                <a:schemeClr val="bg1"/>
              </a:gs>
              <a:gs pos="100000">
                <a:srgbClr val="C00000"/>
              </a:gs>
            </a:gsLst>
            <a:path path="circle">
              <a:fillToRect l="100000" t="100000"/>
            </a:path>
            <a:tileRect r="-100000" b="-100000"/>
          </a:gradFill>
          <a:ln w="19050">
            <a:solidFill>
              <a:schemeClr val="lt1"/>
            </a:solidFill>
          </a:ln>
          <a:effectLst/>
        </c:spPr>
      </c:pivotFmt>
      <c:pivotFmt>
        <c:idx val="22"/>
        <c:spPr>
          <a:gradFill>
            <a:gsLst>
              <a:gs pos="29200">
                <a:srgbClr val="B5E8CC"/>
              </a:gs>
              <a:gs pos="73450">
                <a:srgbClr val="44C57F"/>
              </a:gs>
              <a:gs pos="50000">
                <a:srgbClr val="80D8A8"/>
              </a:gs>
              <a:gs pos="0">
                <a:schemeClr val="bg1"/>
              </a:gs>
              <a:gs pos="100000">
                <a:srgbClr val="00B050"/>
              </a:gs>
            </a:gsLst>
            <a:path path="circle">
              <a:fillToRect l="100000" t="100000"/>
            </a:path>
          </a:gradFill>
          <a:ln w="19050">
            <a:solidFill>
              <a:schemeClr val="lt1"/>
            </a:solidFill>
          </a:ln>
          <a:effectLst/>
        </c:spPr>
      </c:pivotFmt>
      <c:pivotFmt>
        <c:idx val="23"/>
        <c:spPr>
          <a:gradFill flip="none" rotWithShape="1">
            <a:gsLst>
              <a:gs pos="0">
                <a:schemeClr val="accent5">
                  <a:lumMod val="0"/>
                  <a:lumOff val="100000"/>
                </a:schemeClr>
              </a:gs>
              <a:gs pos="50000">
                <a:srgbClr val="80D8F8"/>
              </a:gs>
              <a:gs pos="100000">
                <a:srgbClr val="00B0F0"/>
              </a:gs>
            </a:gsLst>
            <a:path path="circle">
              <a:fillToRect t="100000" r="100000"/>
            </a:path>
            <a:tileRect l="-100000" b="-10000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5"/>
        <c:spPr>
          <a:gradFill>
            <a:gsLst>
              <a:gs pos="100000">
                <a:schemeClr val="accent1">
                  <a:lumMod val="60000"/>
                  <a:lumOff val="40000"/>
                </a:schemeClr>
              </a:gs>
              <a:gs pos="0">
                <a:schemeClr val="accent1"/>
              </a:gs>
            </a:gsLst>
            <a:lin ang="5400000" scaled="0"/>
          </a:gradFill>
          <a:ln w="19050">
            <a:solidFill>
              <a:schemeClr val="lt1"/>
            </a:solid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6"/>
        <c:spPr>
          <a:gradFill flip="none" rotWithShape="1">
            <a:gsLst>
              <a:gs pos="3000">
                <a:srgbClr val="FFF5D5"/>
              </a:gs>
              <a:gs pos="72000">
                <a:srgbClr val="FFE390"/>
              </a:gs>
              <a:gs pos="44000">
                <a:srgbClr val="FFECB3"/>
              </a:gs>
              <a:gs pos="100000">
                <a:srgbClr val="FFD757"/>
              </a:gs>
            </a:gsLst>
            <a:path path="circle">
              <a:fillToRect t="100000" r="100000"/>
            </a:path>
            <a:tileRect l="-100000" b="-100000"/>
          </a:gradFill>
          <a:ln w="19050">
            <a:solidFill>
              <a:schemeClr val="lt1"/>
            </a:solidFill>
          </a:ln>
          <a:effectLst>
            <a:outerShdw blurRad="63500" sx="102000" sy="102000" algn="ctr" rotWithShape="0">
              <a:prstClr val="black">
                <a:alpha val="40000"/>
              </a:prstClr>
            </a:outerShdw>
          </a:effectLst>
        </c:spPr>
      </c:pivotFmt>
      <c:pivotFmt>
        <c:idx val="37"/>
        <c:spPr>
          <a:gradFill flip="none" rotWithShape="1">
            <a:gsLst>
              <a:gs pos="24800">
                <a:srgbClr val="FFC0EF"/>
              </a:gs>
              <a:gs pos="75000">
                <a:srgbClr val="FF41CD"/>
              </a:gs>
              <a:gs pos="50000">
                <a:srgbClr val="FF80DE"/>
              </a:gs>
              <a:gs pos="100000">
                <a:srgbClr val="FF01BC"/>
              </a:gs>
            </a:gsLst>
            <a:path path="circle">
              <a:fillToRect r="100000" b="100000"/>
            </a:path>
            <a:tileRect l="-100000" t="-100000"/>
          </a:gradFill>
          <a:ln w="19050">
            <a:solidFill>
              <a:schemeClr val="lt1"/>
            </a:solidFill>
          </a:ln>
          <a:effectLst>
            <a:outerShdw blurRad="63500" sx="102000" sy="102000" algn="ctr" rotWithShape="0">
              <a:prstClr val="black">
                <a:alpha val="40000"/>
              </a:prstClr>
            </a:outerShdw>
          </a:effectLst>
        </c:spPr>
      </c:pivotFmt>
      <c:pivotFmt>
        <c:idx val="38"/>
        <c:spPr>
          <a:gradFill flip="none" rotWithShape="1">
            <a:gsLst>
              <a:gs pos="0">
                <a:schemeClr val="accent2">
                  <a:lumMod val="0"/>
                  <a:lumOff val="100000"/>
                </a:schemeClr>
              </a:gs>
              <a:gs pos="100000">
                <a:srgbClr val="004620"/>
              </a:gs>
            </a:gsLst>
            <a:path path="circle">
              <a:fillToRect l="50000" t="-80000" r="50000" b="180000"/>
            </a:path>
            <a:tileRect/>
          </a:gradFill>
          <a:ln w="19050">
            <a:solidFill>
              <a:schemeClr val="lt1"/>
            </a:solidFill>
          </a:ln>
          <a:effectLst>
            <a:outerShdw blurRad="63500" sx="102000" sy="102000" algn="ctr" rotWithShape="0">
              <a:prstClr val="black">
                <a:alpha val="40000"/>
              </a:prstClr>
            </a:outerShdw>
          </a:effectLst>
        </c:spPr>
      </c:pivotFmt>
      <c:pivotFmt>
        <c:idx val="39"/>
        <c:spPr>
          <a:gradFill flip="none" rotWithShape="1">
            <a:gsLst>
              <a:gs pos="0">
                <a:schemeClr val="accent2">
                  <a:lumMod val="0"/>
                  <a:lumOff val="100000"/>
                </a:schemeClr>
              </a:gs>
              <a:gs pos="50000">
                <a:srgbClr val="D3D3D3"/>
              </a:gs>
              <a:gs pos="100000">
                <a:schemeClr val="bg1">
                  <a:lumMod val="65000"/>
                </a:schemeClr>
              </a:gs>
            </a:gsLst>
            <a:path path="circle">
              <a:fillToRect l="100000" b="100000"/>
            </a:path>
            <a:tileRect t="-100000" r="-100000"/>
          </a:gradFill>
          <a:ln w="19050">
            <a:solidFill>
              <a:schemeClr val="lt1"/>
            </a:solidFill>
          </a:ln>
          <a:effectLst>
            <a:outerShdw blurRad="63500" sx="102000" sy="102000" algn="ctr" rotWithShape="0">
              <a:prstClr val="black">
                <a:alpha val="40000"/>
              </a:prstClr>
            </a:outerShdw>
          </a:effectLst>
        </c:spPr>
        <c:dLbl>
          <c:idx val="0"/>
          <c:layout>
            <c:manualLayout>
              <c:x val="-7.0555575154326432E-3"/>
              <c:y val="-4.7037037037037037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0"/>
        <c:spPr>
          <a:gradFill flip="none" rotWithShape="1">
            <a:gsLst>
              <a:gs pos="50000">
                <a:srgbClr val="B8D6A3"/>
              </a:gs>
              <a:gs pos="19450">
                <a:srgbClr val="E3EFDB"/>
              </a:gs>
              <a:gs pos="100000">
                <a:schemeClr val="accent6">
                  <a:lumMod val="60000"/>
                  <a:lumOff val="40000"/>
                </a:schemeClr>
              </a:gs>
            </a:gsLst>
            <a:path path="circle">
              <a:fillToRect l="100000" b="100000"/>
            </a:path>
            <a:tileRect t="-100000" r="-100000"/>
          </a:gradFill>
          <a:ln w="19050">
            <a:solidFill>
              <a:schemeClr val="lt1"/>
            </a:solidFill>
          </a:ln>
          <a:effectLst>
            <a:outerShdw blurRad="63500" sx="102000" sy="102000" algn="ctr" rotWithShape="0">
              <a:prstClr val="black">
                <a:alpha val="40000"/>
              </a:prstClr>
            </a:outerShdw>
          </a:effectLst>
        </c:spPr>
      </c:pivotFmt>
      <c:pivotFmt>
        <c:idx val="41"/>
        <c:spPr>
          <a:gradFill flip="none" rotWithShape="1">
            <a:gsLst>
              <a:gs pos="73471">
                <a:srgbClr val="B482D9"/>
              </a:gs>
              <a:gs pos="22133">
                <a:srgbClr val="E9D9F4"/>
              </a:gs>
              <a:gs pos="52200">
                <a:srgbClr val="CAA6E4"/>
              </a:gs>
              <a:gs pos="0">
                <a:schemeClr val="bg1"/>
              </a:gs>
              <a:gs pos="100000">
                <a:srgbClr val="9954CC"/>
              </a:gs>
            </a:gsLst>
            <a:path path="circle">
              <a:fillToRect l="100000" b="100000"/>
            </a:path>
            <a:tileRect t="-100000" r="-100000"/>
          </a:gradFill>
          <a:ln w="19050">
            <a:solidFill>
              <a:schemeClr val="lt1"/>
            </a:solidFill>
          </a:ln>
          <a:effectLst>
            <a:outerShdw blurRad="63500" sx="102000" sy="102000" algn="ctr" rotWithShape="0">
              <a:prstClr val="black">
                <a:alpha val="40000"/>
              </a:prstClr>
            </a:outerShdw>
          </a:effectLst>
        </c:spPr>
        <c:dLbl>
          <c:idx val="0"/>
          <c:layout>
            <c:manualLayout>
              <c:x val="-1.4111115030865302E-2"/>
              <c:y val="5.8796296296296242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2"/>
        <c:spPr>
          <a:gradFill flip="none" rotWithShape="1">
            <a:gsLst>
              <a:gs pos="0">
                <a:schemeClr val="bg1"/>
              </a:gs>
              <a:gs pos="76100">
                <a:srgbClr val="F19C62"/>
              </a:gs>
              <a:gs pos="50000">
                <a:srgbClr val="F6BE98"/>
              </a:gs>
              <a:gs pos="100000">
                <a:schemeClr val="accent2"/>
              </a:gs>
            </a:gsLst>
            <a:path path="circle">
              <a:fillToRect l="100000" b="100000"/>
            </a:path>
            <a:tileRect t="-100000" r="-100000"/>
          </a:gradFill>
          <a:ln w="19050">
            <a:solidFill>
              <a:schemeClr val="lt1"/>
            </a:solidFill>
          </a:ln>
          <a:effectLst>
            <a:outerShdw blurRad="63500" sx="102000" sy="102000" algn="ctr" rotWithShape="0">
              <a:prstClr val="black">
                <a:alpha val="40000"/>
              </a:prstClr>
            </a:outerShdw>
          </a:effectLst>
        </c:spPr>
        <c:dLbl>
          <c:idx val="0"/>
          <c:layout>
            <c:manualLayout>
              <c:x val="-3.5277787577163537E-3"/>
              <c:y val="5.291666666666664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3"/>
        <c:spPr>
          <a:gradFill flip="none" rotWithShape="1">
            <a:gsLst>
              <a:gs pos="50000">
                <a:srgbClr val="E08080"/>
              </a:gs>
              <a:gs pos="0">
                <a:schemeClr val="bg1"/>
              </a:gs>
              <a:gs pos="100000">
                <a:srgbClr val="C00000"/>
              </a:gs>
            </a:gsLst>
            <a:path path="circle">
              <a:fillToRect l="100000" t="100000"/>
            </a:path>
            <a:tileRect r="-100000" b="-100000"/>
          </a:gradFill>
          <a:ln w="19050">
            <a:solidFill>
              <a:schemeClr val="lt1"/>
            </a:solidFill>
          </a:ln>
          <a:effectLst>
            <a:outerShdw blurRad="63500" sx="102000" sy="102000" algn="ctr" rotWithShape="0">
              <a:prstClr val="black">
                <a:alpha val="40000"/>
              </a:prstClr>
            </a:outerShdw>
          </a:effectLst>
        </c:spPr>
      </c:pivotFmt>
      <c:pivotFmt>
        <c:idx val="44"/>
        <c:spPr>
          <a:gradFill>
            <a:gsLst>
              <a:gs pos="29200">
                <a:srgbClr val="B5E8CC"/>
              </a:gs>
              <a:gs pos="73450">
                <a:srgbClr val="44C57F"/>
              </a:gs>
              <a:gs pos="50000">
                <a:srgbClr val="80D8A8"/>
              </a:gs>
              <a:gs pos="0">
                <a:schemeClr val="bg1"/>
              </a:gs>
              <a:gs pos="100000">
                <a:srgbClr val="00B050"/>
              </a:gs>
            </a:gsLst>
            <a:path path="circle">
              <a:fillToRect l="100000" t="100000"/>
            </a:path>
          </a:gradFill>
          <a:ln w="19050">
            <a:solidFill>
              <a:schemeClr val="lt1"/>
            </a:solidFill>
          </a:ln>
          <a:effectLst>
            <a:outerShdw blurRad="63500" sx="102000" sy="102000" algn="ctr" rotWithShape="0">
              <a:prstClr val="black">
                <a:alpha val="40000"/>
              </a:prstClr>
            </a:outerShdw>
          </a:effectLst>
        </c:spPr>
        <c:dLbl>
          <c:idx val="0"/>
          <c:layout>
            <c:manualLayout>
              <c:x val="2.1166672546297928E-2"/>
              <c:y val="-1.7638888888888888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5"/>
        <c:spPr>
          <a:gradFill flip="none" rotWithShape="1">
            <a:gsLst>
              <a:gs pos="0">
                <a:schemeClr val="accent5">
                  <a:lumMod val="0"/>
                  <a:lumOff val="100000"/>
                </a:schemeClr>
              </a:gs>
              <a:gs pos="50000">
                <a:srgbClr val="80D8F8"/>
              </a:gs>
              <a:gs pos="100000">
                <a:srgbClr val="00B0F0"/>
              </a:gs>
            </a:gsLst>
            <a:path path="circle">
              <a:fillToRect t="100000" r="100000"/>
            </a:path>
            <a:tileRect l="-100000" b="-100000"/>
          </a:gradFill>
          <a:ln w="19050">
            <a:solidFill>
              <a:schemeClr val="lt1"/>
            </a:solidFill>
          </a:ln>
          <a:effectLst>
            <a:outerShdw blurRad="63500" sx="102000" sy="102000" algn="ctr" rotWithShape="0">
              <a:prstClr val="black">
                <a:alpha val="40000"/>
              </a:prstClr>
            </a:outerShdw>
          </a:effectLst>
        </c:spPr>
        <c:dLbl>
          <c:idx val="0"/>
          <c:layout>
            <c:manualLayout>
              <c:x val="3.5277777777777776E-2"/>
              <c:y val="0"/>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7"/>
        <c:spPr>
          <a:gradFill>
            <a:gsLst>
              <a:gs pos="100000">
                <a:schemeClr val="accent1">
                  <a:lumMod val="60000"/>
                  <a:lumOff val="40000"/>
                </a:schemeClr>
              </a:gs>
              <a:gs pos="0">
                <a:schemeClr val="accent1"/>
              </a:gs>
            </a:gsLst>
            <a:lin ang="5400000" scaled="0"/>
          </a:gradFill>
          <a:ln w="19050">
            <a:solidFill>
              <a:schemeClr val="lt1"/>
            </a:solidFill>
          </a:ln>
          <a:effectLst>
            <a:outerShdw blurRad="63500" sx="102000" sy="102000" algn="ctr" rotWithShape="0">
              <a:prstClr val="black">
                <a:alpha val="40000"/>
              </a:prstClr>
            </a:outerShdw>
          </a:effectLst>
        </c:spPr>
        <c:dLbl>
          <c:idx val="0"/>
          <c:layout>
            <c:manualLayout>
              <c:x val="7.4083353912042682E-2"/>
              <c:y val="5.8796296296296296E-3"/>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9"/>
        <c:spPr>
          <a:gradFill>
            <a:gsLst>
              <a:gs pos="100000">
                <a:schemeClr val="accent1">
                  <a:lumMod val="60000"/>
                  <a:lumOff val="40000"/>
                </a:schemeClr>
              </a:gs>
              <a:gs pos="0">
                <a:schemeClr val="accent1"/>
              </a:gs>
            </a:gsLst>
            <a:lin ang="5400000" scaled="0"/>
          </a:gradFill>
          <a:ln w="19050">
            <a:solidFill>
              <a:schemeClr val="lt1"/>
            </a:solidFill>
          </a:ln>
          <a:effectLst>
            <a:outerShdw blurRad="63500" sx="102000" sy="102000" algn="ctr" rotWithShape="0">
              <a:prstClr val="black">
                <a:alpha val="40000"/>
              </a:prstClr>
            </a:outerShdw>
          </a:effectLst>
        </c:spPr>
      </c:pivotFmt>
      <c:pivotFmt>
        <c:idx val="6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1"/>
        <c:spPr>
          <a:gradFill>
            <a:gsLst>
              <a:gs pos="100000">
                <a:schemeClr val="accent1">
                  <a:lumMod val="60000"/>
                  <a:lumOff val="40000"/>
                </a:schemeClr>
              </a:gs>
              <a:gs pos="0">
                <a:schemeClr val="accent1"/>
              </a:gs>
            </a:gsLst>
            <a:lin ang="5400000" scaled="0"/>
          </a:gradFill>
          <a:ln w="19050">
            <a:solidFill>
              <a:schemeClr val="lt1"/>
            </a:solidFill>
          </a:ln>
          <a:effectLst>
            <a:outerShdw blurRad="63500" sx="102000" sy="102000" algn="ctr" rotWithShape="0">
              <a:prstClr val="black">
                <a:alpha val="40000"/>
              </a:prstClr>
            </a:outerShdw>
          </a:effectLst>
        </c:spPr>
        <c:dLbl>
          <c:idx val="0"/>
          <c:layout>
            <c:manualLayout>
              <c:x val="4.2333345092595828E-2"/>
              <c:y val="5.2916666666666667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62"/>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'MASUK-CATEGORY'!$C$3</c:f>
              <c:strCache>
                <c:ptCount val="1"/>
                <c:pt idx="0">
                  <c:v>∑ Partisipan</c:v>
                </c:pt>
              </c:strCache>
            </c:strRef>
          </c:tx>
          <c:spPr>
            <a:effectLst>
              <a:outerShdw blurRad="63500" sx="102000" sy="102000" algn="ctr" rotWithShape="0">
                <a:prstClr val="black">
                  <a:alpha val="40000"/>
                </a:prstClr>
              </a:outerShdw>
            </a:effectLst>
          </c:spPr>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8C7E-4A7B-AC96-F207F57112F9}"/>
              </c:ext>
            </c:extLst>
          </c:dPt>
          <c:dPt>
            <c:idx val="1"/>
            <c:bubble3D val="0"/>
            <c:spPr>
              <a:gradFill flip="none" rotWithShape="1">
                <a:gsLst>
                  <a:gs pos="3000">
                    <a:srgbClr val="FFF5D5"/>
                  </a:gs>
                  <a:gs pos="72000">
                    <a:srgbClr val="FFE390"/>
                  </a:gs>
                  <a:gs pos="44000">
                    <a:srgbClr val="FFECB3"/>
                  </a:gs>
                  <a:gs pos="100000">
                    <a:srgbClr val="FFD757"/>
                  </a:gs>
                </a:gsLst>
                <a:path path="circle">
                  <a:fillToRect t="100000" r="100000"/>
                </a:path>
                <a:tileRect l="-100000" b="-10000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8C7E-4A7B-AC96-F207F57112F9}"/>
              </c:ext>
            </c:extLst>
          </c:dPt>
          <c:dPt>
            <c:idx val="2"/>
            <c:bubble3D val="0"/>
            <c:spPr>
              <a:gradFill flip="none" rotWithShape="1">
                <a:gsLst>
                  <a:gs pos="24800">
                    <a:srgbClr val="FFC0EF"/>
                  </a:gs>
                  <a:gs pos="75000">
                    <a:srgbClr val="FF41CD"/>
                  </a:gs>
                  <a:gs pos="50000">
                    <a:srgbClr val="FF80DE"/>
                  </a:gs>
                  <a:gs pos="100000">
                    <a:srgbClr val="FF01BC"/>
                  </a:gs>
                </a:gsLst>
                <a:path path="circle">
                  <a:fillToRect r="100000" b="100000"/>
                </a:path>
                <a:tileRect l="-100000" t="-10000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8C7E-4A7B-AC96-F207F57112F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7-8C7E-4A7B-AC96-F207F57112F9}"/>
              </c:ext>
            </c:extLst>
          </c:dPt>
          <c:dPt>
            <c:idx val="4"/>
            <c:bubble3D val="0"/>
            <c:spPr>
              <a:gradFill flip="none" rotWithShape="1">
                <a:gsLst>
                  <a:gs pos="0">
                    <a:schemeClr val="accent2">
                      <a:lumMod val="0"/>
                      <a:lumOff val="100000"/>
                    </a:schemeClr>
                  </a:gs>
                  <a:gs pos="50000">
                    <a:srgbClr val="D3D3D3"/>
                  </a:gs>
                  <a:gs pos="100000">
                    <a:schemeClr val="bg1">
                      <a:lumMod val="65000"/>
                    </a:schemeClr>
                  </a:gs>
                </a:gsLst>
                <a:path path="circle">
                  <a:fillToRect l="100000" b="100000"/>
                </a:path>
                <a:tileRect t="-100000" r="-10000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9-8C7E-4A7B-AC96-F207F57112F9}"/>
              </c:ext>
            </c:extLst>
          </c:dPt>
          <c:dPt>
            <c:idx val="5"/>
            <c:bubble3D val="0"/>
            <c:spPr>
              <a:gradFill flip="none" rotWithShape="1">
                <a:gsLst>
                  <a:gs pos="50000">
                    <a:srgbClr val="B8D6A3"/>
                  </a:gs>
                  <a:gs pos="19450">
                    <a:srgbClr val="E3EFDB"/>
                  </a:gs>
                  <a:gs pos="100000">
                    <a:schemeClr val="accent6">
                      <a:lumMod val="60000"/>
                      <a:lumOff val="40000"/>
                    </a:schemeClr>
                  </a:gs>
                </a:gsLst>
                <a:path path="circle">
                  <a:fillToRect l="100000" b="100000"/>
                </a:path>
                <a:tileRect t="-100000" r="-10000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B-8C7E-4A7B-AC96-F207F57112F9}"/>
              </c:ext>
            </c:extLst>
          </c:dPt>
          <c:dPt>
            <c:idx val="6"/>
            <c:bubble3D val="0"/>
            <c:spPr>
              <a:gradFill flip="none" rotWithShape="1">
                <a:gsLst>
                  <a:gs pos="73471">
                    <a:srgbClr val="B482D9"/>
                  </a:gs>
                  <a:gs pos="22133">
                    <a:srgbClr val="E9D9F4"/>
                  </a:gs>
                  <a:gs pos="52200">
                    <a:srgbClr val="CAA6E4"/>
                  </a:gs>
                  <a:gs pos="0">
                    <a:schemeClr val="bg1"/>
                  </a:gs>
                  <a:gs pos="100000">
                    <a:srgbClr val="9954CC"/>
                  </a:gs>
                </a:gsLst>
                <a:path path="circle">
                  <a:fillToRect l="100000" b="100000"/>
                </a:path>
                <a:tileRect t="-100000" r="-10000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D-8C7E-4A7B-AC96-F207F57112F9}"/>
              </c:ext>
            </c:extLst>
          </c:dPt>
          <c:dPt>
            <c:idx val="7"/>
            <c:bubble3D val="0"/>
            <c:spPr>
              <a:gradFill flip="none" rotWithShape="1">
                <a:gsLst>
                  <a:gs pos="0">
                    <a:schemeClr val="bg1"/>
                  </a:gs>
                  <a:gs pos="76100">
                    <a:srgbClr val="F19C62"/>
                  </a:gs>
                  <a:gs pos="50000">
                    <a:srgbClr val="F6BE98"/>
                  </a:gs>
                  <a:gs pos="100000">
                    <a:schemeClr val="accent2"/>
                  </a:gs>
                </a:gsLst>
                <a:path path="circle">
                  <a:fillToRect l="100000" b="100000"/>
                </a:path>
                <a:tileRect t="-100000" r="-10000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F-8C7E-4A7B-AC96-F207F57112F9}"/>
              </c:ext>
            </c:extLst>
          </c:dPt>
          <c:dPt>
            <c:idx val="8"/>
            <c:bubble3D val="0"/>
            <c:spPr>
              <a:gradFill flip="none" rotWithShape="1">
                <a:gsLst>
                  <a:gs pos="50000">
                    <a:srgbClr val="E08080"/>
                  </a:gs>
                  <a:gs pos="0">
                    <a:schemeClr val="bg1"/>
                  </a:gs>
                  <a:gs pos="100000">
                    <a:srgbClr val="C00000"/>
                  </a:gs>
                </a:gsLst>
                <a:path path="circle">
                  <a:fillToRect l="100000" t="100000"/>
                </a:path>
                <a:tileRect r="-100000" b="-10000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11-8C7E-4A7B-AC96-F207F57112F9}"/>
              </c:ext>
            </c:extLst>
          </c:dPt>
          <c:dPt>
            <c:idx val="9"/>
            <c:bubble3D val="0"/>
            <c:spPr>
              <a:gradFill>
                <a:gsLst>
                  <a:gs pos="29200">
                    <a:srgbClr val="B5E8CC"/>
                  </a:gs>
                  <a:gs pos="73450">
                    <a:srgbClr val="44C57F"/>
                  </a:gs>
                  <a:gs pos="50000">
                    <a:srgbClr val="80D8A8"/>
                  </a:gs>
                  <a:gs pos="0">
                    <a:schemeClr val="bg1"/>
                  </a:gs>
                  <a:gs pos="100000">
                    <a:srgbClr val="00B050"/>
                  </a:gs>
                </a:gsLst>
                <a:path path="circle">
                  <a:fillToRect l="100000" t="100000"/>
                </a:path>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13-8C7E-4A7B-AC96-F207F57112F9}"/>
              </c:ext>
            </c:extLst>
          </c:dPt>
          <c:dPt>
            <c:idx val="10"/>
            <c:bubble3D val="0"/>
            <c:spPr>
              <a:gradFill flip="none" rotWithShape="1">
                <a:gsLst>
                  <a:gs pos="0">
                    <a:schemeClr val="accent5">
                      <a:lumMod val="0"/>
                      <a:lumOff val="100000"/>
                    </a:schemeClr>
                  </a:gs>
                  <a:gs pos="50000">
                    <a:srgbClr val="80D8F8"/>
                  </a:gs>
                  <a:gs pos="100000">
                    <a:srgbClr val="00B0F0"/>
                  </a:gs>
                </a:gsLst>
                <a:path path="circle">
                  <a:fillToRect t="100000" r="100000"/>
                </a:path>
                <a:tileRect l="-100000" b="-100000"/>
              </a:gra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15-DF33-429C-8D2F-AF335D0D41C9}"/>
              </c:ext>
            </c:extLst>
          </c:dPt>
          <c:dLbls>
            <c:dLbl>
              <c:idx val="0"/>
              <c:layout>
                <c:manualLayout>
                  <c:x val="7.4083353912042682E-2"/>
                  <c:y val="5.8796296296296296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C7E-4A7B-AC96-F207F57112F9}"/>
                </c:ext>
              </c:extLst>
            </c:dLbl>
            <c:dLbl>
              <c:idx val="3"/>
              <c:layout>
                <c:manualLayout>
                  <c:x val="4.2333345092595828E-2"/>
                  <c:y val="5.2916666666666667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8C7E-4A7B-AC96-F207F57112F9}"/>
                </c:ext>
              </c:extLst>
            </c:dLbl>
            <c:dLbl>
              <c:idx val="4"/>
              <c:layout>
                <c:manualLayout>
                  <c:x val="-7.0555575154326432E-3"/>
                  <c:y val="-4.7037037037037037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8C7E-4A7B-AC96-F207F57112F9}"/>
                </c:ext>
              </c:extLst>
            </c:dLbl>
            <c:dLbl>
              <c:idx val="6"/>
              <c:layout>
                <c:manualLayout>
                  <c:x val="-1.4111115030865302E-2"/>
                  <c:y val="5.8796296296296242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8C7E-4A7B-AC96-F207F57112F9}"/>
                </c:ext>
              </c:extLst>
            </c:dLbl>
            <c:dLbl>
              <c:idx val="7"/>
              <c:layout>
                <c:manualLayout>
                  <c:x val="-3.5277787577163537E-3"/>
                  <c:y val="5.291666666666664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8C7E-4A7B-AC96-F207F57112F9}"/>
                </c:ext>
              </c:extLst>
            </c:dLbl>
            <c:dLbl>
              <c:idx val="9"/>
              <c:layout>
                <c:manualLayout>
                  <c:x val="2.1166672546297928E-2"/>
                  <c:y val="-1.7638888888888888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8C7E-4A7B-AC96-F207F57112F9}"/>
                </c:ext>
              </c:extLst>
            </c:dLbl>
            <c:dLbl>
              <c:idx val="10"/>
              <c:layout>
                <c:manualLayout>
                  <c:x val="3.5277777777777776E-2"/>
                  <c:y val="0"/>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DF33-429C-8D2F-AF335D0D41C9}"/>
                </c:ext>
              </c:extLst>
            </c:dLbl>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'MASUK-CATEGORY'!$B$4:$B$15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'MASUK-CATEGORY'!$C$4:$C$15</c:f>
              <c:numCache>
                <c:formatCode>General</c:formatCode>
                <c:ptCount val="11"/>
                <c:pt idx="0">
                  <c:v>4</c:v>
                </c:pt>
                <c:pt idx="1">
                  <c:v>22</c:v>
                </c:pt>
                <c:pt idx="2">
                  <c:v>13</c:v>
                </c:pt>
                <c:pt idx="3">
                  <c:v>1</c:v>
                </c:pt>
                <c:pt idx="4">
                  <c:v>4</c:v>
                </c:pt>
                <c:pt idx="5">
                  <c:v>7</c:v>
                </c:pt>
                <c:pt idx="6">
                  <c:v>6</c:v>
                </c:pt>
                <c:pt idx="7">
                  <c:v>3</c:v>
                </c:pt>
                <c:pt idx="8">
                  <c:v>1</c:v>
                </c:pt>
                <c:pt idx="9">
                  <c:v>5</c:v>
                </c:pt>
                <c:pt idx="10">
                  <c:v>2</c:v>
                </c:pt>
              </c:numCache>
            </c:numRef>
          </c:val>
          <c:extLst>
            <c:ext xmlns:c16="http://schemas.microsoft.com/office/drawing/2014/chart" uri="{C3380CC4-5D6E-409C-BE32-E72D297353CC}">
              <c16:uniqueId val="{00000014-8C7E-4A7B-AC96-F207F57112F9}"/>
            </c:ext>
          </c:extLst>
        </c:ser>
        <c:ser>
          <c:idx val="1"/>
          <c:order val="1"/>
          <c:tx>
            <c:strRef>
              <c:f>'MASUK-CATEGORY'!$D$3</c:f>
              <c:strCache>
                <c:ptCount val="1"/>
                <c:pt idx="0">
                  <c:v>% Partisipan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6-8C7E-4A7B-AC96-F207F57112F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8-8C7E-4A7B-AC96-F207F57112F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A-8C7E-4A7B-AC96-F207F57112F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C-8C7E-4A7B-AC96-F207F57112F9}"/>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1E-8C7E-4A7B-AC96-F207F57112F9}"/>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20-8C7E-4A7B-AC96-F207F57112F9}"/>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22-8C7E-4A7B-AC96-F207F57112F9}"/>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24-8C7E-4A7B-AC96-F207F57112F9}"/>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26-8C7E-4A7B-AC96-F207F57112F9}"/>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28-8C7E-4A7B-AC96-F207F57112F9}"/>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2B-DF33-429C-8D2F-AF335D0D41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'MASUK-CATEGORY'!$B$4:$B$15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'MASUK-CATEGORY'!$D$4:$D$15</c:f>
              <c:numCache>
                <c:formatCode>0.0%</c:formatCode>
                <c:ptCount val="11"/>
                <c:pt idx="0">
                  <c:v>2.056555269922879E-2</c:v>
                </c:pt>
                <c:pt idx="1">
                  <c:v>0.10025706940874037</c:v>
                </c:pt>
                <c:pt idx="2">
                  <c:v>0.32133676092544988</c:v>
                </c:pt>
                <c:pt idx="3">
                  <c:v>0.26735218508997427</c:v>
                </c:pt>
                <c:pt idx="4">
                  <c:v>1.7994858611825194E-2</c:v>
                </c:pt>
                <c:pt idx="5">
                  <c:v>6.1696658097686374E-2</c:v>
                </c:pt>
                <c:pt idx="6">
                  <c:v>8.7403598971722368E-2</c:v>
                </c:pt>
                <c:pt idx="7">
                  <c:v>5.1413881748071981E-2</c:v>
                </c:pt>
                <c:pt idx="8">
                  <c:v>1.5424164524421594E-2</c:v>
                </c:pt>
                <c:pt idx="9">
                  <c:v>2.8277634961439587E-2</c:v>
                </c:pt>
                <c:pt idx="10">
                  <c:v>2.8277634961439587E-2</c:v>
                </c:pt>
              </c:numCache>
            </c:numRef>
          </c:val>
          <c:extLst>
            <c:ext xmlns:c16="http://schemas.microsoft.com/office/drawing/2014/chart" uri="{C3380CC4-5D6E-409C-BE32-E72D297353CC}">
              <c16:uniqueId val="{00000029-8C7E-4A7B-AC96-F207F57112F9}"/>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solidFill>
            <a:effectLst/>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8229-4E04-8336-2CBDE8C2605B}"/>
              </c:ext>
            </c:extLst>
          </c:dPt>
          <c:dPt>
            <c:idx val="1"/>
            <c:bubble3D val="0"/>
            <c:spPr>
              <a:noFill/>
              <a:ln w="19050">
                <a:solidFill>
                  <a:schemeClr val="lt1"/>
                </a:solidFill>
              </a:ln>
              <a:effectLst/>
            </c:spPr>
            <c:extLst>
              <c:ext xmlns:c16="http://schemas.microsoft.com/office/drawing/2014/chart" uri="{C3380CC4-5D6E-409C-BE32-E72D297353CC}">
                <c16:uniqueId val="{00000003-8229-4E04-8336-2CBDE8C2605B}"/>
              </c:ext>
            </c:extLst>
          </c:dPt>
          <c:cat>
            <c:strRef>
              <c:f>'MASUK-TARGET'!$BD$4:$BD$5</c:f>
              <c:strCache>
                <c:ptCount val="2"/>
                <c:pt idx="0">
                  <c:v>Terkumpul</c:v>
                </c:pt>
                <c:pt idx="1">
                  <c:v>Belum</c:v>
                </c:pt>
              </c:strCache>
            </c:strRef>
          </c:cat>
          <c:val>
            <c:numRef>
              <c:f>'MASUK-TARGET'!$BE$4:$BE$5</c:f>
              <c:numCache>
                <c:formatCode>0.0</c:formatCode>
                <c:ptCount val="2"/>
                <c:pt idx="0" formatCode="General">
                  <c:v>40645.47</c:v>
                </c:pt>
                <c:pt idx="1">
                  <c:v>63517.412521032442</c:v>
                </c:pt>
              </c:numCache>
            </c:numRef>
          </c:val>
          <c:extLst>
            <c:ext xmlns:c16="http://schemas.microsoft.com/office/drawing/2014/chart" uri="{C3380CC4-5D6E-409C-BE32-E72D297353CC}">
              <c16:uniqueId val="{00000004-8229-4E04-8336-2CBDE8C2605B}"/>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E35B-4E50-99D2-F8935C72F201}"/>
              </c:ext>
            </c:extLst>
          </c:dPt>
          <c:dPt>
            <c:idx val="1"/>
            <c:bubble3D val="0"/>
            <c:spPr>
              <a:noFill/>
              <a:ln w="19050">
                <a:solidFill>
                  <a:schemeClr val="bg1"/>
                </a:solidFill>
              </a:ln>
              <a:effectLst/>
            </c:spPr>
            <c:extLst>
              <c:ext xmlns:c16="http://schemas.microsoft.com/office/drawing/2014/chart" uri="{C3380CC4-5D6E-409C-BE32-E72D297353CC}">
                <c16:uniqueId val="{00000003-E35B-4E50-99D2-F8935C72F201}"/>
              </c:ext>
            </c:extLst>
          </c:dPt>
          <c:cat>
            <c:strRef>
              <c:f>'MASUK-TARGET'!$BP$4:$BP$5</c:f>
              <c:strCache>
                <c:ptCount val="2"/>
                <c:pt idx="0">
                  <c:v>Terkumpul</c:v>
                </c:pt>
                <c:pt idx="1">
                  <c:v>Belum</c:v>
                </c:pt>
              </c:strCache>
            </c:strRef>
          </c:cat>
          <c:val>
            <c:numRef>
              <c:f>'MASUK-TARGET'!$BQ$4:$BQ$5</c:f>
              <c:numCache>
                <c:formatCode>General</c:formatCode>
                <c:ptCount val="2"/>
                <c:pt idx="0">
                  <c:v>40645.47</c:v>
                </c:pt>
                <c:pt idx="1">
                  <c:v>209264.52999999904</c:v>
                </c:pt>
              </c:numCache>
            </c:numRef>
          </c:val>
          <c:extLst>
            <c:ext xmlns:c16="http://schemas.microsoft.com/office/drawing/2014/chart" uri="{C3380CC4-5D6E-409C-BE32-E72D297353CC}">
              <c16:uniqueId val="{00000004-E35B-4E50-99D2-F8935C72F20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PIVOT.xlsx]JUAL-ECOBALI!JUAL-EcoBali-Delivery</c:name>
    <c:fmtId val="2"/>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63500" cap="rnd">
            <a:solidFill>
              <a:schemeClr val="lt1"/>
            </a:solidFill>
            <a:round/>
          </a:ln>
          <a:effectLst>
            <a:outerShdw blurRad="50800" dist="38100" dir="5400000" algn="t" rotWithShape="0">
              <a:prstClr val="black">
                <a:alpha val="40000"/>
              </a:prstClr>
            </a:outerShdw>
          </a:effectLst>
        </c:spPr>
        <c:marker>
          <c:symbol val="circle"/>
          <c:size val="5"/>
          <c:spPr>
            <a:solidFill>
              <a:schemeClr val="accent1"/>
            </a:solidFill>
            <a:ln w="22225">
              <a:solidFill>
                <a:schemeClr val="lt1"/>
              </a:solidFill>
              <a:round/>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63500" cap="rnd">
            <a:solidFill>
              <a:schemeClr val="lt1"/>
            </a:solidFill>
            <a:round/>
          </a:ln>
          <a:effectLst>
            <a:outerShdw blurRad="50800" dist="38100" dir="5400000" algn="t" rotWithShape="0">
              <a:prstClr val="black">
                <a:alpha val="40000"/>
              </a:prstClr>
            </a:outerShdw>
          </a:effectLst>
        </c:spPr>
        <c:marker>
          <c:symbol val="circle"/>
          <c:size val="5"/>
          <c:spPr>
            <a:solidFill>
              <a:schemeClr val="accent1"/>
            </a:solidFill>
            <a:ln w="22225">
              <a:solidFill>
                <a:schemeClr val="lt1"/>
              </a:solidFill>
              <a:round/>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'JUAL-ECOBALI'!$L$3</c:f>
              <c:strCache>
                <c:ptCount val="1"/>
                <c:pt idx="0">
                  <c:v>Total</c:v>
                </c:pt>
              </c:strCache>
            </c:strRef>
          </c:tx>
          <c:spPr>
            <a:ln w="63500" cap="rnd">
              <a:solidFill>
                <a:schemeClr val="lt1"/>
              </a:solidFill>
              <a:round/>
            </a:ln>
            <a:effectLst>
              <a:outerShdw blurRad="50800" dist="38100" dir="5400000" algn="t" rotWithShape="0">
                <a:prstClr val="black">
                  <a:alpha val="40000"/>
                </a:prstClr>
              </a:outerShdw>
            </a:effectLst>
          </c:spPr>
          <c:marker>
            <c:symbol val="circle"/>
            <c:size val="5"/>
            <c:spPr>
              <a:solidFill>
                <a:schemeClr val="accent1"/>
              </a:solidFill>
              <a:ln w="22225">
                <a:solidFill>
                  <a:schemeClr val="lt1"/>
                </a:solidFill>
                <a:round/>
              </a:ln>
              <a:effectLst>
                <a:outerShdw blurRad="50800" dist="38100" dir="5400000" algn="t"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'JUAL-ECOBALI'!$K$4:$K$8</c:f>
              <c:strCache>
                <c:ptCount val="4"/>
                <c:pt idx="0">
                  <c:v>(01) JAN</c:v>
                </c:pt>
                <c:pt idx="1">
                  <c:v>(02) FEB</c:v>
                </c:pt>
                <c:pt idx="2">
                  <c:v>(03) MAR</c:v>
                </c:pt>
                <c:pt idx="3">
                  <c:v>(04) APR</c:v>
                </c:pt>
              </c:strCache>
            </c:strRef>
          </c:cat>
          <c:val>
            <c:numRef>
              <c:f>'JUAL-ECOBALI'!$L$4:$L$8</c:f>
              <c:numCache>
                <c:formatCode>#,##0.0</c:formatCode>
                <c:ptCount val="4"/>
                <c:pt idx="0">
                  <c:v>9270</c:v>
                </c:pt>
                <c:pt idx="1">
                  <c:v>11758</c:v>
                </c:pt>
                <c:pt idx="2">
                  <c:v>8985</c:v>
                </c:pt>
                <c:pt idx="3">
                  <c:v>8373</c:v>
                </c:pt>
              </c:numCache>
            </c:numRef>
          </c:val>
          <c:smooth val="0"/>
          <c:extLst>
            <c:ext xmlns:c16="http://schemas.microsoft.com/office/drawing/2014/chart" uri="{C3380CC4-5D6E-409C-BE32-E72D297353CC}">
              <c16:uniqueId val="{00000001-D2C9-4E6A-9EF9-3B6AE145BE1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03137120"/>
        <c:axId val="1003153344"/>
      </c:lineChart>
      <c:catAx>
        <c:axId val="10031371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400" b="1" i="1" u="none" strike="noStrike" kern="1200" spc="100" baseline="0">
                <a:solidFill>
                  <a:schemeClr val="lt1"/>
                </a:solidFill>
                <a:latin typeface="+mn-lt"/>
                <a:ea typeface="+mn-ea"/>
                <a:cs typeface="+mn-cs"/>
              </a:defRPr>
            </a:pPr>
            <a:endParaRPr lang="en-US"/>
          </a:p>
        </c:txPr>
        <c:crossAx val="1003153344"/>
        <c:crosses val="autoZero"/>
        <c:auto val="1"/>
        <c:lblAlgn val="ctr"/>
        <c:lblOffset val="100"/>
        <c:noMultiLvlLbl val="0"/>
      </c:catAx>
      <c:valAx>
        <c:axId val="10031533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1" u="none" strike="noStrike" kern="1200" baseline="0">
                <a:solidFill>
                  <a:schemeClr val="lt1"/>
                </a:solidFill>
                <a:latin typeface="+mn-lt"/>
                <a:ea typeface="+mn-ea"/>
                <a:cs typeface="+mn-cs"/>
              </a:defRPr>
            </a:pPr>
            <a:endParaRPr lang="en-US"/>
          </a:p>
        </c:txPr>
        <c:crossAx val="100313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PIVOT.xlsx]JUAL-PABRIK!JUAL-Pabrik total diterima</c:name>
    <c:fmtId val="6"/>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63500" cap="rnd">
            <a:solidFill>
              <a:schemeClr val="lt1"/>
            </a:solidFill>
            <a:round/>
          </a:ln>
          <a:effectLst>
            <a:outerShdw blurRad="50800" dist="38100" dir="5400000" algn="t" rotWithShape="0">
              <a:prstClr val="black">
                <a:alpha val="40000"/>
              </a:prstClr>
            </a:outerShdw>
          </a:effectLst>
        </c:spPr>
        <c:marker>
          <c:symbol val="circle"/>
          <c:size val="5"/>
          <c:spPr>
            <a:solidFill>
              <a:schemeClr val="accent1"/>
            </a:solidFill>
            <a:ln w="22225">
              <a:solidFill>
                <a:schemeClr val="lt1"/>
              </a:solidFill>
              <a:round/>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'JUAL-PABRIK'!$AH$3</c:f>
              <c:strCache>
                <c:ptCount val="1"/>
                <c:pt idx="0">
                  <c:v>Total</c:v>
                </c:pt>
              </c:strCache>
            </c:strRef>
          </c:tx>
          <c:spPr>
            <a:ln w="63500" cap="rnd">
              <a:solidFill>
                <a:schemeClr val="lt1"/>
              </a:solidFill>
              <a:round/>
            </a:ln>
            <a:effectLst>
              <a:outerShdw blurRad="50800" dist="38100" dir="5400000" algn="t" rotWithShape="0">
                <a:prstClr val="black">
                  <a:alpha val="40000"/>
                </a:prstClr>
              </a:outerShdw>
            </a:effectLst>
          </c:spPr>
          <c:marker>
            <c:symbol val="circle"/>
            <c:size val="5"/>
            <c:spPr>
              <a:solidFill>
                <a:schemeClr val="accent1"/>
              </a:solidFill>
              <a:ln w="22225">
                <a:solidFill>
                  <a:schemeClr val="lt1"/>
                </a:solidFill>
                <a:round/>
              </a:ln>
              <a:effectLst>
                <a:outerShdw blurRad="50800" dist="38100" dir="5400000" algn="t"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'JUAL-PABRIK'!$AG$4:$AG$8</c:f>
              <c:strCache>
                <c:ptCount val="4"/>
                <c:pt idx="0">
                  <c:v>(01) JAN</c:v>
                </c:pt>
                <c:pt idx="1">
                  <c:v>(02) FEB</c:v>
                </c:pt>
                <c:pt idx="2">
                  <c:v>(03) MAR</c:v>
                </c:pt>
                <c:pt idx="3">
                  <c:v>(04) APR</c:v>
                </c:pt>
              </c:strCache>
            </c:strRef>
          </c:cat>
          <c:val>
            <c:numRef>
              <c:f>'JUAL-PABRIK'!$AH$4:$AH$8</c:f>
              <c:numCache>
                <c:formatCode>#,##0.0</c:formatCode>
                <c:ptCount val="4"/>
                <c:pt idx="0">
                  <c:v>8928</c:v>
                </c:pt>
                <c:pt idx="1">
                  <c:v>10856</c:v>
                </c:pt>
                <c:pt idx="2">
                  <c:v>8153</c:v>
                </c:pt>
                <c:pt idx="3">
                  <c:v>7690</c:v>
                </c:pt>
              </c:numCache>
            </c:numRef>
          </c:val>
          <c:smooth val="0"/>
          <c:extLst>
            <c:ext xmlns:c16="http://schemas.microsoft.com/office/drawing/2014/chart" uri="{C3380CC4-5D6E-409C-BE32-E72D297353CC}">
              <c16:uniqueId val="{00000000-5D39-481A-A238-24616B7CF4D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82198063"/>
        <c:axId val="582198479"/>
      </c:lineChart>
      <c:catAx>
        <c:axId val="58219806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400" b="1" i="1" u="none" strike="noStrike" kern="1200" spc="100" baseline="0">
                <a:solidFill>
                  <a:schemeClr val="lt1"/>
                </a:solidFill>
                <a:latin typeface="+mn-lt"/>
                <a:ea typeface="+mn-ea"/>
                <a:cs typeface="+mn-cs"/>
              </a:defRPr>
            </a:pPr>
            <a:endParaRPr lang="en-US"/>
          </a:p>
        </c:txPr>
        <c:crossAx val="582198479"/>
        <c:crosses val="autoZero"/>
        <c:auto val="1"/>
        <c:lblAlgn val="ctr"/>
        <c:lblOffset val="100"/>
        <c:noMultiLvlLbl val="0"/>
      </c:catAx>
      <c:valAx>
        <c:axId val="58219847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1" i="1" u="none" strike="noStrike" kern="1200" baseline="0">
                <a:solidFill>
                  <a:schemeClr val="lt1"/>
                </a:solidFill>
                <a:latin typeface="+mn-lt"/>
                <a:ea typeface="+mn-ea"/>
                <a:cs typeface="+mn-cs"/>
              </a:defRPr>
            </a:pPr>
            <a:endParaRPr lang="en-US"/>
          </a:p>
        </c:txPr>
        <c:crossAx val="58219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lt1"/>
            </a:solidFill>
            <a:ln w="19050">
              <a:solidFill>
                <a:schemeClr val="lt1"/>
              </a:solidFill>
            </a:ln>
            <a:effectLst/>
          </c:spPr>
          <c:dPt>
            <c:idx val="0"/>
            <c:bubble3D val="0"/>
            <c:spPr>
              <a:noFill/>
              <a:ln w="19050">
                <a:solidFill>
                  <a:schemeClr val="lt1"/>
                </a:solidFill>
              </a:ln>
              <a:effectLst/>
            </c:spPr>
            <c:extLst>
              <c:ext xmlns:c16="http://schemas.microsoft.com/office/drawing/2014/chart" uri="{C3380CC4-5D6E-409C-BE32-E72D297353CC}">
                <c16:uniqueId val="{00000001-6C46-4BD0-90C8-97FD6E9F18C5}"/>
              </c:ext>
            </c:extLst>
          </c:dPt>
          <c:dPt>
            <c:idx val="1"/>
            <c:bubble3D val="0"/>
            <c:spPr>
              <a:solidFill>
                <a:schemeClr val="lt1"/>
              </a:solidFill>
              <a:ln w="19050">
                <a:solidFill>
                  <a:schemeClr val="lt1"/>
                </a:solidFill>
              </a:ln>
              <a:effectLst/>
            </c:spPr>
            <c:extLst>
              <c:ext xmlns:c16="http://schemas.microsoft.com/office/drawing/2014/chart" uri="{C3380CC4-5D6E-409C-BE32-E72D297353CC}">
                <c16:uniqueId val="{00000003-6C46-4BD0-90C8-97FD6E9F18C5}"/>
              </c:ext>
            </c:extLst>
          </c:dPt>
          <c:dLbls>
            <c:delete val="1"/>
          </c:dLbls>
          <c:cat>
            <c:strRef>
              <c:f>'JUAL-ECOBALI'!$AN$4:$AN$5</c:f>
              <c:strCache>
                <c:ptCount val="2"/>
                <c:pt idx="0">
                  <c:v>Susut</c:v>
                </c:pt>
                <c:pt idx="1">
                  <c:v>Tidak Susut</c:v>
                </c:pt>
              </c:strCache>
            </c:strRef>
          </c:cat>
          <c:val>
            <c:numRef>
              <c:f>'JUAL-ECOBALI'!$AO$4:$AO$5</c:f>
              <c:numCache>
                <c:formatCode>#,##0.0</c:formatCode>
                <c:ptCount val="2"/>
                <c:pt idx="0">
                  <c:v>2270.67</c:v>
                </c:pt>
                <c:pt idx="1">
                  <c:v>38386</c:v>
                </c:pt>
              </c:numCache>
            </c:numRef>
          </c:val>
          <c:extLst>
            <c:ext xmlns:c16="http://schemas.microsoft.com/office/drawing/2014/chart" uri="{C3380CC4-5D6E-409C-BE32-E72D297353CC}">
              <c16:uniqueId val="{00000004-6C46-4BD0-90C8-97FD6E9F18C5}"/>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PIVOT.xlsx]JUAL-PABRIK!JUAL-EcoBali vs Papermill</c:name>
    <c:fmtId val="5"/>
  </c:pivotSource>
  <c:chart>
    <c:autoTitleDeleted val="0"/>
    <c:pivotFmts>
      <c:pivotFmt>
        <c:idx val="0"/>
        <c:spPr>
          <a:gradFill>
            <a:gsLst>
              <a:gs pos="50000">
                <a:srgbClr val="36639D"/>
              </a:gs>
              <a:gs pos="0">
                <a:srgbClr val="6CA5DA"/>
              </a:gs>
              <a:gs pos="100000">
                <a:srgbClr val="002060"/>
              </a:gs>
            </a:gsLst>
            <a:lin ang="18000000" scaled="0"/>
          </a:gradFill>
          <a:ln w="127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alpha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0000">
                <a:srgbClr val="36639D"/>
              </a:gs>
              <a:gs pos="0">
                <a:srgbClr val="6CA5DA"/>
              </a:gs>
              <a:gs pos="100000">
                <a:srgbClr val="002060"/>
              </a:gs>
            </a:gsLst>
            <a:lin ang="18000000" scaled="0"/>
          </a:gradFill>
          <a:ln w="127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alpha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00B0F0"/>
              </a:gs>
              <a:gs pos="100000">
                <a:srgbClr val="002060"/>
              </a:gs>
            </a:gsLst>
            <a:lin ang="18000000" scaled="0"/>
          </a:gradFill>
          <a:ln w="34925">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alpha val="30000"/>
            </a:schemeClr>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alpha val="30000"/>
            </a:schemeClr>
          </a:solidFill>
          <a:ln w="34925">
            <a:solidFill>
              <a:schemeClr val="bg1"/>
            </a:solidFill>
          </a:ln>
          <a:effectLst/>
        </c:spPr>
      </c:pivotFmt>
      <c:pivotFmt>
        <c:idx val="7"/>
        <c:spPr>
          <a:gradFill flip="none" rotWithShape="1">
            <a:gsLst>
              <a:gs pos="0">
                <a:srgbClr val="00B0F0"/>
              </a:gs>
              <a:gs pos="100000">
                <a:srgbClr val="002060"/>
              </a:gs>
            </a:gsLst>
            <a:lin ang="16200000" scaled="1"/>
            <a:tileRect/>
          </a:gradFill>
          <a:ln w="28575">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alpha val="51000"/>
            </a:schemeClr>
          </a:solidFill>
          <a:ln w="25400" cap="sq" cmpd="sng">
            <a:solidFill>
              <a:schemeClr val="bg1">
                <a:alpha val="76000"/>
              </a:schemeClr>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00B0F0"/>
              </a:gs>
              <a:gs pos="100000">
                <a:srgbClr val="002060"/>
              </a:gs>
            </a:gsLst>
            <a:lin ang="16200000" scaled="1"/>
            <a:tileRect/>
          </a:gradFill>
          <a:ln w="28575">
            <a:solidFill>
              <a:schemeClr val="bg1"/>
            </a:solidFill>
            <a:prstDash val="sysDash"/>
          </a:ln>
          <a:effectLst/>
        </c:spPr>
        <c:dLbl>
          <c:idx val="0"/>
          <c:layout>
            <c:manualLayout>
              <c:x val="-1.474201360119069E-3"/>
              <c:y val="-4.8309178743961576E-3"/>
            </c:manualLayout>
          </c:layout>
          <c:spPr>
            <a:noFill/>
            <a:ln>
              <a:noFill/>
            </a:ln>
            <a:effectLst/>
          </c:spPr>
          <c:txPr>
            <a:bodyPr rot="0" spcFirstLastPara="1" vertOverflow="ellipsis" vert="horz" wrap="square" lIns="38100" tIns="19050" rIns="38100" bIns="19050" anchor="ctr" anchorCtr="1">
              <a:spAutoFit/>
            </a:bodyPr>
            <a:lstStyle/>
            <a:p>
              <a:pPr>
                <a:defRPr sz="1800" b="1"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spPr>
          <a:gradFill>
            <a:gsLst>
              <a:gs pos="0">
                <a:schemeClr val="bg1"/>
              </a:gs>
              <a:gs pos="0">
                <a:schemeClr val="bg1"/>
              </a:gs>
              <a:gs pos="0">
                <a:schemeClr val="bg1"/>
              </a:gs>
              <a:gs pos="0">
                <a:schemeClr val="bg1"/>
              </a:gs>
              <a:gs pos="100000">
                <a:srgbClr val="002060"/>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34332211689483E-2"/>
          <c:y val="0.14450014502904121"/>
          <c:w val="0.90346810804930988"/>
          <c:h val="0.58498562306577351"/>
        </c:manualLayout>
      </c:layout>
      <c:barChart>
        <c:barDir val="col"/>
        <c:grouping val="clustered"/>
        <c:varyColors val="0"/>
        <c:ser>
          <c:idx val="0"/>
          <c:order val="0"/>
          <c:tx>
            <c:strRef>
              <c:f>'JUAL-PABRIK'!$BC$3</c:f>
              <c:strCache>
                <c:ptCount val="1"/>
                <c:pt idx="0">
                  <c:v>Sum of Delivered to Papermill (Kg)</c:v>
                </c:pt>
              </c:strCache>
            </c:strRef>
          </c:tx>
          <c:spPr>
            <a:solidFill>
              <a:schemeClr val="bg1">
                <a:alpha val="51000"/>
              </a:schemeClr>
            </a:solidFill>
            <a:ln w="25400" cap="sq" cmpd="sng">
              <a:solidFill>
                <a:schemeClr val="bg1">
                  <a:alpha val="76000"/>
                </a:schemeClr>
              </a:solidFill>
              <a:prstDash val="sysDot"/>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'JUAL-PABRIK'!$BB$4:$BB$10</c:f>
              <c:multiLvlStrCache>
                <c:ptCount val="4"/>
                <c:lvl>
                  <c:pt idx="0">
                    <c:v>(01) JAN</c:v>
                  </c:pt>
                  <c:pt idx="1">
                    <c:v>(02) FEB</c:v>
                  </c:pt>
                  <c:pt idx="2">
                    <c:v>(03) MAR</c:v>
                  </c:pt>
                  <c:pt idx="3">
                    <c:v>(04) APR</c:v>
                  </c:pt>
                </c:lvl>
                <c:lvl>
                  <c:pt idx="0">
                    <c:v>Q1</c:v>
                  </c:pt>
                  <c:pt idx="3">
                    <c:v>Q2</c:v>
                  </c:pt>
                </c:lvl>
              </c:multiLvlStrCache>
            </c:multiLvlStrRef>
          </c:cat>
          <c:val>
            <c:numRef>
              <c:f>'JUAL-PABRIK'!$BC$4:$BC$10</c:f>
              <c:numCache>
                <c:formatCode>General</c:formatCode>
                <c:ptCount val="4"/>
                <c:pt idx="0">
                  <c:v>9270</c:v>
                </c:pt>
                <c:pt idx="1">
                  <c:v>11758</c:v>
                </c:pt>
                <c:pt idx="2">
                  <c:v>8985</c:v>
                </c:pt>
                <c:pt idx="3">
                  <c:v>8373</c:v>
                </c:pt>
              </c:numCache>
            </c:numRef>
          </c:val>
          <c:extLst>
            <c:ext xmlns:c16="http://schemas.microsoft.com/office/drawing/2014/chart" uri="{C3380CC4-5D6E-409C-BE32-E72D297353CC}">
              <c16:uniqueId val="{00000000-494F-4E03-8581-130EB06224C9}"/>
            </c:ext>
          </c:extLst>
        </c:ser>
        <c:ser>
          <c:idx val="1"/>
          <c:order val="1"/>
          <c:tx>
            <c:strRef>
              <c:f>'JUAL-PABRIK'!$BD$3</c:f>
              <c:strCache>
                <c:ptCount val="1"/>
                <c:pt idx="0">
                  <c:v>Sum of Received at Papermill (Kg)</c:v>
                </c:pt>
              </c:strCache>
            </c:strRef>
          </c:tx>
          <c:spPr>
            <a:gradFill>
              <a:gsLst>
                <a:gs pos="0">
                  <a:schemeClr val="bg1"/>
                </a:gs>
                <a:gs pos="0">
                  <a:schemeClr val="bg1"/>
                </a:gs>
                <a:gs pos="0">
                  <a:schemeClr val="bg1"/>
                </a:gs>
                <a:gs pos="0">
                  <a:schemeClr val="bg1"/>
                </a:gs>
                <a:gs pos="100000">
                  <a:srgbClr val="002060"/>
                </a:gs>
              </a:gsLst>
              <a:lin ang="16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'JUAL-PABRIK'!$BB$4:$BB$10</c:f>
              <c:multiLvlStrCache>
                <c:ptCount val="4"/>
                <c:lvl>
                  <c:pt idx="0">
                    <c:v>(01) JAN</c:v>
                  </c:pt>
                  <c:pt idx="1">
                    <c:v>(02) FEB</c:v>
                  </c:pt>
                  <c:pt idx="2">
                    <c:v>(03) MAR</c:v>
                  </c:pt>
                  <c:pt idx="3">
                    <c:v>(04) APR</c:v>
                  </c:pt>
                </c:lvl>
                <c:lvl>
                  <c:pt idx="0">
                    <c:v>Q1</c:v>
                  </c:pt>
                  <c:pt idx="3">
                    <c:v>Q2</c:v>
                  </c:pt>
                </c:lvl>
              </c:multiLvlStrCache>
            </c:multiLvlStrRef>
          </c:cat>
          <c:val>
            <c:numRef>
              <c:f>'JUAL-PABRIK'!$BD$4:$BD$10</c:f>
              <c:numCache>
                <c:formatCode>General</c:formatCode>
                <c:ptCount val="4"/>
                <c:pt idx="0">
                  <c:v>9300</c:v>
                </c:pt>
                <c:pt idx="1">
                  <c:v>11800</c:v>
                </c:pt>
                <c:pt idx="2">
                  <c:v>8930</c:v>
                </c:pt>
                <c:pt idx="3">
                  <c:v>8340</c:v>
                </c:pt>
              </c:numCache>
            </c:numRef>
          </c:val>
          <c:extLst>
            <c:ext xmlns:c16="http://schemas.microsoft.com/office/drawing/2014/chart" uri="{C3380CC4-5D6E-409C-BE32-E72D297353CC}">
              <c16:uniqueId val="{00000002-7A21-4AE8-9C9B-489BB3FFCDF9}"/>
            </c:ext>
          </c:extLst>
        </c:ser>
        <c:dLbls>
          <c:dLblPos val="outEnd"/>
          <c:showLegendKey val="0"/>
          <c:showVal val="1"/>
          <c:showCatName val="0"/>
          <c:showSerName val="0"/>
          <c:showPercent val="0"/>
          <c:showBubbleSize val="0"/>
        </c:dLbls>
        <c:gapWidth val="69"/>
        <c:overlap val="100"/>
        <c:axId val="618902224"/>
        <c:axId val="618900560"/>
      </c:barChart>
      <c:catAx>
        <c:axId val="61890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618900560"/>
        <c:crosses val="autoZero"/>
        <c:auto val="1"/>
        <c:lblAlgn val="ctr"/>
        <c:lblOffset val="100"/>
        <c:noMultiLvlLbl val="0"/>
      </c:catAx>
      <c:valAx>
        <c:axId val="61890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618902224"/>
        <c:crosses val="autoZero"/>
        <c:crossBetween val="between"/>
      </c:valAx>
      <c:spPr>
        <a:noFill/>
        <a:ln>
          <a:noFill/>
        </a:ln>
        <a:effectLst/>
      </c:spPr>
    </c:plotArea>
    <c:legend>
      <c:legendPos val="t"/>
      <c:layout>
        <c:manualLayout>
          <c:xMode val="edge"/>
          <c:yMode val="edge"/>
          <c:x val="0.26512536266170639"/>
          <c:y val="1.6484628079717695E-2"/>
          <c:w val="0.47193639075747146"/>
          <c:h val="0.1008344106240451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solidFill>
            <a:ln>
              <a:solidFill>
                <a:sysClr val="window" lastClr="FFFFFF"/>
              </a:solidFill>
            </a:ln>
          </c:spPr>
          <c:dPt>
            <c:idx val="0"/>
            <c:bubble3D val="0"/>
            <c:spPr>
              <a:noFill/>
              <a:ln>
                <a:solidFill>
                  <a:sysClr val="window" lastClr="FFFFFF"/>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E49-4608-8DE5-CB9B607C32E3}"/>
              </c:ext>
            </c:extLst>
          </c:dPt>
          <c:dPt>
            <c:idx val="1"/>
            <c:bubble3D val="0"/>
            <c:spPr>
              <a:solidFill>
                <a:schemeClr val="bg1"/>
              </a:solidFill>
              <a:ln>
                <a:solidFill>
                  <a:sysClr val="window" lastClr="FFFFFF"/>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E49-4608-8DE5-CB9B607C32E3}"/>
              </c:ext>
            </c:extLst>
          </c:dPt>
          <c:cat>
            <c:strRef>
              <c:f>'JUAL-PABRIK'!$AA$4:$AA$5</c:f>
              <c:strCache>
                <c:ptCount val="2"/>
                <c:pt idx="0">
                  <c:v>MCC</c:v>
                </c:pt>
                <c:pt idx="1">
                  <c:v>UBC</c:v>
                </c:pt>
              </c:strCache>
            </c:strRef>
          </c:cat>
          <c:val>
            <c:numRef>
              <c:f>'JUAL-PABRIK'!$AB$4:$AB$5</c:f>
              <c:numCache>
                <c:formatCode>General</c:formatCode>
                <c:ptCount val="2"/>
                <c:pt idx="0">
                  <c:v>2743</c:v>
                </c:pt>
                <c:pt idx="1">
                  <c:v>35627</c:v>
                </c:pt>
              </c:numCache>
            </c:numRef>
          </c:val>
          <c:extLst>
            <c:ext xmlns:c16="http://schemas.microsoft.com/office/drawing/2014/chart" uri="{C3380CC4-5D6E-409C-BE32-E72D297353CC}">
              <c16:uniqueId val="{00000004-EE49-4608-8DE5-CB9B607C32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PIVOT.xlsx]JUAL-PABRIK!JUAL-Pabrik-Received</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63500" cap="rnd">
            <a:solidFill>
              <a:schemeClr val="lt1"/>
            </a:solidFill>
            <a:round/>
          </a:ln>
          <a:effectLst>
            <a:outerShdw blurRad="50800" dist="38100" dir="5400000" algn="t" rotWithShape="0">
              <a:prstClr val="black">
                <a:alpha val="40000"/>
              </a:prstClr>
            </a:outerShdw>
          </a:effectLst>
        </c:spPr>
        <c:marker>
          <c:symbol val="circle"/>
          <c:size val="5"/>
          <c:spPr>
            <a:solidFill>
              <a:schemeClr val="accent1"/>
            </a:solidFill>
            <a:ln w="22225">
              <a:solidFill>
                <a:schemeClr val="lt1"/>
              </a:solidFill>
              <a:round/>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63500" cap="rnd">
            <a:solidFill>
              <a:schemeClr val="bg1"/>
            </a:solidFill>
            <a:round/>
          </a:ln>
          <a:effectLst>
            <a:outerShdw blurRad="50800" dist="38100" dir="5400000" algn="t" rotWithShape="0">
              <a:prstClr val="black">
                <a:alpha val="40000"/>
              </a:prstClr>
            </a:outerShdw>
          </a:effectLst>
        </c:spPr>
        <c:marker>
          <c:symbol val="circle"/>
          <c:size val="5"/>
          <c:spPr>
            <a:solidFill>
              <a:schemeClr val="accent1"/>
            </a:solidFill>
            <a:ln w="22225">
              <a:solidFill>
                <a:schemeClr val="lt1"/>
              </a:solidFill>
              <a:round/>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'JUAL-PABRIK'!$C$3</c:f>
              <c:strCache>
                <c:ptCount val="1"/>
                <c:pt idx="0">
                  <c:v>Total</c:v>
                </c:pt>
              </c:strCache>
            </c:strRef>
          </c:tx>
          <c:spPr>
            <a:ln w="63500" cap="rnd">
              <a:solidFill>
                <a:schemeClr val="bg1"/>
              </a:solidFill>
              <a:round/>
            </a:ln>
            <a:effectLst>
              <a:outerShdw blurRad="50800" dist="38100" dir="5400000" algn="t" rotWithShape="0">
                <a:prstClr val="black">
                  <a:alpha val="40000"/>
                </a:prstClr>
              </a:outerShdw>
            </a:effectLst>
          </c:spPr>
          <c:marker>
            <c:symbol val="circle"/>
            <c:size val="5"/>
            <c:spPr>
              <a:solidFill>
                <a:schemeClr val="accent1"/>
              </a:solidFill>
              <a:ln w="22225">
                <a:solidFill>
                  <a:schemeClr val="lt1"/>
                </a:solidFill>
                <a:round/>
              </a:ln>
              <a:effectLst>
                <a:outerShdw blurRad="50800" dist="38100" dir="5400000" algn="t"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'JUAL-PABRIK'!$B$4:$B$8</c:f>
              <c:strCache>
                <c:ptCount val="4"/>
                <c:pt idx="0">
                  <c:v>(01) JAN</c:v>
                </c:pt>
                <c:pt idx="1">
                  <c:v>(02) FEB</c:v>
                </c:pt>
                <c:pt idx="2">
                  <c:v>(03) MAR</c:v>
                </c:pt>
                <c:pt idx="3">
                  <c:v>(04) APR</c:v>
                </c:pt>
              </c:strCache>
            </c:strRef>
          </c:cat>
          <c:val>
            <c:numRef>
              <c:f>'JUAL-PABRIK'!$C$4:$C$8</c:f>
              <c:numCache>
                <c:formatCode>#,##0</c:formatCode>
                <c:ptCount val="4"/>
                <c:pt idx="0">
                  <c:v>9300</c:v>
                </c:pt>
                <c:pt idx="1">
                  <c:v>11800</c:v>
                </c:pt>
                <c:pt idx="2">
                  <c:v>8930</c:v>
                </c:pt>
                <c:pt idx="3">
                  <c:v>8340</c:v>
                </c:pt>
              </c:numCache>
            </c:numRef>
          </c:val>
          <c:smooth val="0"/>
          <c:extLst>
            <c:ext xmlns:c16="http://schemas.microsoft.com/office/drawing/2014/chart" uri="{C3380CC4-5D6E-409C-BE32-E72D297353CC}">
              <c16:uniqueId val="{00000001-ABDF-4D17-BA04-A9381562AD9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0645488"/>
        <c:axId val="30635088"/>
      </c:lineChart>
      <c:catAx>
        <c:axId val="306454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400" b="1" i="1" u="none" strike="noStrike" kern="1200" spc="100" baseline="0">
                <a:solidFill>
                  <a:schemeClr val="lt1"/>
                </a:solidFill>
                <a:latin typeface="+mn-lt"/>
                <a:ea typeface="+mn-ea"/>
                <a:cs typeface="+mn-cs"/>
              </a:defRPr>
            </a:pPr>
            <a:endParaRPr lang="en-US"/>
          </a:p>
        </c:txPr>
        <c:crossAx val="30635088"/>
        <c:crosses val="autoZero"/>
        <c:auto val="1"/>
        <c:lblAlgn val="ctr"/>
        <c:lblOffset val="100"/>
        <c:noMultiLvlLbl val="0"/>
      </c:catAx>
      <c:valAx>
        <c:axId val="306350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1" u="none" strike="noStrike" kern="1200" baseline="0">
                <a:solidFill>
                  <a:schemeClr val="lt1"/>
                </a:solidFill>
                <a:latin typeface="+mn-lt"/>
                <a:ea typeface="+mn-ea"/>
                <a:cs typeface="+mn-cs"/>
              </a:defRPr>
            </a:pPr>
            <a:endParaRPr lang="en-US"/>
          </a:p>
        </c:txPr>
        <c:crossAx val="306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PIVOT.xlsx]JUAL-PABRIK!JUAL-PABRIK-MCC</c:name>
    <c:fmtId val="3"/>
  </c:pivotSource>
  <c:chart>
    <c:autoTitleDeleted val="1"/>
    <c:pivotFmts>
      <c:pivotFmt>
        <c:idx val="0"/>
        <c:spPr>
          <a:gradFill flip="none" rotWithShape="1">
            <a:gsLst>
              <a:gs pos="0">
                <a:srgbClr val="00B0F0"/>
              </a:gs>
              <a:gs pos="50000">
                <a:srgbClr val="0068A8"/>
              </a:gs>
              <a:gs pos="100000">
                <a:srgbClr val="002060">
                  <a:alpha val="98000"/>
                </a:srgbClr>
              </a:gs>
            </a:gsLst>
            <a:lin ang="5400000" scaled="1"/>
            <a:tileRect/>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B0F0"/>
              </a:gs>
              <a:gs pos="50000">
                <a:srgbClr val="0068A8"/>
              </a:gs>
              <a:gs pos="100000">
                <a:srgbClr val="002060">
                  <a:alpha val="98000"/>
                </a:srgbClr>
              </a:gs>
            </a:gsLst>
            <a:lin ang="54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B0F0"/>
              </a:gs>
              <a:gs pos="50000">
                <a:srgbClr val="0068A8"/>
              </a:gs>
              <a:gs pos="100000">
                <a:srgbClr val="002060">
                  <a:alpha val="98000"/>
                </a:srgbClr>
              </a:gs>
            </a:gsLst>
            <a:lin ang="5400000" scaled="1"/>
            <a:tileRect/>
          </a:gradFill>
          <a:ln>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'JUAL-PABRIK'!$BP$3</c:f>
              <c:strCache>
                <c:ptCount val="1"/>
                <c:pt idx="0">
                  <c:v>Total</c:v>
                </c:pt>
              </c:strCache>
            </c:strRef>
          </c:tx>
          <c:spPr>
            <a:gradFill flip="none" rotWithShape="1">
              <a:gsLst>
                <a:gs pos="0">
                  <a:srgbClr val="00B0F0"/>
                </a:gs>
                <a:gs pos="50000">
                  <a:srgbClr val="0068A8"/>
                </a:gs>
                <a:gs pos="100000">
                  <a:srgbClr val="002060">
                    <a:alpha val="98000"/>
                  </a:srgbClr>
                </a:gs>
              </a:gsLst>
              <a:lin ang="5400000" scaled="1"/>
              <a:tileRect/>
            </a:gradFill>
            <a:ln>
              <a:noFill/>
            </a:ln>
            <a:effectLst>
              <a:outerShdw blurRad="50800" dist="38100" algn="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'JUAL-PABRIK'!$BO$4:$BO$10</c:f>
              <c:multiLvlStrCache>
                <c:ptCount val="4"/>
                <c:lvl>
                  <c:pt idx="0">
                    <c:v>(01) JAN</c:v>
                  </c:pt>
                  <c:pt idx="1">
                    <c:v>(02) FEB</c:v>
                  </c:pt>
                  <c:pt idx="2">
                    <c:v>(03) MAR</c:v>
                  </c:pt>
                  <c:pt idx="3">
                    <c:v>(04) APR</c:v>
                  </c:pt>
                </c:lvl>
                <c:lvl>
                  <c:pt idx="0">
                    <c:v>Q1</c:v>
                  </c:pt>
                  <c:pt idx="3">
                    <c:v>Q2</c:v>
                  </c:pt>
                </c:lvl>
              </c:multiLvlStrCache>
            </c:multiLvlStrRef>
          </c:cat>
          <c:val>
            <c:numRef>
              <c:f>'JUAL-PABRIK'!$BP$4:$BP$10</c:f>
              <c:numCache>
                <c:formatCode>General</c:formatCode>
                <c:ptCount val="4"/>
                <c:pt idx="0">
                  <c:v>372</c:v>
                </c:pt>
                <c:pt idx="1">
                  <c:v>944</c:v>
                </c:pt>
                <c:pt idx="2">
                  <c:v>777</c:v>
                </c:pt>
                <c:pt idx="3">
                  <c:v>650</c:v>
                </c:pt>
              </c:numCache>
            </c:numRef>
          </c:val>
          <c:extLst>
            <c:ext xmlns:c16="http://schemas.microsoft.com/office/drawing/2014/chart" uri="{C3380CC4-5D6E-409C-BE32-E72D297353CC}">
              <c16:uniqueId val="{00000000-D5F9-43B6-99C3-0B9AA86536B6}"/>
            </c:ext>
          </c:extLst>
        </c:ser>
        <c:dLbls>
          <c:showLegendKey val="0"/>
          <c:showVal val="0"/>
          <c:showCatName val="0"/>
          <c:showSerName val="0"/>
          <c:showPercent val="0"/>
          <c:showBubbleSize val="0"/>
        </c:dLbls>
        <c:gapWidth val="39"/>
        <c:overlap val="-24"/>
        <c:axId val="1693351119"/>
        <c:axId val="1693339471"/>
      </c:barChart>
      <c:catAx>
        <c:axId val="16933511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100" b="1" i="1" u="none" strike="noStrike" kern="1200" baseline="0">
                <a:solidFill>
                  <a:schemeClr val="bg1"/>
                </a:solidFill>
                <a:latin typeface="+mn-lt"/>
                <a:ea typeface="+mn-ea"/>
                <a:cs typeface="+mn-cs"/>
              </a:defRPr>
            </a:pPr>
            <a:endParaRPr lang="en-US"/>
          </a:p>
        </c:txPr>
        <c:crossAx val="1693339471"/>
        <c:crosses val="autoZero"/>
        <c:auto val="1"/>
        <c:lblAlgn val="ctr"/>
        <c:lblOffset val="100"/>
        <c:noMultiLvlLbl val="0"/>
      </c:catAx>
      <c:valAx>
        <c:axId val="169333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1" u="none" strike="noStrike" kern="1200" baseline="0">
                <a:solidFill>
                  <a:schemeClr val="bg1"/>
                </a:solidFill>
                <a:latin typeface="+mn-lt"/>
                <a:ea typeface="+mn-ea"/>
                <a:cs typeface="+mn-cs"/>
              </a:defRPr>
            </a:pPr>
            <a:endParaRPr lang="en-US"/>
          </a:p>
        </c:txPr>
        <c:crossAx val="16933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PIVOT.xlsx]AKTIVITAS-ECOBALI!AKTIVITAS-PARTICIPANTS ON PROGRAM</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'AKTIVITAS-ECOBALI'!$U$3</c:f>
              <c:strCache>
                <c:ptCount val="1"/>
                <c:pt idx="0">
                  <c:v>Total</c:v>
                </c:pt>
              </c:strCache>
            </c:strRef>
          </c:tx>
          <c:spPr>
            <a:solidFill>
              <a:schemeClr val="bg1"/>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'AKTIVITAS-ECOBALI'!$T$4:$T$9</c:f>
              <c:strCache>
                <c:ptCount val="5"/>
                <c:pt idx="0">
                  <c:v>Continous building informal sector</c:v>
                </c:pt>
                <c:pt idx="1">
                  <c:v>Dropbox</c:v>
                </c:pt>
                <c:pt idx="2">
                  <c:v>Roadshow</c:v>
                </c:pt>
                <c:pt idx="3">
                  <c:v>Socialization for School</c:v>
                </c:pt>
                <c:pt idx="4">
                  <c:v>Socialization for waste bank</c:v>
                </c:pt>
              </c:strCache>
            </c:strRef>
          </c:cat>
          <c:val>
            <c:numRef>
              <c:f>'AKTIVITAS-ECOBALI'!$U$4:$U$9</c:f>
              <c:numCache>
                <c:formatCode>General</c:formatCode>
                <c:ptCount val="5"/>
                <c:pt idx="0">
                  <c:v>17</c:v>
                </c:pt>
                <c:pt idx="1">
                  <c:v>455</c:v>
                </c:pt>
                <c:pt idx="2">
                  <c:v>0</c:v>
                </c:pt>
                <c:pt idx="3">
                  <c:v>45</c:v>
                </c:pt>
                <c:pt idx="4">
                  <c:v>76</c:v>
                </c:pt>
              </c:numCache>
            </c:numRef>
          </c:val>
          <c:extLst>
            <c:ext xmlns:c16="http://schemas.microsoft.com/office/drawing/2014/chart" uri="{C3380CC4-5D6E-409C-BE32-E72D297353CC}">
              <c16:uniqueId val="{00000000-44C8-4082-BA35-85B1A8B9E3B7}"/>
            </c:ext>
          </c:extLst>
        </c:ser>
        <c:dLbls>
          <c:showLegendKey val="0"/>
          <c:showVal val="0"/>
          <c:showCatName val="0"/>
          <c:showSerName val="0"/>
          <c:showPercent val="0"/>
          <c:showBubbleSize val="0"/>
        </c:dLbls>
        <c:gapWidth val="37"/>
        <c:overlap val="-27"/>
        <c:axId val="1147426256"/>
        <c:axId val="1147426672"/>
      </c:barChart>
      <c:catAx>
        <c:axId val="11474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147426672"/>
        <c:crosses val="autoZero"/>
        <c:auto val="1"/>
        <c:lblAlgn val="ctr"/>
        <c:lblOffset val="100"/>
        <c:noMultiLvlLbl val="0"/>
      </c:catAx>
      <c:valAx>
        <c:axId val="1147426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4742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PIVOT.xlsx]MASUK-CATEGORY!Category-UBC</c:name>
    <c:fmtId val="10"/>
  </c:pivotSource>
  <c:chart>
    <c:autoTitleDeleted val="1"/>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63000">
                <a:srgbClr val="CCAAE6"/>
              </a:gs>
              <a:gs pos="0">
                <a:schemeClr val="accent2">
                  <a:lumMod val="0"/>
                  <a:lumOff val="100000"/>
                </a:schemeClr>
              </a:gs>
              <a:gs pos="100000">
                <a:srgbClr val="9954CC"/>
              </a:gs>
            </a:gsLst>
            <a:path path="circle">
              <a:fillToRect l="50000" t="-80000" r="50000" b="180000"/>
            </a:path>
            <a:tileRect/>
          </a:gradFill>
          <a:ln w="19050">
            <a:solidFill>
              <a:schemeClr val="lt1"/>
            </a:solidFill>
          </a:ln>
          <a:effectLst/>
        </c:spPr>
      </c:pivotFmt>
      <c:pivotFmt>
        <c:idx val="3"/>
        <c:spPr>
          <a:gradFill flip="none" rotWithShape="1">
            <a:gsLst>
              <a:gs pos="50000">
                <a:srgbClr val="D4E8C7"/>
              </a:gs>
              <a:gs pos="0">
                <a:schemeClr val="accent2">
                  <a:lumMod val="0"/>
                  <a:lumOff val="100000"/>
                </a:schemeClr>
              </a:gs>
              <a:gs pos="100000">
                <a:schemeClr val="accent6">
                  <a:lumMod val="60000"/>
                  <a:lumOff val="40000"/>
                </a:schemeClr>
              </a:gs>
            </a:gsLst>
            <a:path path="circle">
              <a:fillToRect t="100000" r="100000"/>
            </a:path>
            <a:tileRect l="-100000" b="-100000"/>
          </a:gradFill>
          <a:ln w="19050">
            <a:solidFill>
              <a:schemeClr val="lt1"/>
            </a:solidFill>
          </a:ln>
          <a:effectLst/>
        </c:spPr>
      </c:pivotFmt>
      <c:pivotFmt>
        <c:idx val="4"/>
        <c:spPr>
          <a:gradFill>
            <a:gsLst>
              <a:gs pos="0">
                <a:schemeClr val="accent1">
                  <a:lumMod val="5000"/>
                  <a:lumOff val="95000"/>
                </a:schemeClr>
              </a:gs>
              <a:gs pos="52200">
                <a:srgbClr val="CCCDCF"/>
              </a:gs>
              <a:gs pos="100000">
                <a:schemeClr val="bg1">
                  <a:lumMod val="65000"/>
                </a:schemeClr>
              </a:gs>
            </a:gsLst>
            <a:lin ang="18900000" scaled="1"/>
          </a:gradFill>
          <a:ln w="19050">
            <a:noFill/>
          </a:ln>
          <a:effectLst/>
        </c:spPr>
      </c:pivotFmt>
      <c:pivotFmt>
        <c:idx val="5"/>
        <c:spPr>
          <a:gradFill flip="none" rotWithShape="1">
            <a:gsLst>
              <a:gs pos="0">
                <a:schemeClr val="accent1">
                  <a:lumMod val="5000"/>
                  <a:lumOff val="95000"/>
                </a:schemeClr>
              </a:gs>
              <a:gs pos="50000">
                <a:srgbClr val="7B9F8E"/>
              </a:gs>
              <a:gs pos="100000">
                <a:srgbClr val="004620"/>
              </a:gs>
            </a:gsLst>
            <a:lin ang="18900000" scaled="1"/>
            <a:tileRect/>
          </a:gradFill>
          <a:ln w="19050">
            <a:solidFill>
              <a:schemeClr val="bg1"/>
            </a:solidFill>
          </a:ln>
          <a:effectLst/>
        </c:spPr>
      </c:pivotFmt>
      <c:pivotFmt>
        <c:idx val="6"/>
        <c:spPr>
          <a:gradFill flip="none" rotWithShape="1">
            <a:gsLst>
              <a:gs pos="0">
                <a:schemeClr val="accent1">
                  <a:lumMod val="5000"/>
                  <a:lumOff val="95000"/>
                </a:schemeClr>
              </a:gs>
              <a:gs pos="50000">
                <a:srgbClr val="FB7DDC"/>
              </a:gs>
              <a:gs pos="100000">
                <a:srgbClr val="FF01BC"/>
              </a:gs>
            </a:gsLst>
            <a:lin ang="16200000" scaled="1"/>
            <a:tileRect/>
          </a:gradFill>
          <a:ln w="19050">
            <a:solidFill>
              <a:schemeClr val="lt1"/>
            </a:solidFill>
          </a:ln>
          <a:effectLst/>
        </c:spPr>
      </c:pivotFmt>
      <c:pivotFmt>
        <c:idx val="7"/>
        <c:spPr>
          <a:gradFill flip="none" rotWithShape="1">
            <a:gsLst>
              <a:gs pos="0">
                <a:schemeClr val="accent1">
                  <a:lumMod val="5000"/>
                  <a:lumOff val="95000"/>
                </a:schemeClr>
              </a:gs>
              <a:gs pos="50000">
                <a:srgbClr val="DB7C7E"/>
              </a:gs>
              <a:gs pos="100000">
                <a:srgbClr val="C00000"/>
              </a:gs>
            </a:gsLst>
            <a:lin ang="13500000" scaled="1"/>
            <a:tileRect/>
          </a:gradFill>
          <a:ln w="19050">
            <a:solidFill>
              <a:schemeClr val="lt1"/>
            </a:solidFill>
          </a:ln>
          <a:effectLst/>
        </c:spPr>
      </c:pivotFmt>
      <c:pivotFmt>
        <c:idx val="8"/>
        <c:spPr>
          <a:gradFill flip="none" rotWithShape="1">
            <a:gsLst>
              <a:gs pos="0">
                <a:schemeClr val="accent1">
                  <a:lumMod val="5000"/>
                  <a:lumOff val="95000"/>
                </a:schemeClr>
              </a:gs>
              <a:gs pos="50000">
                <a:srgbClr val="7BD4F6"/>
              </a:gs>
              <a:gs pos="100000">
                <a:srgbClr val="00B0F0"/>
              </a:gs>
            </a:gsLst>
            <a:lin ang="16200000" scaled="1"/>
            <a:tileRect/>
          </a:gradFill>
          <a:ln w="19050">
            <a:solidFill>
              <a:schemeClr val="lt1"/>
            </a:solidFill>
          </a:ln>
          <a:effectLst/>
        </c:spPr>
      </c:pivotFmt>
      <c:pivotFmt>
        <c:idx val="9"/>
        <c:spPr>
          <a:gradFill flip="none" rotWithShape="1">
            <a:gsLst>
              <a:gs pos="0">
                <a:schemeClr val="accent1">
                  <a:lumMod val="5000"/>
                  <a:lumOff val="95000"/>
                </a:schemeClr>
              </a:gs>
              <a:gs pos="48700">
                <a:srgbClr val="7ED5A8"/>
              </a:gs>
              <a:gs pos="100000">
                <a:srgbClr val="00B050"/>
              </a:gs>
            </a:gsLst>
            <a:lin ang="16200000" scaled="1"/>
            <a:tileRect/>
          </a:gradFill>
          <a:ln w="19050">
            <a:solidFill>
              <a:schemeClr val="lt1"/>
            </a:solidFill>
          </a:ln>
          <a:effectLst/>
        </c:spPr>
      </c:pivotFmt>
      <c:pivotFmt>
        <c:idx val="10"/>
        <c:spPr>
          <a:gradFill flip="none" rotWithShape="1">
            <a:gsLst>
              <a:gs pos="0">
                <a:schemeClr val="accent1">
                  <a:lumMod val="5000"/>
                  <a:lumOff val="95000"/>
                </a:schemeClr>
              </a:gs>
              <a:gs pos="50000">
                <a:srgbClr val="F2BB97"/>
              </a:gs>
              <a:gs pos="100000">
                <a:schemeClr val="accent2"/>
              </a:gs>
            </a:gsLst>
            <a:lin ang="13500000" scaled="1"/>
            <a:tileRect/>
          </a:gradFill>
          <a:ln w="19050">
            <a:solidFill>
              <a:schemeClr val="lt1"/>
            </a:solidFill>
          </a:ln>
          <a:effectLst/>
        </c:spPr>
      </c:pivotFmt>
      <c:pivotFmt>
        <c:idx val="11"/>
        <c:spPr>
          <a:gradFill flip="none" rotWithShape="1">
            <a:gsLst>
              <a:gs pos="48700">
                <a:srgbClr val="FAE9B3"/>
              </a:gs>
              <a:gs pos="0">
                <a:schemeClr val="accent1">
                  <a:lumMod val="5000"/>
                  <a:lumOff val="95000"/>
                </a:schemeClr>
              </a:gs>
              <a:gs pos="100000">
                <a:schemeClr val="accent4">
                  <a:lumMod val="60000"/>
                  <a:lumOff val="40000"/>
                </a:schemeClr>
              </a:gs>
            </a:gsLst>
            <a:lin ang="16200000" scaled="1"/>
            <a:tileRect/>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3"/>
        <c:spPr>
          <a:gradFill flip="none" rotWithShape="1">
            <a:gsLst>
              <a:gs pos="48700">
                <a:srgbClr val="FAE9B3"/>
              </a:gs>
              <a:gs pos="0">
                <a:schemeClr val="accent1">
                  <a:lumMod val="5000"/>
                  <a:lumOff val="95000"/>
                </a:schemeClr>
              </a:gs>
              <a:gs pos="100000">
                <a:schemeClr val="accent4">
                  <a:lumMod val="60000"/>
                  <a:lumOff val="40000"/>
                </a:schemeClr>
              </a:gs>
            </a:gsLst>
            <a:lin ang="16200000" scaled="1"/>
            <a:tileRect/>
          </a:gradFill>
          <a:ln w="19050">
            <a:solidFill>
              <a:schemeClr val="lt1"/>
            </a:solidFill>
          </a:ln>
          <a:effectLst/>
        </c:spPr>
      </c:pivotFmt>
      <c:pivotFmt>
        <c:idx val="14"/>
        <c:spPr>
          <a:gradFill flip="none" rotWithShape="1">
            <a:gsLst>
              <a:gs pos="0">
                <a:schemeClr val="accent1">
                  <a:lumMod val="5000"/>
                  <a:lumOff val="95000"/>
                </a:schemeClr>
              </a:gs>
              <a:gs pos="50000">
                <a:srgbClr val="FB7DDC"/>
              </a:gs>
              <a:gs pos="100000">
                <a:srgbClr val="FF01BC"/>
              </a:gs>
            </a:gsLst>
            <a:lin ang="16200000" scaled="1"/>
            <a:tileRect/>
          </a:gradFill>
          <a:ln w="19050">
            <a:solidFill>
              <a:schemeClr val="lt1"/>
            </a:solidFill>
          </a:ln>
          <a:effectLst/>
        </c:spPr>
      </c:pivotFmt>
      <c:pivotFmt>
        <c:idx val="15"/>
        <c:spPr>
          <a:gradFill flip="none" rotWithShape="1">
            <a:gsLst>
              <a:gs pos="0">
                <a:schemeClr val="accent1">
                  <a:lumMod val="5000"/>
                  <a:lumOff val="95000"/>
                </a:schemeClr>
              </a:gs>
              <a:gs pos="50000">
                <a:srgbClr val="7B9F8E"/>
              </a:gs>
              <a:gs pos="100000">
                <a:srgbClr val="004620"/>
              </a:gs>
            </a:gsLst>
            <a:lin ang="18900000" scaled="1"/>
            <a:tileRect/>
          </a:gradFill>
          <a:ln w="19050">
            <a:solidFill>
              <a:schemeClr val="bg1"/>
            </a:solidFill>
          </a:ln>
          <a:effectLst/>
        </c:spPr>
      </c:pivotFmt>
      <c:pivotFmt>
        <c:idx val="16"/>
        <c:spPr>
          <a:gradFill>
            <a:gsLst>
              <a:gs pos="0">
                <a:schemeClr val="accent1">
                  <a:lumMod val="5000"/>
                  <a:lumOff val="95000"/>
                </a:schemeClr>
              </a:gs>
              <a:gs pos="52200">
                <a:srgbClr val="CCCDCF"/>
              </a:gs>
              <a:gs pos="100000">
                <a:schemeClr val="bg1">
                  <a:lumMod val="65000"/>
                </a:schemeClr>
              </a:gs>
            </a:gsLst>
            <a:lin ang="18900000" scaled="1"/>
          </a:gradFill>
          <a:ln w="19050">
            <a:noFill/>
          </a:ln>
          <a:effectLst/>
        </c:spPr>
      </c:pivotFmt>
      <c:pivotFmt>
        <c:idx val="17"/>
        <c:spPr>
          <a:gradFill flip="none" rotWithShape="1">
            <a:gsLst>
              <a:gs pos="50000">
                <a:srgbClr val="D4E8C7"/>
              </a:gs>
              <a:gs pos="0">
                <a:schemeClr val="accent2">
                  <a:lumMod val="0"/>
                  <a:lumOff val="100000"/>
                </a:schemeClr>
              </a:gs>
              <a:gs pos="100000">
                <a:schemeClr val="accent6">
                  <a:lumMod val="60000"/>
                  <a:lumOff val="40000"/>
                </a:schemeClr>
              </a:gs>
            </a:gsLst>
            <a:path path="circle">
              <a:fillToRect t="100000" r="100000"/>
            </a:path>
            <a:tileRect l="-100000" b="-100000"/>
          </a:gradFill>
          <a:ln w="19050">
            <a:solidFill>
              <a:schemeClr val="lt1"/>
            </a:solidFill>
          </a:ln>
          <a:effectLst/>
        </c:spPr>
      </c:pivotFmt>
      <c:pivotFmt>
        <c:idx val="18"/>
        <c:spPr>
          <a:gradFill flip="none" rotWithShape="1">
            <a:gsLst>
              <a:gs pos="63000">
                <a:srgbClr val="CCAAE6"/>
              </a:gs>
              <a:gs pos="0">
                <a:schemeClr val="accent2">
                  <a:lumMod val="0"/>
                  <a:lumOff val="100000"/>
                </a:schemeClr>
              </a:gs>
              <a:gs pos="100000">
                <a:srgbClr val="9954CC"/>
              </a:gs>
            </a:gsLst>
            <a:path path="circle">
              <a:fillToRect l="50000" t="-80000" r="50000" b="180000"/>
            </a:path>
            <a:tileRect/>
          </a:gradFill>
          <a:ln w="19050">
            <a:solidFill>
              <a:schemeClr val="lt1"/>
            </a:solidFill>
          </a:ln>
          <a:effectLst/>
        </c:spPr>
      </c:pivotFmt>
      <c:pivotFmt>
        <c:idx val="19"/>
        <c:spPr>
          <a:gradFill flip="none" rotWithShape="1">
            <a:gsLst>
              <a:gs pos="0">
                <a:schemeClr val="accent1">
                  <a:lumMod val="5000"/>
                  <a:lumOff val="95000"/>
                </a:schemeClr>
              </a:gs>
              <a:gs pos="50000">
                <a:srgbClr val="F2BB97"/>
              </a:gs>
              <a:gs pos="100000">
                <a:schemeClr val="accent2"/>
              </a:gs>
            </a:gsLst>
            <a:lin ang="13500000" scaled="1"/>
            <a:tileRect/>
          </a:gradFill>
          <a:ln w="19050">
            <a:solidFill>
              <a:schemeClr val="lt1"/>
            </a:solidFill>
          </a:ln>
          <a:effectLst/>
        </c:spPr>
      </c:pivotFmt>
      <c:pivotFmt>
        <c:idx val="20"/>
        <c:spPr>
          <a:gradFill flip="none" rotWithShape="1">
            <a:gsLst>
              <a:gs pos="0">
                <a:schemeClr val="accent1">
                  <a:lumMod val="5000"/>
                  <a:lumOff val="95000"/>
                </a:schemeClr>
              </a:gs>
              <a:gs pos="50000">
                <a:srgbClr val="DB7C7E"/>
              </a:gs>
              <a:gs pos="100000">
                <a:srgbClr val="C00000"/>
              </a:gs>
            </a:gsLst>
            <a:lin ang="13500000" scaled="1"/>
            <a:tileRect/>
          </a:gradFill>
          <a:ln w="19050">
            <a:solidFill>
              <a:schemeClr val="lt1"/>
            </a:solidFill>
          </a:ln>
          <a:effectLst/>
        </c:spPr>
      </c:pivotFmt>
      <c:pivotFmt>
        <c:idx val="21"/>
        <c:spPr>
          <a:gradFill flip="none" rotWithShape="1">
            <a:gsLst>
              <a:gs pos="0">
                <a:schemeClr val="accent1">
                  <a:lumMod val="5000"/>
                  <a:lumOff val="95000"/>
                </a:schemeClr>
              </a:gs>
              <a:gs pos="48700">
                <a:srgbClr val="7ED5A8"/>
              </a:gs>
              <a:gs pos="100000">
                <a:srgbClr val="00B050"/>
              </a:gs>
            </a:gsLst>
            <a:lin ang="16200000" scaled="1"/>
            <a:tileRect/>
          </a:gradFill>
          <a:ln w="19050">
            <a:solidFill>
              <a:schemeClr val="lt1"/>
            </a:solidFill>
          </a:ln>
          <a:effectLst/>
        </c:spPr>
      </c:pivotFmt>
      <c:pivotFmt>
        <c:idx val="22"/>
        <c:spPr>
          <a:gradFill flip="none" rotWithShape="1">
            <a:gsLst>
              <a:gs pos="0">
                <a:schemeClr val="accent1">
                  <a:lumMod val="5000"/>
                  <a:lumOff val="95000"/>
                </a:schemeClr>
              </a:gs>
              <a:gs pos="50000">
                <a:srgbClr val="7BD4F6"/>
              </a:gs>
              <a:gs pos="100000">
                <a:srgbClr val="00B0F0"/>
              </a:gs>
            </a:gsLst>
            <a:lin ang="16200000" scaled="1"/>
            <a:tileRect/>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4"/>
        <c:spPr>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5"/>
        <c:spPr>
          <a:gradFill flip="none" rotWithShape="1">
            <a:gsLst>
              <a:gs pos="48700">
                <a:srgbClr val="FAE9B3"/>
              </a:gs>
              <a:gs pos="0">
                <a:schemeClr val="accent1">
                  <a:lumMod val="5000"/>
                  <a:lumOff val="95000"/>
                </a:schemeClr>
              </a:gs>
              <a:gs pos="100000">
                <a:schemeClr val="accent4">
                  <a:lumMod val="60000"/>
                  <a:lumOff val="40000"/>
                </a:schemeClr>
              </a:gs>
            </a:gsLst>
            <a:lin ang="16200000" scaled="1"/>
            <a:tileRect/>
          </a:gradFill>
          <a:ln w="19050">
            <a:solidFill>
              <a:schemeClr val="lt1"/>
            </a:solidFill>
          </a:ln>
          <a:effectLst>
            <a:outerShdw blurRad="63500" sx="102000" sy="102000" algn="ctr" rotWithShape="0">
              <a:prstClr val="black">
                <a:alpha val="40000"/>
              </a:prstClr>
            </a:outerShdw>
          </a:effectLst>
        </c:spPr>
        <c:dLbl>
          <c:idx val="0"/>
          <c:layout>
            <c:manualLayout>
              <c:x val="1.8507809105307735E-2"/>
              <c:y val="0"/>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gradFill flip="none" rotWithShape="1">
            <a:gsLst>
              <a:gs pos="0">
                <a:schemeClr val="accent1">
                  <a:lumMod val="5000"/>
                  <a:lumOff val="95000"/>
                </a:schemeClr>
              </a:gs>
              <a:gs pos="50000">
                <a:srgbClr val="FB7DDC"/>
              </a:gs>
              <a:gs pos="100000">
                <a:srgbClr val="FF01BC"/>
              </a:gs>
            </a:gsLst>
            <a:lin ang="16200000" scaled="1"/>
            <a:tileRect/>
          </a:gradFill>
          <a:ln w="19050">
            <a:solidFill>
              <a:schemeClr val="lt1"/>
            </a:solidFill>
          </a:ln>
          <a:effectLst>
            <a:outerShdw blurRad="63500" sx="102000" sy="102000" algn="ctr" rotWithShape="0">
              <a:prstClr val="black">
                <a:alpha val="40000"/>
              </a:prstClr>
            </a:outerShdw>
          </a:effectLst>
        </c:spPr>
        <c:dLbl>
          <c:idx val="0"/>
          <c:layout>
            <c:manualLayout>
              <c:x val="9.2539045526538674E-3"/>
              <c:y val="-1.4388489208633096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gradFill flip="none" rotWithShape="1">
            <a:gsLst>
              <a:gs pos="0">
                <a:schemeClr val="accent1">
                  <a:lumMod val="5000"/>
                  <a:lumOff val="95000"/>
                </a:schemeClr>
              </a:gs>
              <a:gs pos="50000">
                <a:srgbClr val="7B9F8E"/>
              </a:gs>
              <a:gs pos="100000">
                <a:srgbClr val="004620"/>
              </a:gs>
            </a:gsLst>
            <a:lin ang="18900000" scaled="1"/>
            <a:tileRect/>
          </a:gradFill>
          <a:ln w="19050">
            <a:solidFill>
              <a:schemeClr val="bg1"/>
            </a:solidFill>
          </a:ln>
          <a:effectLst>
            <a:outerShdw blurRad="63500" sx="102000" sy="102000" algn="ctr" rotWithShape="0">
              <a:prstClr val="black">
                <a:alpha val="40000"/>
              </a:prstClr>
            </a:outerShdw>
          </a:effectLst>
        </c:spPr>
        <c:dLbl>
          <c:idx val="0"/>
          <c:layout>
            <c:manualLayout>
              <c:x val="-6.1692697017692449E-3"/>
              <c:y val="-4.7961630695443755E-3"/>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gradFill>
            <a:gsLst>
              <a:gs pos="0">
                <a:schemeClr val="accent1">
                  <a:lumMod val="5000"/>
                  <a:lumOff val="95000"/>
                </a:schemeClr>
              </a:gs>
              <a:gs pos="52200">
                <a:srgbClr val="CCCDCF"/>
              </a:gs>
              <a:gs pos="100000">
                <a:schemeClr val="bg1">
                  <a:lumMod val="65000"/>
                </a:schemeClr>
              </a:gs>
            </a:gsLst>
            <a:lin ang="18900000" scaled="1"/>
          </a:gradFill>
          <a:ln w="19050">
            <a:noFill/>
          </a:ln>
          <a:effectLst>
            <a:outerShdw blurRad="63500" sx="102000" sy="102000" algn="ctr" rotWithShape="0">
              <a:prstClr val="black">
                <a:alpha val="40000"/>
              </a:prstClr>
            </a:outerShdw>
          </a:effectLst>
        </c:spPr>
        <c:dLbl>
          <c:idx val="0"/>
          <c:layout>
            <c:manualLayout>
              <c:x val="2.6606846653953343E-2"/>
              <c:y val="-2.3518518518518518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9"/>
        <c:spPr>
          <a:gradFill flip="none" rotWithShape="1">
            <a:gsLst>
              <a:gs pos="50000">
                <a:srgbClr val="D4E8C7"/>
              </a:gs>
              <a:gs pos="0">
                <a:schemeClr val="accent2">
                  <a:lumMod val="0"/>
                  <a:lumOff val="100000"/>
                </a:schemeClr>
              </a:gs>
              <a:gs pos="100000">
                <a:schemeClr val="accent6">
                  <a:lumMod val="60000"/>
                  <a:lumOff val="40000"/>
                </a:schemeClr>
              </a:gs>
            </a:gsLst>
            <a:path path="circle">
              <a:fillToRect t="100000" r="100000"/>
            </a:path>
            <a:tileRect l="-100000" b="-100000"/>
          </a:gradFill>
          <a:ln w="19050">
            <a:solidFill>
              <a:schemeClr val="lt1"/>
            </a:solidFill>
          </a:ln>
          <a:effectLst>
            <a:outerShdw blurRad="63500" sx="102000" sy="102000" algn="ctr" rotWithShape="0">
              <a:prstClr val="black">
                <a:alpha val="40000"/>
              </a:prstClr>
            </a:outerShdw>
          </a:effectLst>
        </c:spPr>
        <c:dLbl>
          <c:idx val="0"/>
          <c:layout>
            <c:manualLayout>
              <c:x val="1.9955134990464946E-2"/>
              <c:y val="5.8796296296296298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0"/>
        <c:spPr>
          <a:gradFill flip="none" rotWithShape="1">
            <a:gsLst>
              <a:gs pos="63000">
                <a:srgbClr val="CCAAE6"/>
              </a:gs>
              <a:gs pos="0">
                <a:schemeClr val="accent2">
                  <a:lumMod val="0"/>
                  <a:lumOff val="100000"/>
                </a:schemeClr>
              </a:gs>
              <a:gs pos="100000">
                <a:srgbClr val="9954CC"/>
              </a:gs>
            </a:gsLst>
            <a:path path="circle">
              <a:fillToRect l="50000" t="-80000" r="50000" b="180000"/>
            </a:path>
            <a:tileRect/>
          </a:gradFill>
          <a:ln w="19050">
            <a:solidFill>
              <a:schemeClr val="lt1"/>
            </a:solidFill>
          </a:ln>
          <a:effectLst>
            <a:outerShdw blurRad="63500" sx="102000" sy="102000" algn="ctr" rotWithShape="0">
              <a:prstClr val="black">
                <a:alpha val="40000"/>
              </a:prstClr>
            </a:outerShdw>
          </a:effectLst>
        </c:spPr>
      </c:pivotFmt>
      <c:pivotFmt>
        <c:idx val="41"/>
        <c:spPr>
          <a:gradFill flip="none" rotWithShape="1">
            <a:gsLst>
              <a:gs pos="0">
                <a:schemeClr val="accent1">
                  <a:lumMod val="5000"/>
                  <a:lumOff val="95000"/>
                </a:schemeClr>
              </a:gs>
              <a:gs pos="50000">
                <a:srgbClr val="F2BB97"/>
              </a:gs>
              <a:gs pos="100000">
                <a:schemeClr val="accent2"/>
              </a:gs>
            </a:gsLst>
            <a:lin ang="13500000" scaled="1"/>
            <a:tileRect/>
          </a:gradFill>
          <a:ln w="19050">
            <a:solidFill>
              <a:schemeClr val="lt1"/>
            </a:solidFill>
          </a:ln>
          <a:effectLst>
            <a:outerShdw blurRad="63500" sx="102000" sy="102000" algn="ctr" rotWithShape="0">
              <a:prstClr val="black">
                <a:alpha val="40000"/>
              </a:prstClr>
            </a:outerShdw>
          </a:effectLst>
        </c:spPr>
        <c:dLbl>
          <c:idx val="0"/>
          <c:layout>
            <c:manualLayout>
              <c:x val="-5.865919300596089E-2"/>
              <c:y val="5.7091666666666666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2"/>
        <c:spPr>
          <a:gradFill flip="none" rotWithShape="1">
            <a:gsLst>
              <a:gs pos="0">
                <a:schemeClr val="accent1">
                  <a:lumMod val="5000"/>
                  <a:lumOff val="95000"/>
                </a:schemeClr>
              </a:gs>
              <a:gs pos="50000">
                <a:srgbClr val="DB7C7E"/>
              </a:gs>
              <a:gs pos="100000">
                <a:srgbClr val="C00000"/>
              </a:gs>
            </a:gsLst>
            <a:lin ang="13500000" scaled="1"/>
            <a:tileRect/>
          </a:gradFill>
          <a:ln w="19050">
            <a:solidFill>
              <a:schemeClr val="lt1"/>
            </a:solidFill>
          </a:ln>
          <a:effectLst>
            <a:outerShdw blurRad="63500" sx="102000" sy="102000" algn="ctr" rotWithShape="0">
              <a:prstClr val="black">
                <a:alpha val="40000"/>
              </a:prstClr>
            </a:outerShdw>
          </a:effectLst>
        </c:spPr>
        <c:dLbl>
          <c:idx val="0"/>
          <c:layout>
            <c:manualLayout>
              <c:x val="-5.6057169104842007E-2"/>
              <c:y val="-3.7125000000000001E-3"/>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3"/>
        <c:spPr>
          <a:gradFill flip="none" rotWithShape="1">
            <a:gsLst>
              <a:gs pos="0">
                <a:schemeClr val="accent1">
                  <a:lumMod val="5000"/>
                  <a:lumOff val="95000"/>
                </a:schemeClr>
              </a:gs>
              <a:gs pos="48700">
                <a:srgbClr val="7ED5A8"/>
              </a:gs>
              <a:gs pos="100000">
                <a:srgbClr val="00B050"/>
              </a:gs>
            </a:gsLst>
            <a:lin ang="16200000" scaled="1"/>
            <a:tileRect/>
          </a:gradFill>
          <a:ln w="19050">
            <a:solidFill>
              <a:schemeClr val="lt1"/>
            </a:solidFill>
          </a:ln>
          <a:effectLst>
            <a:outerShdw blurRad="63500" sx="102000" sy="102000" algn="ctr" rotWithShape="0">
              <a:prstClr val="black">
                <a:alpha val="40000"/>
              </a:prstClr>
            </a:outerShdw>
          </a:effectLst>
        </c:spPr>
        <c:dLbl>
          <c:idx val="0"/>
          <c:layout>
            <c:manualLayout>
              <c:x val="-2.9209132433484192E-2"/>
              <c:y val="0"/>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4"/>
        <c:spPr>
          <a:gradFill flip="none" rotWithShape="1">
            <a:gsLst>
              <a:gs pos="0">
                <a:schemeClr val="accent1">
                  <a:lumMod val="5000"/>
                  <a:lumOff val="95000"/>
                </a:schemeClr>
              </a:gs>
              <a:gs pos="50000">
                <a:srgbClr val="7BD4F6"/>
              </a:gs>
              <a:gs pos="100000">
                <a:srgbClr val="00B0F0"/>
              </a:gs>
            </a:gsLst>
            <a:lin ang="16200000" scaled="1"/>
            <a:tileRect/>
          </a:gradFill>
          <a:ln w="19050">
            <a:solidFill>
              <a:schemeClr val="lt1"/>
            </a:solidFill>
          </a:ln>
          <a:effectLst>
            <a:outerShdw blurRad="63500" sx="102000" sy="102000" algn="ctr" rotWithShape="0">
              <a:prstClr val="black">
                <a:alpha val="40000"/>
              </a:prstClr>
            </a:outerShdw>
          </a:effectLst>
        </c:spPr>
        <c:dLbl>
          <c:idx val="0"/>
          <c:layout>
            <c:manualLayout>
              <c:x val="0"/>
              <c:y val="-4.7961630695443642E-3"/>
            </c:manualLayout>
          </c:layout>
          <c:spPr>
            <a:noFill/>
            <a:ln>
              <a:noFill/>
            </a:ln>
            <a:effectLst/>
          </c:spPr>
          <c:txPr>
            <a:bodyPr rot="0" spcFirstLastPara="1" vertOverflow="ellipsis" vert="horz" wrap="square" lIns="38100" tIns="19050" rIns="38100" bIns="19050" anchor="ctr" anchorCtr="1">
              <a:no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7"/>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48"/>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49"/>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50"/>
        <c:spPr>
          <a:gradFill>
            <a:gsLst>
              <a:gs pos="100000">
                <a:schemeClr val="accent5">
                  <a:lumMod val="60000"/>
                  <a:lumOff val="40000"/>
                </a:schemeClr>
              </a:gs>
              <a:gs pos="0">
                <a:schemeClr val="accent5"/>
              </a:gs>
            </a:gsLst>
            <a:lin ang="5400000" scaled="0"/>
          </a:gradFill>
          <a:ln w="19050">
            <a:solidFill>
              <a:schemeClr val="lt1"/>
            </a:solidFill>
          </a:ln>
          <a:effectLst/>
        </c:spPr>
      </c:pivotFmt>
      <c:pivotFmt>
        <c:idx val="51"/>
        <c:spPr>
          <a:gradFill>
            <a:gsLst>
              <a:gs pos="100000">
                <a:schemeClr val="accent6">
                  <a:lumMod val="60000"/>
                  <a:lumOff val="40000"/>
                </a:schemeClr>
              </a:gs>
              <a:gs pos="0">
                <a:schemeClr val="accent6"/>
              </a:gs>
            </a:gsLst>
            <a:lin ang="5400000" scaled="0"/>
          </a:gradFill>
          <a:ln w="19050">
            <a:solidFill>
              <a:schemeClr val="lt1"/>
            </a:solidFill>
          </a:ln>
          <a:effectLst/>
        </c:spPr>
      </c:pivotFmt>
      <c:pivotFmt>
        <c:idx val="52"/>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pivotFmt>
      <c:pivotFmt>
        <c:idx val="53"/>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pivotFmt>
      <c:pivotFmt>
        <c:idx val="54"/>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pivotFmt>
      <c:pivotFmt>
        <c:idx val="55"/>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pivotFmt>
      <c:pivotFmt>
        <c:idx val="56"/>
        <c:dLbl>
          <c:idx val="0"/>
          <c:layout>
            <c:manualLayout>
              <c:x val="-4.9887837476162517E-2"/>
              <c:y val="9.9953703703703684E-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7"/>
        <c:marker>
          <c:symbol val="none"/>
        </c:marker>
        <c:dLbl>
          <c:idx val="0"/>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8"/>
        <c:spPr>
          <a:gradFill>
            <a:gsLst>
              <a:gs pos="0">
                <a:schemeClr val="bg1"/>
              </a:gs>
              <a:gs pos="47000">
                <a:srgbClr val="9464B8"/>
              </a:gs>
              <a:gs pos="0">
                <a:srgbClr val="B898D0"/>
              </a:gs>
              <a:gs pos="100000">
                <a:srgbClr val="7030A0"/>
              </a:gs>
            </a:gsLst>
            <a:lin ang="10800000" scaled="1"/>
          </a:gradFill>
          <a:ln w="12700">
            <a:solidFill>
              <a:schemeClr val="bg1"/>
            </a:solidFill>
          </a:ln>
        </c:spPr>
        <c:dLbl>
          <c:idx val="0"/>
          <c:layout>
            <c:manualLayout>
              <c:x val="-2.5613412629566241E-2"/>
              <c:y val="-6.8305092592592598E-2"/>
            </c:manualLayout>
          </c:layout>
          <c:spPr>
            <a:noFill/>
            <a:ln>
              <a:noFill/>
            </a:ln>
            <a:effectLst/>
          </c:spPr>
          <c:txPr>
            <a:bodyPr wrap="square" lIns="38100" tIns="19050" rIns="38100" bIns="19050" anchor="ctr">
              <a:spAutoFit/>
            </a:bodyPr>
            <a:lstStyle/>
            <a:p>
              <a:pPr>
                <a:defRPr sz="14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9"/>
        <c:spPr>
          <a:gradFill>
            <a:gsLst>
              <a:gs pos="0">
                <a:schemeClr val="bg1"/>
              </a:gs>
              <a:gs pos="0">
                <a:schemeClr val="bg1"/>
              </a:gs>
              <a:gs pos="0">
                <a:srgbClr val="C9E8A8"/>
              </a:gs>
              <a:gs pos="100000">
                <a:srgbClr val="92D050"/>
              </a:gs>
            </a:gsLst>
            <a:lin ang="10800000" scaled="1"/>
          </a:gradFill>
          <a:ln w="12700">
            <a:solidFill>
              <a:schemeClr val="bg1"/>
            </a:solidFill>
          </a:ln>
        </c:spPr>
        <c:dLbl>
          <c:idx val="0"/>
          <c:layout>
            <c:manualLayout>
              <c:x val="-7.5164701193350999E-3"/>
              <c:y val="8.8893518518518514E-3"/>
            </c:manualLayout>
          </c:layout>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0"/>
        <c:spPr>
          <a:gradFill>
            <a:gsLst>
              <a:gs pos="0">
                <a:schemeClr val="bg1"/>
              </a:gs>
              <a:gs pos="0">
                <a:schemeClr val="bg1"/>
              </a:gs>
              <a:gs pos="0">
                <a:schemeClr val="bg1"/>
              </a:gs>
              <a:gs pos="0">
                <a:srgbClr val="80A390"/>
              </a:gs>
              <a:gs pos="43000">
                <a:srgbClr val="326A4B"/>
              </a:gs>
              <a:gs pos="0">
                <a:srgbClr val="80A390"/>
              </a:gs>
              <a:gs pos="100000">
                <a:srgbClr val="004620"/>
              </a:gs>
            </a:gsLst>
            <a:lin ang="10800000" scaled="1"/>
          </a:gradFill>
          <a:ln w="12700">
            <a:solidFill>
              <a:schemeClr val="bg1"/>
            </a:solidFill>
          </a:ln>
        </c:spPr>
        <c:dLbl>
          <c:idx val="0"/>
          <c:layout>
            <c:manualLayout>
              <c:x val="-6.6750547701476693E-3"/>
              <c:y val="2.1714814814814801E-2"/>
            </c:manualLayout>
          </c:layout>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1"/>
        <c:spPr>
          <a:gradFill>
            <a:gsLst>
              <a:gs pos="0">
                <a:schemeClr val="bg1"/>
              </a:gs>
              <a:gs pos="0">
                <a:schemeClr val="bg1"/>
              </a:gs>
              <a:gs pos="0">
                <a:schemeClr val="bg1"/>
              </a:gs>
              <a:gs pos="0">
                <a:schemeClr val="bg1"/>
              </a:gs>
              <a:gs pos="50000">
                <a:srgbClr val="FF80DE"/>
              </a:gs>
              <a:gs pos="100000">
                <a:srgbClr val="FF01BC"/>
              </a:gs>
            </a:gsLst>
            <a:lin ang="10800000" scaled="1"/>
          </a:gradFill>
          <a:ln w="12700">
            <a:solidFill>
              <a:schemeClr val="bg1"/>
            </a:solidFill>
          </a:ln>
        </c:spPr>
        <c:dLbl>
          <c:idx val="0"/>
          <c:layout>
            <c:manualLayout>
              <c:x val="-1.7026287065909133E-2"/>
              <c:y val="0"/>
            </c:manualLayout>
          </c:layout>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2"/>
        <c:spPr>
          <a:gradFill>
            <a:gsLst>
              <a:gs pos="0">
                <a:schemeClr val="bg1"/>
              </a:gs>
              <a:gs pos="0">
                <a:schemeClr val="bg1"/>
              </a:gs>
              <a:gs pos="0">
                <a:srgbClr val="80D8F8"/>
              </a:gs>
              <a:gs pos="100000">
                <a:srgbClr val="00B0F0"/>
              </a:gs>
            </a:gsLst>
            <a:lin ang="10800000" scaled="1"/>
          </a:gradFill>
          <a:ln w="12700">
            <a:solidFill>
              <a:schemeClr val="bg1"/>
            </a:solidFill>
          </a:ln>
        </c:spPr>
        <c:dLbl>
          <c:idx val="0"/>
          <c:layout>
            <c:manualLayout>
              <c:x val="1.4701323601049295E-3"/>
              <c:y val="1.4699074074074074E-3"/>
            </c:manualLayout>
          </c:layout>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3"/>
        <c:spPr>
          <a:gradFill>
            <a:gsLst>
              <a:gs pos="0">
                <a:schemeClr val="bg1"/>
              </a:gs>
              <a:gs pos="0">
                <a:schemeClr val="bg1"/>
              </a:gs>
              <a:gs pos="0">
                <a:srgbClr val="80D8A8"/>
              </a:gs>
              <a:gs pos="100000">
                <a:srgbClr val="00B050"/>
              </a:gs>
            </a:gsLst>
            <a:lin ang="10800000" scaled="1"/>
          </a:gradFill>
          <a:ln w="12700">
            <a:solidFill>
              <a:schemeClr val="bg1"/>
            </a:solidFill>
          </a:ln>
        </c:spPr>
        <c:dLbl>
          <c:idx val="0"/>
          <c:layout>
            <c:manualLayout>
              <c:x val="-6.6167027459316397E-3"/>
              <c:y val="-4.2417129629629631E-2"/>
            </c:manualLayout>
          </c:layout>
          <c:spPr>
            <a:noFill/>
            <a:ln>
              <a:noFill/>
            </a:ln>
            <a:effectLst/>
          </c:spPr>
          <c:txPr>
            <a:bodyPr wrap="square" lIns="38100" tIns="19050" rIns="38100" bIns="19050" anchor="ctr">
              <a:no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7.6092081578213858E-2"/>
                  <c:h val="6.4675925925925928E-2"/>
                </c:manualLayout>
              </c15:layout>
            </c:ext>
          </c:extLst>
        </c:dLbl>
      </c:pivotFmt>
      <c:pivotFmt>
        <c:idx val="64"/>
        <c:spPr>
          <a:gradFill>
            <a:gsLst>
              <a:gs pos="0">
                <a:schemeClr val="bg1"/>
              </a:gs>
              <a:gs pos="0">
                <a:schemeClr val="bg1"/>
              </a:gs>
              <a:gs pos="0">
                <a:schemeClr val="bg1"/>
              </a:gs>
              <a:gs pos="0">
                <a:srgbClr val="E08080"/>
              </a:gs>
              <a:gs pos="100000">
                <a:srgbClr val="C00000"/>
              </a:gs>
            </a:gsLst>
            <a:lin ang="10800000" scaled="1"/>
          </a:gradFill>
          <a:ln w="12700">
            <a:solidFill>
              <a:schemeClr val="bg1"/>
            </a:solidFill>
          </a:ln>
        </c:spPr>
        <c:dLbl>
          <c:idx val="0"/>
          <c:layout>
            <c:manualLayout>
              <c:x val="2.246552932319467E-3"/>
              <c:y val="8.8666666666666668E-3"/>
            </c:manualLayout>
          </c:layout>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5"/>
        <c:spPr>
          <a:gradFill>
            <a:gsLst>
              <a:gs pos="0">
                <a:schemeClr val="bg1"/>
              </a:gs>
              <a:gs pos="0">
                <a:schemeClr val="bg1"/>
              </a:gs>
              <a:gs pos="0">
                <a:srgbClr val="FCE19E"/>
              </a:gs>
              <a:gs pos="100000">
                <a:srgbClr val="F9C33D"/>
              </a:gs>
            </a:gsLst>
            <a:lin ang="10800000" scaled="1"/>
          </a:gradFill>
          <a:ln w="12700">
            <a:solidFill>
              <a:schemeClr val="bg1"/>
            </a:solidFill>
          </a:ln>
        </c:spPr>
        <c:dLbl>
          <c:idx val="0"/>
          <c:layout>
            <c:manualLayout>
              <c:x val="7.6669089317672069E-3"/>
              <c:y val="1.4699074074074074E-3"/>
            </c:manualLayout>
          </c:layout>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6"/>
        <c:spPr>
          <a:gradFill>
            <a:gsLst>
              <a:gs pos="0">
                <a:schemeClr val="bg1"/>
              </a:gs>
              <a:gs pos="0">
                <a:schemeClr val="bg1"/>
              </a:gs>
              <a:gs pos="0">
                <a:schemeClr val="bg1"/>
              </a:gs>
              <a:gs pos="0">
                <a:srgbClr val="FFFF80"/>
              </a:gs>
              <a:gs pos="100000">
                <a:srgbClr val="FFFF00"/>
              </a:gs>
            </a:gsLst>
            <a:lin ang="10800000" scaled="1"/>
          </a:gradFill>
          <a:ln w="12700">
            <a:solidFill>
              <a:schemeClr val="bg1"/>
            </a:solidFill>
          </a:ln>
        </c:spPr>
        <c:dLbl>
          <c:idx val="0"/>
          <c:layout>
            <c:manualLayout>
              <c:x val="6.3752518757364651E-2"/>
              <c:y val="1.3229166666666667E-2"/>
            </c:manualLayout>
          </c:layout>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7"/>
        <c:spPr>
          <a:gradFill>
            <a:gsLst>
              <a:gs pos="0">
                <a:schemeClr val="bg1"/>
              </a:gs>
              <a:gs pos="0">
                <a:schemeClr val="bg1"/>
              </a:gs>
              <a:gs pos="0">
                <a:srgbClr val="F6BE98"/>
              </a:gs>
              <a:gs pos="100000">
                <a:schemeClr val="accent2"/>
              </a:gs>
            </a:gsLst>
            <a:lin ang="10800000" scaled="1"/>
          </a:gradFill>
          <a:ln w="12700">
            <a:solidFill>
              <a:schemeClr val="bg1"/>
            </a:solidFill>
          </a:ln>
        </c:spPr>
        <c:dLbl>
          <c:idx val="0"/>
          <c:layout>
            <c:manualLayout>
              <c:x val="-6.0331694787653337E-2"/>
              <c:y val="6.8646296296296302E-2"/>
            </c:manualLayout>
          </c:layout>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8"/>
        <c:dLbl>
          <c:idx val="0"/>
          <c:layout>
            <c:manualLayout>
              <c:x val="-5.4740190217178941E-3"/>
              <c:y val="3.4953703703703702E-2"/>
            </c:manualLayout>
          </c:layout>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6.4623564318779192E-2"/>
          <c:y val="0.10594027777777777"/>
          <c:w val="0.48475077504209152"/>
          <c:h val="0.86694444444444452"/>
        </c:manualLayout>
      </c:layout>
      <c:pieChart>
        <c:varyColors val="1"/>
        <c:ser>
          <c:idx val="0"/>
          <c:order val="0"/>
          <c:tx>
            <c:strRef>
              <c:f>'MASUK-CATEGORY'!$H$3</c:f>
              <c:strCache>
                <c:ptCount val="1"/>
                <c:pt idx="0">
                  <c:v>Total</c:v>
                </c:pt>
              </c:strCache>
            </c:strRef>
          </c:tx>
          <c:dPt>
            <c:idx val="0"/>
            <c:bubble3D val="0"/>
            <c:spPr>
              <a:gradFill>
                <a:gsLst>
                  <a:gs pos="0">
                    <a:schemeClr val="bg1"/>
                  </a:gs>
                  <a:gs pos="0">
                    <a:schemeClr val="bg1"/>
                  </a:gs>
                  <a:gs pos="0">
                    <a:srgbClr val="FCE19E"/>
                  </a:gs>
                  <a:gs pos="100000">
                    <a:srgbClr val="F9C33D"/>
                  </a:gs>
                </a:gsLst>
                <a:lin ang="10800000" scaled="1"/>
              </a:gradFill>
              <a:ln w="12700">
                <a:solidFill>
                  <a:schemeClr val="bg1"/>
                </a:solidFill>
              </a:ln>
            </c:spPr>
            <c:extLst>
              <c:ext xmlns:c16="http://schemas.microsoft.com/office/drawing/2014/chart" uri="{C3380CC4-5D6E-409C-BE32-E72D297353CC}">
                <c16:uniqueId val="{00000001-2723-461A-BB61-86AFC60F8329}"/>
              </c:ext>
            </c:extLst>
          </c:dPt>
          <c:dPt>
            <c:idx val="1"/>
            <c:bubble3D val="0"/>
            <c:spPr>
              <a:gradFill>
                <a:gsLst>
                  <a:gs pos="0">
                    <a:schemeClr val="bg1"/>
                  </a:gs>
                  <a:gs pos="0">
                    <a:schemeClr val="bg1"/>
                  </a:gs>
                  <a:gs pos="0">
                    <a:schemeClr val="bg1"/>
                  </a:gs>
                  <a:gs pos="0">
                    <a:srgbClr val="FFFF80"/>
                  </a:gs>
                  <a:gs pos="100000">
                    <a:srgbClr val="FFFF00"/>
                  </a:gs>
                </a:gsLst>
                <a:lin ang="10800000" scaled="1"/>
              </a:gradFill>
              <a:ln w="12700">
                <a:solidFill>
                  <a:schemeClr val="bg1"/>
                </a:solidFill>
              </a:ln>
            </c:spPr>
            <c:extLst>
              <c:ext xmlns:c16="http://schemas.microsoft.com/office/drawing/2014/chart" uri="{C3380CC4-5D6E-409C-BE32-E72D297353CC}">
                <c16:uniqueId val="{00000003-2723-461A-BB61-86AFC60F8329}"/>
              </c:ext>
            </c:extLst>
          </c:dPt>
          <c:dPt>
            <c:idx val="2"/>
            <c:bubble3D val="0"/>
            <c:spPr>
              <a:gradFill>
                <a:gsLst>
                  <a:gs pos="0">
                    <a:schemeClr val="bg1"/>
                  </a:gs>
                  <a:gs pos="0">
                    <a:schemeClr val="bg1"/>
                  </a:gs>
                  <a:gs pos="0">
                    <a:schemeClr val="bg1"/>
                  </a:gs>
                  <a:gs pos="0">
                    <a:schemeClr val="bg1"/>
                  </a:gs>
                  <a:gs pos="50000">
                    <a:srgbClr val="FF80DE"/>
                  </a:gs>
                  <a:gs pos="100000">
                    <a:srgbClr val="FF01BC"/>
                  </a:gs>
                </a:gsLst>
                <a:lin ang="10800000" scaled="1"/>
              </a:gradFill>
              <a:ln w="12700">
                <a:solidFill>
                  <a:schemeClr val="bg1"/>
                </a:solidFill>
              </a:ln>
            </c:spPr>
            <c:extLst>
              <c:ext xmlns:c16="http://schemas.microsoft.com/office/drawing/2014/chart" uri="{C3380CC4-5D6E-409C-BE32-E72D297353CC}">
                <c16:uniqueId val="{00000005-2723-461A-BB61-86AFC60F8329}"/>
              </c:ext>
            </c:extLst>
          </c:dPt>
          <c:dPt>
            <c:idx val="3"/>
            <c:bubble3D val="0"/>
            <c:spPr>
              <a:gradFill>
                <a:gsLst>
                  <a:gs pos="0">
                    <a:schemeClr val="bg1"/>
                  </a:gs>
                  <a:gs pos="0">
                    <a:schemeClr val="bg1"/>
                  </a:gs>
                  <a:gs pos="0">
                    <a:schemeClr val="bg1"/>
                  </a:gs>
                  <a:gs pos="0">
                    <a:srgbClr val="80A390"/>
                  </a:gs>
                  <a:gs pos="43000">
                    <a:srgbClr val="326A4B"/>
                  </a:gs>
                  <a:gs pos="0">
                    <a:srgbClr val="80A390"/>
                  </a:gs>
                  <a:gs pos="100000">
                    <a:srgbClr val="004620"/>
                  </a:gs>
                </a:gsLst>
                <a:lin ang="10800000" scaled="1"/>
              </a:gradFill>
              <a:ln w="12700">
                <a:solidFill>
                  <a:schemeClr val="bg1"/>
                </a:solidFill>
              </a:ln>
            </c:spPr>
            <c:extLst>
              <c:ext xmlns:c16="http://schemas.microsoft.com/office/drawing/2014/chart" uri="{C3380CC4-5D6E-409C-BE32-E72D297353CC}">
                <c16:uniqueId val="{00000007-2723-461A-BB61-86AFC60F8329}"/>
              </c:ext>
            </c:extLst>
          </c:dPt>
          <c:dPt>
            <c:idx val="5"/>
            <c:bubble3D val="0"/>
            <c:spPr>
              <a:gradFill>
                <a:gsLst>
                  <a:gs pos="0">
                    <a:schemeClr val="bg1"/>
                  </a:gs>
                  <a:gs pos="0">
                    <a:schemeClr val="bg1"/>
                  </a:gs>
                  <a:gs pos="0">
                    <a:srgbClr val="C9E8A8"/>
                  </a:gs>
                  <a:gs pos="100000">
                    <a:srgbClr val="92D050"/>
                  </a:gs>
                </a:gsLst>
                <a:lin ang="10800000" scaled="1"/>
              </a:gradFill>
              <a:ln w="12700">
                <a:solidFill>
                  <a:schemeClr val="bg1"/>
                </a:solidFill>
              </a:ln>
            </c:spPr>
            <c:extLst>
              <c:ext xmlns:c16="http://schemas.microsoft.com/office/drawing/2014/chart" uri="{C3380CC4-5D6E-409C-BE32-E72D297353CC}">
                <c16:uniqueId val="{00000009-2723-461A-BB61-86AFC60F8329}"/>
              </c:ext>
            </c:extLst>
          </c:dPt>
          <c:dPt>
            <c:idx val="6"/>
            <c:bubble3D val="0"/>
            <c:spPr>
              <a:gradFill>
                <a:gsLst>
                  <a:gs pos="0">
                    <a:schemeClr val="bg1"/>
                  </a:gs>
                  <a:gs pos="47000">
                    <a:srgbClr val="9464B8"/>
                  </a:gs>
                  <a:gs pos="0">
                    <a:srgbClr val="B898D0"/>
                  </a:gs>
                  <a:gs pos="100000">
                    <a:srgbClr val="7030A0"/>
                  </a:gs>
                </a:gsLst>
                <a:lin ang="10800000" scaled="1"/>
              </a:gradFill>
              <a:ln w="12700">
                <a:solidFill>
                  <a:schemeClr val="bg1"/>
                </a:solidFill>
              </a:ln>
            </c:spPr>
            <c:extLst>
              <c:ext xmlns:c16="http://schemas.microsoft.com/office/drawing/2014/chart" uri="{C3380CC4-5D6E-409C-BE32-E72D297353CC}">
                <c16:uniqueId val="{0000000B-2723-461A-BB61-86AFC60F8329}"/>
              </c:ext>
            </c:extLst>
          </c:dPt>
          <c:dPt>
            <c:idx val="7"/>
            <c:bubble3D val="0"/>
            <c:spPr>
              <a:gradFill>
                <a:gsLst>
                  <a:gs pos="0">
                    <a:schemeClr val="bg1"/>
                  </a:gs>
                  <a:gs pos="0">
                    <a:schemeClr val="bg1"/>
                  </a:gs>
                  <a:gs pos="0">
                    <a:srgbClr val="F6BE98"/>
                  </a:gs>
                  <a:gs pos="100000">
                    <a:schemeClr val="accent2"/>
                  </a:gs>
                </a:gsLst>
                <a:lin ang="10800000" scaled="1"/>
              </a:gradFill>
              <a:ln w="12700">
                <a:solidFill>
                  <a:schemeClr val="bg1"/>
                </a:solidFill>
              </a:ln>
            </c:spPr>
            <c:extLst>
              <c:ext xmlns:c16="http://schemas.microsoft.com/office/drawing/2014/chart" uri="{C3380CC4-5D6E-409C-BE32-E72D297353CC}">
                <c16:uniqueId val="{0000000D-2723-461A-BB61-86AFC60F8329}"/>
              </c:ext>
            </c:extLst>
          </c:dPt>
          <c:dPt>
            <c:idx val="8"/>
            <c:bubble3D val="0"/>
            <c:spPr>
              <a:gradFill>
                <a:gsLst>
                  <a:gs pos="0">
                    <a:schemeClr val="bg1"/>
                  </a:gs>
                  <a:gs pos="0">
                    <a:schemeClr val="bg1"/>
                  </a:gs>
                  <a:gs pos="0">
                    <a:schemeClr val="bg1"/>
                  </a:gs>
                  <a:gs pos="0">
                    <a:srgbClr val="E08080"/>
                  </a:gs>
                  <a:gs pos="100000">
                    <a:srgbClr val="C00000"/>
                  </a:gs>
                </a:gsLst>
                <a:lin ang="10800000" scaled="1"/>
              </a:gradFill>
              <a:ln w="12700">
                <a:solidFill>
                  <a:schemeClr val="bg1"/>
                </a:solidFill>
              </a:ln>
            </c:spPr>
            <c:extLst>
              <c:ext xmlns:c16="http://schemas.microsoft.com/office/drawing/2014/chart" uri="{C3380CC4-5D6E-409C-BE32-E72D297353CC}">
                <c16:uniqueId val="{0000000F-2723-461A-BB61-86AFC60F8329}"/>
              </c:ext>
            </c:extLst>
          </c:dPt>
          <c:dPt>
            <c:idx val="9"/>
            <c:bubble3D val="0"/>
            <c:spPr>
              <a:gradFill>
                <a:gsLst>
                  <a:gs pos="0">
                    <a:schemeClr val="bg1"/>
                  </a:gs>
                  <a:gs pos="0">
                    <a:schemeClr val="bg1"/>
                  </a:gs>
                  <a:gs pos="0">
                    <a:srgbClr val="80D8A8"/>
                  </a:gs>
                  <a:gs pos="100000">
                    <a:srgbClr val="00B050"/>
                  </a:gs>
                </a:gsLst>
                <a:lin ang="10800000" scaled="1"/>
              </a:gradFill>
              <a:ln w="12700">
                <a:solidFill>
                  <a:schemeClr val="bg1"/>
                </a:solidFill>
              </a:ln>
            </c:spPr>
            <c:extLst>
              <c:ext xmlns:c16="http://schemas.microsoft.com/office/drawing/2014/chart" uri="{C3380CC4-5D6E-409C-BE32-E72D297353CC}">
                <c16:uniqueId val="{00000011-2723-461A-BB61-86AFC60F8329}"/>
              </c:ext>
            </c:extLst>
          </c:dPt>
          <c:dPt>
            <c:idx val="10"/>
            <c:bubble3D val="0"/>
            <c:spPr>
              <a:gradFill>
                <a:gsLst>
                  <a:gs pos="0">
                    <a:schemeClr val="bg1"/>
                  </a:gs>
                  <a:gs pos="0">
                    <a:schemeClr val="bg1"/>
                  </a:gs>
                  <a:gs pos="0">
                    <a:srgbClr val="80D8F8"/>
                  </a:gs>
                  <a:gs pos="100000">
                    <a:srgbClr val="00B0F0"/>
                  </a:gs>
                </a:gsLst>
                <a:lin ang="10800000" scaled="1"/>
              </a:gradFill>
              <a:ln w="12700">
                <a:solidFill>
                  <a:schemeClr val="bg1"/>
                </a:solidFill>
              </a:ln>
            </c:spPr>
            <c:extLst>
              <c:ext xmlns:c16="http://schemas.microsoft.com/office/drawing/2014/chart" uri="{C3380CC4-5D6E-409C-BE32-E72D297353CC}">
                <c16:uniqueId val="{00000013-2723-461A-BB61-86AFC60F8329}"/>
              </c:ext>
            </c:extLst>
          </c:dPt>
          <c:dLbls>
            <c:dLbl>
              <c:idx val="0"/>
              <c:layout>
                <c:manualLayout>
                  <c:x val="7.6669089317672069E-3"/>
                  <c:y val="1.469907407407407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723-461A-BB61-86AFC60F8329}"/>
                </c:ext>
              </c:extLst>
            </c:dLbl>
            <c:dLbl>
              <c:idx val="1"/>
              <c:layout>
                <c:manualLayout>
                  <c:x val="6.3752518757364651E-2"/>
                  <c:y val="1.322916666666666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23-461A-BB61-86AFC60F8329}"/>
                </c:ext>
              </c:extLst>
            </c:dLbl>
            <c:dLbl>
              <c:idx val="2"/>
              <c:layout>
                <c:manualLayout>
                  <c:x val="-1.7026287065909133E-2"/>
                  <c:y val="0"/>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723-461A-BB61-86AFC60F8329}"/>
                </c:ext>
              </c:extLst>
            </c:dLbl>
            <c:dLbl>
              <c:idx val="3"/>
              <c:layout>
                <c:manualLayout>
                  <c:x val="-6.6750547701476693E-3"/>
                  <c:y val="2.17148148148148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723-461A-BB61-86AFC60F8329}"/>
                </c:ext>
              </c:extLst>
            </c:dLbl>
            <c:dLbl>
              <c:idx val="4"/>
              <c:layout>
                <c:manualLayout>
                  <c:x val="-5.4740190217178941E-3"/>
                  <c:y val="3.495370370370370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4-2723-461A-BB61-86AFC60F8329}"/>
                </c:ext>
              </c:extLst>
            </c:dLbl>
            <c:dLbl>
              <c:idx val="5"/>
              <c:layout>
                <c:manualLayout>
                  <c:x val="-7.5164701193350999E-3"/>
                  <c:y val="8.889351851851851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723-461A-BB61-86AFC60F8329}"/>
                </c:ext>
              </c:extLst>
            </c:dLbl>
            <c:dLbl>
              <c:idx val="6"/>
              <c:layout>
                <c:manualLayout>
                  <c:x val="-2.5613412629566241E-2"/>
                  <c:y val="-6.8305092592592598E-2"/>
                </c:manualLayout>
              </c:layout>
              <c:spPr>
                <a:noFill/>
                <a:ln>
                  <a:noFill/>
                </a:ln>
                <a:effectLst/>
              </c:spPr>
              <c:txPr>
                <a:bodyPr wrap="square" lIns="38100" tIns="19050" rIns="38100" bIns="19050" anchor="ctr">
                  <a:spAutoFit/>
                </a:bodyPr>
                <a:lstStyle/>
                <a:p>
                  <a:pPr>
                    <a:defRPr sz="14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723-461A-BB61-86AFC60F8329}"/>
                </c:ext>
              </c:extLst>
            </c:dLbl>
            <c:dLbl>
              <c:idx val="7"/>
              <c:layout>
                <c:manualLayout>
                  <c:x val="-6.0331694787653337E-2"/>
                  <c:y val="6.864629629629630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723-461A-BB61-86AFC60F8329}"/>
                </c:ext>
              </c:extLst>
            </c:dLbl>
            <c:dLbl>
              <c:idx val="8"/>
              <c:layout>
                <c:manualLayout>
                  <c:x val="2.246552932319467E-3"/>
                  <c:y val="8.866666666666666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2723-461A-BB61-86AFC60F8329}"/>
                </c:ext>
              </c:extLst>
            </c:dLbl>
            <c:dLbl>
              <c:idx val="9"/>
              <c:layout>
                <c:manualLayout>
                  <c:x val="-6.6167027459316397E-3"/>
                  <c:y val="-4.2417129629629631E-2"/>
                </c:manualLayout>
              </c:layout>
              <c:spPr>
                <a:noFill/>
                <a:ln>
                  <a:noFill/>
                </a:ln>
                <a:effectLst/>
              </c:spPr>
              <c:txPr>
                <a:bodyPr wrap="square" lIns="38100" tIns="19050" rIns="38100" bIns="19050" anchor="ctr">
                  <a:noAutofit/>
                </a:bodyPr>
                <a:lstStyle/>
                <a:p>
                  <a:pPr>
                    <a:defRPr sz="1200" b="1" i="1">
                      <a:solidFill>
                        <a:schemeClr val="bg1"/>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7.6092081578213858E-2"/>
                      <c:h val="6.4675925925925928E-2"/>
                    </c:manualLayout>
                  </c15:layout>
                </c:ext>
                <c:ext xmlns:c16="http://schemas.microsoft.com/office/drawing/2014/chart" uri="{C3380CC4-5D6E-409C-BE32-E72D297353CC}">
                  <c16:uniqueId val="{00000011-2723-461A-BB61-86AFC60F8329}"/>
                </c:ext>
              </c:extLst>
            </c:dLbl>
            <c:dLbl>
              <c:idx val="10"/>
              <c:layout>
                <c:manualLayout>
                  <c:x val="1.4701323601049295E-3"/>
                  <c:y val="1.469907407407407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2723-461A-BB61-86AFC60F8329}"/>
                </c:ext>
              </c:extLst>
            </c:dLbl>
            <c:spPr>
              <a:noFill/>
              <a:ln>
                <a:noFill/>
              </a:ln>
              <a:effectLst/>
            </c:spPr>
            <c:txPr>
              <a:bodyPr wrap="square" lIns="38100" tIns="19050" rIns="38100" bIns="19050" anchor="ctr">
                <a:spAutoFit/>
              </a:bodyPr>
              <a:lstStyle/>
              <a:p>
                <a:pPr>
                  <a:defRPr sz="1200" b="1" i="1">
                    <a:solidFill>
                      <a:schemeClr val="bg1"/>
                    </a:solidFill>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'MASUK-CATEGORY'!$G$4:$G$15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'MASUK-CATEGORY'!$H$4:$H$15</c:f>
              <c:numCache>
                <c:formatCode>General</c:formatCode>
                <c:ptCount val="11"/>
                <c:pt idx="0">
                  <c:v>277.5</c:v>
                </c:pt>
                <c:pt idx="1">
                  <c:v>148.9</c:v>
                </c:pt>
                <c:pt idx="2">
                  <c:v>3541.6</c:v>
                </c:pt>
                <c:pt idx="3">
                  <c:v>2217.1999999999998</c:v>
                </c:pt>
                <c:pt idx="4">
                  <c:v>21.9</c:v>
                </c:pt>
                <c:pt idx="5">
                  <c:v>4332</c:v>
                </c:pt>
                <c:pt idx="6">
                  <c:v>26723</c:v>
                </c:pt>
                <c:pt idx="7">
                  <c:v>117.5</c:v>
                </c:pt>
                <c:pt idx="8">
                  <c:v>1475</c:v>
                </c:pt>
                <c:pt idx="9">
                  <c:v>372.87</c:v>
                </c:pt>
                <c:pt idx="10">
                  <c:v>1418</c:v>
                </c:pt>
              </c:numCache>
            </c:numRef>
          </c:val>
          <c:extLst>
            <c:ext xmlns:c16="http://schemas.microsoft.com/office/drawing/2014/chart" uri="{C3380CC4-5D6E-409C-BE32-E72D297353CC}">
              <c16:uniqueId val="{00000015-4859-477C-A742-56DC15CFAC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1042227109595193"/>
          <c:y val="0"/>
          <c:w val="0.33779192230273281"/>
          <c:h val="0.82192325387364173"/>
        </c:manualLayout>
      </c:layout>
      <c:overlay val="0"/>
      <c:txPr>
        <a:bodyPr/>
        <a:lstStyle/>
        <a:p>
          <a:pPr>
            <a:defRPr sz="900">
              <a:solidFill>
                <a:schemeClr val="bg1"/>
              </a:solidFill>
              <a:latin typeface="Bodoni MT" panose="02070603080606020203"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PIVOT.xlsx]AKTIVITAS-ECOBALI!AKTIVITAS-LOCATION ON CATEGORY</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50000">
                <a:srgbClr val="F29E65"/>
              </a:gs>
              <a:gs pos="0">
                <a:srgbClr val="F6BE98"/>
              </a:gs>
              <a:gs pos="100000">
                <a:schemeClr val="accent2"/>
              </a:gs>
            </a:gsLst>
            <a:lin ang="10800000" scaled="1"/>
          </a:gradFill>
          <a:ln>
            <a:noFill/>
          </a:ln>
          <a:effectLst>
            <a:outerShdw blurRad="50800" dist="38100" dir="2700000" algn="tl" rotWithShape="0">
              <a:prstClr val="black">
                <a:alpha val="40000"/>
              </a:prstClr>
            </a:outerShdw>
          </a:effectLst>
        </c:spPr>
      </c:pivotFmt>
      <c:pivotFmt>
        <c:idx val="5"/>
        <c:spPr>
          <a:gradFill>
            <a:gsLst>
              <a:gs pos="50000">
                <a:srgbClr val="9464B8"/>
              </a:gs>
              <a:gs pos="0">
                <a:srgbClr val="B898D0"/>
              </a:gs>
              <a:gs pos="100000">
                <a:srgbClr val="7030A0"/>
              </a:gs>
            </a:gsLst>
            <a:lin ang="10800000" scaled="1"/>
          </a:gradFill>
          <a:ln>
            <a:noFill/>
          </a:ln>
          <a:effectLst>
            <a:outerShdw blurRad="50800" dist="38100" dir="2700000" algn="tl" rotWithShape="0">
              <a:prstClr val="black">
                <a:alpha val="40000"/>
              </a:prstClr>
            </a:outerShdw>
          </a:effectLst>
        </c:spPr>
      </c:pivotFmt>
      <c:pivotFmt>
        <c:idx val="6"/>
        <c:spPr>
          <a:gradFill>
            <a:gsLst>
              <a:gs pos="50000">
                <a:srgbClr val="404040"/>
              </a:gs>
              <a:gs pos="0">
                <a:srgbClr val="808080"/>
              </a:gs>
              <a:gs pos="100000">
                <a:schemeClr val="tx1"/>
              </a:gs>
            </a:gsLst>
            <a:lin ang="10800000" scaled="1"/>
          </a:gradFill>
          <a:ln>
            <a:noFill/>
          </a:ln>
          <a:effectLst>
            <a:outerShdw blurRad="50800" dist="38100" dir="2700000" algn="tl" rotWithShape="0">
              <a:prstClr val="black">
                <a:alpha val="40000"/>
              </a:prstClr>
            </a:outerShdw>
          </a:effectLst>
        </c:spPr>
      </c:pivotFmt>
      <c:pivotFmt>
        <c:idx val="7"/>
        <c:spPr>
          <a:gradFill>
            <a:gsLst>
              <a:gs pos="100000">
                <a:srgbClr val="404040"/>
              </a:gs>
              <a:gs pos="0">
                <a:srgbClr val="A0A0A0"/>
              </a:gs>
            </a:gsLst>
            <a:lin ang="10800000" scaled="1"/>
          </a:gradFill>
          <a:ln>
            <a:noFill/>
          </a:ln>
          <a:effectLst>
            <a:outerShdw blurRad="50800" dist="38100" dir="2700000" algn="tl" rotWithShape="0">
              <a:prstClr val="black">
                <a:alpha val="40000"/>
              </a:prstClr>
            </a:outerShdw>
          </a:effectLst>
        </c:spPr>
      </c:pivotFmt>
      <c:pivotFmt>
        <c:idx val="8"/>
        <c:spPr>
          <a:gradFill>
            <a:gsLst>
              <a:gs pos="100000">
                <a:schemeClr val="accent2">
                  <a:lumMod val="40000"/>
                  <a:lumOff val="60000"/>
                </a:schemeClr>
              </a:gs>
              <a:gs pos="50000">
                <a:srgbClr val="FAD8C2"/>
              </a:gs>
              <a:gs pos="0">
                <a:srgbClr val="FCE5D6"/>
              </a:gs>
            </a:gsLst>
            <a:lin ang="10800000" scaled="1"/>
          </a:gradFill>
          <a:ln>
            <a:noFill/>
          </a:ln>
          <a:effectLst>
            <a:outerShdw blurRad="50800" dist="38100" dir="2700000" algn="tl" rotWithShape="0">
              <a:prstClr val="black">
                <a:alpha val="40000"/>
              </a:prstClr>
            </a:outerShdw>
          </a:effectLst>
        </c:spPr>
      </c:pivotFmt>
      <c:pivotFmt>
        <c:idx val="9"/>
        <c:spPr>
          <a:gradFill>
            <a:gsLst>
              <a:gs pos="0">
                <a:srgbClr val="FFFF80"/>
              </a:gs>
              <a:gs pos="99000">
                <a:srgbClr val="FFFF00"/>
              </a:gs>
            </a:gsLst>
            <a:lin ang="10800000" scaled="1"/>
          </a:gra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0.34305628463108784"/>
          <c:y val="2.3429179978700747E-2"/>
          <c:w val="0.62527143702996724"/>
          <c:h val="0.89949569402866181"/>
        </c:manualLayout>
      </c:layout>
      <c:barChart>
        <c:barDir val="bar"/>
        <c:grouping val="clustered"/>
        <c:varyColors val="0"/>
        <c:ser>
          <c:idx val="0"/>
          <c:order val="0"/>
          <c:tx>
            <c:strRef>
              <c:f>'AKTIVITAS-ECOBALI'!$AF$3</c:f>
              <c:strCache>
                <c:ptCount val="1"/>
                <c:pt idx="0">
                  <c:v>Total</c:v>
                </c:pt>
              </c:strCache>
            </c:strRef>
          </c:tx>
          <c:spPr>
            <a:solidFill>
              <a:schemeClr val="bg1"/>
            </a:solidFill>
            <a:ln>
              <a:noFill/>
            </a:ln>
            <a:effectLst>
              <a:outerShdw blurRad="50800" dist="38100" dir="2700000" algn="tl" rotWithShape="0">
                <a:prstClr val="black">
                  <a:alpha val="40000"/>
                </a:prstClr>
              </a:outerShdw>
            </a:effectLst>
          </c:spPr>
          <c:invertIfNegative val="0"/>
          <c:dPt>
            <c:idx val="0"/>
            <c:invertIfNegative val="0"/>
            <c:bubble3D val="0"/>
            <c:spPr>
              <a:gradFill>
                <a:gsLst>
                  <a:gs pos="100000">
                    <a:schemeClr val="accent2">
                      <a:lumMod val="40000"/>
                      <a:lumOff val="60000"/>
                    </a:schemeClr>
                  </a:gs>
                  <a:gs pos="50000">
                    <a:srgbClr val="FAD8C2"/>
                  </a:gs>
                  <a:gs pos="0">
                    <a:srgbClr val="FCE5D6"/>
                  </a:gs>
                </a:gsLst>
                <a:lin ang="10800000" scaled="1"/>
              </a:gra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BEB5-4252-933C-DE6FC035EBBC}"/>
              </c:ext>
            </c:extLst>
          </c:dPt>
          <c:dPt>
            <c:idx val="1"/>
            <c:invertIfNegative val="0"/>
            <c:bubble3D val="0"/>
            <c:spPr>
              <a:gradFill>
                <a:gsLst>
                  <a:gs pos="50000">
                    <a:srgbClr val="404040"/>
                  </a:gs>
                  <a:gs pos="0">
                    <a:srgbClr val="808080"/>
                  </a:gs>
                  <a:gs pos="100000">
                    <a:schemeClr val="tx1"/>
                  </a:gs>
                </a:gsLst>
                <a:lin ang="10800000" scaled="1"/>
              </a:gra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6-BEB5-4252-933C-DE6FC035EBBC}"/>
              </c:ext>
            </c:extLst>
          </c:dPt>
          <c:dPt>
            <c:idx val="2"/>
            <c:invertIfNegative val="0"/>
            <c:bubble3D val="0"/>
            <c:spPr>
              <a:gradFill>
                <a:gsLst>
                  <a:gs pos="50000">
                    <a:srgbClr val="9464B8"/>
                  </a:gs>
                  <a:gs pos="0">
                    <a:srgbClr val="B898D0"/>
                  </a:gs>
                  <a:gs pos="100000">
                    <a:srgbClr val="7030A0"/>
                  </a:gs>
                </a:gsLst>
                <a:lin ang="10800000" scaled="1"/>
              </a:gra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6C0D-4A32-8846-44BE48295AF6}"/>
              </c:ext>
            </c:extLst>
          </c:dPt>
          <c:dPt>
            <c:idx val="3"/>
            <c:invertIfNegative val="0"/>
            <c:bubble3D val="0"/>
            <c:spPr>
              <a:gradFill>
                <a:gsLst>
                  <a:gs pos="50000">
                    <a:srgbClr val="F29E65"/>
                  </a:gs>
                  <a:gs pos="0">
                    <a:srgbClr val="F6BE98"/>
                  </a:gs>
                  <a:gs pos="100000">
                    <a:schemeClr val="accent2"/>
                  </a:gs>
                </a:gsLst>
                <a:lin ang="10800000" scaled="1"/>
              </a:gra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BEB5-4252-933C-DE6FC035EBBC}"/>
              </c:ext>
            </c:extLst>
          </c:dPt>
          <c:dPt>
            <c:idx val="4"/>
            <c:invertIfNegative val="0"/>
            <c:bubble3D val="0"/>
            <c:extLst>
              <c:ext xmlns:c16="http://schemas.microsoft.com/office/drawing/2014/chart" uri="{C3380CC4-5D6E-409C-BE32-E72D297353CC}">
                <c16:uniqueId val="{00000004-BEB5-4252-933C-DE6FC035EBBC}"/>
              </c:ext>
            </c:extLst>
          </c:dPt>
          <c:dPt>
            <c:idx val="5"/>
            <c:invertIfNegative val="0"/>
            <c:bubble3D val="0"/>
            <c:extLst>
              <c:ext xmlns:c16="http://schemas.microsoft.com/office/drawing/2014/chart" uri="{C3380CC4-5D6E-409C-BE32-E72D297353CC}">
                <c16:uniqueId val="{00000003-BEB5-4252-933C-DE6FC035EBBC}"/>
              </c:ext>
            </c:extLst>
          </c:dPt>
          <c:dPt>
            <c:idx val="6"/>
            <c:invertIfNegative val="0"/>
            <c:bubble3D val="0"/>
            <c:extLst>
              <c:ext xmlns:c16="http://schemas.microsoft.com/office/drawing/2014/chart" uri="{C3380CC4-5D6E-409C-BE32-E72D297353CC}">
                <c16:uniqueId val="{00000002-BEB5-4252-933C-DE6FC035EBBC}"/>
              </c:ext>
            </c:extLst>
          </c:dPt>
          <c:dLbls>
            <c:spPr>
              <a:noFill/>
              <a:ln>
                <a:noFill/>
              </a:ln>
              <a:effectLst/>
            </c:spPr>
            <c:txPr>
              <a:bodyPr rot="0" spcFirstLastPara="1" vertOverflow="ellipsis" vert="horz" wrap="square" lIns="38100" tIns="19050" rIns="38100" bIns="19050" anchor="ctr" anchorCtr="1">
                <a:spAutoFit/>
              </a:bodyPr>
              <a:lstStyle/>
              <a:p>
                <a:pPr>
                  <a:defRPr sz="18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'AKTIVITAS-ECOBALI'!$AE$4:$AE$9</c:f>
              <c:strCache>
                <c:ptCount val="5"/>
                <c:pt idx="0">
                  <c:v>Bank Sampah Unit</c:v>
                </c:pt>
                <c:pt idx="1">
                  <c:v>Pemerintah</c:v>
                </c:pt>
                <c:pt idx="2">
                  <c:v>Pengepul</c:v>
                </c:pt>
                <c:pt idx="3">
                  <c:v>Sekolah</c:v>
                </c:pt>
                <c:pt idx="4">
                  <c:v>TPS3R</c:v>
                </c:pt>
              </c:strCache>
            </c:strRef>
          </c:cat>
          <c:val>
            <c:numRef>
              <c:f>'AKTIVITAS-ECOBALI'!$AF$4:$AF$9</c:f>
              <c:numCache>
                <c:formatCode>General</c:formatCode>
                <c:ptCount val="5"/>
                <c:pt idx="0">
                  <c:v>2</c:v>
                </c:pt>
                <c:pt idx="1">
                  <c:v>3</c:v>
                </c:pt>
                <c:pt idx="2">
                  <c:v>1</c:v>
                </c:pt>
                <c:pt idx="3">
                  <c:v>3</c:v>
                </c:pt>
                <c:pt idx="4">
                  <c:v>1</c:v>
                </c:pt>
              </c:numCache>
            </c:numRef>
          </c:val>
          <c:extLst>
            <c:ext xmlns:c16="http://schemas.microsoft.com/office/drawing/2014/chart" uri="{C3380CC4-5D6E-409C-BE32-E72D297353CC}">
              <c16:uniqueId val="{00000000-BEB5-4252-933C-DE6FC035EBBC}"/>
            </c:ext>
          </c:extLst>
        </c:ser>
        <c:dLbls>
          <c:showLegendKey val="0"/>
          <c:showVal val="0"/>
          <c:showCatName val="0"/>
          <c:showSerName val="0"/>
          <c:showPercent val="0"/>
          <c:showBubbleSize val="0"/>
        </c:dLbls>
        <c:gapWidth val="120"/>
        <c:axId val="927550560"/>
        <c:axId val="927550976"/>
      </c:barChart>
      <c:catAx>
        <c:axId val="92755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1" u="none" strike="noStrike" kern="1200" baseline="0">
                <a:solidFill>
                  <a:schemeClr val="bg1"/>
                </a:solidFill>
                <a:latin typeface="+mn-lt"/>
                <a:ea typeface="+mn-ea"/>
                <a:cs typeface="+mn-cs"/>
              </a:defRPr>
            </a:pPr>
            <a:endParaRPr lang="en-US"/>
          </a:p>
        </c:txPr>
        <c:crossAx val="927550976"/>
        <c:crosses val="autoZero"/>
        <c:auto val="1"/>
        <c:lblAlgn val="ctr"/>
        <c:lblOffset val="100"/>
        <c:noMultiLvlLbl val="0"/>
      </c:catAx>
      <c:valAx>
        <c:axId val="92755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1" u="none" strike="noStrike" kern="1200" baseline="0">
                <a:solidFill>
                  <a:schemeClr val="bg1"/>
                </a:solidFill>
                <a:latin typeface="+mn-lt"/>
                <a:ea typeface="+mn-ea"/>
                <a:cs typeface="+mn-cs"/>
              </a:defRPr>
            </a:pPr>
            <a:endParaRPr lang="en-US"/>
          </a:p>
        </c:txPr>
        <c:crossAx val="92755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PIVOT.xlsx]JUAL-ECOBALI!JUAL-EcoBali-Collection</c:name>
    <c:fmtId val="0"/>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836708160"/>
        <c:axId val="836708576"/>
      </c:lineChart>
      <c:catAx>
        <c:axId val="8367081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36708576"/>
        <c:crosses val="autoZero"/>
        <c:auto val="1"/>
        <c:lblAlgn val="ctr"/>
        <c:lblOffset val="100"/>
        <c:noMultiLvlLbl val="0"/>
      </c:catAx>
      <c:valAx>
        <c:axId val="8367085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3670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PIVOT.xlsx]JUAL-ECOBALI!JUAL-EcoBali-Delivery</c:name>
    <c:fmtId val="0"/>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'JUAL-ECOBALI'!$L$3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'JUAL-ECOBALI'!$K$4:$K$8</c:f>
              <c:strCache>
                <c:ptCount val="4"/>
                <c:pt idx="0">
                  <c:v>(01) JAN</c:v>
                </c:pt>
                <c:pt idx="1">
                  <c:v>(02) FEB</c:v>
                </c:pt>
                <c:pt idx="2">
                  <c:v>(03) MAR</c:v>
                </c:pt>
                <c:pt idx="3">
                  <c:v>(04) APR</c:v>
                </c:pt>
              </c:strCache>
            </c:strRef>
          </c:cat>
          <c:val>
            <c:numRef>
              <c:f>'JUAL-ECOBALI'!$L$4:$L$8</c:f>
              <c:numCache>
                <c:formatCode>#,##0.0</c:formatCode>
                <c:ptCount val="4"/>
                <c:pt idx="0">
                  <c:v>9270</c:v>
                </c:pt>
                <c:pt idx="1">
                  <c:v>11758</c:v>
                </c:pt>
                <c:pt idx="2">
                  <c:v>8985</c:v>
                </c:pt>
                <c:pt idx="3">
                  <c:v>8373</c:v>
                </c:pt>
              </c:numCache>
            </c:numRef>
          </c:val>
          <c:smooth val="0"/>
          <c:extLst>
            <c:ext xmlns:c16="http://schemas.microsoft.com/office/drawing/2014/chart" uri="{C3380CC4-5D6E-409C-BE32-E72D297353CC}">
              <c16:uniqueId val="{00000001-511C-4568-9513-585E1D94CD5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03137120"/>
        <c:axId val="1003153344"/>
      </c:lineChart>
      <c:catAx>
        <c:axId val="10031371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03153344"/>
        <c:crosses val="autoZero"/>
        <c:auto val="1"/>
        <c:lblAlgn val="ctr"/>
        <c:lblOffset val="100"/>
        <c:noMultiLvlLbl val="0"/>
      </c:catAx>
      <c:valAx>
        <c:axId val="10031533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0313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lt1"/>
            </a:solidFill>
            <a:ln w="19050">
              <a:solidFill>
                <a:schemeClr val="accent1"/>
              </a:solidFill>
            </a:ln>
            <a:effectLst>
              <a:outerShdw blurRad="50800" dist="38100" dir="5400000" algn="t" rotWithShape="0">
                <a:prstClr val="black">
                  <a:alpha val="40000"/>
                </a:prstClr>
              </a:outerShdw>
            </a:effectLst>
          </c:spPr>
          <c:dPt>
            <c:idx val="0"/>
            <c:bubble3D val="0"/>
            <c:spPr>
              <a:noFill/>
              <a:ln w="19050">
                <a:solidFill>
                  <a:schemeClr val="accen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80DA-4188-91C2-FC6FBD641F83}"/>
              </c:ext>
            </c:extLst>
          </c:dPt>
          <c:dPt>
            <c:idx val="1"/>
            <c:bubble3D val="0"/>
            <c:spPr>
              <a:solidFill>
                <a:schemeClr val="lt1"/>
              </a:solidFill>
              <a:ln w="19050">
                <a:solidFill>
                  <a:schemeClr val="accent1"/>
                </a:solid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F465-40BF-ADC6-7CBAB6CAD989}"/>
              </c:ext>
            </c:extLst>
          </c:dPt>
          <c:dLbls>
            <c:delete val="1"/>
          </c:dLbls>
          <c:cat>
            <c:strRef>
              <c:f>'JUAL-ECOBALI'!$AN$4:$AN$5</c:f>
              <c:strCache>
                <c:ptCount val="2"/>
                <c:pt idx="0">
                  <c:v>Susut</c:v>
                </c:pt>
                <c:pt idx="1">
                  <c:v>Tidak Susut</c:v>
                </c:pt>
              </c:strCache>
            </c:strRef>
          </c:cat>
          <c:val>
            <c:numRef>
              <c:f>'JUAL-ECOBALI'!$AO$4:$AO$5</c:f>
              <c:numCache>
                <c:formatCode>#,##0.0</c:formatCode>
                <c:ptCount val="2"/>
                <c:pt idx="0">
                  <c:v>2270.67</c:v>
                </c:pt>
                <c:pt idx="1">
                  <c:v>38386</c:v>
                </c:pt>
              </c:numCache>
            </c:numRef>
          </c:val>
          <c:extLst>
            <c:ext xmlns:c16="http://schemas.microsoft.com/office/drawing/2014/chart" uri="{C3380CC4-5D6E-409C-BE32-E72D297353CC}">
              <c16:uniqueId val="{00000000-80DA-4188-91C2-FC6FBD641F83}"/>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bg1"/>
                </a:solidFill>
              </a:ln>
              <a:effectLst/>
            </c:spPr>
            <c:extLst>
              <c:ext xmlns:c16="http://schemas.microsoft.com/office/drawing/2014/chart" uri="{C3380CC4-5D6E-409C-BE32-E72D297353CC}">
                <c16:uniqueId val="{00000001-FC45-4FE5-B067-35B8B257BC1B}"/>
              </c:ext>
            </c:extLst>
          </c:dPt>
          <c:dPt>
            <c:idx val="1"/>
            <c:bubble3D val="0"/>
            <c:spPr>
              <a:noFill/>
              <a:ln w="19050">
                <a:solidFill>
                  <a:schemeClr val="bg1"/>
                </a:solidFill>
              </a:ln>
              <a:effectLst/>
            </c:spPr>
            <c:extLst>
              <c:ext xmlns:c16="http://schemas.microsoft.com/office/drawing/2014/chart" uri="{C3380CC4-5D6E-409C-BE32-E72D297353CC}">
                <c16:uniqueId val="{00000003-FC45-4FE5-B067-35B8B257BC1B}"/>
              </c:ext>
            </c:extLst>
          </c:dPt>
          <c:dLbls>
            <c:delete val="1"/>
          </c:dLbls>
          <c:cat>
            <c:strRef>
              <c:f>'JUAL-ECOBALI'!$W$5:$W$6</c:f>
              <c:strCache>
                <c:ptCount val="2"/>
                <c:pt idx="0">
                  <c:v>Terkumpul</c:v>
                </c:pt>
                <c:pt idx="1">
                  <c:v>Belum </c:v>
                </c:pt>
              </c:strCache>
            </c:strRef>
          </c:cat>
          <c:val>
            <c:numRef>
              <c:f>'JUAL-ECOBALI'!$X$5:$X$6</c:f>
              <c:numCache>
                <c:formatCode>#,##0</c:formatCode>
                <c:ptCount val="2"/>
                <c:pt idx="0">
                  <c:v>38386</c:v>
                </c:pt>
                <c:pt idx="1">
                  <c:v>44947.320000000007</c:v>
                </c:pt>
              </c:numCache>
            </c:numRef>
          </c:val>
          <c:extLst>
            <c:ext xmlns:c16="http://schemas.microsoft.com/office/drawing/2014/chart" uri="{C3380CC4-5D6E-409C-BE32-E72D297353CC}">
              <c16:uniqueId val="{00000004-FC45-4FE5-B067-35B8B257BC1B}"/>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bg1"/>
                </a:solidFill>
              </a:ln>
              <a:effectLst/>
            </c:spPr>
            <c:extLst>
              <c:ext xmlns:c16="http://schemas.microsoft.com/office/drawing/2014/chart" uri="{C3380CC4-5D6E-409C-BE32-E72D297353CC}">
                <c16:uniqueId val="{00000001-FB53-4BD8-8FEB-A3BB97556631}"/>
              </c:ext>
            </c:extLst>
          </c:dPt>
          <c:dPt>
            <c:idx val="1"/>
            <c:bubble3D val="0"/>
            <c:spPr>
              <a:noFill/>
              <a:ln w="19050">
                <a:solidFill>
                  <a:schemeClr val="bg1"/>
                </a:solidFill>
              </a:ln>
              <a:effectLst/>
            </c:spPr>
            <c:extLst>
              <c:ext xmlns:c16="http://schemas.microsoft.com/office/drawing/2014/chart" uri="{C3380CC4-5D6E-409C-BE32-E72D297353CC}">
                <c16:uniqueId val="{00000003-FB53-4BD8-8FEB-A3BB97556631}"/>
              </c:ext>
            </c:extLst>
          </c:dPt>
          <c:dLbls>
            <c:delete val="1"/>
          </c:dLbls>
          <c:cat>
            <c:strRef>
              <c:f>'JUAL-ECOBALI'!$W$5:$W$6</c:f>
              <c:strCache>
                <c:ptCount val="2"/>
                <c:pt idx="0">
                  <c:v>Terkumpul</c:v>
                </c:pt>
                <c:pt idx="1">
                  <c:v>Belum </c:v>
                </c:pt>
              </c:strCache>
            </c:strRef>
          </c:cat>
          <c:val>
            <c:numRef>
              <c:f>'JUAL-ECOBALI'!$AF$5:$AF$6</c:f>
              <c:numCache>
                <c:formatCode>#,##0</c:formatCode>
                <c:ptCount val="2"/>
                <c:pt idx="0">
                  <c:v>38386</c:v>
                </c:pt>
                <c:pt idx="1">
                  <c:v>211614</c:v>
                </c:pt>
              </c:numCache>
            </c:numRef>
          </c:val>
          <c:extLst>
            <c:ext xmlns:c16="http://schemas.microsoft.com/office/drawing/2014/chart" uri="{C3380CC4-5D6E-409C-BE32-E72D297353CC}">
              <c16:uniqueId val="{00000004-FB53-4BD8-8FEB-A3BB97556631}"/>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PIVOT.xlsx]JUAL-PABRIK!JUAL-Pabrik-Received</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'JUAL-PABRIK'!$C$3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'JUAL-PABRIK'!$B$4:$B$8</c:f>
              <c:strCache>
                <c:ptCount val="4"/>
                <c:pt idx="0">
                  <c:v>(01) JAN</c:v>
                </c:pt>
                <c:pt idx="1">
                  <c:v>(02) FEB</c:v>
                </c:pt>
                <c:pt idx="2">
                  <c:v>(03) MAR</c:v>
                </c:pt>
                <c:pt idx="3">
                  <c:v>(04) APR</c:v>
                </c:pt>
              </c:strCache>
            </c:strRef>
          </c:cat>
          <c:val>
            <c:numRef>
              <c:f>'JUAL-PABRIK'!$C$4:$C$8</c:f>
              <c:numCache>
                <c:formatCode>#,##0</c:formatCode>
                <c:ptCount val="4"/>
                <c:pt idx="0">
                  <c:v>9300</c:v>
                </c:pt>
                <c:pt idx="1">
                  <c:v>11800</c:v>
                </c:pt>
                <c:pt idx="2">
                  <c:v>8930</c:v>
                </c:pt>
                <c:pt idx="3">
                  <c:v>8340</c:v>
                </c:pt>
              </c:numCache>
            </c:numRef>
          </c:val>
          <c:smooth val="0"/>
          <c:extLst>
            <c:ext xmlns:c16="http://schemas.microsoft.com/office/drawing/2014/chart" uri="{C3380CC4-5D6E-409C-BE32-E72D297353CC}">
              <c16:uniqueId val="{00000001-56C3-4B5C-AEC3-5193CC3FF9B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0645488"/>
        <c:axId val="30635088"/>
      </c:lineChart>
      <c:catAx>
        <c:axId val="306454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0635088"/>
        <c:crosses val="autoZero"/>
        <c:auto val="1"/>
        <c:lblAlgn val="ctr"/>
        <c:lblOffset val="100"/>
        <c:noMultiLvlLbl val="0"/>
      </c:catAx>
      <c:valAx>
        <c:axId val="306350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64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3-F5FA-4266-A703-835CE6F8BE80}"/>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2-F5FA-4266-A703-835CE6F8BE80}"/>
              </c:ext>
            </c:extLst>
          </c:dPt>
          <c:dLbls>
            <c:delete val="1"/>
          </c:dLbls>
          <c:cat>
            <c:strRef>
              <c:f>'JUAL-PABRIK'!$O$4:$O$5</c:f>
              <c:strCache>
                <c:ptCount val="2"/>
                <c:pt idx="0">
                  <c:v>Susut</c:v>
                </c:pt>
                <c:pt idx="1">
                  <c:v>Tidak Susut</c:v>
                </c:pt>
              </c:strCache>
            </c:strRef>
          </c:cat>
          <c:val>
            <c:numRef>
              <c:f>'JUAL-PABRIK'!$P$4:$P$5</c:f>
              <c:numCache>
                <c:formatCode>#,##0.0</c:formatCode>
                <c:ptCount val="2"/>
                <c:pt idx="0">
                  <c:v>16</c:v>
                </c:pt>
                <c:pt idx="1">
                  <c:v>38354</c:v>
                </c:pt>
              </c:numCache>
            </c:numRef>
          </c:val>
          <c:extLst>
            <c:ext xmlns:c16="http://schemas.microsoft.com/office/drawing/2014/chart" uri="{C3380CC4-5D6E-409C-BE32-E72D297353CC}">
              <c16:uniqueId val="{00000000-F5FA-4266-A703-835CE6F8BE80}"/>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PIVOT.xlsx]JUAL-PABRIK!JUAL-Pabrik total diterima</c:name>
    <c:fmtId val="4"/>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'JUAL-PABRIK'!$AH$3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'JUAL-PABRIK'!$AG$4:$AG$8</c:f>
              <c:strCache>
                <c:ptCount val="4"/>
                <c:pt idx="0">
                  <c:v>(01) JAN</c:v>
                </c:pt>
                <c:pt idx="1">
                  <c:v>(02) FEB</c:v>
                </c:pt>
                <c:pt idx="2">
                  <c:v>(03) MAR</c:v>
                </c:pt>
                <c:pt idx="3">
                  <c:v>(04) APR</c:v>
                </c:pt>
              </c:strCache>
            </c:strRef>
          </c:cat>
          <c:val>
            <c:numRef>
              <c:f>'JUAL-PABRIK'!$AH$4:$AH$8</c:f>
              <c:numCache>
                <c:formatCode>#,##0.0</c:formatCode>
                <c:ptCount val="4"/>
                <c:pt idx="0">
                  <c:v>8928</c:v>
                </c:pt>
                <c:pt idx="1">
                  <c:v>10856</c:v>
                </c:pt>
                <c:pt idx="2">
                  <c:v>8153</c:v>
                </c:pt>
                <c:pt idx="3">
                  <c:v>7690</c:v>
                </c:pt>
              </c:numCache>
            </c:numRef>
          </c:val>
          <c:smooth val="0"/>
          <c:extLst>
            <c:ext xmlns:c16="http://schemas.microsoft.com/office/drawing/2014/chart" uri="{C3380CC4-5D6E-409C-BE32-E72D297353CC}">
              <c16:uniqueId val="{00000000-E062-447D-B07A-247C6BEB135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82198063"/>
        <c:axId val="582198479"/>
      </c:lineChart>
      <c:catAx>
        <c:axId val="58219806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82198479"/>
        <c:crosses val="autoZero"/>
        <c:auto val="1"/>
        <c:lblAlgn val="ctr"/>
        <c:lblOffset val="100"/>
        <c:noMultiLvlLbl val="0"/>
      </c:catAx>
      <c:valAx>
        <c:axId val="58219847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219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PIVOT.xlsx]JUAL-PABRIK!JUAL-EcoBali vs Papermill</c:name>
    <c:fmtId val="2"/>
  </c:pivotSource>
  <c:chart>
    <c:autoTitleDeleted val="0"/>
    <c:pivotFmts>
      <c:pivotFmt>
        <c:idx val="0"/>
        <c:spPr>
          <a:gradFill>
            <a:gsLst>
              <a:gs pos="50000">
                <a:srgbClr val="36639D"/>
              </a:gs>
              <a:gs pos="0">
                <a:srgbClr val="6CA5DA"/>
              </a:gs>
              <a:gs pos="100000">
                <a:srgbClr val="002060"/>
              </a:gs>
            </a:gsLst>
            <a:lin ang="18000000" scaled="0"/>
          </a:gradFill>
          <a:ln w="127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alpha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
                <a:srgbClr val="00B0F0"/>
              </a:gs>
              <a:gs pos="100000">
                <a:srgbClr val="002060"/>
              </a:gs>
            </a:gsLst>
            <a:lin ang="16200000" scaled="1"/>
            <a:tileRect/>
          </a:gradFill>
          <a:ln w="25400">
            <a:solidFill>
              <a:sysClr val="window" lastClr="FFFFFF"/>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'JUAL-PABRIK'!$BC$3</c:f>
              <c:strCache>
                <c:ptCount val="1"/>
                <c:pt idx="0">
                  <c:v>Sum of Delivered to Papermill (Kg)</c:v>
                </c:pt>
              </c:strCache>
            </c:strRef>
          </c:tx>
          <c:spPr>
            <a:solidFill>
              <a:srgbClr val="002060"/>
            </a:solidFill>
            <a:ln>
              <a:noFill/>
            </a:ln>
            <a:effectLst/>
          </c:spPr>
          <c:invertIfNegative val="0"/>
          <c:cat>
            <c:multiLvlStrRef>
              <c:f>'JUAL-PABRIK'!$BB$4:$BB$10</c:f>
              <c:multiLvlStrCache>
                <c:ptCount val="4"/>
                <c:lvl>
                  <c:pt idx="0">
                    <c:v>(01) JAN</c:v>
                  </c:pt>
                  <c:pt idx="1">
                    <c:v>(02) FEB</c:v>
                  </c:pt>
                  <c:pt idx="2">
                    <c:v>(03) MAR</c:v>
                  </c:pt>
                  <c:pt idx="3">
                    <c:v>(04) APR</c:v>
                  </c:pt>
                </c:lvl>
                <c:lvl>
                  <c:pt idx="0">
                    <c:v>Q1</c:v>
                  </c:pt>
                  <c:pt idx="3">
                    <c:v>Q2</c:v>
                  </c:pt>
                </c:lvl>
              </c:multiLvlStrCache>
            </c:multiLvlStrRef>
          </c:cat>
          <c:val>
            <c:numRef>
              <c:f>'JUAL-PABRIK'!$BC$4:$BC$10</c:f>
              <c:numCache>
                <c:formatCode>General</c:formatCode>
                <c:ptCount val="4"/>
                <c:pt idx="0">
                  <c:v>9270</c:v>
                </c:pt>
                <c:pt idx="1">
                  <c:v>11758</c:v>
                </c:pt>
                <c:pt idx="2">
                  <c:v>8985</c:v>
                </c:pt>
                <c:pt idx="3">
                  <c:v>8373</c:v>
                </c:pt>
              </c:numCache>
            </c:numRef>
          </c:val>
          <c:extLst>
            <c:ext xmlns:c16="http://schemas.microsoft.com/office/drawing/2014/chart" uri="{C3380CC4-5D6E-409C-BE32-E72D297353CC}">
              <c16:uniqueId val="{00000000-40B5-4E0A-A5B5-8890C12CD658}"/>
            </c:ext>
          </c:extLst>
        </c:ser>
        <c:ser>
          <c:idx val="1"/>
          <c:order val="1"/>
          <c:tx>
            <c:strRef>
              <c:f>'JUAL-PABRIK'!$BD$3</c:f>
              <c:strCache>
                <c:ptCount val="1"/>
                <c:pt idx="0">
                  <c:v>Sum of Received at Papermill (Kg)</c:v>
                </c:pt>
              </c:strCache>
            </c:strRef>
          </c:tx>
          <c:spPr>
            <a:solidFill>
              <a:schemeClr val="bg1">
                <a:alpha val="70000"/>
              </a:schemeClr>
            </a:solidFill>
            <a:ln>
              <a:noFill/>
            </a:ln>
            <a:effectLst/>
          </c:spPr>
          <c:invertIfNegative val="0"/>
          <c:cat>
            <c:multiLvlStrRef>
              <c:f>'JUAL-PABRIK'!$BB$4:$BB$10</c:f>
              <c:multiLvlStrCache>
                <c:ptCount val="4"/>
                <c:lvl>
                  <c:pt idx="0">
                    <c:v>(01) JAN</c:v>
                  </c:pt>
                  <c:pt idx="1">
                    <c:v>(02) FEB</c:v>
                  </c:pt>
                  <c:pt idx="2">
                    <c:v>(03) MAR</c:v>
                  </c:pt>
                  <c:pt idx="3">
                    <c:v>(04) APR</c:v>
                  </c:pt>
                </c:lvl>
                <c:lvl>
                  <c:pt idx="0">
                    <c:v>Q1</c:v>
                  </c:pt>
                  <c:pt idx="3">
                    <c:v>Q2</c:v>
                  </c:pt>
                </c:lvl>
              </c:multiLvlStrCache>
            </c:multiLvlStrRef>
          </c:cat>
          <c:val>
            <c:numRef>
              <c:f>'JUAL-PABRIK'!$BD$4:$BD$10</c:f>
              <c:numCache>
                <c:formatCode>General</c:formatCode>
                <c:ptCount val="4"/>
                <c:pt idx="0">
                  <c:v>9300</c:v>
                </c:pt>
                <c:pt idx="1">
                  <c:v>11800</c:v>
                </c:pt>
                <c:pt idx="2">
                  <c:v>8930</c:v>
                </c:pt>
                <c:pt idx="3">
                  <c:v>8340</c:v>
                </c:pt>
              </c:numCache>
            </c:numRef>
          </c:val>
          <c:extLst>
            <c:ext xmlns:c16="http://schemas.microsoft.com/office/drawing/2014/chart" uri="{C3380CC4-5D6E-409C-BE32-E72D297353CC}">
              <c16:uniqueId val="{00000001-EEEC-421E-BA8D-53380C649260}"/>
            </c:ext>
          </c:extLst>
        </c:ser>
        <c:dLbls>
          <c:showLegendKey val="0"/>
          <c:showVal val="0"/>
          <c:showCatName val="0"/>
          <c:showSerName val="0"/>
          <c:showPercent val="0"/>
          <c:showBubbleSize val="0"/>
        </c:dLbls>
        <c:gapWidth val="219"/>
        <c:overlap val="100"/>
        <c:axId val="618902224"/>
        <c:axId val="618900560"/>
      </c:barChart>
      <c:catAx>
        <c:axId val="61890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8900560"/>
        <c:crosses val="autoZero"/>
        <c:auto val="1"/>
        <c:lblAlgn val="ctr"/>
        <c:lblOffset val="100"/>
        <c:noMultiLvlLbl val="0"/>
      </c:catAx>
      <c:valAx>
        <c:axId val="61890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890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87C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PIVOT.xlsx]MASUK-WEEKLY!UBC-∑WEEKLY</c:name>
    <c:fmtId val="10"/>
  </c:pivotSource>
  <c:chart>
    <c:autoTitleDeleted val="1"/>
    <c:pivotFmts>
      <c:pivotFmt>
        <c:idx val="0"/>
        <c:spPr>
          <a:pattFill prst="ltUpDiag">
            <a:fgClr>
              <a:schemeClr val="accent1"/>
            </a:fgClr>
            <a:bgClr>
              <a:schemeClr val="lt1"/>
            </a:bgClr>
          </a:pattFill>
          <a:ln w="34925" cap="rnd">
            <a:solidFill>
              <a:schemeClr val="lt1"/>
            </a:solidFill>
            <a:round/>
          </a:ln>
          <a:effectLst>
            <a:glow rad="63500">
              <a:schemeClr val="accent5">
                <a:satMod val="175000"/>
                <a:alpha val="40000"/>
              </a:schemeClr>
            </a:glow>
          </a:effectLst>
        </c:spPr>
        <c:marker>
          <c:symbol val="circle"/>
          <c:size val="5"/>
          <c:spPr>
            <a:solidFill>
              <a:srgbClr val="002060"/>
            </a:solidFill>
            <a:ln w="44450">
              <a:solidFill>
                <a:srgbClr val="002060"/>
              </a:solidFill>
              <a:round/>
            </a:ln>
            <a:effectLst>
              <a:glow rad="63500">
                <a:schemeClr val="accent5">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glow rad="63500">
              <a:schemeClr val="accent5">
                <a:satMod val="175000"/>
                <a:alpha val="40000"/>
              </a:schemeClr>
            </a:glow>
          </a:effectLst>
        </c:spPr>
        <c:marker>
          <c:symbol val="circle"/>
          <c:size val="5"/>
          <c:spPr>
            <a:solidFill>
              <a:srgbClr val="002060"/>
            </a:solidFill>
            <a:ln w="44450">
              <a:solidFill>
                <a:srgbClr val="002060"/>
              </a:solidFill>
              <a:round/>
            </a:ln>
            <a:effectLst>
              <a:glow rad="63500">
                <a:schemeClr val="accent5">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76200" cap="rnd">
            <a:gradFill>
              <a:gsLst>
                <a:gs pos="50000">
                  <a:schemeClr val="accent1">
                    <a:lumMod val="5000"/>
                    <a:lumOff val="95000"/>
                  </a:schemeClr>
                </a:gs>
                <a:gs pos="100000">
                  <a:srgbClr val="C00000">
                    <a:lumMod val="100000"/>
                  </a:srgbClr>
                </a:gs>
              </a:gsLst>
              <a:lin ang="5400000" scaled="1"/>
            </a:gra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dLbl>
          <c:idx val="0"/>
          <c:layout>
            <c:manualLayout>
              <c:x val="-2.4319920629922574E-2"/>
              <c:y val="-0.1218569178852644"/>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76200" cap="rnd">
            <a:gradFill>
              <a:gsLst>
                <a:gs pos="50000">
                  <a:schemeClr val="accent1">
                    <a:lumMod val="5000"/>
                    <a:lumOff val="95000"/>
                  </a:schemeClr>
                </a:gs>
                <a:gs pos="100000">
                  <a:srgbClr val="C00000">
                    <a:lumMod val="100000"/>
                  </a:srgbClr>
                </a:gs>
              </a:gsLst>
              <a:lin ang="5400000" scaled="1"/>
            </a:gra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dLbl>
          <c:idx val="0"/>
          <c:layout>
            <c:manualLayout>
              <c:x val="-3.937738117373453E-2"/>
              <c:y val="-0.24185691788526434"/>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76200" cap="rnd">
            <a:gradFill>
              <a:gsLst>
                <a:gs pos="50000">
                  <a:schemeClr val="accent1">
                    <a:lumMod val="5000"/>
                    <a:lumOff val="95000"/>
                  </a:schemeClr>
                </a:gs>
                <a:gs pos="100000">
                  <a:srgbClr val="C00000">
                    <a:lumMod val="100000"/>
                  </a:srgbClr>
                </a:gs>
              </a:gsLst>
              <a:lin ang="5400000" scaled="1"/>
            </a:gra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dLbl>
          <c:idx val="0"/>
          <c:layout>
            <c:manualLayout>
              <c:x val="-3.4343624057735271E-2"/>
              <c:y val="-0.21328548931383581"/>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76200" cap="rnd">
            <a:gradFill>
              <a:gsLst>
                <a:gs pos="50000">
                  <a:schemeClr val="accent1">
                    <a:lumMod val="5000"/>
                    <a:lumOff val="95000"/>
                  </a:schemeClr>
                </a:gs>
                <a:gs pos="100000">
                  <a:srgbClr val="C00000">
                    <a:lumMod val="100000"/>
                  </a:srgbClr>
                </a:gs>
              </a:gsLst>
              <a:lin ang="5400000" scaled="1"/>
            </a:gra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dLbl>
          <c:idx val="0"/>
          <c:layout>
            <c:manualLayout>
              <c:x val="-4.8306711554109795E-2"/>
              <c:y val="-0.15614263217097862"/>
            </c:manualLayout>
          </c:layout>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76200" cap="rnd">
            <a:gradFill>
              <a:gsLst>
                <a:gs pos="50000">
                  <a:schemeClr val="accent1">
                    <a:lumMod val="5000"/>
                    <a:lumOff val="95000"/>
                  </a:schemeClr>
                </a:gs>
                <a:gs pos="100000">
                  <a:srgbClr val="C00000">
                    <a:lumMod val="100000"/>
                  </a:srgbClr>
                </a:gs>
              </a:gsLst>
              <a:lin ang="5400000" scaled="1"/>
            </a:gra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8"/>
        <c:spPr>
          <a:pattFill prst="ltUpDiag">
            <a:fgClr>
              <a:schemeClr val="accent1"/>
            </a:fgClr>
            <a:bgClr>
              <a:schemeClr val="lt1"/>
            </a:bgClr>
          </a:pattFill>
          <a:ln w="76200" cap="rnd">
            <a:gradFill>
              <a:gsLst>
                <a:gs pos="50000">
                  <a:schemeClr val="accent1">
                    <a:lumMod val="5000"/>
                    <a:lumOff val="95000"/>
                  </a:schemeClr>
                </a:gs>
                <a:gs pos="100000">
                  <a:srgbClr val="C00000">
                    <a:lumMod val="100000"/>
                  </a:srgbClr>
                </a:gs>
              </a:gsLst>
              <a:lin ang="5400000" scaled="1"/>
            </a:gra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9"/>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10"/>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11"/>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12"/>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13"/>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14"/>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15"/>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16"/>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17"/>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18"/>
      </c:pivotFmt>
      <c:pivotFmt>
        <c:idx val="19"/>
      </c:pivotFmt>
      <c:pivotFmt>
        <c:idx val="20"/>
      </c:pivotFmt>
      <c:pivotFmt>
        <c:idx val="21"/>
      </c:pivotFmt>
      <c:pivotFmt>
        <c:idx val="22"/>
      </c:pivotFmt>
      <c:pivotFmt>
        <c:idx val="23"/>
      </c:pivotFmt>
      <c:pivotFmt>
        <c:idx val="24"/>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25"/>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26"/>
        <c:spPr>
          <a:pattFill prst="ltUpDiag">
            <a:fgClr>
              <a:schemeClr val="accent1"/>
            </a:fgClr>
            <a:bgClr>
              <a:schemeClr val="lt1"/>
            </a:bgClr>
          </a:pattFill>
          <a:ln w="76200" cap="rnd">
            <a:solidFill>
              <a:schemeClr val="bg1"/>
            </a:solidFill>
            <a:round/>
          </a:ln>
          <a:effectLst>
            <a:outerShdw blurRad="50800" dist="38100" dir="5400000" algn="t" rotWithShape="0">
              <a:prstClr val="black">
                <a:alpha val="40000"/>
              </a:prstClr>
            </a:outerShdw>
          </a:effectLst>
        </c:spPr>
        <c:marker>
          <c:symbol val="circle"/>
          <c:size val="5"/>
          <c:spPr>
            <a:solidFill>
              <a:srgbClr val="002060"/>
            </a:solidFill>
            <a:ln w="44450">
              <a:solidFill>
                <a:srgbClr val="002060"/>
              </a:solidFill>
              <a:round/>
            </a:ln>
            <a:effectLst>
              <a:outerShdw blurRad="50800" dist="38100" dir="5400000" algn="t" rotWithShape="0">
                <a:prstClr val="black">
                  <a:alpha val="40000"/>
                </a:prstClr>
              </a:outerShdw>
            </a:effectLst>
          </c:spPr>
        </c:marker>
      </c:pivotFmt>
      <c:pivotFmt>
        <c:idx val="27"/>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1"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29"/>
        <c:spPr>
          <a:pattFill prst="ltUpDiag">
            <a:fgClr>
              <a:schemeClr val="accent1"/>
            </a:fgClr>
            <a:bgClr>
              <a:schemeClr val="lt1"/>
            </a:bgClr>
          </a:pattFill>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0"/>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1"/>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2"/>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3"/>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4"/>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5"/>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6"/>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7"/>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8"/>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
        <c:idx val="39"/>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pivotFmt>
    </c:pivotFmts>
    <c:plotArea>
      <c:layout>
        <c:manualLayout>
          <c:layoutTarget val="inner"/>
          <c:xMode val="edge"/>
          <c:yMode val="edge"/>
          <c:x val="5.4802307299362064E-2"/>
          <c:y val="5.778258766558856E-2"/>
          <c:w val="0.87907088129607391"/>
          <c:h val="0.68582407199100115"/>
        </c:manualLayout>
      </c:layout>
      <c:lineChart>
        <c:grouping val="standard"/>
        <c:varyColors val="0"/>
        <c:ser>
          <c:idx val="0"/>
          <c:order val="0"/>
          <c:tx>
            <c:strRef>
              <c:f>'MASUK-WEEKLY'!$C$3</c:f>
              <c:strCache>
                <c:ptCount val="1"/>
                <c:pt idx="0">
                  <c:v>Total</c:v>
                </c:pt>
              </c:strCache>
            </c:strRef>
          </c:tx>
          <c:spPr>
            <a:ln w="88900" cap="rnd">
              <a:solidFill>
                <a:schemeClr val="lt1"/>
              </a:solidFill>
              <a:round/>
            </a:ln>
            <a:effectLst>
              <a:outerShdw blurRad="50800" dist="38100" dir="5400000" algn="t" rotWithShape="0">
                <a:prstClr val="black">
                  <a:alpha val="40000"/>
                </a:prstClr>
              </a:outerShdw>
            </a:effectLst>
          </c:spPr>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dPt>
            <c:idx val="0"/>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bubble3D val="0"/>
            <c:extLst>
              <c:ext xmlns:c16="http://schemas.microsoft.com/office/drawing/2014/chart" uri="{C3380CC4-5D6E-409C-BE32-E72D297353CC}">
                <c16:uniqueId val="{00000000-EADB-4C9E-AF01-DBD236504A1D}"/>
              </c:ext>
            </c:extLst>
          </c:dPt>
          <c:dPt>
            <c:idx val="3"/>
            <c:marker>
              <c:symbol val="circle"/>
              <c:size val="5"/>
              <c:spPr>
                <a:solidFill>
                  <a:srgbClr val="002060"/>
                </a:solidFill>
                <a:ln w="63500">
                  <a:solidFill>
                    <a:srgbClr val="002060"/>
                  </a:solidFill>
                  <a:round/>
                </a:ln>
                <a:effectLst>
                  <a:outerShdw blurRad="50800" dist="38100" dir="5400000" algn="t" rotWithShape="0">
                    <a:prstClr val="black">
                      <a:alpha val="40000"/>
                    </a:prstClr>
                  </a:outerShdw>
                </a:effectLst>
              </c:spPr>
            </c:marker>
            <c:bubble3D val="0"/>
            <c:extLst>
              <c:ext xmlns:c16="http://schemas.microsoft.com/office/drawing/2014/chart" uri="{C3380CC4-5D6E-409C-BE32-E72D297353CC}">
                <c16:uniqueId val="{00000001-998D-4E19-8B2F-94CF48FD5C6E}"/>
              </c:ext>
            </c:extLst>
          </c:dPt>
          <c:dLbls>
            <c:spPr>
              <a:noFill/>
              <a:ln>
                <a:noFill/>
              </a:ln>
              <a:effectLst/>
            </c:spPr>
            <c:txPr>
              <a:bodyPr rot="0" spcFirstLastPara="1" vertOverflow="ellipsis" vert="horz" wrap="square" lIns="38100" tIns="19050" rIns="38100" bIns="19050" anchor="ctr" anchorCtr="1">
                <a:spAutoFit/>
              </a:bodyPr>
              <a:lstStyle/>
              <a:p>
                <a:pPr>
                  <a:defRPr sz="2000" b="1" i="1"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'MASUK-WEEKLY'!$B$4:$B$34</c:f>
              <c:multiLvlStrCache>
                <c:ptCount val="25"/>
                <c:lvl>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lvl>
                <c:lvl>
                  <c:pt idx="0">
                    <c:v>(01) JAN</c:v>
                  </c:pt>
                  <c:pt idx="5">
                    <c:v>(02) FEB</c:v>
                  </c:pt>
                  <c:pt idx="10">
                    <c:v>(03) MAR</c:v>
                  </c:pt>
                  <c:pt idx="15">
                    <c:v>(04) APR</c:v>
                  </c:pt>
                  <c:pt idx="20">
                    <c:v>(05) MEI</c:v>
                  </c:pt>
                </c:lvl>
              </c:multiLvlStrCache>
            </c:multiLvlStrRef>
          </c:cat>
          <c:val>
            <c:numRef>
              <c:f>'MASUK-WEEKLY'!$C$4:$C$34</c:f>
              <c:numCache>
                <c:formatCode>General</c:formatCode>
                <c:ptCount val="25"/>
                <c:pt idx="0">
                  <c:v>1248.4000000000001</c:v>
                </c:pt>
                <c:pt idx="1">
                  <c:v>3035</c:v>
                </c:pt>
                <c:pt idx="2">
                  <c:v>629.4</c:v>
                </c:pt>
                <c:pt idx="3">
                  <c:v>2858.5</c:v>
                </c:pt>
                <c:pt idx="4">
                  <c:v>1795</c:v>
                </c:pt>
                <c:pt idx="5">
                  <c:v>2456.5</c:v>
                </c:pt>
                <c:pt idx="6">
                  <c:v>279.3</c:v>
                </c:pt>
                <c:pt idx="7">
                  <c:v>3733.8</c:v>
                </c:pt>
                <c:pt idx="8">
                  <c:v>1498.2</c:v>
                </c:pt>
                <c:pt idx="9">
                  <c:v>0</c:v>
                </c:pt>
                <c:pt idx="10">
                  <c:v>1963.7</c:v>
                </c:pt>
                <c:pt idx="11">
                  <c:v>2489</c:v>
                </c:pt>
                <c:pt idx="12">
                  <c:v>2837</c:v>
                </c:pt>
                <c:pt idx="13">
                  <c:v>1789.8</c:v>
                </c:pt>
                <c:pt idx="14">
                  <c:v>197.5</c:v>
                </c:pt>
                <c:pt idx="15">
                  <c:v>2594.1</c:v>
                </c:pt>
                <c:pt idx="16">
                  <c:v>1541.8</c:v>
                </c:pt>
                <c:pt idx="17">
                  <c:v>1398.17</c:v>
                </c:pt>
                <c:pt idx="18">
                  <c:v>3054.5</c:v>
                </c:pt>
                <c:pt idx="19">
                  <c:v>1474.3</c:v>
                </c:pt>
                <c:pt idx="20">
                  <c:v>1717.8</c:v>
                </c:pt>
                <c:pt idx="21">
                  <c:v>595.20000000000005</c:v>
                </c:pt>
                <c:pt idx="22">
                  <c:v>731.4</c:v>
                </c:pt>
                <c:pt idx="23">
                  <c:v>636.29999999999995</c:v>
                </c:pt>
                <c:pt idx="24">
                  <c:v>90.8</c:v>
                </c:pt>
              </c:numCache>
            </c:numRef>
          </c:val>
          <c:smooth val="0"/>
          <c:extLst>
            <c:ext xmlns:c16="http://schemas.microsoft.com/office/drawing/2014/chart" uri="{C3380CC4-5D6E-409C-BE32-E72D297353CC}">
              <c16:uniqueId val="{00000003-3BEA-44D2-AF0F-19FF7C262B7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16949344"/>
        <c:axId val="1316948096"/>
      </c:lineChart>
      <c:catAx>
        <c:axId val="131694934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50" b="1" i="1" u="none" strike="noStrike" kern="1200" spc="100" baseline="0">
                <a:solidFill>
                  <a:schemeClr val="lt1"/>
                </a:solidFill>
                <a:latin typeface="+mn-lt"/>
                <a:ea typeface="+mn-ea"/>
                <a:cs typeface="+mn-cs"/>
              </a:defRPr>
            </a:pPr>
            <a:endParaRPr lang="en-US"/>
          </a:p>
        </c:txPr>
        <c:crossAx val="1316948096"/>
        <c:crosses val="autoZero"/>
        <c:auto val="1"/>
        <c:lblAlgn val="ctr"/>
        <c:lblOffset val="100"/>
        <c:noMultiLvlLbl val="0"/>
      </c:catAx>
      <c:valAx>
        <c:axId val="131694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1" u="none" strike="noStrike" kern="1200" baseline="0">
                <a:solidFill>
                  <a:schemeClr val="lt1"/>
                </a:solidFill>
                <a:latin typeface="+mn-lt"/>
                <a:ea typeface="+mn-ea"/>
                <a:cs typeface="+mn-cs"/>
              </a:defRPr>
            </a:pPr>
            <a:endParaRPr lang="en-US"/>
          </a:p>
        </c:txPr>
        <c:crossAx val="131694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solidFill>
            <a:ln>
              <a:solidFill>
                <a:sysClr val="window" lastClr="FFFFFF"/>
              </a:solidFill>
            </a:ln>
          </c:spPr>
          <c:dPt>
            <c:idx val="0"/>
            <c:bubble3D val="0"/>
            <c:spPr>
              <a:noFill/>
              <a:ln>
                <a:solidFill>
                  <a:sysClr val="window" lastClr="FFFFFF"/>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E5D-4D7D-8175-645C48180FF0}"/>
              </c:ext>
            </c:extLst>
          </c:dPt>
          <c:dPt>
            <c:idx val="1"/>
            <c:bubble3D val="0"/>
            <c:spPr>
              <a:solidFill>
                <a:schemeClr val="bg1"/>
              </a:solidFill>
              <a:ln>
                <a:solidFill>
                  <a:sysClr val="window" lastClr="FFFFFF"/>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CE-4273-85C1-DE84FEFDB1B2}"/>
              </c:ext>
            </c:extLst>
          </c:dPt>
          <c:cat>
            <c:strRef>
              <c:f>'JUAL-PABRIK'!$AA$4:$AA$5</c:f>
              <c:strCache>
                <c:ptCount val="2"/>
                <c:pt idx="0">
                  <c:v>MCC</c:v>
                </c:pt>
                <c:pt idx="1">
                  <c:v>UBC</c:v>
                </c:pt>
              </c:strCache>
            </c:strRef>
          </c:cat>
          <c:val>
            <c:numRef>
              <c:f>'JUAL-PABRIK'!$AB$4:$AB$5</c:f>
              <c:numCache>
                <c:formatCode>General</c:formatCode>
                <c:ptCount val="2"/>
                <c:pt idx="0">
                  <c:v>2743</c:v>
                </c:pt>
                <c:pt idx="1">
                  <c:v>35627</c:v>
                </c:pt>
              </c:numCache>
            </c:numRef>
          </c:val>
          <c:extLst>
            <c:ext xmlns:c16="http://schemas.microsoft.com/office/drawing/2014/chart" uri="{C3380CC4-5D6E-409C-BE32-E72D297353CC}">
              <c16:uniqueId val="{00000000-1E5D-4D7D-8175-645C48180FF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87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PIVOT.xlsx]JUAL-PABRIK!JUAL-PABRIK-MCC</c:name>
    <c:fmtId val="1"/>
  </c:pivotSource>
  <c:chart>
    <c:autoTitleDeleted val="1"/>
    <c:pivotFmts>
      <c:pivotFmt>
        <c:idx val="0"/>
        <c:spPr>
          <a:gradFill flip="none" rotWithShape="1">
            <a:gsLst>
              <a:gs pos="0">
                <a:srgbClr val="00B0F0"/>
              </a:gs>
              <a:gs pos="50000">
                <a:srgbClr val="0068A8"/>
              </a:gs>
              <a:gs pos="100000">
                <a:srgbClr val="002060">
                  <a:alpha val="98000"/>
                </a:srgbClr>
              </a:gs>
            </a:gsLst>
            <a:lin ang="54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'JUAL-PABRIK'!$BP$3</c:f>
              <c:strCache>
                <c:ptCount val="1"/>
                <c:pt idx="0">
                  <c:v>Total</c:v>
                </c:pt>
              </c:strCache>
            </c:strRef>
          </c:tx>
          <c:spPr>
            <a:gradFill flip="none" rotWithShape="1">
              <a:gsLst>
                <a:gs pos="0">
                  <a:srgbClr val="00B0F0"/>
                </a:gs>
                <a:gs pos="50000">
                  <a:srgbClr val="0068A8"/>
                </a:gs>
                <a:gs pos="100000">
                  <a:srgbClr val="002060">
                    <a:alpha val="98000"/>
                  </a:srgbClr>
                </a:gs>
              </a:gsLst>
              <a:lin ang="5400000" scaled="1"/>
              <a:tileRect/>
            </a:gradFill>
            <a:ln>
              <a:noFill/>
            </a:ln>
            <a:effectLst>
              <a:outerShdw blurRad="57150" dist="19050" dir="5400000" algn="ctr" rotWithShape="0">
                <a:srgbClr val="000000">
                  <a:alpha val="63000"/>
                </a:srgbClr>
              </a:outerShdw>
            </a:effectLst>
          </c:spPr>
          <c:invertIfNegative val="0"/>
          <c:cat>
            <c:multiLvlStrRef>
              <c:f>'JUAL-PABRIK'!$BO$4:$BO$10</c:f>
              <c:multiLvlStrCache>
                <c:ptCount val="4"/>
                <c:lvl>
                  <c:pt idx="0">
                    <c:v>(01) JAN</c:v>
                  </c:pt>
                  <c:pt idx="1">
                    <c:v>(02) FEB</c:v>
                  </c:pt>
                  <c:pt idx="2">
                    <c:v>(03) MAR</c:v>
                  </c:pt>
                  <c:pt idx="3">
                    <c:v>(04) APR</c:v>
                  </c:pt>
                </c:lvl>
                <c:lvl>
                  <c:pt idx="0">
                    <c:v>Q1</c:v>
                  </c:pt>
                  <c:pt idx="3">
                    <c:v>Q2</c:v>
                  </c:pt>
                </c:lvl>
              </c:multiLvlStrCache>
            </c:multiLvlStrRef>
          </c:cat>
          <c:val>
            <c:numRef>
              <c:f>'JUAL-PABRIK'!$BP$4:$BP$10</c:f>
              <c:numCache>
                <c:formatCode>General</c:formatCode>
                <c:ptCount val="4"/>
                <c:pt idx="0">
                  <c:v>372</c:v>
                </c:pt>
                <c:pt idx="1">
                  <c:v>944</c:v>
                </c:pt>
                <c:pt idx="2">
                  <c:v>777</c:v>
                </c:pt>
                <c:pt idx="3">
                  <c:v>650</c:v>
                </c:pt>
              </c:numCache>
            </c:numRef>
          </c:val>
          <c:extLst>
            <c:ext xmlns:c16="http://schemas.microsoft.com/office/drawing/2014/chart" uri="{C3380CC4-5D6E-409C-BE32-E72D297353CC}">
              <c16:uniqueId val="{00000000-39C8-4F8B-8718-DDC1CA659210}"/>
            </c:ext>
          </c:extLst>
        </c:ser>
        <c:dLbls>
          <c:showLegendKey val="0"/>
          <c:showVal val="0"/>
          <c:showCatName val="0"/>
          <c:showSerName val="0"/>
          <c:showPercent val="0"/>
          <c:showBubbleSize val="0"/>
        </c:dLbls>
        <c:gapWidth val="100"/>
        <c:overlap val="-24"/>
        <c:axId val="1693351119"/>
        <c:axId val="1693339471"/>
      </c:barChart>
      <c:catAx>
        <c:axId val="16933511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100" b="1" i="1" u="none" strike="noStrike" kern="1200" baseline="0">
                <a:solidFill>
                  <a:schemeClr val="bg1"/>
                </a:solidFill>
                <a:latin typeface="+mn-lt"/>
                <a:ea typeface="+mn-ea"/>
                <a:cs typeface="+mn-cs"/>
              </a:defRPr>
            </a:pPr>
            <a:endParaRPr lang="en-US"/>
          </a:p>
        </c:txPr>
        <c:crossAx val="1693339471"/>
        <c:crosses val="autoZero"/>
        <c:auto val="1"/>
        <c:lblAlgn val="ctr"/>
        <c:lblOffset val="100"/>
        <c:noMultiLvlLbl val="0"/>
      </c:catAx>
      <c:valAx>
        <c:axId val="169333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1" u="none" strike="noStrike" kern="1200" baseline="0">
                <a:solidFill>
                  <a:schemeClr val="bg1"/>
                </a:solidFill>
                <a:latin typeface="+mn-lt"/>
                <a:ea typeface="+mn-ea"/>
                <a:cs typeface="+mn-cs"/>
              </a:defRPr>
            </a:pPr>
            <a:endParaRPr lang="en-US"/>
          </a:p>
        </c:txPr>
        <c:crossAx val="16933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87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PIVOT.xlsx]JUAL-PABRIK!JUAL-PABRIK-MCC</c:name>
    <c:fmtId val="8"/>
  </c:pivotSource>
  <c:chart>
    <c:autoTitleDeleted val="1"/>
    <c:pivotFmts>
      <c:pivotFmt>
        <c:idx val="0"/>
        <c:spPr>
          <a:gradFill flip="none" rotWithShape="1">
            <a:gsLst>
              <a:gs pos="0">
                <a:srgbClr val="00B0F0"/>
              </a:gs>
              <a:gs pos="50000">
                <a:srgbClr val="0068A8"/>
              </a:gs>
              <a:gs pos="100000">
                <a:srgbClr val="002060">
                  <a:alpha val="98000"/>
                </a:srgbClr>
              </a:gs>
            </a:gsLst>
            <a:lin ang="5400000" scaled="1"/>
            <a:tileRect/>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B0F0"/>
              </a:gs>
              <a:gs pos="50000">
                <a:srgbClr val="0068A8"/>
              </a:gs>
              <a:gs pos="100000">
                <a:srgbClr val="002060">
                  <a:alpha val="98000"/>
                </a:srgbClr>
              </a:gs>
            </a:gsLst>
            <a:lin ang="54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ysClr val="window" lastClr="FFFFFF"/>
            </a:solidFill>
            <a:round/>
          </a:ln>
          <a:effectLst>
            <a:outerShdw blurRad="57150" dist="19050" dir="5400000" algn="ctr" rotWithShape="0">
              <a:srgbClr val="000000">
                <a:alpha val="63000"/>
              </a:srgbClr>
            </a:outerShdw>
          </a:effectLst>
        </c:spPr>
        <c:marker>
          <c:symbol val="circle"/>
          <c:size val="6"/>
          <c:spPr>
            <a:solidFill>
              <a:schemeClr val="bg1"/>
            </a:solidFill>
            <a:ln w="25400">
              <a:solidFill>
                <a:srgbClr val="00206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'JUAL-PABRIK'!$BP$3</c:f>
              <c:strCache>
                <c:ptCount val="1"/>
                <c:pt idx="0">
                  <c:v>Total</c:v>
                </c:pt>
              </c:strCache>
            </c:strRef>
          </c:tx>
          <c:spPr>
            <a:ln w="34925" cap="rnd">
              <a:solidFill>
                <a:sysClr val="window" lastClr="FFFFFF"/>
              </a:solidFill>
              <a:round/>
            </a:ln>
            <a:effectLst>
              <a:outerShdw blurRad="57150" dist="19050" dir="5400000" algn="ctr" rotWithShape="0">
                <a:srgbClr val="000000">
                  <a:alpha val="63000"/>
                </a:srgbClr>
              </a:outerShdw>
            </a:effectLst>
          </c:spPr>
          <c:marker>
            <c:symbol val="circle"/>
            <c:size val="6"/>
            <c:spPr>
              <a:solidFill>
                <a:schemeClr val="bg1"/>
              </a:solidFill>
              <a:ln w="25400">
                <a:solidFill>
                  <a:srgbClr val="002060"/>
                </a:solidFill>
                <a:round/>
              </a:ln>
              <a:effectLst>
                <a:outerShdw blurRad="57150" dist="19050" dir="5400000" algn="ctr" rotWithShape="0">
                  <a:srgbClr val="000000">
                    <a:alpha val="63000"/>
                  </a:srgbClr>
                </a:outerShdw>
              </a:effectLst>
            </c:spPr>
          </c:marker>
          <c:cat>
            <c:multiLvlStrRef>
              <c:f>'JUAL-PABRIK'!$BO$4:$BO$10</c:f>
              <c:multiLvlStrCache>
                <c:ptCount val="4"/>
                <c:lvl>
                  <c:pt idx="0">
                    <c:v>(01) JAN</c:v>
                  </c:pt>
                  <c:pt idx="1">
                    <c:v>(02) FEB</c:v>
                  </c:pt>
                  <c:pt idx="2">
                    <c:v>(03) MAR</c:v>
                  </c:pt>
                  <c:pt idx="3">
                    <c:v>(04) APR</c:v>
                  </c:pt>
                </c:lvl>
                <c:lvl>
                  <c:pt idx="0">
                    <c:v>Q1</c:v>
                  </c:pt>
                  <c:pt idx="3">
                    <c:v>Q2</c:v>
                  </c:pt>
                </c:lvl>
              </c:multiLvlStrCache>
            </c:multiLvlStrRef>
          </c:cat>
          <c:val>
            <c:numRef>
              <c:f>'JUAL-PABRIK'!$BP$4:$BP$10</c:f>
              <c:numCache>
                <c:formatCode>General</c:formatCode>
                <c:ptCount val="4"/>
                <c:pt idx="0">
                  <c:v>372</c:v>
                </c:pt>
                <c:pt idx="1">
                  <c:v>944</c:v>
                </c:pt>
                <c:pt idx="2">
                  <c:v>777</c:v>
                </c:pt>
                <c:pt idx="3">
                  <c:v>650</c:v>
                </c:pt>
              </c:numCache>
            </c:numRef>
          </c:val>
          <c:smooth val="0"/>
          <c:extLst>
            <c:ext xmlns:c16="http://schemas.microsoft.com/office/drawing/2014/chart" uri="{C3380CC4-5D6E-409C-BE32-E72D297353CC}">
              <c16:uniqueId val="{00000000-1B70-4E8F-8E21-70A91018CEE6}"/>
            </c:ext>
          </c:extLst>
        </c:ser>
        <c:dLbls>
          <c:showLegendKey val="0"/>
          <c:showVal val="0"/>
          <c:showCatName val="0"/>
          <c:showSerName val="0"/>
          <c:showPercent val="0"/>
          <c:showBubbleSize val="0"/>
        </c:dLbls>
        <c:marker val="1"/>
        <c:smooth val="0"/>
        <c:axId val="1693351119"/>
        <c:axId val="1693339471"/>
      </c:lineChart>
      <c:catAx>
        <c:axId val="16933511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100" b="1" i="1" u="none" strike="noStrike" kern="1200" baseline="0">
                <a:solidFill>
                  <a:schemeClr val="bg1"/>
                </a:solidFill>
                <a:latin typeface="+mn-lt"/>
                <a:ea typeface="+mn-ea"/>
                <a:cs typeface="+mn-cs"/>
              </a:defRPr>
            </a:pPr>
            <a:endParaRPr lang="en-US"/>
          </a:p>
        </c:txPr>
        <c:crossAx val="1693339471"/>
        <c:crosses val="autoZero"/>
        <c:auto val="1"/>
        <c:lblAlgn val="ctr"/>
        <c:lblOffset val="100"/>
        <c:noMultiLvlLbl val="0"/>
      </c:catAx>
      <c:valAx>
        <c:axId val="169333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1" u="none" strike="noStrike" kern="1200" baseline="0">
                <a:solidFill>
                  <a:schemeClr val="bg1"/>
                </a:solidFill>
                <a:latin typeface="+mn-lt"/>
                <a:ea typeface="+mn-ea"/>
                <a:cs typeface="+mn-cs"/>
              </a:defRPr>
            </a:pPr>
            <a:endParaRPr lang="en-US"/>
          </a:p>
        </c:txPr>
        <c:crossAx val="16933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87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PIVOT.xlsx]AKTIVITAS-ECOBALI!AKTIVITAS-PARTICIPANTS ON PROGRAM</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'AKTIVITAS-ECOBALI'!$U$3</c:f>
              <c:strCache>
                <c:ptCount val="1"/>
                <c:pt idx="0">
                  <c:v>Total</c:v>
                </c:pt>
              </c:strCache>
            </c:strRef>
          </c:tx>
          <c:spPr>
            <a:solidFill>
              <a:schemeClr val="accent1"/>
            </a:solidFill>
            <a:ln>
              <a:noFill/>
            </a:ln>
            <a:effectLst/>
          </c:spPr>
          <c:invertIfNegative val="0"/>
          <c:cat>
            <c:strRef>
              <c:f>'AKTIVITAS-ECOBALI'!$T$4:$T$9</c:f>
              <c:strCache>
                <c:ptCount val="5"/>
                <c:pt idx="0">
                  <c:v>Continous building informal sector</c:v>
                </c:pt>
                <c:pt idx="1">
                  <c:v>Dropbox</c:v>
                </c:pt>
                <c:pt idx="2">
                  <c:v>Roadshow</c:v>
                </c:pt>
                <c:pt idx="3">
                  <c:v>Socialization for School</c:v>
                </c:pt>
                <c:pt idx="4">
                  <c:v>Socialization for waste bank</c:v>
                </c:pt>
              </c:strCache>
            </c:strRef>
          </c:cat>
          <c:val>
            <c:numRef>
              <c:f>'AKTIVITAS-ECOBALI'!$U$4:$U$9</c:f>
              <c:numCache>
                <c:formatCode>General</c:formatCode>
                <c:ptCount val="5"/>
                <c:pt idx="0">
                  <c:v>17</c:v>
                </c:pt>
                <c:pt idx="1">
                  <c:v>455</c:v>
                </c:pt>
                <c:pt idx="2">
                  <c:v>0</c:v>
                </c:pt>
                <c:pt idx="3">
                  <c:v>45</c:v>
                </c:pt>
                <c:pt idx="4">
                  <c:v>76</c:v>
                </c:pt>
              </c:numCache>
            </c:numRef>
          </c:val>
          <c:extLst>
            <c:ext xmlns:c16="http://schemas.microsoft.com/office/drawing/2014/chart" uri="{C3380CC4-5D6E-409C-BE32-E72D297353CC}">
              <c16:uniqueId val="{00000000-3235-4884-9AA8-46A531DA7422}"/>
            </c:ext>
          </c:extLst>
        </c:ser>
        <c:dLbls>
          <c:showLegendKey val="0"/>
          <c:showVal val="0"/>
          <c:showCatName val="0"/>
          <c:showSerName val="0"/>
          <c:showPercent val="0"/>
          <c:showBubbleSize val="0"/>
        </c:dLbls>
        <c:gapWidth val="219"/>
        <c:overlap val="-27"/>
        <c:axId val="1147426256"/>
        <c:axId val="1147426672"/>
      </c:barChart>
      <c:catAx>
        <c:axId val="11474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26672"/>
        <c:crosses val="autoZero"/>
        <c:auto val="1"/>
        <c:lblAlgn val="ctr"/>
        <c:lblOffset val="100"/>
        <c:noMultiLvlLbl val="0"/>
      </c:catAx>
      <c:valAx>
        <c:axId val="114742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2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PIVOT.xlsx]AKTIVITAS-ECOBALI!AKTIVITAS-LOCATION ON CATEGORY</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'AKTIVITAS-ECOBALI'!$AF$3</c:f>
              <c:strCache>
                <c:ptCount val="1"/>
                <c:pt idx="0">
                  <c:v>Total</c:v>
                </c:pt>
              </c:strCache>
            </c:strRef>
          </c:tx>
          <c:spPr>
            <a:solidFill>
              <a:schemeClr val="accent1"/>
            </a:solidFill>
            <a:ln>
              <a:noFill/>
            </a:ln>
            <a:effectLst/>
          </c:spPr>
          <c:invertIfNegative val="0"/>
          <c:cat>
            <c:strRef>
              <c:f>'AKTIVITAS-ECOBALI'!$AE$4:$AE$9</c:f>
              <c:strCache>
                <c:ptCount val="5"/>
                <c:pt idx="0">
                  <c:v>Bank Sampah Unit</c:v>
                </c:pt>
                <c:pt idx="1">
                  <c:v>Pemerintah</c:v>
                </c:pt>
                <c:pt idx="2">
                  <c:v>Pengepul</c:v>
                </c:pt>
                <c:pt idx="3">
                  <c:v>Sekolah</c:v>
                </c:pt>
                <c:pt idx="4">
                  <c:v>TPS3R</c:v>
                </c:pt>
              </c:strCache>
            </c:strRef>
          </c:cat>
          <c:val>
            <c:numRef>
              <c:f>'AKTIVITAS-ECOBALI'!$AF$4:$AF$9</c:f>
              <c:numCache>
                <c:formatCode>General</c:formatCode>
                <c:ptCount val="5"/>
                <c:pt idx="0">
                  <c:v>2</c:v>
                </c:pt>
                <c:pt idx="1">
                  <c:v>3</c:v>
                </c:pt>
                <c:pt idx="2">
                  <c:v>1</c:v>
                </c:pt>
                <c:pt idx="3">
                  <c:v>3</c:v>
                </c:pt>
                <c:pt idx="4">
                  <c:v>1</c:v>
                </c:pt>
              </c:numCache>
            </c:numRef>
          </c:val>
          <c:extLst>
            <c:ext xmlns:c16="http://schemas.microsoft.com/office/drawing/2014/chart" uri="{C3380CC4-5D6E-409C-BE32-E72D297353CC}">
              <c16:uniqueId val="{00000000-C5B0-49B2-9AE6-A96AD5C9E7B6}"/>
            </c:ext>
          </c:extLst>
        </c:ser>
        <c:dLbls>
          <c:showLegendKey val="0"/>
          <c:showVal val="0"/>
          <c:showCatName val="0"/>
          <c:showSerName val="0"/>
          <c:showPercent val="0"/>
          <c:showBubbleSize val="0"/>
        </c:dLbls>
        <c:gapWidth val="182"/>
        <c:axId val="927550560"/>
        <c:axId val="927550976"/>
      </c:barChart>
      <c:catAx>
        <c:axId val="92755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550976"/>
        <c:crosses val="autoZero"/>
        <c:auto val="1"/>
        <c:lblAlgn val="ctr"/>
        <c:lblOffset val="100"/>
        <c:noMultiLvlLbl val="0"/>
      </c:catAx>
      <c:valAx>
        <c:axId val="927550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55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PIVOT.xlsx]MASUK-MONTHLY!UBC-Data-Monthly</c:name>
    <c:fmtId val="20"/>
  </c:pivotSource>
  <c:chart>
    <c:autoTitleDeleted val="1"/>
    <c:pivotFmts>
      <c:pivotFmt>
        <c:idx val="0"/>
        <c:spPr>
          <a:solidFill>
            <a:srgbClr val="A8CBEA"/>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8CBEA"/>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707786526684164"/>
          <c:y val="4.854278215223097E-2"/>
          <c:w val="0.69984140618786284"/>
          <c:h val="0.89205384326959125"/>
        </c:manualLayout>
      </c:layout>
      <c:barChart>
        <c:barDir val="bar"/>
        <c:grouping val="stacked"/>
        <c:varyColors val="0"/>
        <c:ser>
          <c:idx val="0"/>
          <c:order val="0"/>
          <c:tx>
            <c:strRef>
              <c:f>'MASUK-MONTHLY'!$C$2:$C$4</c:f>
              <c:strCache>
                <c:ptCount val="1"/>
                <c:pt idx="0">
                  <c:v>2021 - (01) JAN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'MASUK-MONTHLY'!$B$5:$B$84</c:f>
              <c:multiLvlStrCache>
                <c:ptCount val="68"/>
                <c:lvl>
                  <c:pt idx="0">
                    <c:v>Bali Wastu Lestari</c:v>
                  </c:pt>
                  <c:pt idx="1">
                    <c:v>BSI Bali Bersih</c:v>
                  </c:pt>
                  <c:pt idx="2">
                    <c:v>BSI E-darling Buleleng</c:v>
                  </c:pt>
                  <c:pt idx="3">
                    <c:v>Griya Luhu</c:v>
                  </c:pt>
                  <c:pt idx="4">
                    <c:v>Br Aseman Kangin Tibubeneng</c:v>
                  </c:pt>
                  <c:pt idx="5">
                    <c:v>Br Aseman Kawan Tibubeneng</c:v>
                  </c:pt>
                  <c:pt idx="6">
                    <c:v>Br Canggu Canggu</c:v>
                  </c:pt>
                  <c:pt idx="7">
                    <c:v>Br Dukuh Pandean Munggu</c:v>
                  </c:pt>
                  <c:pt idx="8">
                    <c:v>Br Dukuh Sengguan Munggu</c:v>
                  </c:pt>
                  <c:pt idx="9">
                    <c:v>Br Gambang Munggu</c:v>
                  </c:pt>
                  <c:pt idx="10">
                    <c:v>Br Kaja Kangin Cemagi</c:v>
                  </c:pt>
                  <c:pt idx="11">
                    <c:v>Br Kayu Tulang Canggu</c:v>
                  </c:pt>
                  <c:pt idx="12">
                    <c:v>Br Keliki Cemagi</c:v>
                  </c:pt>
                  <c:pt idx="13">
                    <c:v>Br Krisnantara Tibubeneng</c:v>
                  </c:pt>
                  <c:pt idx="14">
                    <c:v>Br Kulibul Kangin Tibubeneng</c:v>
                  </c:pt>
                  <c:pt idx="15">
                    <c:v>Br Padang Linjong Canggu</c:v>
                  </c:pt>
                  <c:pt idx="16">
                    <c:v>Br Pande Pemaron Munggu</c:v>
                  </c:pt>
                  <c:pt idx="17">
                    <c:v>Br Pempatan Munggu</c:v>
                  </c:pt>
                  <c:pt idx="18">
                    <c:v>Br Petapan</c:v>
                  </c:pt>
                  <c:pt idx="19">
                    <c:v>Br Sangiangan Cemagi</c:v>
                  </c:pt>
                  <c:pt idx="20">
                    <c:v>Br Seseh</c:v>
                  </c:pt>
                  <c:pt idx="21">
                    <c:v>Br Seseh Cemagi</c:v>
                  </c:pt>
                  <c:pt idx="22">
                    <c:v>Br Sogsogan Cemagi</c:v>
                  </c:pt>
                  <c:pt idx="23">
                    <c:v>Br Tandeg Tibubeneng</c:v>
                  </c:pt>
                  <c:pt idx="24">
                    <c:v>Br Uma Buluh Canggu</c:v>
                  </c:pt>
                  <c:pt idx="25">
                    <c:v>Br Umabuluh Munggu</c:v>
                  </c:pt>
                  <c:pt idx="26">
                    <c:v>Aid hub</c:v>
                  </c:pt>
                  <c:pt idx="27">
                    <c:v>Gelato factory</c:v>
                  </c:pt>
                  <c:pt idx="28">
                    <c:v>Gusto gelato</c:v>
                  </c:pt>
                  <c:pt idx="29">
                    <c:v>Milk up</c:v>
                  </c:pt>
                  <c:pt idx="30">
                    <c:v>Monsieur spoon</c:v>
                  </c:pt>
                  <c:pt idx="31">
                    <c:v>One People</c:v>
                  </c:pt>
                  <c:pt idx="32">
                    <c:v>Paletas wey</c:v>
                  </c:pt>
                  <c:pt idx="33">
                    <c:v>PT Berkat Daur Ulang</c:v>
                  </c:pt>
                  <c:pt idx="34">
                    <c:v>Role Foundation</c:v>
                  </c:pt>
                  <c:pt idx="35">
                    <c:v>Serenity</c:v>
                  </c:pt>
                  <c:pt idx="36">
                    <c:v>Sersan Kopi</c:v>
                  </c:pt>
                  <c:pt idx="37">
                    <c:v>sundays coffee</c:v>
                  </c:pt>
                  <c:pt idx="38">
                    <c:v>Sungai Watch</c:v>
                  </c:pt>
                  <c:pt idx="39">
                    <c:v>ecoBali</c:v>
                  </c:pt>
                  <c:pt idx="40">
                    <c:v>Alila ubud</c:v>
                  </c:pt>
                  <c:pt idx="41">
                    <c:v>Alila uluwatu</c:v>
                  </c:pt>
                  <c:pt idx="42">
                    <c:v>Four season ubud</c:v>
                  </c:pt>
                  <c:pt idx="43">
                    <c:v>The Samaya Ubud</c:v>
                  </c:pt>
                  <c:pt idx="44">
                    <c:v>Ibu Nia</c:v>
                  </c:pt>
                  <c:pt idx="45">
                    <c:v>Pak Bob</c:v>
                  </c:pt>
                  <c:pt idx="46">
                    <c:v>Pak Jero mangku</c:v>
                  </c:pt>
                  <c:pt idx="47">
                    <c:v>Pak Kidul</c:v>
                  </c:pt>
                  <c:pt idx="48">
                    <c:v>Pak Moyo</c:v>
                  </c:pt>
                  <c:pt idx="49">
                    <c:v>Pak Rono</c:v>
                  </c:pt>
                  <c:pt idx="50">
                    <c:v>Pak Vina</c:v>
                  </c:pt>
                  <c:pt idx="51">
                    <c:v>Ibu Awi</c:v>
                  </c:pt>
                  <c:pt idx="52">
                    <c:v>Pak Komang pemelisan</c:v>
                  </c:pt>
                  <c:pt idx="53">
                    <c:v>Pak Legito</c:v>
                  </c:pt>
                  <c:pt idx="54">
                    <c:v>Pak Sidik</c:v>
                  </c:pt>
                  <c:pt idx="55">
                    <c:v>Pak Sueb</c:v>
                  </c:pt>
                  <c:pt idx="56">
                    <c:v>Pak Yusuf</c:v>
                  </c:pt>
                  <c:pt idx="57">
                    <c:v>BIS (Bali Island School)</c:v>
                  </c:pt>
                  <c:pt idx="58">
                    <c:v>Green School</c:v>
                  </c:pt>
                  <c:pt idx="59">
                    <c:v>LF Bali</c:v>
                  </c:pt>
                  <c:pt idx="60">
                    <c:v>Mitra Gianyar Bagus</c:v>
                  </c:pt>
                  <c:pt idx="61">
                    <c:v>Bantas Lestari</c:v>
                  </c:pt>
                  <c:pt idx="62">
                    <c:v>Tambyak Lestari</c:v>
                  </c:pt>
                  <c:pt idx="63">
                    <c:v>TPS3R Bayu Suci</c:v>
                  </c:pt>
                  <c:pt idx="64">
                    <c:v>TPS3R Bindu</c:v>
                  </c:pt>
                  <c:pt idx="65">
                    <c:v>TPS3R Rumah Hijau</c:v>
                  </c:pt>
                  <c:pt idx="66">
                    <c:v>Rumah kompos padang tegal</c:v>
                  </c:pt>
                  <c:pt idx="67">
                    <c:v>Seminyak Clean</c:v>
                  </c:pt>
                </c:lvl>
                <c:lvl>
                  <c:pt idx="0">
                    <c:v>Bank Sampah Induk</c:v>
                  </c:pt>
                  <c:pt idx="4">
                    <c:v>Bank Sampah Unit</c:v>
                  </c:pt>
                  <c:pt idx="26">
                    <c:v>Bisnis</c:v>
                  </c:pt>
                  <c:pt idx="39">
                    <c:v>EB Residential Service</c:v>
                  </c:pt>
                  <c:pt idx="40">
                    <c:v>Hotel</c:v>
                  </c:pt>
                  <c:pt idx="44">
                    <c:v>Jasa sampah</c:v>
                  </c:pt>
                  <c:pt idx="51">
                    <c:v>Pengepul</c:v>
                  </c:pt>
                  <c:pt idx="57">
                    <c:v>Sekolah</c:v>
                  </c:pt>
                  <c:pt idx="60">
                    <c:v>TPA</c:v>
                  </c:pt>
                  <c:pt idx="61">
                    <c:v>TPS3R</c:v>
                  </c:pt>
                  <c:pt idx="66">
                    <c:v>TPST3R</c:v>
                  </c:pt>
                </c:lvl>
              </c:multiLvlStrCache>
            </c:multiLvlStrRef>
          </c:cat>
          <c:val>
            <c:numRef>
              <c:f>'MASUK-MONTHLY'!$C$5:$C$84</c:f>
              <c:numCache>
                <c:formatCode>General</c:formatCode>
                <c:ptCount val="68"/>
                <c:pt idx="2">
                  <c:v>0</c:v>
                </c:pt>
                <c:pt idx="4">
                  <c:v>0.5</c:v>
                </c:pt>
                <c:pt idx="7">
                  <c:v>9</c:v>
                </c:pt>
                <c:pt idx="9">
                  <c:v>4.5</c:v>
                </c:pt>
                <c:pt idx="10">
                  <c:v>8.4</c:v>
                </c:pt>
                <c:pt idx="13">
                  <c:v>1</c:v>
                </c:pt>
                <c:pt idx="16">
                  <c:v>5.3</c:v>
                </c:pt>
                <c:pt idx="17">
                  <c:v>0.9</c:v>
                </c:pt>
                <c:pt idx="19">
                  <c:v>10</c:v>
                </c:pt>
                <c:pt idx="24">
                  <c:v>14.2</c:v>
                </c:pt>
                <c:pt idx="27">
                  <c:v>86</c:v>
                </c:pt>
                <c:pt idx="28">
                  <c:v>174</c:v>
                </c:pt>
                <c:pt idx="29">
                  <c:v>296</c:v>
                </c:pt>
                <c:pt idx="30">
                  <c:v>21</c:v>
                </c:pt>
                <c:pt idx="32">
                  <c:v>50</c:v>
                </c:pt>
                <c:pt idx="33">
                  <c:v>0</c:v>
                </c:pt>
                <c:pt idx="37">
                  <c:v>1</c:v>
                </c:pt>
                <c:pt idx="39">
                  <c:v>505</c:v>
                </c:pt>
                <c:pt idx="41">
                  <c:v>1.5</c:v>
                </c:pt>
                <c:pt idx="46">
                  <c:v>82</c:v>
                </c:pt>
                <c:pt idx="49">
                  <c:v>606</c:v>
                </c:pt>
                <c:pt idx="51">
                  <c:v>429</c:v>
                </c:pt>
                <c:pt idx="52">
                  <c:v>340</c:v>
                </c:pt>
                <c:pt idx="53">
                  <c:v>947</c:v>
                </c:pt>
                <c:pt idx="54">
                  <c:v>48</c:v>
                </c:pt>
                <c:pt idx="55">
                  <c:v>4835</c:v>
                </c:pt>
                <c:pt idx="58">
                  <c:v>20</c:v>
                </c:pt>
                <c:pt idx="60">
                  <c:v>548</c:v>
                </c:pt>
                <c:pt idx="62">
                  <c:v>110</c:v>
                </c:pt>
                <c:pt idx="63">
                  <c:v>16</c:v>
                </c:pt>
                <c:pt idx="65">
                  <c:v>19</c:v>
                </c:pt>
                <c:pt idx="66">
                  <c:v>310</c:v>
                </c:pt>
                <c:pt idx="67">
                  <c:v>68</c:v>
                </c:pt>
              </c:numCache>
            </c:numRef>
          </c:val>
          <c:extLst>
            <c:ext xmlns:c16="http://schemas.microsoft.com/office/drawing/2014/chart" uri="{C3380CC4-5D6E-409C-BE32-E72D297353CC}">
              <c16:uniqueId val="{00000000-B271-4D32-A925-31B9967B502C}"/>
            </c:ext>
          </c:extLst>
        </c:ser>
        <c:ser>
          <c:idx val="1"/>
          <c:order val="1"/>
          <c:tx>
            <c:strRef>
              <c:f>'MASUK-MONTHLY'!$D$2:$D$4</c:f>
              <c:strCache>
                <c:ptCount val="1"/>
                <c:pt idx="0">
                  <c:v>2021 - (02) 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'MASUK-MONTHLY'!$B$5:$B$84</c:f>
              <c:multiLvlStrCache>
                <c:ptCount val="68"/>
                <c:lvl>
                  <c:pt idx="0">
                    <c:v>Bali Wastu Lestari</c:v>
                  </c:pt>
                  <c:pt idx="1">
                    <c:v>BSI Bali Bersih</c:v>
                  </c:pt>
                  <c:pt idx="2">
                    <c:v>BSI E-darling Buleleng</c:v>
                  </c:pt>
                  <c:pt idx="3">
                    <c:v>Griya Luhu</c:v>
                  </c:pt>
                  <c:pt idx="4">
                    <c:v>Br Aseman Kangin Tibubeneng</c:v>
                  </c:pt>
                  <c:pt idx="5">
                    <c:v>Br Aseman Kawan Tibubeneng</c:v>
                  </c:pt>
                  <c:pt idx="6">
                    <c:v>Br Canggu Canggu</c:v>
                  </c:pt>
                  <c:pt idx="7">
                    <c:v>Br Dukuh Pandean Munggu</c:v>
                  </c:pt>
                  <c:pt idx="8">
                    <c:v>Br Dukuh Sengguan Munggu</c:v>
                  </c:pt>
                  <c:pt idx="9">
                    <c:v>Br Gambang Munggu</c:v>
                  </c:pt>
                  <c:pt idx="10">
                    <c:v>Br Kaja Kangin Cemagi</c:v>
                  </c:pt>
                  <c:pt idx="11">
                    <c:v>Br Kayu Tulang Canggu</c:v>
                  </c:pt>
                  <c:pt idx="12">
                    <c:v>Br Keliki Cemagi</c:v>
                  </c:pt>
                  <c:pt idx="13">
                    <c:v>Br Krisnantara Tibubeneng</c:v>
                  </c:pt>
                  <c:pt idx="14">
                    <c:v>Br Kulibul Kangin Tibubeneng</c:v>
                  </c:pt>
                  <c:pt idx="15">
                    <c:v>Br Padang Linjong Canggu</c:v>
                  </c:pt>
                  <c:pt idx="16">
                    <c:v>Br Pande Pemaron Munggu</c:v>
                  </c:pt>
                  <c:pt idx="17">
                    <c:v>Br Pempatan Munggu</c:v>
                  </c:pt>
                  <c:pt idx="18">
                    <c:v>Br Petapan</c:v>
                  </c:pt>
                  <c:pt idx="19">
                    <c:v>Br Sangiangan Cemagi</c:v>
                  </c:pt>
                  <c:pt idx="20">
                    <c:v>Br Seseh</c:v>
                  </c:pt>
                  <c:pt idx="21">
                    <c:v>Br Seseh Cemagi</c:v>
                  </c:pt>
                  <c:pt idx="22">
                    <c:v>Br Sogsogan Cemagi</c:v>
                  </c:pt>
                  <c:pt idx="23">
                    <c:v>Br Tandeg Tibubeneng</c:v>
                  </c:pt>
                  <c:pt idx="24">
                    <c:v>Br Uma Buluh Canggu</c:v>
                  </c:pt>
                  <c:pt idx="25">
                    <c:v>Br Umabuluh Munggu</c:v>
                  </c:pt>
                  <c:pt idx="26">
                    <c:v>Aid hub</c:v>
                  </c:pt>
                  <c:pt idx="27">
                    <c:v>Gelato factory</c:v>
                  </c:pt>
                  <c:pt idx="28">
                    <c:v>Gusto gelato</c:v>
                  </c:pt>
                  <c:pt idx="29">
                    <c:v>Milk up</c:v>
                  </c:pt>
                  <c:pt idx="30">
                    <c:v>Monsieur spoon</c:v>
                  </c:pt>
                  <c:pt idx="31">
                    <c:v>One People</c:v>
                  </c:pt>
                  <c:pt idx="32">
                    <c:v>Paletas wey</c:v>
                  </c:pt>
                  <c:pt idx="33">
                    <c:v>PT Berkat Daur Ulang</c:v>
                  </c:pt>
                  <c:pt idx="34">
                    <c:v>Role Foundation</c:v>
                  </c:pt>
                  <c:pt idx="35">
                    <c:v>Serenity</c:v>
                  </c:pt>
                  <c:pt idx="36">
                    <c:v>Sersan Kopi</c:v>
                  </c:pt>
                  <c:pt idx="37">
                    <c:v>sundays coffee</c:v>
                  </c:pt>
                  <c:pt idx="38">
                    <c:v>Sungai Watch</c:v>
                  </c:pt>
                  <c:pt idx="39">
                    <c:v>ecoBali</c:v>
                  </c:pt>
                  <c:pt idx="40">
                    <c:v>Alila ubud</c:v>
                  </c:pt>
                  <c:pt idx="41">
                    <c:v>Alila uluwatu</c:v>
                  </c:pt>
                  <c:pt idx="42">
                    <c:v>Four season ubud</c:v>
                  </c:pt>
                  <c:pt idx="43">
                    <c:v>The Samaya Ubud</c:v>
                  </c:pt>
                  <c:pt idx="44">
                    <c:v>Ibu Nia</c:v>
                  </c:pt>
                  <c:pt idx="45">
                    <c:v>Pak Bob</c:v>
                  </c:pt>
                  <c:pt idx="46">
                    <c:v>Pak Jero mangku</c:v>
                  </c:pt>
                  <c:pt idx="47">
                    <c:v>Pak Kidul</c:v>
                  </c:pt>
                  <c:pt idx="48">
                    <c:v>Pak Moyo</c:v>
                  </c:pt>
                  <c:pt idx="49">
                    <c:v>Pak Rono</c:v>
                  </c:pt>
                  <c:pt idx="50">
                    <c:v>Pak Vina</c:v>
                  </c:pt>
                  <c:pt idx="51">
                    <c:v>Ibu Awi</c:v>
                  </c:pt>
                  <c:pt idx="52">
                    <c:v>Pak Komang pemelisan</c:v>
                  </c:pt>
                  <c:pt idx="53">
                    <c:v>Pak Legito</c:v>
                  </c:pt>
                  <c:pt idx="54">
                    <c:v>Pak Sidik</c:v>
                  </c:pt>
                  <c:pt idx="55">
                    <c:v>Pak Sueb</c:v>
                  </c:pt>
                  <c:pt idx="56">
                    <c:v>Pak Yusuf</c:v>
                  </c:pt>
                  <c:pt idx="57">
                    <c:v>BIS (Bali Island School)</c:v>
                  </c:pt>
                  <c:pt idx="58">
                    <c:v>Green School</c:v>
                  </c:pt>
                  <c:pt idx="59">
                    <c:v>LF Bali</c:v>
                  </c:pt>
                  <c:pt idx="60">
                    <c:v>Mitra Gianyar Bagus</c:v>
                  </c:pt>
                  <c:pt idx="61">
                    <c:v>Bantas Lestari</c:v>
                  </c:pt>
                  <c:pt idx="62">
                    <c:v>Tambyak Lestari</c:v>
                  </c:pt>
                  <c:pt idx="63">
                    <c:v>TPS3R Bayu Suci</c:v>
                  </c:pt>
                  <c:pt idx="64">
                    <c:v>TPS3R Bindu</c:v>
                  </c:pt>
                  <c:pt idx="65">
                    <c:v>TPS3R Rumah Hijau</c:v>
                  </c:pt>
                  <c:pt idx="66">
                    <c:v>Rumah kompos padang tegal</c:v>
                  </c:pt>
                  <c:pt idx="67">
                    <c:v>Seminyak Clean</c:v>
                  </c:pt>
                </c:lvl>
                <c:lvl>
                  <c:pt idx="0">
                    <c:v>Bank Sampah Induk</c:v>
                  </c:pt>
                  <c:pt idx="4">
                    <c:v>Bank Sampah Unit</c:v>
                  </c:pt>
                  <c:pt idx="26">
                    <c:v>Bisnis</c:v>
                  </c:pt>
                  <c:pt idx="39">
                    <c:v>EB Residential Service</c:v>
                  </c:pt>
                  <c:pt idx="40">
                    <c:v>Hotel</c:v>
                  </c:pt>
                  <c:pt idx="44">
                    <c:v>Jasa sampah</c:v>
                  </c:pt>
                  <c:pt idx="51">
                    <c:v>Pengepul</c:v>
                  </c:pt>
                  <c:pt idx="57">
                    <c:v>Sekolah</c:v>
                  </c:pt>
                  <c:pt idx="60">
                    <c:v>TPA</c:v>
                  </c:pt>
                  <c:pt idx="61">
                    <c:v>TPS3R</c:v>
                  </c:pt>
                  <c:pt idx="66">
                    <c:v>TPST3R</c:v>
                  </c:pt>
                </c:lvl>
              </c:multiLvlStrCache>
            </c:multiLvlStrRef>
          </c:cat>
          <c:val>
            <c:numRef>
              <c:f>'MASUK-MONTHLY'!$D$5:$D$84</c:f>
              <c:numCache>
                <c:formatCode>General</c:formatCode>
                <c:ptCount val="68"/>
                <c:pt idx="2">
                  <c:v>0</c:v>
                </c:pt>
                <c:pt idx="4">
                  <c:v>0.2</c:v>
                </c:pt>
                <c:pt idx="7">
                  <c:v>0.5</c:v>
                </c:pt>
                <c:pt idx="8">
                  <c:v>0.3</c:v>
                </c:pt>
                <c:pt idx="11">
                  <c:v>10</c:v>
                </c:pt>
                <c:pt idx="13">
                  <c:v>0.5</c:v>
                </c:pt>
                <c:pt idx="14">
                  <c:v>0.5</c:v>
                </c:pt>
                <c:pt idx="16">
                  <c:v>1.8</c:v>
                </c:pt>
                <c:pt idx="26">
                  <c:v>1.6</c:v>
                </c:pt>
                <c:pt idx="27">
                  <c:v>35</c:v>
                </c:pt>
                <c:pt idx="28">
                  <c:v>164</c:v>
                </c:pt>
                <c:pt idx="29">
                  <c:v>299</c:v>
                </c:pt>
                <c:pt idx="30">
                  <c:v>11</c:v>
                </c:pt>
                <c:pt idx="33">
                  <c:v>121.1</c:v>
                </c:pt>
                <c:pt idx="37">
                  <c:v>3</c:v>
                </c:pt>
                <c:pt idx="39">
                  <c:v>503</c:v>
                </c:pt>
                <c:pt idx="40">
                  <c:v>1.8</c:v>
                </c:pt>
                <c:pt idx="42">
                  <c:v>1.5</c:v>
                </c:pt>
                <c:pt idx="47">
                  <c:v>75</c:v>
                </c:pt>
                <c:pt idx="48">
                  <c:v>169</c:v>
                </c:pt>
                <c:pt idx="49">
                  <c:v>319</c:v>
                </c:pt>
                <c:pt idx="51">
                  <c:v>464</c:v>
                </c:pt>
                <c:pt idx="52">
                  <c:v>459</c:v>
                </c:pt>
                <c:pt idx="55">
                  <c:v>4221</c:v>
                </c:pt>
                <c:pt idx="57">
                  <c:v>5</c:v>
                </c:pt>
                <c:pt idx="58">
                  <c:v>18</c:v>
                </c:pt>
                <c:pt idx="59">
                  <c:v>2.5</c:v>
                </c:pt>
                <c:pt idx="60">
                  <c:v>742</c:v>
                </c:pt>
                <c:pt idx="63">
                  <c:v>0</c:v>
                </c:pt>
                <c:pt idx="64">
                  <c:v>18</c:v>
                </c:pt>
                <c:pt idx="66">
                  <c:v>216.5</c:v>
                </c:pt>
                <c:pt idx="67">
                  <c:v>104</c:v>
                </c:pt>
              </c:numCache>
            </c:numRef>
          </c:val>
          <c:extLst>
            <c:ext xmlns:c16="http://schemas.microsoft.com/office/drawing/2014/chart" uri="{C3380CC4-5D6E-409C-BE32-E72D297353CC}">
              <c16:uniqueId val="{00000000-4FD9-4C62-90D2-A607DCE6D12B}"/>
            </c:ext>
          </c:extLst>
        </c:ser>
        <c:ser>
          <c:idx val="2"/>
          <c:order val="2"/>
          <c:tx>
            <c:strRef>
              <c:f>'MASUK-MONTHLY'!$E$2:$E$4</c:f>
              <c:strCache>
                <c:ptCount val="1"/>
                <c:pt idx="0">
                  <c:v>2021 - (03) MAR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'MASUK-MONTHLY'!$B$5:$B$84</c:f>
              <c:multiLvlStrCache>
                <c:ptCount val="68"/>
                <c:lvl>
                  <c:pt idx="0">
                    <c:v>Bali Wastu Lestari</c:v>
                  </c:pt>
                  <c:pt idx="1">
                    <c:v>BSI Bali Bersih</c:v>
                  </c:pt>
                  <c:pt idx="2">
                    <c:v>BSI E-darling Buleleng</c:v>
                  </c:pt>
                  <c:pt idx="3">
                    <c:v>Griya Luhu</c:v>
                  </c:pt>
                  <c:pt idx="4">
                    <c:v>Br Aseman Kangin Tibubeneng</c:v>
                  </c:pt>
                  <c:pt idx="5">
                    <c:v>Br Aseman Kawan Tibubeneng</c:v>
                  </c:pt>
                  <c:pt idx="6">
                    <c:v>Br Canggu Canggu</c:v>
                  </c:pt>
                  <c:pt idx="7">
                    <c:v>Br Dukuh Pandean Munggu</c:v>
                  </c:pt>
                  <c:pt idx="8">
                    <c:v>Br Dukuh Sengguan Munggu</c:v>
                  </c:pt>
                  <c:pt idx="9">
                    <c:v>Br Gambang Munggu</c:v>
                  </c:pt>
                  <c:pt idx="10">
                    <c:v>Br Kaja Kangin Cemagi</c:v>
                  </c:pt>
                  <c:pt idx="11">
                    <c:v>Br Kayu Tulang Canggu</c:v>
                  </c:pt>
                  <c:pt idx="12">
                    <c:v>Br Keliki Cemagi</c:v>
                  </c:pt>
                  <c:pt idx="13">
                    <c:v>Br Krisnantara Tibubeneng</c:v>
                  </c:pt>
                  <c:pt idx="14">
                    <c:v>Br Kulibul Kangin Tibubeneng</c:v>
                  </c:pt>
                  <c:pt idx="15">
                    <c:v>Br Padang Linjong Canggu</c:v>
                  </c:pt>
                  <c:pt idx="16">
                    <c:v>Br Pande Pemaron Munggu</c:v>
                  </c:pt>
                  <c:pt idx="17">
                    <c:v>Br Pempatan Munggu</c:v>
                  </c:pt>
                  <c:pt idx="18">
                    <c:v>Br Petapan</c:v>
                  </c:pt>
                  <c:pt idx="19">
                    <c:v>Br Sangiangan Cemagi</c:v>
                  </c:pt>
                  <c:pt idx="20">
                    <c:v>Br Seseh</c:v>
                  </c:pt>
                  <c:pt idx="21">
                    <c:v>Br Seseh Cemagi</c:v>
                  </c:pt>
                  <c:pt idx="22">
                    <c:v>Br Sogsogan Cemagi</c:v>
                  </c:pt>
                  <c:pt idx="23">
                    <c:v>Br Tandeg Tibubeneng</c:v>
                  </c:pt>
                  <c:pt idx="24">
                    <c:v>Br Uma Buluh Canggu</c:v>
                  </c:pt>
                  <c:pt idx="25">
                    <c:v>Br Umabuluh Munggu</c:v>
                  </c:pt>
                  <c:pt idx="26">
                    <c:v>Aid hub</c:v>
                  </c:pt>
                  <c:pt idx="27">
                    <c:v>Gelato factory</c:v>
                  </c:pt>
                  <c:pt idx="28">
                    <c:v>Gusto gelato</c:v>
                  </c:pt>
                  <c:pt idx="29">
                    <c:v>Milk up</c:v>
                  </c:pt>
                  <c:pt idx="30">
                    <c:v>Monsieur spoon</c:v>
                  </c:pt>
                  <c:pt idx="31">
                    <c:v>One People</c:v>
                  </c:pt>
                  <c:pt idx="32">
                    <c:v>Paletas wey</c:v>
                  </c:pt>
                  <c:pt idx="33">
                    <c:v>PT Berkat Daur Ulang</c:v>
                  </c:pt>
                  <c:pt idx="34">
                    <c:v>Role Foundation</c:v>
                  </c:pt>
                  <c:pt idx="35">
                    <c:v>Serenity</c:v>
                  </c:pt>
                  <c:pt idx="36">
                    <c:v>Sersan Kopi</c:v>
                  </c:pt>
                  <c:pt idx="37">
                    <c:v>sundays coffee</c:v>
                  </c:pt>
                  <c:pt idx="38">
                    <c:v>Sungai Watch</c:v>
                  </c:pt>
                  <c:pt idx="39">
                    <c:v>ecoBali</c:v>
                  </c:pt>
                  <c:pt idx="40">
                    <c:v>Alila ubud</c:v>
                  </c:pt>
                  <c:pt idx="41">
                    <c:v>Alila uluwatu</c:v>
                  </c:pt>
                  <c:pt idx="42">
                    <c:v>Four season ubud</c:v>
                  </c:pt>
                  <c:pt idx="43">
                    <c:v>The Samaya Ubud</c:v>
                  </c:pt>
                  <c:pt idx="44">
                    <c:v>Ibu Nia</c:v>
                  </c:pt>
                  <c:pt idx="45">
                    <c:v>Pak Bob</c:v>
                  </c:pt>
                  <c:pt idx="46">
                    <c:v>Pak Jero mangku</c:v>
                  </c:pt>
                  <c:pt idx="47">
                    <c:v>Pak Kidul</c:v>
                  </c:pt>
                  <c:pt idx="48">
                    <c:v>Pak Moyo</c:v>
                  </c:pt>
                  <c:pt idx="49">
                    <c:v>Pak Rono</c:v>
                  </c:pt>
                  <c:pt idx="50">
                    <c:v>Pak Vina</c:v>
                  </c:pt>
                  <c:pt idx="51">
                    <c:v>Ibu Awi</c:v>
                  </c:pt>
                  <c:pt idx="52">
                    <c:v>Pak Komang pemelisan</c:v>
                  </c:pt>
                  <c:pt idx="53">
                    <c:v>Pak Legito</c:v>
                  </c:pt>
                  <c:pt idx="54">
                    <c:v>Pak Sidik</c:v>
                  </c:pt>
                  <c:pt idx="55">
                    <c:v>Pak Sueb</c:v>
                  </c:pt>
                  <c:pt idx="56">
                    <c:v>Pak Yusuf</c:v>
                  </c:pt>
                  <c:pt idx="57">
                    <c:v>BIS (Bali Island School)</c:v>
                  </c:pt>
                  <c:pt idx="58">
                    <c:v>Green School</c:v>
                  </c:pt>
                  <c:pt idx="59">
                    <c:v>LF Bali</c:v>
                  </c:pt>
                  <c:pt idx="60">
                    <c:v>Mitra Gianyar Bagus</c:v>
                  </c:pt>
                  <c:pt idx="61">
                    <c:v>Bantas Lestari</c:v>
                  </c:pt>
                  <c:pt idx="62">
                    <c:v>Tambyak Lestari</c:v>
                  </c:pt>
                  <c:pt idx="63">
                    <c:v>TPS3R Bayu Suci</c:v>
                  </c:pt>
                  <c:pt idx="64">
                    <c:v>TPS3R Bindu</c:v>
                  </c:pt>
                  <c:pt idx="65">
                    <c:v>TPS3R Rumah Hijau</c:v>
                  </c:pt>
                  <c:pt idx="66">
                    <c:v>Rumah kompos padang tegal</c:v>
                  </c:pt>
                  <c:pt idx="67">
                    <c:v>Seminyak Clean</c:v>
                  </c:pt>
                </c:lvl>
                <c:lvl>
                  <c:pt idx="0">
                    <c:v>Bank Sampah Induk</c:v>
                  </c:pt>
                  <c:pt idx="4">
                    <c:v>Bank Sampah Unit</c:v>
                  </c:pt>
                  <c:pt idx="26">
                    <c:v>Bisnis</c:v>
                  </c:pt>
                  <c:pt idx="39">
                    <c:v>EB Residential Service</c:v>
                  </c:pt>
                  <c:pt idx="40">
                    <c:v>Hotel</c:v>
                  </c:pt>
                  <c:pt idx="44">
                    <c:v>Jasa sampah</c:v>
                  </c:pt>
                  <c:pt idx="51">
                    <c:v>Pengepul</c:v>
                  </c:pt>
                  <c:pt idx="57">
                    <c:v>Sekolah</c:v>
                  </c:pt>
                  <c:pt idx="60">
                    <c:v>TPA</c:v>
                  </c:pt>
                  <c:pt idx="61">
                    <c:v>TPS3R</c:v>
                  </c:pt>
                  <c:pt idx="66">
                    <c:v>TPST3R</c:v>
                  </c:pt>
                </c:lvl>
              </c:multiLvlStrCache>
            </c:multiLvlStrRef>
          </c:cat>
          <c:val>
            <c:numRef>
              <c:f>'MASUK-MONTHLY'!$E$5:$E$84</c:f>
              <c:numCache>
                <c:formatCode>General</c:formatCode>
                <c:ptCount val="68"/>
                <c:pt idx="2">
                  <c:v>38.5</c:v>
                </c:pt>
                <c:pt idx="6">
                  <c:v>0.4</c:v>
                </c:pt>
                <c:pt idx="10">
                  <c:v>5.3</c:v>
                </c:pt>
                <c:pt idx="11">
                  <c:v>6.8</c:v>
                </c:pt>
                <c:pt idx="13">
                  <c:v>1.5</c:v>
                </c:pt>
                <c:pt idx="19">
                  <c:v>2</c:v>
                </c:pt>
                <c:pt idx="25">
                  <c:v>6</c:v>
                </c:pt>
                <c:pt idx="26">
                  <c:v>5.0999999999999996</c:v>
                </c:pt>
                <c:pt idx="27">
                  <c:v>59</c:v>
                </c:pt>
                <c:pt idx="28">
                  <c:v>185</c:v>
                </c:pt>
                <c:pt idx="29">
                  <c:v>307</c:v>
                </c:pt>
                <c:pt idx="30">
                  <c:v>14.2</c:v>
                </c:pt>
                <c:pt idx="32">
                  <c:v>56</c:v>
                </c:pt>
                <c:pt idx="33">
                  <c:v>0</c:v>
                </c:pt>
                <c:pt idx="37">
                  <c:v>4</c:v>
                </c:pt>
                <c:pt idx="38">
                  <c:v>34.4</c:v>
                </c:pt>
                <c:pt idx="39">
                  <c:v>470.2</c:v>
                </c:pt>
                <c:pt idx="40">
                  <c:v>5.0999999999999996</c:v>
                </c:pt>
                <c:pt idx="43">
                  <c:v>6</c:v>
                </c:pt>
                <c:pt idx="45">
                  <c:v>147</c:v>
                </c:pt>
                <c:pt idx="46">
                  <c:v>194</c:v>
                </c:pt>
                <c:pt idx="48">
                  <c:v>153</c:v>
                </c:pt>
                <c:pt idx="49">
                  <c:v>1100</c:v>
                </c:pt>
                <c:pt idx="51">
                  <c:v>217</c:v>
                </c:pt>
                <c:pt idx="53">
                  <c:v>319</c:v>
                </c:pt>
                <c:pt idx="54">
                  <c:v>69</c:v>
                </c:pt>
                <c:pt idx="55">
                  <c:v>5302</c:v>
                </c:pt>
                <c:pt idx="58">
                  <c:v>19</c:v>
                </c:pt>
                <c:pt idx="60">
                  <c:v>185</c:v>
                </c:pt>
                <c:pt idx="62">
                  <c:v>66</c:v>
                </c:pt>
                <c:pt idx="63">
                  <c:v>0</c:v>
                </c:pt>
                <c:pt idx="66">
                  <c:v>299.5</c:v>
                </c:pt>
              </c:numCache>
            </c:numRef>
          </c:val>
          <c:extLst>
            <c:ext xmlns:c16="http://schemas.microsoft.com/office/drawing/2014/chart" uri="{C3380CC4-5D6E-409C-BE32-E72D297353CC}">
              <c16:uniqueId val="{00000001-4FD9-4C62-90D2-A607DCE6D12B}"/>
            </c:ext>
          </c:extLst>
        </c:ser>
        <c:ser>
          <c:idx val="3"/>
          <c:order val="3"/>
          <c:tx>
            <c:strRef>
              <c:f>'MASUK-MONTHLY'!$F$2:$F$4</c:f>
              <c:strCache>
                <c:ptCount val="1"/>
                <c:pt idx="0">
                  <c:v>2021 - (04) APR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'MASUK-MONTHLY'!$B$5:$B$84</c:f>
              <c:multiLvlStrCache>
                <c:ptCount val="68"/>
                <c:lvl>
                  <c:pt idx="0">
                    <c:v>Bali Wastu Lestari</c:v>
                  </c:pt>
                  <c:pt idx="1">
                    <c:v>BSI Bali Bersih</c:v>
                  </c:pt>
                  <c:pt idx="2">
                    <c:v>BSI E-darling Buleleng</c:v>
                  </c:pt>
                  <c:pt idx="3">
                    <c:v>Griya Luhu</c:v>
                  </c:pt>
                  <c:pt idx="4">
                    <c:v>Br Aseman Kangin Tibubeneng</c:v>
                  </c:pt>
                  <c:pt idx="5">
                    <c:v>Br Aseman Kawan Tibubeneng</c:v>
                  </c:pt>
                  <c:pt idx="6">
                    <c:v>Br Canggu Canggu</c:v>
                  </c:pt>
                  <c:pt idx="7">
                    <c:v>Br Dukuh Pandean Munggu</c:v>
                  </c:pt>
                  <c:pt idx="8">
                    <c:v>Br Dukuh Sengguan Munggu</c:v>
                  </c:pt>
                  <c:pt idx="9">
                    <c:v>Br Gambang Munggu</c:v>
                  </c:pt>
                  <c:pt idx="10">
                    <c:v>Br Kaja Kangin Cemagi</c:v>
                  </c:pt>
                  <c:pt idx="11">
                    <c:v>Br Kayu Tulang Canggu</c:v>
                  </c:pt>
                  <c:pt idx="12">
                    <c:v>Br Keliki Cemagi</c:v>
                  </c:pt>
                  <c:pt idx="13">
                    <c:v>Br Krisnantara Tibubeneng</c:v>
                  </c:pt>
                  <c:pt idx="14">
                    <c:v>Br Kulibul Kangin Tibubeneng</c:v>
                  </c:pt>
                  <c:pt idx="15">
                    <c:v>Br Padang Linjong Canggu</c:v>
                  </c:pt>
                  <c:pt idx="16">
                    <c:v>Br Pande Pemaron Munggu</c:v>
                  </c:pt>
                  <c:pt idx="17">
                    <c:v>Br Pempatan Munggu</c:v>
                  </c:pt>
                  <c:pt idx="18">
                    <c:v>Br Petapan</c:v>
                  </c:pt>
                  <c:pt idx="19">
                    <c:v>Br Sangiangan Cemagi</c:v>
                  </c:pt>
                  <c:pt idx="20">
                    <c:v>Br Seseh</c:v>
                  </c:pt>
                  <c:pt idx="21">
                    <c:v>Br Seseh Cemagi</c:v>
                  </c:pt>
                  <c:pt idx="22">
                    <c:v>Br Sogsogan Cemagi</c:v>
                  </c:pt>
                  <c:pt idx="23">
                    <c:v>Br Tandeg Tibubeneng</c:v>
                  </c:pt>
                  <c:pt idx="24">
                    <c:v>Br Uma Buluh Canggu</c:v>
                  </c:pt>
                  <c:pt idx="25">
                    <c:v>Br Umabuluh Munggu</c:v>
                  </c:pt>
                  <c:pt idx="26">
                    <c:v>Aid hub</c:v>
                  </c:pt>
                  <c:pt idx="27">
                    <c:v>Gelato factory</c:v>
                  </c:pt>
                  <c:pt idx="28">
                    <c:v>Gusto gelato</c:v>
                  </c:pt>
                  <c:pt idx="29">
                    <c:v>Milk up</c:v>
                  </c:pt>
                  <c:pt idx="30">
                    <c:v>Monsieur spoon</c:v>
                  </c:pt>
                  <c:pt idx="31">
                    <c:v>One People</c:v>
                  </c:pt>
                  <c:pt idx="32">
                    <c:v>Paletas wey</c:v>
                  </c:pt>
                  <c:pt idx="33">
                    <c:v>PT Berkat Daur Ulang</c:v>
                  </c:pt>
                  <c:pt idx="34">
                    <c:v>Role Foundation</c:v>
                  </c:pt>
                  <c:pt idx="35">
                    <c:v>Serenity</c:v>
                  </c:pt>
                  <c:pt idx="36">
                    <c:v>Sersan Kopi</c:v>
                  </c:pt>
                  <c:pt idx="37">
                    <c:v>sundays coffee</c:v>
                  </c:pt>
                  <c:pt idx="38">
                    <c:v>Sungai Watch</c:v>
                  </c:pt>
                  <c:pt idx="39">
                    <c:v>ecoBali</c:v>
                  </c:pt>
                  <c:pt idx="40">
                    <c:v>Alila ubud</c:v>
                  </c:pt>
                  <c:pt idx="41">
                    <c:v>Alila uluwatu</c:v>
                  </c:pt>
                  <c:pt idx="42">
                    <c:v>Four season ubud</c:v>
                  </c:pt>
                  <c:pt idx="43">
                    <c:v>The Samaya Ubud</c:v>
                  </c:pt>
                  <c:pt idx="44">
                    <c:v>Ibu Nia</c:v>
                  </c:pt>
                  <c:pt idx="45">
                    <c:v>Pak Bob</c:v>
                  </c:pt>
                  <c:pt idx="46">
                    <c:v>Pak Jero mangku</c:v>
                  </c:pt>
                  <c:pt idx="47">
                    <c:v>Pak Kidul</c:v>
                  </c:pt>
                  <c:pt idx="48">
                    <c:v>Pak Moyo</c:v>
                  </c:pt>
                  <c:pt idx="49">
                    <c:v>Pak Rono</c:v>
                  </c:pt>
                  <c:pt idx="50">
                    <c:v>Pak Vina</c:v>
                  </c:pt>
                  <c:pt idx="51">
                    <c:v>Ibu Awi</c:v>
                  </c:pt>
                  <c:pt idx="52">
                    <c:v>Pak Komang pemelisan</c:v>
                  </c:pt>
                  <c:pt idx="53">
                    <c:v>Pak Legito</c:v>
                  </c:pt>
                  <c:pt idx="54">
                    <c:v>Pak Sidik</c:v>
                  </c:pt>
                  <c:pt idx="55">
                    <c:v>Pak Sueb</c:v>
                  </c:pt>
                  <c:pt idx="56">
                    <c:v>Pak Yusuf</c:v>
                  </c:pt>
                  <c:pt idx="57">
                    <c:v>BIS (Bali Island School)</c:v>
                  </c:pt>
                  <c:pt idx="58">
                    <c:v>Green School</c:v>
                  </c:pt>
                  <c:pt idx="59">
                    <c:v>LF Bali</c:v>
                  </c:pt>
                  <c:pt idx="60">
                    <c:v>Mitra Gianyar Bagus</c:v>
                  </c:pt>
                  <c:pt idx="61">
                    <c:v>Bantas Lestari</c:v>
                  </c:pt>
                  <c:pt idx="62">
                    <c:v>Tambyak Lestari</c:v>
                  </c:pt>
                  <c:pt idx="63">
                    <c:v>TPS3R Bayu Suci</c:v>
                  </c:pt>
                  <c:pt idx="64">
                    <c:v>TPS3R Bindu</c:v>
                  </c:pt>
                  <c:pt idx="65">
                    <c:v>TPS3R Rumah Hijau</c:v>
                  </c:pt>
                  <c:pt idx="66">
                    <c:v>Rumah kompos padang tegal</c:v>
                  </c:pt>
                  <c:pt idx="67">
                    <c:v>Seminyak Clean</c:v>
                  </c:pt>
                </c:lvl>
                <c:lvl>
                  <c:pt idx="0">
                    <c:v>Bank Sampah Induk</c:v>
                  </c:pt>
                  <c:pt idx="4">
                    <c:v>Bank Sampah Unit</c:v>
                  </c:pt>
                  <c:pt idx="26">
                    <c:v>Bisnis</c:v>
                  </c:pt>
                  <c:pt idx="39">
                    <c:v>EB Residential Service</c:v>
                  </c:pt>
                  <c:pt idx="40">
                    <c:v>Hotel</c:v>
                  </c:pt>
                  <c:pt idx="44">
                    <c:v>Jasa sampah</c:v>
                  </c:pt>
                  <c:pt idx="51">
                    <c:v>Pengepul</c:v>
                  </c:pt>
                  <c:pt idx="57">
                    <c:v>Sekolah</c:v>
                  </c:pt>
                  <c:pt idx="60">
                    <c:v>TPA</c:v>
                  </c:pt>
                  <c:pt idx="61">
                    <c:v>TPS3R</c:v>
                  </c:pt>
                  <c:pt idx="66">
                    <c:v>TPST3R</c:v>
                  </c:pt>
                </c:lvl>
              </c:multiLvlStrCache>
            </c:multiLvlStrRef>
          </c:cat>
          <c:val>
            <c:numRef>
              <c:f>'MASUK-MONTHLY'!$F$5:$F$84</c:f>
              <c:numCache>
                <c:formatCode>General</c:formatCode>
                <c:ptCount val="68"/>
                <c:pt idx="0">
                  <c:v>160</c:v>
                </c:pt>
                <c:pt idx="2">
                  <c:v>0</c:v>
                </c:pt>
                <c:pt idx="3">
                  <c:v>22</c:v>
                </c:pt>
                <c:pt idx="11">
                  <c:v>7</c:v>
                </c:pt>
                <c:pt idx="13">
                  <c:v>1.3</c:v>
                </c:pt>
                <c:pt idx="15">
                  <c:v>2.4</c:v>
                </c:pt>
                <c:pt idx="21">
                  <c:v>0.3</c:v>
                </c:pt>
                <c:pt idx="26">
                  <c:v>7.3</c:v>
                </c:pt>
                <c:pt idx="27">
                  <c:v>65.2</c:v>
                </c:pt>
                <c:pt idx="28">
                  <c:v>231</c:v>
                </c:pt>
                <c:pt idx="29">
                  <c:v>335</c:v>
                </c:pt>
                <c:pt idx="30">
                  <c:v>22.3</c:v>
                </c:pt>
                <c:pt idx="32">
                  <c:v>51</c:v>
                </c:pt>
                <c:pt idx="33">
                  <c:v>183</c:v>
                </c:pt>
                <c:pt idx="34">
                  <c:v>4</c:v>
                </c:pt>
                <c:pt idx="36">
                  <c:v>1.7</c:v>
                </c:pt>
                <c:pt idx="37">
                  <c:v>6.5</c:v>
                </c:pt>
                <c:pt idx="39">
                  <c:v>445</c:v>
                </c:pt>
                <c:pt idx="43">
                  <c:v>2</c:v>
                </c:pt>
                <c:pt idx="45">
                  <c:v>77</c:v>
                </c:pt>
                <c:pt idx="46">
                  <c:v>65</c:v>
                </c:pt>
                <c:pt idx="49">
                  <c:v>595</c:v>
                </c:pt>
                <c:pt idx="51">
                  <c:v>626</c:v>
                </c:pt>
                <c:pt idx="52">
                  <c:v>514</c:v>
                </c:pt>
                <c:pt idx="53">
                  <c:v>257</c:v>
                </c:pt>
                <c:pt idx="55">
                  <c:v>5570</c:v>
                </c:pt>
                <c:pt idx="56">
                  <c:v>308</c:v>
                </c:pt>
                <c:pt idx="57">
                  <c:v>2</c:v>
                </c:pt>
                <c:pt idx="58">
                  <c:v>31</c:v>
                </c:pt>
                <c:pt idx="60">
                  <c:v>0</c:v>
                </c:pt>
                <c:pt idx="61">
                  <c:v>50.87</c:v>
                </c:pt>
                <c:pt idx="66">
                  <c:v>327</c:v>
                </c:pt>
                <c:pt idx="67">
                  <c:v>93</c:v>
                </c:pt>
              </c:numCache>
            </c:numRef>
          </c:val>
          <c:extLst>
            <c:ext xmlns:c16="http://schemas.microsoft.com/office/drawing/2014/chart" uri="{C3380CC4-5D6E-409C-BE32-E72D297353CC}">
              <c16:uniqueId val="{00000002-4FD9-4C62-90D2-A607DCE6D12B}"/>
            </c:ext>
          </c:extLst>
        </c:ser>
        <c:ser>
          <c:idx val="4"/>
          <c:order val="4"/>
          <c:tx>
            <c:strRef>
              <c:f>'MASUK-MONTHLY'!$G$2:$G$4</c:f>
              <c:strCache>
                <c:ptCount val="1"/>
                <c:pt idx="0">
                  <c:v>2021 - (05) MEI</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'MASUK-MONTHLY'!$B$5:$B$84</c:f>
              <c:multiLvlStrCache>
                <c:ptCount val="68"/>
                <c:lvl>
                  <c:pt idx="0">
                    <c:v>Bali Wastu Lestari</c:v>
                  </c:pt>
                  <c:pt idx="1">
                    <c:v>BSI Bali Bersih</c:v>
                  </c:pt>
                  <c:pt idx="2">
                    <c:v>BSI E-darling Buleleng</c:v>
                  </c:pt>
                  <c:pt idx="3">
                    <c:v>Griya Luhu</c:v>
                  </c:pt>
                  <c:pt idx="4">
                    <c:v>Br Aseman Kangin Tibubeneng</c:v>
                  </c:pt>
                  <c:pt idx="5">
                    <c:v>Br Aseman Kawan Tibubeneng</c:v>
                  </c:pt>
                  <c:pt idx="6">
                    <c:v>Br Canggu Canggu</c:v>
                  </c:pt>
                  <c:pt idx="7">
                    <c:v>Br Dukuh Pandean Munggu</c:v>
                  </c:pt>
                  <c:pt idx="8">
                    <c:v>Br Dukuh Sengguan Munggu</c:v>
                  </c:pt>
                  <c:pt idx="9">
                    <c:v>Br Gambang Munggu</c:v>
                  </c:pt>
                  <c:pt idx="10">
                    <c:v>Br Kaja Kangin Cemagi</c:v>
                  </c:pt>
                  <c:pt idx="11">
                    <c:v>Br Kayu Tulang Canggu</c:v>
                  </c:pt>
                  <c:pt idx="12">
                    <c:v>Br Keliki Cemagi</c:v>
                  </c:pt>
                  <c:pt idx="13">
                    <c:v>Br Krisnantara Tibubeneng</c:v>
                  </c:pt>
                  <c:pt idx="14">
                    <c:v>Br Kulibul Kangin Tibubeneng</c:v>
                  </c:pt>
                  <c:pt idx="15">
                    <c:v>Br Padang Linjong Canggu</c:v>
                  </c:pt>
                  <c:pt idx="16">
                    <c:v>Br Pande Pemaron Munggu</c:v>
                  </c:pt>
                  <c:pt idx="17">
                    <c:v>Br Pempatan Munggu</c:v>
                  </c:pt>
                  <c:pt idx="18">
                    <c:v>Br Petapan</c:v>
                  </c:pt>
                  <c:pt idx="19">
                    <c:v>Br Sangiangan Cemagi</c:v>
                  </c:pt>
                  <c:pt idx="20">
                    <c:v>Br Seseh</c:v>
                  </c:pt>
                  <c:pt idx="21">
                    <c:v>Br Seseh Cemagi</c:v>
                  </c:pt>
                  <c:pt idx="22">
                    <c:v>Br Sogsogan Cemagi</c:v>
                  </c:pt>
                  <c:pt idx="23">
                    <c:v>Br Tandeg Tibubeneng</c:v>
                  </c:pt>
                  <c:pt idx="24">
                    <c:v>Br Uma Buluh Canggu</c:v>
                  </c:pt>
                  <c:pt idx="25">
                    <c:v>Br Umabuluh Munggu</c:v>
                  </c:pt>
                  <c:pt idx="26">
                    <c:v>Aid hub</c:v>
                  </c:pt>
                  <c:pt idx="27">
                    <c:v>Gelato factory</c:v>
                  </c:pt>
                  <c:pt idx="28">
                    <c:v>Gusto gelato</c:v>
                  </c:pt>
                  <c:pt idx="29">
                    <c:v>Milk up</c:v>
                  </c:pt>
                  <c:pt idx="30">
                    <c:v>Monsieur spoon</c:v>
                  </c:pt>
                  <c:pt idx="31">
                    <c:v>One People</c:v>
                  </c:pt>
                  <c:pt idx="32">
                    <c:v>Paletas wey</c:v>
                  </c:pt>
                  <c:pt idx="33">
                    <c:v>PT Berkat Daur Ulang</c:v>
                  </c:pt>
                  <c:pt idx="34">
                    <c:v>Role Foundation</c:v>
                  </c:pt>
                  <c:pt idx="35">
                    <c:v>Serenity</c:v>
                  </c:pt>
                  <c:pt idx="36">
                    <c:v>Sersan Kopi</c:v>
                  </c:pt>
                  <c:pt idx="37">
                    <c:v>sundays coffee</c:v>
                  </c:pt>
                  <c:pt idx="38">
                    <c:v>Sungai Watch</c:v>
                  </c:pt>
                  <c:pt idx="39">
                    <c:v>ecoBali</c:v>
                  </c:pt>
                  <c:pt idx="40">
                    <c:v>Alila ubud</c:v>
                  </c:pt>
                  <c:pt idx="41">
                    <c:v>Alila uluwatu</c:v>
                  </c:pt>
                  <c:pt idx="42">
                    <c:v>Four season ubud</c:v>
                  </c:pt>
                  <c:pt idx="43">
                    <c:v>The Samaya Ubud</c:v>
                  </c:pt>
                  <c:pt idx="44">
                    <c:v>Ibu Nia</c:v>
                  </c:pt>
                  <c:pt idx="45">
                    <c:v>Pak Bob</c:v>
                  </c:pt>
                  <c:pt idx="46">
                    <c:v>Pak Jero mangku</c:v>
                  </c:pt>
                  <c:pt idx="47">
                    <c:v>Pak Kidul</c:v>
                  </c:pt>
                  <c:pt idx="48">
                    <c:v>Pak Moyo</c:v>
                  </c:pt>
                  <c:pt idx="49">
                    <c:v>Pak Rono</c:v>
                  </c:pt>
                  <c:pt idx="50">
                    <c:v>Pak Vina</c:v>
                  </c:pt>
                  <c:pt idx="51">
                    <c:v>Ibu Awi</c:v>
                  </c:pt>
                  <c:pt idx="52">
                    <c:v>Pak Komang pemelisan</c:v>
                  </c:pt>
                  <c:pt idx="53">
                    <c:v>Pak Legito</c:v>
                  </c:pt>
                  <c:pt idx="54">
                    <c:v>Pak Sidik</c:v>
                  </c:pt>
                  <c:pt idx="55">
                    <c:v>Pak Sueb</c:v>
                  </c:pt>
                  <c:pt idx="56">
                    <c:v>Pak Yusuf</c:v>
                  </c:pt>
                  <c:pt idx="57">
                    <c:v>BIS (Bali Island School)</c:v>
                  </c:pt>
                  <c:pt idx="58">
                    <c:v>Green School</c:v>
                  </c:pt>
                  <c:pt idx="59">
                    <c:v>LF Bali</c:v>
                  </c:pt>
                  <c:pt idx="60">
                    <c:v>Mitra Gianyar Bagus</c:v>
                  </c:pt>
                  <c:pt idx="61">
                    <c:v>Bantas Lestari</c:v>
                  </c:pt>
                  <c:pt idx="62">
                    <c:v>Tambyak Lestari</c:v>
                  </c:pt>
                  <c:pt idx="63">
                    <c:v>TPS3R Bayu Suci</c:v>
                  </c:pt>
                  <c:pt idx="64">
                    <c:v>TPS3R Bindu</c:v>
                  </c:pt>
                  <c:pt idx="65">
                    <c:v>TPS3R Rumah Hijau</c:v>
                  </c:pt>
                  <c:pt idx="66">
                    <c:v>Rumah kompos padang tegal</c:v>
                  </c:pt>
                  <c:pt idx="67">
                    <c:v>Seminyak Clean</c:v>
                  </c:pt>
                </c:lvl>
                <c:lvl>
                  <c:pt idx="0">
                    <c:v>Bank Sampah Induk</c:v>
                  </c:pt>
                  <c:pt idx="4">
                    <c:v>Bank Sampah Unit</c:v>
                  </c:pt>
                  <c:pt idx="26">
                    <c:v>Bisnis</c:v>
                  </c:pt>
                  <c:pt idx="39">
                    <c:v>EB Residential Service</c:v>
                  </c:pt>
                  <c:pt idx="40">
                    <c:v>Hotel</c:v>
                  </c:pt>
                  <c:pt idx="44">
                    <c:v>Jasa sampah</c:v>
                  </c:pt>
                  <c:pt idx="51">
                    <c:v>Pengepul</c:v>
                  </c:pt>
                  <c:pt idx="57">
                    <c:v>Sekolah</c:v>
                  </c:pt>
                  <c:pt idx="60">
                    <c:v>TPA</c:v>
                  </c:pt>
                  <c:pt idx="61">
                    <c:v>TPS3R</c:v>
                  </c:pt>
                  <c:pt idx="66">
                    <c:v>TPST3R</c:v>
                  </c:pt>
                </c:lvl>
              </c:multiLvlStrCache>
            </c:multiLvlStrRef>
          </c:cat>
          <c:val>
            <c:numRef>
              <c:f>'MASUK-MONTHLY'!$G$5:$G$84</c:f>
              <c:numCache>
                <c:formatCode>General</c:formatCode>
                <c:ptCount val="68"/>
                <c:pt idx="1">
                  <c:v>57</c:v>
                </c:pt>
                <c:pt idx="2">
                  <c:v>0</c:v>
                </c:pt>
                <c:pt idx="4">
                  <c:v>3.2</c:v>
                </c:pt>
                <c:pt idx="5">
                  <c:v>2.6</c:v>
                </c:pt>
                <c:pt idx="7">
                  <c:v>4.8</c:v>
                </c:pt>
                <c:pt idx="10">
                  <c:v>8</c:v>
                </c:pt>
                <c:pt idx="11">
                  <c:v>6</c:v>
                </c:pt>
                <c:pt idx="12">
                  <c:v>2.2000000000000002</c:v>
                </c:pt>
                <c:pt idx="16">
                  <c:v>4.5999999999999996</c:v>
                </c:pt>
                <c:pt idx="18">
                  <c:v>2</c:v>
                </c:pt>
                <c:pt idx="19">
                  <c:v>5</c:v>
                </c:pt>
                <c:pt idx="20">
                  <c:v>1</c:v>
                </c:pt>
                <c:pt idx="22">
                  <c:v>1.3</c:v>
                </c:pt>
                <c:pt idx="23">
                  <c:v>3.6</c:v>
                </c:pt>
                <c:pt idx="25">
                  <c:v>4</c:v>
                </c:pt>
                <c:pt idx="26">
                  <c:v>9.8000000000000007</c:v>
                </c:pt>
                <c:pt idx="27">
                  <c:v>80</c:v>
                </c:pt>
                <c:pt idx="28">
                  <c:v>222.9</c:v>
                </c:pt>
                <c:pt idx="29">
                  <c:v>323</c:v>
                </c:pt>
                <c:pt idx="30">
                  <c:v>14</c:v>
                </c:pt>
                <c:pt idx="31">
                  <c:v>2</c:v>
                </c:pt>
                <c:pt idx="32">
                  <c:v>49</c:v>
                </c:pt>
                <c:pt idx="33">
                  <c:v>0</c:v>
                </c:pt>
                <c:pt idx="35">
                  <c:v>2</c:v>
                </c:pt>
                <c:pt idx="36">
                  <c:v>2.5</c:v>
                </c:pt>
                <c:pt idx="37">
                  <c:v>2</c:v>
                </c:pt>
                <c:pt idx="39">
                  <c:v>294</c:v>
                </c:pt>
                <c:pt idx="40">
                  <c:v>4</c:v>
                </c:pt>
                <c:pt idx="44">
                  <c:v>110</c:v>
                </c:pt>
                <c:pt idx="48">
                  <c:v>114</c:v>
                </c:pt>
                <c:pt idx="49">
                  <c:v>457</c:v>
                </c:pt>
                <c:pt idx="50">
                  <c:v>69</c:v>
                </c:pt>
                <c:pt idx="52">
                  <c:v>496</c:v>
                </c:pt>
                <c:pt idx="53">
                  <c:v>415</c:v>
                </c:pt>
                <c:pt idx="55">
                  <c:v>887</c:v>
                </c:pt>
                <c:pt idx="58">
                  <c:v>20</c:v>
                </c:pt>
                <c:pt idx="60">
                  <c:v>0</c:v>
                </c:pt>
                <c:pt idx="63">
                  <c:v>60</c:v>
                </c:pt>
                <c:pt idx="64">
                  <c:v>10</c:v>
                </c:pt>
                <c:pt idx="65">
                  <c:v>23</c:v>
                </c:pt>
                <c:pt idx="66">
                  <c:v>0</c:v>
                </c:pt>
              </c:numCache>
            </c:numRef>
          </c:val>
          <c:extLst>
            <c:ext xmlns:c16="http://schemas.microsoft.com/office/drawing/2014/chart" uri="{C3380CC4-5D6E-409C-BE32-E72D297353CC}">
              <c16:uniqueId val="{00000003-4FD9-4C62-90D2-A607DCE6D12B}"/>
            </c:ext>
          </c:extLst>
        </c:ser>
        <c:dLbls>
          <c:showLegendKey val="0"/>
          <c:showVal val="0"/>
          <c:showCatName val="0"/>
          <c:showSerName val="0"/>
          <c:showPercent val="0"/>
          <c:showBubbleSize val="0"/>
        </c:dLbls>
        <c:gapWidth val="63"/>
        <c:overlap val="100"/>
        <c:axId val="664092112"/>
        <c:axId val="664109168"/>
      </c:barChart>
      <c:catAx>
        <c:axId val="664092112"/>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400" b="1" i="1" u="none" strike="noStrike" kern="1200" baseline="0">
                <a:solidFill>
                  <a:schemeClr val="bg1"/>
                </a:solidFill>
                <a:latin typeface="+mn-lt"/>
                <a:ea typeface="+mn-ea"/>
                <a:cs typeface="+mn-cs"/>
              </a:defRPr>
            </a:pPr>
            <a:endParaRPr lang="en-US"/>
          </a:p>
        </c:txPr>
        <c:crossAx val="664109168"/>
        <c:crosses val="autoZero"/>
        <c:auto val="1"/>
        <c:lblAlgn val="ctr"/>
        <c:lblOffset val="100"/>
        <c:noMultiLvlLbl val="0"/>
      </c:catAx>
      <c:valAx>
        <c:axId val="664109168"/>
        <c:scaling>
          <c:orientation val="minMax"/>
        </c:scaling>
        <c:delete val="0"/>
        <c:axPos val="b"/>
        <c:majorGridlines>
          <c:spPr>
            <a:ln w="9525" cap="flat" cmpd="sng" algn="ctr">
              <a:solidFill>
                <a:schemeClr val="accent5">
                  <a:lumMod val="40000"/>
                  <a:lumOff val="60000"/>
                </a:schemeClr>
              </a:solidFill>
              <a:round/>
            </a:ln>
            <a:effectLst>
              <a:outerShdw blurRad="50800" dist="38100" algn="l" rotWithShape="0">
                <a:prstClr val="black">
                  <a:alpha val="40000"/>
                </a:prst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1" u="none" strike="noStrike" kern="1200" baseline="0">
                <a:solidFill>
                  <a:schemeClr val="bg1"/>
                </a:solidFill>
                <a:latin typeface="+mn-lt"/>
                <a:ea typeface="+mn-ea"/>
                <a:cs typeface="+mn-cs"/>
              </a:defRPr>
            </a:pPr>
            <a:endParaRPr lang="en-US"/>
          </a:p>
        </c:txPr>
        <c:crossAx val="66409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B91D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PIVOT.xlsx]MASUK-WEEKLY!UBC-∑WEEKLY</c:name>
    <c:fmtId val="8"/>
  </c:pivotSource>
  <c:chart>
    <c:autoTitleDeleted val="1"/>
    <c:pivotFmts>
      <c:pivotFmt>
        <c:idx val="0"/>
        <c:spPr>
          <a:pattFill prst="ltUpDiag">
            <a:fgClr>
              <a:schemeClr val="accent1"/>
            </a:fgClr>
            <a:bgClr>
              <a:schemeClr val="lt1"/>
            </a:bgClr>
          </a:pattFill>
          <a:ln w="34925" cap="rnd">
            <a:solidFill>
              <a:schemeClr val="lt1"/>
            </a:solidFill>
            <a:round/>
          </a:ln>
          <a:effectLst>
            <a:glow rad="63500">
              <a:schemeClr val="accent5">
                <a:satMod val="175000"/>
                <a:alpha val="40000"/>
              </a:schemeClr>
            </a:glow>
          </a:effectLst>
        </c:spPr>
        <c:marker>
          <c:symbol val="circle"/>
          <c:size val="5"/>
          <c:spPr>
            <a:solidFill>
              <a:srgbClr val="002060"/>
            </a:solidFill>
            <a:ln w="44450">
              <a:solidFill>
                <a:srgbClr val="002060"/>
              </a:solidFill>
              <a:round/>
            </a:ln>
            <a:effectLst>
              <a:glow rad="63500">
                <a:schemeClr val="accent5">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94232890588396E-2"/>
          <c:y val="5.778258766558856E-2"/>
          <c:w val="0.86297891572493546"/>
          <c:h val="0.73725265641517235"/>
        </c:manualLayout>
      </c:layout>
      <c:lineChart>
        <c:grouping val="standard"/>
        <c:varyColors val="0"/>
        <c:ser>
          <c:idx val="0"/>
          <c:order val="0"/>
          <c:tx>
            <c:strRef>
              <c:f>'MASUK-WEEKLY'!$C$3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'MASUK-WEEKLY'!$B$4:$B$34</c:f>
              <c:multiLvlStrCache>
                <c:ptCount val="25"/>
                <c:lvl>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lvl>
                <c:lvl>
                  <c:pt idx="0">
                    <c:v>(01) JAN</c:v>
                  </c:pt>
                  <c:pt idx="5">
                    <c:v>(02) FEB</c:v>
                  </c:pt>
                  <c:pt idx="10">
                    <c:v>(03) MAR</c:v>
                  </c:pt>
                  <c:pt idx="15">
                    <c:v>(04) APR</c:v>
                  </c:pt>
                  <c:pt idx="20">
                    <c:v>(05) MEI</c:v>
                  </c:pt>
                </c:lvl>
              </c:multiLvlStrCache>
            </c:multiLvlStrRef>
          </c:cat>
          <c:val>
            <c:numRef>
              <c:f>'MASUK-WEEKLY'!$C$4:$C$34</c:f>
              <c:numCache>
                <c:formatCode>General</c:formatCode>
                <c:ptCount val="25"/>
                <c:pt idx="0">
                  <c:v>1248.4000000000001</c:v>
                </c:pt>
                <c:pt idx="1">
                  <c:v>3035</c:v>
                </c:pt>
                <c:pt idx="2">
                  <c:v>629.4</c:v>
                </c:pt>
                <c:pt idx="3">
                  <c:v>2858.5</c:v>
                </c:pt>
                <c:pt idx="4">
                  <c:v>1795</c:v>
                </c:pt>
                <c:pt idx="5">
                  <c:v>2456.5</c:v>
                </c:pt>
                <c:pt idx="6">
                  <c:v>279.3</c:v>
                </c:pt>
                <c:pt idx="7">
                  <c:v>3733.8</c:v>
                </c:pt>
                <c:pt idx="8">
                  <c:v>1498.2</c:v>
                </c:pt>
                <c:pt idx="9">
                  <c:v>0</c:v>
                </c:pt>
                <c:pt idx="10">
                  <c:v>1963.7</c:v>
                </c:pt>
                <c:pt idx="11">
                  <c:v>2489</c:v>
                </c:pt>
                <c:pt idx="12">
                  <c:v>2837</c:v>
                </c:pt>
                <c:pt idx="13">
                  <c:v>1789.8</c:v>
                </c:pt>
                <c:pt idx="14">
                  <c:v>197.5</c:v>
                </c:pt>
                <c:pt idx="15">
                  <c:v>2594.1</c:v>
                </c:pt>
                <c:pt idx="16">
                  <c:v>1541.8</c:v>
                </c:pt>
                <c:pt idx="17">
                  <c:v>1398.17</c:v>
                </c:pt>
                <c:pt idx="18">
                  <c:v>3054.5</c:v>
                </c:pt>
                <c:pt idx="19">
                  <c:v>1474.3</c:v>
                </c:pt>
                <c:pt idx="20">
                  <c:v>1717.8</c:v>
                </c:pt>
                <c:pt idx="21">
                  <c:v>595.20000000000005</c:v>
                </c:pt>
                <c:pt idx="22">
                  <c:v>731.4</c:v>
                </c:pt>
                <c:pt idx="23">
                  <c:v>636.29999999999995</c:v>
                </c:pt>
                <c:pt idx="24">
                  <c:v>90.8</c:v>
                </c:pt>
              </c:numCache>
            </c:numRef>
          </c:val>
          <c:smooth val="0"/>
          <c:extLst>
            <c:ext xmlns:c16="http://schemas.microsoft.com/office/drawing/2014/chart" uri="{C3380CC4-5D6E-409C-BE32-E72D297353CC}">
              <c16:uniqueId val="{00000000-EBF4-4887-A461-148574F1432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16949344"/>
        <c:axId val="1316948096"/>
      </c:lineChart>
      <c:catAx>
        <c:axId val="131694934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50" b="1" i="1" u="none" strike="noStrike" kern="1200" spc="100" baseline="0">
                <a:solidFill>
                  <a:schemeClr val="lt1"/>
                </a:solidFill>
                <a:latin typeface="+mn-lt"/>
                <a:ea typeface="+mn-ea"/>
                <a:cs typeface="+mn-cs"/>
              </a:defRPr>
            </a:pPr>
            <a:endParaRPr lang="en-US"/>
          </a:p>
        </c:txPr>
        <c:crossAx val="1316948096"/>
        <c:crosses val="autoZero"/>
        <c:auto val="1"/>
        <c:lblAlgn val="ctr"/>
        <c:lblOffset val="100"/>
        <c:noMultiLvlLbl val="0"/>
      </c:catAx>
      <c:valAx>
        <c:axId val="131694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1" u="none" strike="noStrike" kern="1200" baseline="0">
                <a:solidFill>
                  <a:schemeClr val="lt1"/>
                </a:solidFill>
                <a:latin typeface="+mn-lt"/>
                <a:ea typeface="+mn-ea"/>
                <a:cs typeface="+mn-cs"/>
              </a:defRPr>
            </a:pPr>
            <a:endParaRPr lang="en-US"/>
          </a:p>
        </c:txPr>
        <c:crossAx val="131694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PIVOT.xlsx]MASUK-WEEKLY!UBC-Total-Compare</c:name>
    <c:fmtId val="13"/>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'MASUK-WEEKLY'!$R$3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'MASUK-WEEKLY'!$Q$4:$Q$34</c:f>
              <c:multiLvlStrCache>
                <c:ptCount val="25"/>
                <c:lvl>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lvl>
                <c:lvl>
                  <c:pt idx="0">
                    <c:v>(01) JAN</c:v>
                  </c:pt>
                  <c:pt idx="5">
                    <c:v>(02) FEB</c:v>
                  </c:pt>
                  <c:pt idx="10">
                    <c:v>(03) MAR</c:v>
                  </c:pt>
                  <c:pt idx="15">
                    <c:v>(04) APR</c:v>
                  </c:pt>
                  <c:pt idx="20">
                    <c:v>(05) MEI</c:v>
                  </c:pt>
                </c:lvl>
              </c:multiLvlStrCache>
            </c:multiLvlStrRef>
          </c:cat>
          <c:val>
            <c:numRef>
              <c:f>'MASUK-WEEKLY'!$R$4:$R$34</c:f>
              <c:numCache>
                <c:formatCode>General</c:formatCode>
                <c:ptCount val="25"/>
                <c:pt idx="0">
                  <c:v>1248.4000000000001</c:v>
                </c:pt>
                <c:pt idx="1">
                  <c:v>3035</c:v>
                </c:pt>
                <c:pt idx="2">
                  <c:v>629.4</c:v>
                </c:pt>
                <c:pt idx="3">
                  <c:v>2858.5</c:v>
                </c:pt>
                <c:pt idx="4">
                  <c:v>1795</c:v>
                </c:pt>
                <c:pt idx="5">
                  <c:v>2456.5</c:v>
                </c:pt>
                <c:pt idx="6">
                  <c:v>279.3</c:v>
                </c:pt>
                <c:pt idx="7">
                  <c:v>3733.8</c:v>
                </c:pt>
                <c:pt idx="8">
                  <c:v>1498.2</c:v>
                </c:pt>
                <c:pt idx="9">
                  <c:v>0</c:v>
                </c:pt>
                <c:pt idx="10">
                  <c:v>1963.7</c:v>
                </c:pt>
                <c:pt idx="11">
                  <c:v>2489</c:v>
                </c:pt>
                <c:pt idx="12">
                  <c:v>2837</c:v>
                </c:pt>
                <c:pt idx="13">
                  <c:v>1789.8</c:v>
                </c:pt>
                <c:pt idx="14">
                  <c:v>197.5</c:v>
                </c:pt>
                <c:pt idx="15">
                  <c:v>2594.1</c:v>
                </c:pt>
                <c:pt idx="16">
                  <c:v>1541.8</c:v>
                </c:pt>
                <c:pt idx="17">
                  <c:v>1398.17</c:v>
                </c:pt>
                <c:pt idx="18">
                  <c:v>3054.5</c:v>
                </c:pt>
                <c:pt idx="19">
                  <c:v>1474.3</c:v>
                </c:pt>
                <c:pt idx="20">
                  <c:v>1717.8</c:v>
                </c:pt>
                <c:pt idx="21">
                  <c:v>595.20000000000005</c:v>
                </c:pt>
                <c:pt idx="22">
                  <c:v>731.4</c:v>
                </c:pt>
                <c:pt idx="23">
                  <c:v>636.29999999999995</c:v>
                </c:pt>
                <c:pt idx="24">
                  <c:v>90.8</c:v>
                </c:pt>
              </c:numCache>
            </c:numRef>
          </c:val>
          <c:smooth val="0"/>
          <c:extLst>
            <c:ext xmlns:c16="http://schemas.microsoft.com/office/drawing/2014/chart" uri="{C3380CC4-5D6E-409C-BE32-E72D297353CC}">
              <c16:uniqueId val="{00000000-A461-4369-8C27-F4E46123BE9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40912512"/>
        <c:axId val="1540912928"/>
      </c:lineChart>
      <c:catAx>
        <c:axId val="154091251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40912928"/>
        <c:crosses val="autoZero"/>
        <c:auto val="1"/>
        <c:lblAlgn val="ctr"/>
        <c:lblOffset val="100"/>
        <c:noMultiLvlLbl val="0"/>
      </c:catAx>
      <c:valAx>
        <c:axId val="154091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4091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'MASUK-TARGET'!$G$2</c:f>
              <c:strCache>
                <c:ptCount val="1"/>
                <c:pt idx="0">
                  <c:v>Target Bulanan</c:v>
                </c:pt>
              </c:strCache>
            </c:strRef>
          </c:tx>
          <c:spPr>
            <a:gradFill flip="none" rotWithShape="1">
              <a:gsLst>
                <a:gs pos="0">
                  <a:srgbClr val="8FA7BC"/>
                </a:gs>
                <a:gs pos="50000">
                  <a:srgbClr val="48648E"/>
                </a:gs>
                <a:gs pos="100000">
                  <a:srgbClr val="002060"/>
                </a:gs>
              </a:gsLst>
              <a:lin ang="16200000" scaled="1"/>
              <a:tileRect/>
            </a:gradFill>
            <a:ln w="12700">
              <a:solidFill>
                <a:schemeClr val="bg1"/>
              </a:solidFill>
              <a:prstDash val="sysDash"/>
            </a:ln>
            <a:effectLst/>
          </c:spPr>
          <c:invertIfNegative val="0"/>
          <c:cat>
            <c:strRef>
              <c:f>'MASUK-TARGET'!$E$3:$E$13</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'MASUK-TARGET'!$G$3:$G$13</c:f>
              <c:numCache>
                <c:formatCode>#,##0.0</c:formatCode>
                <c:ptCount val="11"/>
                <c:pt idx="0">
                  <c:v>279.47499999999997</c:v>
                </c:pt>
                <c:pt idx="1">
                  <c:v>79.466666666666669</c:v>
                </c:pt>
                <c:pt idx="2">
                  <c:v>1158.2</c:v>
                </c:pt>
                <c:pt idx="3">
                  <c:v>863.73333333333323</c:v>
                </c:pt>
                <c:pt idx="4">
                  <c:v>201.40833333333333</c:v>
                </c:pt>
                <c:pt idx="5">
                  <c:v>3712.4333333333329</c:v>
                </c:pt>
                <c:pt idx="6">
                  <c:v>11981.208333333334</c:v>
                </c:pt>
                <c:pt idx="7">
                  <c:v>64.774999999999991</c:v>
                </c:pt>
                <c:pt idx="8">
                  <c:v>878.97500000000002</c:v>
                </c:pt>
                <c:pt idx="9">
                  <c:v>391.43333333333334</c:v>
                </c:pt>
                <c:pt idx="10">
                  <c:v>1222.2250000000001</c:v>
                </c:pt>
              </c:numCache>
            </c:numRef>
          </c:val>
          <c:extLst>
            <c:ext xmlns:c16="http://schemas.microsoft.com/office/drawing/2014/chart" uri="{C3380CC4-5D6E-409C-BE32-E72D297353CC}">
              <c16:uniqueId val="{00000000-9288-44BB-82D9-24A7C161E35A}"/>
            </c:ext>
          </c:extLst>
        </c:ser>
        <c:ser>
          <c:idx val="1"/>
          <c:order val="1"/>
          <c:tx>
            <c:strRef>
              <c:f>'MASUK-TARGET'!$F$2</c:f>
              <c:strCache>
                <c:ptCount val="1"/>
                <c:pt idx="0">
                  <c:v> ∑ UBC (Kg)</c:v>
                </c:pt>
              </c:strCache>
            </c:strRef>
          </c:tx>
          <c:spPr>
            <a:solidFill>
              <a:schemeClr val="bg1">
                <a:alpha val="80000"/>
              </a:schemeClr>
            </a:solidFill>
            <a:ln w="12700">
              <a:solidFill>
                <a:schemeClr val="bg1"/>
              </a:solidFill>
            </a:ln>
            <a:effectLst/>
          </c:spPr>
          <c:invertIfNegative val="0"/>
          <c:cat>
            <c:strRef>
              <c:f>'MASUK-TARGET'!$E$3:$E$13</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'MASUK-TARGET'!$F$3:$F$13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9288-44BB-82D9-24A7C161E35A}"/>
            </c:ext>
          </c:extLst>
        </c:ser>
        <c:dLbls>
          <c:showLegendKey val="0"/>
          <c:showVal val="0"/>
          <c:showCatName val="0"/>
          <c:showSerName val="0"/>
          <c:showPercent val="0"/>
          <c:showBubbleSize val="0"/>
        </c:dLbls>
        <c:gapWidth val="40"/>
        <c:overlap val="100"/>
        <c:axId val="105740208"/>
        <c:axId val="105738544"/>
      </c:barChart>
      <c:catAx>
        <c:axId val="10574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738544"/>
        <c:crosses val="autoZero"/>
        <c:auto val="1"/>
        <c:lblAlgn val="ctr"/>
        <c:lblOffset val="100"/>
        <c:noMultiLvlLbl val="0"/>
      </c:catAx>
      <c:valAx>
        <c:axId val="1057385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74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B91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solidFill>
            <a:ln w="6350">
              <a:solidFill>
                <a:schemeClr val="bg1"/>
              </a:solidFill>
            </a:ln>
          </c:spPr>
          <c:dPt>
            <c:idx val="0"/>
            <c:bubble3D val="0"/>
            <c:spPr>
              <a:solidFill>
                <a:schemeClr val="bg1"/>
              </a:solidFill>
              <a:ln w="6350">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06C-4383-B411-765C18ACEAF8}"/>
              </c:ext>
            </c:extLst>
          </c:dPt>
          <c:dPt>
            <c:idx val="1"/>
            <c:bubble3D val="0"/>
            <c:spPr>
              <a:noFill/>
              <a:ln w="6350">
                <a:solidFill>
                  <a:schemeClr val="bg1"/>
                </a:solidFill>
              </a:ln>
              <a:effectLst/>
            </c:spPr>
            <c:extLst>
              <c:ext xmlns:c16="http://schemas.microsoft.com/office/drawing/2014/chart" uri="{C3380CC4-5D6E-409C-BE32-E72D297353CC}">
                <c16:uniqueId val="{00000002-ECBB-44AA-813A-89C7EC331815}"/>
              </c:ext>
            </c:extLst>
          </c:dPt>
          <c:dLbls>
            <c:delete val="1"/>
          </c:dLbls>
          <c:cat>
            <c:strRef>
              <c:f>'MASUK-TARGET'!$S$4:$S$5</c:f>
              <c:strCache>
                <c:ptCount val="2"/>
                <c:pt idx="0">
                  <c:v>Terkumpul</c:v>
                </c:pt>
                <c:pt idx="1">
                  <c:v>Belum</c:v>
                </c:pt>
              </c:strCache>
            </c:strRef>
          </c:cat>
          <c:val>
            <c:numRef>
              <c:f>'MASUK-TARGET'!$T$4:$T$5</c:f>
              <c:numCache>
                <c:formatCode>General</c:formatCode>
                <c:ptCount val="2"/>
                <c:pt idx="0">
                  <c:v>0</c:v>
                </c:pt>
                <c:pt idx="1">
                  <c:v>0</c:v>
                </c:pt>
              </c:numCache>
            </c:numRef>
          </c:val>
          <c:extLst>
            <c:ext xmlns:c16="http://schemas.microsoft.com/office/drawing/2014/chart" uri="{C3380CC4-5D6E-409C-BE32-E72D297353CC}">
              <c16:uniqueId val="{00000000-ECBB-44AA-813A-89C7EC331815}"/>
            </c:ext>
          </c:extLst>
        </c:ser>
        <c:dLbls>
          <c:showLegendKey val="0"/>
          <c:showVal val="0"/>
          <c:showCatName val="0"/>
          <c:showSerName val="0"/>
          <c:showPercent val="1"/>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B91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PIVOT.xlsx]MASUK-CATEGORY!Category-UBC Total</c:name>
    <c:fmtId val="16"/>
  </c:pivotSource>
  <c:chart>
    <c:autoTitleDeleted val="1"/>
    <c:pivotFmts>
      <c:pivotFmt>
        <c:idx val="0"/>
        <c:spPr>
          <a:solidFill>
            <a:schemeClr val="accent1"/>
          </a:solidFill>
          <a:ln>
            <a:noFill/>
          </a:ln>
          <a:effectLst>
            <a:outerShdw blurRad="50800" dist="38100" dir="5400000" algn="t" rotWithShape="0">
              <a:prstClr val="black">
                <a:alpha val="40000"/>
              </a:prstClr>
            </a:outerShd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6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50000">
                <a:srgbClr val="B37FD9"/>
              </a:gs>
              <a:gs pos="0">
                <a:srgbClr val="CCAAE6"/>
              </a:gs>
              <a:gs pos="100000">
                <a:srgbClr val="9954CC"/>
              </a:gs>
            </a:gsLst>
            <a:lin ang="10800000" scaled="1"/>
            <a:tileRect/>
          </a:gradFill>
          <a:ln>
            <a:noFill/>
          </a:ln>
          <a:effectLst>
            <a:outerShdw blurRad="50800" dist="38100" dir="5400000" algn="t" rotWithShape="0">
              <a:prstClr val="black">
                <a:alpha val="40000"/>
              </a:prstClr>
            </a:outerShdw>
          </a:effectLst>
        </c:spPr>
      </c:pivotFmt>
      <c:pivotFmt>
        <c:idx val="2"/>
        <c:spPr>
          <a:gradFill>
            <a:gsLst>
              <a:gs pos="50000">
                <a:srgbClr val="BFDDAB"/>
              </a:gs>
              <a:gs pos="0">
                <a:srgbClr val="D4E8C7"/>
              </a:gs>
              <a:gs pos="100000">
                <a:schemeClr val="accent6">
                  <a:lumMod val="60000"/>
                  <a:lumOff val="40000"/>
                </a:schemeClr>
              </a:gs>
            </a:gsLst>
            <a:lin ang="10800000" scaled="1"/>
          </a:gradFill>
          <a:ln>
            <a:noFill/>
          </a:ln>
          <a:effectLst>
            <a:outerShdw blurRad="50800" dist="38100" dir="5400000" algn="t" rotWithShape="0">
              <a:prstClr val="black">
                <a:alpha val="40000"/>
              </a:prstClr>
            </a:outerShdw>
          </a:effectLst>
        </c:spPr>
      </c:pivotFmt>
      <c:pivotFmt>
        <c:idx val="3"/>
        <c:spPr>
          <a:gradFill>
            <a:gsLst>
              <a:gs pos="50000">
                <a:srgbClr val="407558"/>
              </a:gs>
              <a:gs pos="0">
                <a:srgbClr val="80A390"/>
              </a:gs>
              <a:gs pos="100000">
                <a:srgbClr val="004620"/>
              </a:gs>
            </a:gsLst>
            <a:lin ang="10800000" scaled="1"/>
          </a:gradFill>
          <a:ln>
            <a:noFill/>
          </a:ln>
          <a:effectLst>
            <a:outerShdw blurRad="50800" dist="38100" dir="5400000" algn="t" rotWithShape="0">
              <a:prstClr val="black">
                <a:alpha val="40000"/>
              </a:prstClr>
            </a:outerShdw>
          </a:effectLst>
        </c:spPr>
      </c:pivotFmt>
      <c:pivotFmt>
        <c:idx val="4"/>
        <c:spPr>
          <a:gradFill>
            <a:gsLst>
              <a:gs pos="0">
                <a:srgbClr val="FF80DE"/>
              </a:gs>
              <a:gs pos="100000">
                <a:srgbClr val="FF01BC"/>
              </a:gs>
            </a:gsLst>
            <a:lin ang="10800000" scaled="1"/>
          </a:gradFill>
          <a:ln>
            <a:noFill/>
          </a:ln>
          <a:effectLst>
            <a:outerShdw blurRad="50800" dist="38100" dir="5400000" algn="t" rotWithShape="0">
              <a:prstClr val="black">
                <a:alpha val="40000"/>
              </a:prstClr>
            </a:outerShdw>
          </a:effectLst>
        </c:spPr>
      </c:pivotFmt>
      <c:pivotFmt>
        <c:idx val="5"/>
        <c:spPr>
          <a:gradFill>
            <a:gsLst>
              <a:gs pos="50000">
                <a:srgbClr val="D04040"/>
              </a:gs>
              <a:gs pos="0">
                <a:srgbClr val="E08080"/>
              </a:gs>
              <a:gs pos="100000">
                <a:srgbClr val="C00000"/>
              </a:gs>
            </a:gsLst>
            <a:lin ang="10800000" scaled="1"/>
          </a:gradFill>
          <a:ln>
            <a:noFill/>
          </a:ln>
          <a:effectLst>
            <a:outerShdw blurRad="50800" dist="38100" dir="5400000" algn="t" rotWithShape="0">
              <a:prstClr val="black">
                <a:alpha val="40000"/>
              </a:prstClr>
            </a:outerShdw>
          </a:effectLst>
        </c:spPr>
      </c:pivotFmt>
      <c:pivotFmt>
        <c:idx val="6"/>
        <c:spPr>
          <a:gradFill>
            <a:gsLst>
              <a:gs pos="50000">
                <a:srgbClr val="40C4F4"/>
              </a:gs>
              <a:gs pos="0">
                <a:srgbClr val="80D8F8"/>
              </a:gs>
              <a:gs pos="100000">
                <a:srgbClr val="00B0F0"/>
              </a:gs>
            </a:gsLst>
            <a:lin ang="10800000" scaled="1"/>
          </a:gradFill>
          <a:ln>
            <a:noFill/>
          </a:ln>
          <a:effectLst>
            <a:outerShdw blurRad="50800" dist="38100" dir="5400000" algn="t" rotWithShape="0">
              <a:prstClr val="black">
                <a:alpha val="40000"/>
              </a:prstClr>
            </a:outerShdw>
          </a:effectLst>
        </c:spPr>
      </c:pivotFmt>
      <c:pivotFmt>
        <c:idx val="7"/>
        <c:spPr>
          <a:gradFill>
            <a:gsLst>
              <a:gs pos="50000">
                <a:srgbClr val="40C47C"/>
              </a:gs>
              <a:gs pos="0">
                <a:srgbClr val="80D8A8"/>
              </a:gs>
              <a:gs pos="100000">
                <a:srgbClr val="00B050"/>
              </a:gs>
            </a:gsLst>
            <a:lin ang="10800000" scaled="1"/>
          </a:gradFill>
          <a:ln>
            <a:noFill/>
          </a:ln>
          <a:effectLst>
            <a:outerShdw blurRad="50800" dist="38100" dir="5400000" algn="t" rotWithShape="0">
              <a:prstClr val="black">
                <a:alpha val="40000"/>
              </a:prstClr>
            </a:outerShdw>
          </a:effectLst>
        </c:spPr>
      </c:pivotFmt>
      <c:pivotFmt>
        <c:idx val="8"/>
        <c:spPr>
          <a:gradFill>
            <a:gsLst>
              <a:gs pos="50000">
                <a:srgbClr val="BDBDBD"/>
              </a:gs>
              <a:gs pos="0">
                <a:srgbClr val="D3D3D3"/>
              </a:gs>
              <a:gs pos="100000">
                <a:schemeClr val="bg1">
                  <a:lumMod val="65000"/>
                </a:schemeClr>
              </a:gs>
            </a:gsLst>
            <a:lin ang="10800000" scaled="1"/>
          </a:gradFill>
          <a:ln>
            <a:noFill/>
          </a:ln>
          <a:effectLst>
            <a:outerShdw blurRad="50800" dist="38100" dir="5400000" algn="t" rotWithShape="0">
              <a:prstClr val="black">
                <a:alpha val="40000"/>
              </a:prstClr>
            </a:outerShdw>
          </a:effectLst>
        </c:spPr>
      </c:pivotFmt>
      <c:pivotFmt>
        <c:idx val="9"/>
        <c:spPr>
          <a:gradFill>
            <a:gsLst>
              <a:gs pos="50000">
                <a:srgbClr val="F29E65"/>
              </a:gs>
              <a:gs pos="0">
                <a:srgbClr val="F6BE98"/>
              </a:gs>
              <a:gs pos="100000">
                <a:schemeClr val="accent2"/>
              </a:gs>
            </a:gsLst>
            <a:lin ang="10800000" scaled="1"/>
          </a:gradFill>
          <a:ln>
            <a:noFill/>
          </a:ln>
          <a:effectLst>
            <a:outerShdw blurRad="50800" dist="38100" dir="5400000" algn="t" rotWithShape="0">
              <a:prstClr val="black">
                <a:alpha val="40000"/>
              </a:prstClr>
            </a:outerShdw>
          </a:effectLst>
        </c:spPr>
      </c:pivotFmt>
      <c:pivotFmt>
        <c:idx val="10"/>
        <c:spPr>
          <a:gradFill>
            <a:gsLst>
              <a:gs pos="50000">
                <a:srgbClr val="FFD040"/>
              </a:gs>
              <a:gs pos="0">
                <a:srgbClr val="FFE080"/>
              </a:gs>
              <a:gs pos="100000">
                <a:schemeClr val="accent4"/>
              </a:gs>
            </a:gsLst>
            <a:lin ang="10800000" scaled="1"/>
          </a:gradFill>
          <a:ln>
            <a:noFill/>
          </a:ln>
          <a:effectLst>
            <a:outerShdw blurRad="50800" dist="38100" dir="5400000" algn="t" rotWithShape="0">
              <a:prstClr val="black">
                <a:alpha val="40000"/>
              </a:prstClr>
            </a:outerShdw>
          </a:effectLst>
        </c:spPr>
      </c:pivotFmt>
      <c:pivotFmt>
        <c:idx val="11"/>
        <c:spPr>
          <a:solidFill>
            <a:schemeClr val="accent1"/>
          </a:solidFill>
          <a:ln>
            <a:noFill/>
          </a:ln>
          <a:effectLst>
            <a:outerShdw blurRad="50800" dist="38100" dir="5400000" algn="t" rotWithShape="0">
              <a:prstClr val="black">
                <a:alpha val="40000"/>
              </a:prstClr>
            </a:outerShd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6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50000">
                <a:srgbClr val="FFD040"/>
              </a:gs>
              <a:gs pos="0">
                <a:srgbClr val="FFE080"/>
              </a:gs>
              <a:gs pos="100000">
                <a:schemeClr val="accent4"/>
              </a:gs>
            </a:gsLst>
            <a:lin ang="10800000" scaled="1"/>
          </a:gradFill>
          <a:ln>
            <a:noFill/>
          </a:ln>
          <a:effectLst>
            <a:outerShdw blurRad="50800" dist="38100" dir="5400000" algn="t" rotWithShape="0">
              <a:prstClr val="black">
                <a:alpha val="40000"/>
              </a:prstClr>
            </a:outerShdw>
          </a:effectLst>
        </c:spPr>
      </c:pivotFmt>
      <c:pivotFmt>
        <c:idx val="13"/>
        <c:spPr>
          <a:gradFill>
            <a:gsLst>
              <a:gs pos="0">
                <a:srgbClr val="FF80DE"/>
              </a:gs>
              <a:gs pos="100000">
                <a:srgbClr val="FF01BC"/>
              </a:gs>
            </a:gsLst>
            <a:lin ang="10800000" scaled="1"/>
          </a:gradFill>
          <a:ln>
            <a:noFill/>
          </a:ln>
          <a:effectLst>
            <a:outerShdw blurRad="50800" dist="38100" dir="5400000" algn="t" rotWithShape="0">
              <a:prstClr val="black">
                <a:alpha val="40000"/>
              </a:prstClr>
            </a:outerShdw>
          </a:effectLst>
        </c:spPr>
      </c:pivotFmt>
      <c:pivotFmt>
        <c:idx val="14"/>
        <c:spPr>
          <a:gradFill>
            <a:gsLst>
              <a:gs pos="50000">
                <a:srgbClr val="407558"/>
              </a:gs>
              <a:gs pos="0">
                <a:srgbClr val="80A390"/>
              </a:gs>
              <a:gs pos="100000">
                <a:srgbClr val="004620"/>
              </a:gs>
            </a:gsLst>
            <a:lin ang="10800000" scaled="1"/>
          </a:gradFill>
          <a:ln>
            <a:noFill/>
          </a:ln>
          <a:effectLst>
            <a:outerShdw blurRad="50800" dist="38100" dir="5400000" algn="t" rotWithShape="0">
              <a:prstClr val="black">
                <a:alpha val="40000"/>
              </a:prstClr>
            </a:outerShdw>
          </a:effectLst>
        </c:spPr>
      </c:pivotFmt>
      <c:pivotFmt>
        <c:idx val="15"/>
        <c:spPr>
          <a:gradFill>
            <a:gsLst>
              <a:gs pos="50000">
                <a:srgbClr val="BDBDBD"/>
              </a:gs>
              <a:gs pos="0">
                <a:srgbClr val="D3D3D3"/>
              </a:gs>
              <a:gs pos="100000">
                <a:schemeClr val="bg1">
                  <a:lumMod val="65000"/>
                </a:schemeClr>
              </a:gs>
            </a:gsLst>
            <a:lin ang="10800000" scaled="1"/>
          </a:gradFill>
          <a:ln>
            <a:noFill/>
          </a:ln>
          <a:effectLst>
            <a:outerShdw blurRad="50800" dist="38100" dir="5400000" algn="t" rotWithShape="0">
              <a:prstClr val="black">
                <a:alpha val="40000"/>
              </a:prstClr>
            </a:outerShdw>
          </a:effectLst>
        </c:spPr>
      </c:pivotFmt>
      <c:pivotFmt>
        <c:idx val="16"/>
        <c:spPr>
          <a:gradFill>
            <a:gsLst>
              <a:gs pos="50000">
                <a:srgbClr val="BFDDAB"/>
              </a:gs>
              <a:gs pos="0">
                <a:srgbClr val="D4E8C7"/>
              </a:gs>
              <a:gs pos="100000">
                <a:schemeClr val="accent6">
                  <a:lumMod val="60000"/>
                  <a:lumOff val="40000"/>
                </a:schemeClr>
              </a:gs>
            </a:gsLst>
            <a:lin ang="10800000" scaled="1"/>
          </a:gradFill>
          <a:ln>
            <a:noFill/>
          </a:ln>
          <a:effectLst>
            <a:outerShdw blurRad="50800" dist="38100" dir="5400000" algn="t" rotWithShape="0">
              <a:prstClr val="black">
                <a:alpha val="40000"/>
              </a:prstClr>
            </a:outerShdw>
          </a:effectLst>
        </c:spPr>
      </c:pivotFmt>
      <c:pivotFmt>
        <c:idx val="17"/>
        <c:spPr>
          <a:gradFill flip="none" rotWithShape="1">
            <a:gsLst>
              <a:gs pos="50000">
                <a:srgbClr val="B37FD9"/>
              </a:gs>
              <a:gs pos="0">
                <a:srgbClr val="CCAAE6"/>
              </a:gs>
              <a:gs pos="100000">
                <a:srgbClr val="9954CC"/>
              </a:gs>
            </a:gsLst>
            <a:lin ang="10800000" scaled="1"/>
            <a:tileRect/>
          </a:gradFill>
          <a:ln>
            <a:noFill/>
          </a:ln>
          <a:effectLst>
            <a:outerShdw blurRad="50800" dist="38100" dir="5400000" algn="t" rotWithShape="0">
              <a:prstClr val="black">
                <a:alpha val="40000"/>
              </a:prstClr>
            </a:outerShdw>
          </a:effectLst>
        </c:spPr>
      </c:pivotFmt>
      <c:pivotFmt>
        <c:idx val="18"/>
        <c:spPr>
          <a:gradFill>
            <a:gsLst>
              <a:gs pos="50000">
                <a:srgbClr val="F29E65"/>
              </a:gs>
              <a:gs pos="0">
                <a:srgbClr val="F6BE98"/>
              </a:gs>
              <a:gs pos="100000">
                <a:schemeClr val="accent2"/>
              </a:gs>
            </a:gsLst>
            <a:lin ang="10800000" scaled="1"/>
          </a:gradFill>
          <a:ln>
            <a:noFill/>
          </a:ln>
          <a:effectLst>
            <a:outerShdw blurRad="50800" dist="38100" dir="5400000" algn="t" rotWithShape="0">
              <a:prstClr val="black">
                <a:alpha val="40000"/>
              </a:prstClr>
            </a:outerShdw>
          </a:effectLst>
        </c:spPr>
      </c:pivotFmt>
      <c:pivotFmt>
        <c:idx val="19"/>
        <c:spPr>
          <a:gradFill>
            <a:gsLst>
              <a:gs pos="50000">
                <a:srgbClr val="D04040"/>
              </a:gs>
              <a:gs pos="0">
                <a:srgbClr val="E08080"/>
              </a:gs>
              <a:gs pos="100000">
                <a:srgbClr val="C00000"/>
              </a:gs>
            </a:gsLst>
            <a:lin ang="10800000" scaled="1"/>
          </a:gradFill>
          <a:ln>
            <a:noFill/>
          </a:ln>
          <a:effectLst>
            <a:outerShdw blurRad="50800" dist="38100" dir="5400000" algn="t" rotWithShape="0">
              <a:prstClr val="black">
                <a:alpha val="40000"/>
              </a:prstClr>
            </a:outerShdw>
          </a:effectLst>
        </c:spPr>
      </c:pivotFmt>
      <c:pivotFmt>
        <c:idx val="20"/>
        <c:spPr>
          <a:gradFill>
            <a:gsLst>
              <a:gs pos="50000">
                <a:srgbClr val="40C47C"/>
              </a:gs>
              <a:gs pos="0">
                <a:srgbClr val="80D8A8"/>
              </a:gs>
              <a:gs pos="100000">
                <a:srgbClr val="00B050"/>
              </a:gs>
            </a:gsLst>
            <a:lin ang="10800000" scaled="1"/>
          </a:gradFill>
          <a:ln>
            <a:noFill/>
          </a:ln>
          <a:effectLst>
            <a:outerShdw blurRad="50800" dist="38100" dir="5400000" algn="t" rotWithShape="0">
              <a:prstClr val="black">
                <a:alpha val="40000"/>
              </a:prstClr>
            </a:outerShdw>
          </a:effectLst>
        </c:spPr>
      </c:pivotFmt>
      <c:pivotFmt>
        <c:idx val="21"/>
        <c:spPr>
          <a:gradFill>
            <a:gsLst>
              <a:gs pos="50000">
                <a:srgbClr val="40C4F4"/>
              </a:gs>
              <a:gs pos="0">
                <a:srgbClr val="80D8F8"/>
              </a:gs>
              <a:gs pos="100000">
                <a:srgbClr val="00B0F0"/>
              </a:gs>
            </a:gsLst>
            <a:lin ang="10800000" scaled="1"/>
          </a:gradFill>
          <a:ln>
            <a:noFill/>
          </a:ln>
          <a:effectLst>
            <a:outerShdw blurRad="50800" dist="38100" dir="5400000" algn="t" rotWithShape="0">
              <a:prstClr val="black">
                <a:alpha val="40000"/>
              </a:prstClr>
            </a:outerShdw>
          </a:effectLst>
        </c:spPr>
      </c:pivotFmt>
      <c:pivotFmt>
        <c:idx val="22"/>
        <c:spPr>
          <a:solidFill>
            <a:schemeClr val="accent1"/>
          </a:solidFill>
          <a:ln>
            <a:noFill/>
          </a:ln>
          <a:effectLst>
            <a:outerShdw blurRad="50800" dist="38100" dir="5400000" algn="t" rotWithShape="0">
              <a:prstClr val="black">
                <a:alpha val="40000"/>
              </a:prstClr>
            </a:outerShd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4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50000">
                <a:srgbClr val="FFD040"/>
              </a:gs>
              <a:gs pos="0">
                <a:srgbClr val="FFE080"/>
              </a:gs>
              <a:gs pos="100000">
                <a:schemeClr val="accent4"/>
              </a:gs>
            </a:gsLst>
            <a:lin ang="10800000" scaled="1"/>
          </a:gradFill>
          <a:ln>
            <a:noFill/>
          </a:ln>
          <a:effectLst>
            <a:outerShdw blurRad="50800" dist="38100" dir="5400000" algn="t" rotWithShape="0">
              <a:prstClr val="black">
                <a:alpha val="40000"/>
              </a:prstClr>
            </a:outerShdw>
          </a:effectLst>
        </c:spPr>
      </c:pivotFmt>
      <c:pivotFmt>
        <c:idx val="24"/>
        <c:spPr>
          <a:gradFill>
            <a:gsLst>
              <a:gs pos="0">
                <a:srgbClr val="FF80DE"/>
              </a:gs>
              <a:gs pos="100000">
                <a:srgbClr val="FF01BC"/>
              </a:gs>
            </a:gsLst>
            <a:lin ang="10800000" scaled="1"/>
          </a:gradFill>
          <a:ln>
            <a:noFill/>
          </a:ln>
          <a:effectLst>
            <a:outerShdw blurRad="50800" dist="38100" dir="5400000" algn="t" rotWithShape="0">
              <a:prstClr val="black">
                <a:alpha val="40000"/>
              </a:prstClr>
            </a:outerShdw>
          </a:effectLst>
        </c:spPr>
      </c:pivotFmt>
      <c:pivotFmt>
        <c:idx val="25"/>
        <c:spPr>
          <a:gradFill>
            <a:gsLst>
              <a:gs pos="50000">
                <a:srgbClr val="407558"/>
              </a:gs>
              <a:gs pos="0">
                <a:srgbClr val="80A390"/>
              </a:gs>
              <a:gs pos="100000">
                <a:srgbClr val="004620"/>
              </a:gs>
            </a:gsLst>
            <a:lin ang="10800000" scaled="1"/>
          </a:gradFill>
          <a:ln>
            <a:noFill/>
          </a:ln>
          <a:effectLst>
            <a:outerShdw blurRad="50800" dist="38100" dir="5400000" algn="t" rotWithShape="0">
              <a:prstClr val="black">
                <a:alpha val="40000"/>
              </a:prstClr>
            </a:outerShdw>
          </a:effectLst>
        </c:spPr>
      </c:pivotFmt>
      <c:pivotFmt>
        <c:idx val="26"/>
        <c:spPr>
          <a:gradFill>
            <a:gsLst>
              <a:gs pos="50000">
                <a:srgbClr val="BDBDBD"/>
              </a:gs>
              <a:gs pos="0">
                <a:srgbClr val="D3D3D3"/>
              </a:gs>
              <a:gs pos="100000">
                <a:schemeClr val="bg1">
                  <a:lumMod val="65000"/>
                </a:schemeClr>
              </a:gs>
            </a:gsLst>
            <a:lin ang="10800000" scaled="1"/>
          </a:gradFill>
          <a:ln>
            <a:noFill/>
          </a:ln>
          <a:effectLst>
            <a:outerShdw blurRad="50800" dist="38100" dir="5400000" algn="t" rotWithShape="0">
              <a:prstClr val="black">
                <a:alpha val="40000"/>
              </a:prstClr>
            </a:outerShdw>
          </a:effectLst>
        </c:spPr>
      </c:pivotFmt>
      <c:pivotFmt>
        <c:idx val="27"/>
        <c:spPr>
          <a:gradFill>
            <a:gsLst>
              <a:gs pos="50000">
                <a:srgbClr val="BFDDAB"/>
              </a:gs>
              <a:gs pos="0">
                <a:srgbClr val="D4E8C7"/>
              </a:gs>
              <a:gs pos="100000">
                <a:schemeClr val="accent6">
                  <a:lumMod val="60000"/>
                  <a:lumOff val="40000"/>
                </a:schemeClr>
              </a:gs>
            </a:gsLst>
            <a:lin ang="10800000" scaled="1"/>
          </a:gradFill>
          <a:ln>
            <a:noFill/>
          </a:ln>
          <a:effectLst>
            <a:outerShdw blurRad="50800" dist="38100" dir="5400000" algn="t" rotWithShape="0">
              <a:prstClr val="black">
                <a:alpha val="40000"/>
              </a:prstClr>
            </a:outerShdw>
          </a:effectLst>
        </c:spPr>
      </c:pivotFmt>
      <c:pivotFmt>
        <c:idx val="28"/>
        <c:spPr>
          <a:gradFill flip="none" rotWithShape="1">
            <a:gsLst>
              <a:gs pos="50000">
                <a:srgbClr val="B37FD9"/>
              </a:gs>
              <a:gs pos="0">
                <a:srgbClr val="CCAAE6"/>
              </a:gs>
              <a:gs pos="100000">
                <a:srgbClr val="9954CC"/>
              </a:gs>
            </a:gsLst>
            <a:lin ang="10800000" scaled="1"/>
            <a:tileRect/>
          </a:gradFill>
          <a:ln>
            <a:noFill/>
          </a:ln>
          <a:effectLst>
            <a:outerShdw blurRad="50800" dist="38100" dir="5400000" algn="t" rotWithShape="0">
              <a:prstClr val="black">
                <a:alpha val="40000"/>
              </a:prstClr>
            </a:outerShdw>
          </a:effectLst>
        </c:spPr>
      </c:pivotFmt>
      <c:pivotFmt>
        <c:idx val="29"/>
        <c:spPr>
          <a:gradFill>
            <a:gsLst>
              <a:gs pos="50000">
                <a:srgbClr val="F29E65"/>
              </a:gs>
              <a:gs pos="0">
                <a:srgbClr val="F6BE98"/>
              </a:gs>
              <a:gs pos="100000">
                <a:schemeClr val="accent2"/>
              </a:gs>
            </a:gsLst>
            <a:lin ang="10800000" scaled="1"/>
          </a:gradFill>
          <a:ln>
            <a:noFill/>
          </a:ln>
          <a:effectLst>
            <a:outerShdw blurRad="50800" dist="38100" dir="5400000" algn="t" rotWithShape="0">
              <a:prstClr val="black">
                <a:alpha val="40000"/>
              </a:prstClr>
            </a:outerShdw>
          </a:effectLst>
        </c:spPr>
      </c:pivotFmt>
      <c:pivotFmt>
        <c:idx val="30"/>
        <c:spPr>
          <a:gradFill>
            <a:gsLst>
              <a:gs pos="50000">
                <a:srgbClr val="D04040"/>
              </a:gs>
              <a:gs pos="0">
                <a:srgbClr val="E08080"/>
              </a:gs>
              <a:gs pos="100000">
                <a:srgbClr val="C00000"/>
              </a:gs>
            </a:gsLst>
            <a:lin ang="10800000" scaled="1"/>
          </a:gradFill>
          <a:ln>
            <a:noFill/>
          </a:ln>
          <a:effectLst>
            <a:outerShdw blurRad="50800" dist="38100" dir="5400000" algn="t" rotWithShape="0">
              <a:prstClr val="black">
                <a:alpha val="40000"/>
              </a:prstClr>
            </a:outerShdw>
          </a:effectLst>
        </c:spPr>
      </c:pivotFmt>
      <c:pivotFmt>
        <c:idx val="31"/>
        <c:spPr>
          <a:gradFill>
            <a:gsLst>
              <a:gs pos="50000">
                <a:srgbClr val="40C47C"/>
              </a:gs>
              <a:gs pos="0">
                <a:srgbClr val="80D8A8"/>
              </a:gs>
              <a:gs pos="100000">
                <a:srgbClr val="00B050"/>
              </a:gs>
            </a:gsLst>
            <a:lin ang="10800000" scaled="1"/>
          </a:gradFill>
          <a:ln>
            <a:noFill/>
          </a:ln>
          <a:effectLst>
            <a:outerShdw blurRad="50800" dist="38100" dir="5400000" algn="t" rotWithShape="0">
              <a:prstClr val="black">
                <a:alpha val="40000"/>
              </a:prstClr>
            </a:outerShdw>
          </a:effectLst>
        </c:spPr>
      </c:pivotFmt>
      <c:pivotFmt>
        <c:idx val="32"/>
        <c:spPr>
          <a:gradFill>
            <a:gsLst>
              <a:gs pos="50000">
                <a:srgbClr val="40C4F4"/>
              </a:gs>
              <a:gs pos="0">
                <a:srgbClr val="80D8F8"/>
              </a:gs>
              <a:gs pos="100000">
                <a:srgbClr val="00B0F0"/>
              </a:gs>
            </a:gsLst>
            <a:lin ang="10800000" scaled="1"/>
          </a:gradFill>
          <a:ln>
            <a:noFill/>
          </a:ln>
          <a:effectLst>
            <a:outerShdw blurRad="50800" dist="38100" dir="5400000" algn="t" rotWithShape="0">
              <a:prstClr val="black">
                <a:alpha val="40000"/>
              </a:prstClr>
            </a:outerShdw>
          </a:effectLst>
        </c:spPr>
      </c:pivotFmt>
      <c:pivotFmt>
        <c:idx val="33"/>
        <c:spPr>
          <a:solidFill>
            <a:schemeClr val="accent1"/>
          </a:solidFill>
          <a:ln>
            <a:noFill/>
          </a:ln>
          <a:effectLst>
            <a:outerShdw blurRad="50800" dist="38100" dir="5400000" algn="t" rotWithShape="0">
              <a:prstClr val="black">
                <a:alpha val="40000"/>
              </a:prstClr>
            </a:outerShdw>
          </a:effectLst>
        </c:spPr>
      </c:pivotFmt>
      <c:pivotFmt>
        <c:idx val="34"/>
        <c:spPr>
          <a:solidFill>
            <a:schemeClr val="accent1"/>
          </a:solidFill>
          <a:ln>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0">
                <a:srgbClr val="80D8F8"/>
              </a:gs>
              <a:gs pos="100000">
                <a:srgbClr val="00B0F0"/>
              </a:gs>
            </a:gsLst>
            <a:lin ang="10800000" scaled="1"/>
          </a:gradFill>
          <a:ln>
            <a:noFill/>
          </a:ln>
          <a:effectLst>
            <a:outerShdw blurRad="50800" dist="38100" algn="l" rotWithShape="0">
              <a:prstClr val="black">
                <a:alpha val="40000"/>
              </a:prstClr>
            </a:outerShdw>
          </a:effectLst>
        </c:spPr>
      </c:pivotFmt>
      <c:pivotFmt>
        <c:idx val="36"/>
        <c:spPr>
          <a:gradFill>
            <a:gsLst>
              <a:gs pos="0">
                <a:schemeClr val="bg1"/>
              </a:gs>
              <a:gs pos="0">
                <a:srgbClr val="80D8A8"/>
              </a:gs>
              <a:gs pos="50000">
                <a:srgbClr val="80D8A8"/>
              </a:gs>
              <a:gs pos="100000">
                <a:srgbClr val="00B050"/>
              </a:gs>
            </a:gsLst>
            <a:lin ang="10800000" scaled="1"/>
          </a:gradFill>
          <a:ln>
            <a:noFill/>
          </a:ln>
          <a:effectLst>
            <a:outerShdw blurRad="50800" dist="38100" algn="l" rotWithShape="0">
              <a:prstClr val="black">
                <a:alpha val="40000"/>
              </a:prstClr>
            </a:outerShdw>
          </a:effectLst>
        </c:spPr>
      </c:pivotFmt>
      <c:pivotFmt>
        <c:idx val="37"/>
        <c:spPr>
          <a:gradFill>
            <a:gsLst>
              <a:gs pos="0">
                <a:schemeClr val="bg1"/>
              </a:gs>
              <a:gs pos="0">
                <a:srgbClr val="E08080"/>
              </a:gs>
              <a:gs pos="100000">
                <a:srgbClr val="C00000"/>
              </a:gs>
            </a:gsLst>
            <a:lin ang="10800000" scaled="1"/>
          </a:gradFill>
          <a:ln>
            <a:noFill/>
          </a:ln>
          <a:effectLst>
            <a:outerShdw blurRad="50800" dist="38100" algn="l" rotWithShape="0">
              <a:prstClr val="black">
                <a:alpha val="40000"/>
              </a:prstClr>
            </a:outerShdw>
          </a:effectLst>
        </c:spPr>
      </c:pivotFmt>
      <c:pivotFmt>
        <c:idx val="38"/>
        <c:spPr>
          <a:gradFill>
            <a:gsLst>
              <a:gs pos="0">
                <a:schemeClr val="bg1"/>
              </a:gs>
              <a:gs pos="0">
                <a:srgbClr val="B888DC"/>
              </a:gs>
              <a:gs pos="100000">
                <a:srgbClr val="7030A0"/>
              </a:gs>
            </a:gsLst>
            <a:lin ang="10800000" scaled="1"/>
          </a:gradFill>
          <a:ln>
            <a:noFill/>
          </a:ln>
          <a:effectLst>
            <a:outerShdw blurRad="50800" dist="38100" algn="l" rotWithShape="0">
              <a:prstClr val="black">
                <a:alpha val="40000"/>
              </a:prstClr>
            </a:outerShdw>
          </a:effectLst>
        </c:spPr>
      </c:pivotFmt>
      <c:pivotFmt>
        <c:idx val="39"/>
        <c:spPr>
          <a:gradFill>
            <a:gsLst>
              <a:gs pos="0">
                <a:schemeClr val="bg1"/>
              </a:gs>
              <a:gs pos="0">
                <a:schemeClr val="bg1"/>
              </a:gs>
              <a:gs pos="0">
                <a:srgbClr val="C9E8A8"/>
              </a:gs>
              <a:gs pos="100000">
                <a:srgbClr val="92D050"/>
              </a:gs>
            </a:gsLst>
            <a:lin ang="10800000" scaled="1"/>
          </a:gradFill>
          <a:ln>
            <a:noFill/>
          </a:ln>
          <a:effectLst>
            <a:outerShdw blurRad="50800" dist="38100" algn="l" rotWithShape="0">
              <a:prstClr val="black">
                <a:alpha val="40000"/>
              </a:prstClr>
            </a:outerShdw>
          </a:effectLst>
        </c:spPr>
      </c:pivotFmt>
      <c:pivotFmt>
        <c:idx val="40"/>
        <c:spPr>
          <a:gradFill>
            <a:gsLst>
              <a:gs pos="0">
                <a:schemeClr val="bg1"/>
              </a:gs>
              <a:gs pos="0">
                <a:srgbClr val="80A390"/>
              </a:gs>
              <a:gs pos="100000">
                <a:srgbClr val="004620"/>
              </a:gs>
            </a:gsLst>
            <a:lin ang="10800000" scaled="1"/>
          </a:gradFill>
          <a:ln>
            <a:noFill/>
          </a:ln>
          <a:effectLst>
            <a:outerShdw blurRad="50800" dist="38100" algn="l" rotWithShape="0">
              <a:prstClr val="black">
                <a:alpha val="40000"/>
              </a:prstClr>
            </a:outerShdw>
          </a:effectLst>
        </c:spPr>
      </c:pivotFmt>
      <c:pivotFmt>
        <c:idx val="41"/>
        <c:spPr>
          <a:gradFill>
            <a:gsLst>
              <a:gs pos="0">
                <a:schemeClr val="bg1"/>
              </a:gs>
              <a:gs pos="0">
                <a:srgbClr val="FF80DE"/>
              </a:gs>
              <a:gs pos="100000">
                <a:srgbClr val="FF01BC"/>
              </a:gs>
            </a:gsLst>
            <a:lin ang="10800000" scaled="1"/>
          </a:gradFill>
          <a:ln>
            <a:noFill/>
          </a:ln>
          <a:effectLst>
            <a:outerShdw blurRad="50800" dist="38100" algn="l" rotWithShape="0">
              <a:prstClr val="black">
                <a:alpha val="40000"/>
              </a:prstClr>
            </a:outerShdw>
          </a:effectLst>
        </c:spPr>
      </c:pivotFmt>
      <c:pivotFmt>
        <c:idx val="42"/>
        <c:spPr>
          <a:gradFill>
            <a:gsLst>
              <a:gs pos="0">
                <a:schemeClr val="accent1">
                  <a:lumMod val="5000"/>
                  <a:lumOff val="95000"/>
                </a:schemeClr>
              </a:gs>
              <a:gs pos="0">
                <a:srgbClr val="DEA987"/>
              </a:gs>
              <a:gs pos="100000">
                <a:schemeClr val="accent2"/>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algn="l" rotWithShape="0">
              <a:prstClr val="black">
                <a:alpha val="40000"/>
              </a:prstClr>
            </a:outerShdw>
          </a:effectLst>
        </c:spPr>
      </c:pivotFmt>
      <c:pivotFmt>
        <c:idx val="43"/>
        <c:spPr>
          <a:gradFill>
            <a:gsLst>
              <a:gs pos="0">
                <a:schemeClr val="bg1"/>
              </a:gs>
              <a:gs pos="0">
                <a:srgbClr val="FFECB3"/>
              </a:gs>
              <a:gs pos="100000">
                <a:schemeClr val="accent4">
                  <a:lumMod val="60000"/>
                  <a:lumOff val="40000"/>
                </a:schemeClr>
              </a:gs>
            </a:gsLst>
            <a:lin ang="10800000" scaled="1"/>
          </a:gradFill>
          <a:ln>
            <a:noFill/>
          </a:ln>
          <a:effectLst>
            <a:outerShdw blurRad="50800" dist="38100" algn="l" rotWithShape="0">
              <a:prstClr val="black">
                <a:alpha val="40000"/>
              </a:prstClr>
            </a:outerShdw>
          </a:effectLst>
        </c:spPr>
      </c:pivotFmt>
      <c:pivotFmt>
        <c:idx val="44"/>
        <c:spPr>
          <a:gradFill>
            <a:gsLst>
              <a:gs pos="0">
                <a:schemeClr val="bg1"/>
              </a:gs>
              <a:gs pos="0">
                <a:srgbClr val="FFECB3"/>
              </a:gs>
              <a:gs pos="100000">
                <a:srgbClr val="FFC000"/>
              </a:gs>
            </a:gsLst>
            <a:lin ang="10800000" scaled="1"/>
          </a:gradFill>
          <a:ln>
            <a:noFill/>
          </a:ln>
          <a:effectLst>
            <a:outerShdw blurRad="50800" dist="38100" algn="l" rotWithShape="0">
              <a:prstClr val="black">
                <a:alpha val="40000"/>
              </a:prstClr>
            </a:outerShdw>
          </a:effectLst>
        </c:spPr>
      </c:pivotFmt>
      <c:pivotFmt>
        <c:idx val="45"/>
        <c:spPr>
          <a:gradFill>
            <a:gsLst>
              <a:gs pos="0">
                <a:schemeClr val="bg1"/>
              </a:gs>
              <a:gs pos="0">
                <a:schemeClr val="bg1">
                  <a:lumMod val="95000"/>
                </a:schemeClr>
              </a:gs>
              <a:gs pos="100000">
                <a:schemeClr val="bg1">
                  <a:lumMod val="50000"/>
                </a:schemeClr>
              </a:gs>
            </a:gsLst>
            <a:lin ang="10800000" scaled="1"/>
          </a:gradFill>
          <a:ln>
            <a:noFill/>
          </a:ln>
          <a:effectLst>
            <a:outerShdw blurRad="50800" dist="38100" algn="l" rotWithShape="0">
              <a:prstClr val="black">
                <a:alpha val="40000"/>
              </a:prstClr>
            </a:outerShdw>
          </a:effectLst>
        </c:spPr>
      </c:pivotFmt>
    </c:pivotFmts>
    <c:plotArea>
      <c:layout>
        <c:manualLayout>
          <c:layoutTarget val="inner"/>
          <c:xMode val="edge"/>
          <c:yMode val="edge"/>
          <c:x val="0.2044912341758385"/>
          <c:y val="2.1317829457364341E-2"/>
          <c:w val="0.69020417337335593"/>
          <c:h val="0.92293261307452845"/>
        </c:manualLayout>
      </c:layout>
      <c:barChart>
        <c:barDir val="bar"/>
        <c:grouping val="clustered"/>
        <c:varyColors val="0"/>
        <c:ser>
          <c:idx val="0"/>
          <c:order val="0"/>
          <c:tx>
            <c:strRef>
              <c:f>'MASUK-CATEGORY'!$M$3</c:f>
              <c:strCache>
                <c:ptCount val="1"/>
                <c:pt idx="0">
                  <c:v>Total</c:v>
                </c:pt>
              </c:strCache>
            </c:strRef>
          </c:tx>
          <c:spPr>
            <a:solidFill>
              <a:schemeClr val="accent1"/>
            </a:solidFill>
            <a:ln>
              <a:noFill/>
            </a:ln>
            <a:effectLst>
              <a:outerShdw blurRad="50800" dist="38100" algn="l" rotWithShape="0">
                <a:prstClr val="black">
                  <a:alpha val="40000"/>
                </a:prstClr>
              </a:outerShdw>
            </a:effectLst>
          </c:spPr>
          <c:invertIfNegative val="0"/>
          <c:dPt>
            <c:idx val="0"/>
            <c:invertIfNegative val="0"/>
            <c:bubble3D val="0"/>
            <c:spPr>
              <a:gradFill>
                <a:gsLst>
                  <a:gs pos="0">
                    <a:schemeClr val="bg1"/>
                  </a:gs>
                  <a:gs pos="0">
                    <a:srgbClr val="FFECB3"/>
                  </a:gs>
                  <a:gs pos="100000">
                    <a:srgbClr val="FFC000"/>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1-F00F-4957-B8F9-AA6A4371B950}"/>
              </c:ext>
            </c:extLst>
          </c:dPt>
          <c:dPt>
            <c:idx val="1"/>
            <c:invertIfNegative val="0"/>
            <c:bubble3D val="0"/>
            <c:spPr>
              <a:gradFill>
                <a:gsLst>
                  <a:gs pos="0">
                    <a:schemeClr val="bg1"/>
                  </a:gs>
                  <a:gs pos="0">
                    <a:srgbClr val="FFECB3"/>
                  </a:gs>
                  <a:gs pos="100000">
                    <a:schemeClr val="accent4">
                      <a:lumMod val="60000"/>
                      <a:lumOff val="40000"/>
                    </a:schemeClr>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3-F00F-4957-B8F9-AA6A4371B950}"/>
              </c:ext>
            </c:extLst>
          </c:dPt>
          <c:dPt>
            <c:idx val="2"/>
            <c:invertIfNegative val="0"/>
            <c:bubble3D val="0"/>
            <c:spPr>
              <a:gradFill>
                <a:gsLst>
                  <a:gs pos="0">
                    <a:schemeClr val="bg1"/>
                  </a:gs>
                  <a:gs pos="0">
                    <a:srgbClr val="FF80DE"/>
                  </a:gs>
                  <a:gs pos="100000">
                    <a:srgbClr val="FF01BC"/>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5-F00F-4957-B8F9-AA6A4371B950}"/>
              </c:ext>
            </c:extLst>
          </c:dPt>
          <c:dPt>
            <c:idx val="3"/>
            <c:invertIfNegative val="0"/>
            <c:bubble3D val="0"/>
            <c:spPr>
              <a:gradFill>
                <a:gsLst>
                  <a:gs pos="0">
                    <a:schemeClr val="bg1"/>
                  </a:gs>
                  <a:gs pos="0">
                    <a:srgbClr val="80A390"/>
                  </a:gs>
                  <a:gs pos="100000">
                    <a:srgbClr val="004620"/>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7-F00F-4957-B8F9-AA6A4371B950}"/>
              </c:ext>
            </c:extLst>
          </c:dPt>
          <c:dPt>
            <c:idx val="4"/>
            <c:invertIfNegative val="0"/>
            <c:bubble3D val="0"/>
            <c:spPr>
              <a:gradFill>
                <a:gsLst>
                  <a:gs pos="0">
                    <a:schemeClr val="bg1"/>
                  </a:gs>
                  <a:gs pos="0">
                    <a:schemeClr val="bg1">
                      <a:lumMod val="95000"/>
                    </a:schemeClr>
                  </a:gs>
                  <a:gs pos="100000">
                    <a:schemeClr val="bg1">
                      <a:lumMod val="50000"/>
                    </a:schemeClr>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9-F00F-4957-B8F9-AA6A4371B950}"/>
              </c:ext>
            </c:extLst>
          </c:dPt>
          <c:dPt>
            <c:idx val="5"/>
            <c:invertIfNegative val="0"/>
            <c:bubble3D val="0"/>
            <c:spPr>
              <a:gradFill>
                <a:gsLst>
                  <a:gs pos="0">
                    <a:schemeClr val="bg1"/>
                  </a:gs>
                  <a:gs pos="0">
                    <a:schemeClr val="bg1"/>
                  </a:gs>
                  <a:gs pos="0">
                    <a:srgbClr val="C9E8A8"/>
                  </a:gs>
                  <a:gs pos="100000">
                    <a:srgbClr val="92D050"/>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B-F00F-4957-B8F9-AA6A4371B950}"/>
              </c:ext>
            </c:extLst>
          </c:dPt>
          <c:dPt>
            <c:idx val="6"/>
            <c:invertIfNegative val="0"/>
            <c:bubble3D val="0"/>
            <c:spPr>
              <a:gradFill>
                <a:gsLst>
                  <a:gs pos="0">
                    <a:schemeClr val="bg1"/>
                  </a:gs>
                  <a:gs pos="0">
                    <a:srgbClr val="B888DC"/>
                  </a:gs>
                  <a:gs pos="100000">
                    <a:srgbClr val="7030A0"/>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D-F00F-4957-B8F9-AA6A4371B950}"/>
              </c:ext>
            </c:extLst>
          </c:dPt>
          <c:dPt>
            <c:idx val="7"/>
            <c:invertIfNegative val="0"/>
            <c:bubble3D val="0"/>
            <c:spPr>
              <a:gradFill>
                <a:gsLst>
                  <a:gs pos="0">
                    <a:schemeClr val="accent1">
                      <a:lumMod val="5000"/>
                      <a:lumOff val="95000"/>
                    </a:schemeClr>
                  </a:gs>
                  <a:gs pos="0">
                    <a:srgbClr val="DEA987"/>
                  </a:gs>
                  <a:gs pos="100000">
                    <a:schemeClr val="accent2"/>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algn="l" rotWithShape="0">
                  <a:prstClr val="black">
                    <a:alpha val="40000"/>
                  </a:prstClr>
                </a:outerShdw>
              </a:effectLst>
            </c:spPr>
            <c:extLst>
              <c:ext xmlns:c16="http://schemas.microsoft.com/office/drawing/2014/chart" uri="{C3380CC4-5D6E-409C-BE32-E72D297353CC}">
                <c16:uniqueId val="{0000000F-F00F-4957-B8F9-AA6A4371B950}"/>
              </c:ext>
            </c:extLst>
          </c:dPt>
          <c:dPt>
            <c:idx val="8"/>
            <c:invertIfNegative val="0"/>
            <c:bubble3D val="0"/>
            <c:spPr>
              <a:gradFill>
                <a:gsLst>
                  <a:gs pos="0">
                    <a:schemeClr val="bg1"/>
                  </a:gs>
                  <a:gs pos="0">
                    <a:srgbClr val="E08080"/>
                  </a:gs>
                  <a:gs pos="100000">
                    <a:srgbClr val="C00000"/>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11-F00F-4957-B8F9-AA6A4371B950}"/>
              </c:ext>
            </c:extLst>
          </c:dPt>
          <c:dPt>
            <c:idx val="9"/>
            <c:invertIfNegative val="0"/>
            <c:bubble3D val="0"/>
            <c:spPr>
              <a:gradFill>
                <a:gsLst>
                  <a:gs pos="0">
                    <a:schemeClr val="bg1"/>
                  </a:gs>
                  <a:gs pos="0">
                    <a:srgbClr val="80D8A8"/>
                  </a:gs>
                  <a:gs pos="50000">
                    <a:srgbClr val="80D8A8"/>
                  </a:gs>
                  <a:gs pos="100000">
                    <a:srgbClr val="00B050"/>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13-F00F-4957-B8F9-AA6A4371B950}"/>
              </c:ext>
            </c:extLst>
          </c:dPt>
          <c:dPt>
            <c:idx val="10"/>
            <c:invertIfNegative val="0"/>
            <c:bubble3D val="0"/>
            <c:spPr>
              <a:gradFill>
                <a:gsLst>
                  <a:gs pos="0">
                    <a:srgbClr val="80D8F8"/>
                  </a:gs>
                  <a:gs pos="100000">
                    <a:srgbClr val="00B0F0"/>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15-F00F-4957-B8F9-AA6A4371B950}"/>
              </c:ext>
            </c:extLst>
          </c:dPt>
          <c:dLbls>
            <c:spPr>
              <a:noFill/>
              <a:ln>
                <a:noFill/>
              </a:ln>
              <a:effectLst/>
            </c:spPr>
            <c:txPr>
              <a:bodyPr rot="0" spcFirstLastPara="1" vertOverflow="ellipsis" vert="horz" wrap="square" lIns="38100" tIns="19050" rIns="38100" bIns="19050" anchor="ctr" anchorCtr="1">
                <a:spAutoFit/>
              </a:bodyPr>
              <a:lstStyle/>
              <a:p>
                <a:pPr>
                  <a:defRPr sz="18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'MASUK-CATEGORY'!$L$4:$L$15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'MASUK-CATEGORY'!$M$4:$M$15</c:f>
              <c:numCache>
                <c:formatCode>General</c:formatCode>
                <c:ptCount val="11"/>
                <c:pt idx="0">
                  <c:v>277.5</c:v>
                </c:pt>
                <c:pt idx="1">
                  <c:v>148.9</c:v>
                </c:pt>
                <c:pt idx="2">
                  <c:v>3541.6</c:v>
                </c:pt>
                <c:pt idx="3">
                  <c:v>2217.1999999999998</c:v>
                </c:pt>
                <c:pt idx="4">
                  <c:v>21.9</c:v>
                </c:pt>
                <c:pt idx="5">
                  <c:v>4332</c:v>
                </c:pt>
                <c:pt idx="6">
                  <c:v>26723</c:v>
                </c:pt>
                <c:pt idx="7">
                  <c:v>117.5</c:v>
                </c:pt>
                <c:pt idx="8">
                  <c:v>1475</c:v>
                </c:pt>
                <c:pt idx="9">
                  <c:v>372.87</c:v>
                </c:pt>
                <c:pt idx="10">
                  <c:v>1418</c:v>
                </c:pt>
              </c:numCache>
            </c:numRef>
          </c:val>
          <c:extLst>
            <c:ext xmlns:c16="http://schemas.microsoft.com/office/drawing/2014/chart" uri="{C3380CC4-5D6E-409C-BE32-E72D297353CC}">
              <c16:uniqueId val="{00000017-F072-47E7-B227-D06F3C5A186F}"/>
            </c:ext>
          </c:extLst>
        </c:ser>
        <c:dLbls>
          <c:showLegendKey val="0"/>
          <c:showVal val="0"/>
          <c:showCatName val="0"/>
          <c:showSerName val="0"/>
          <c:showPercent val="0"/>
          <c:showBubbleSize val="0"/>
        </c:dLbls>
        <c:gapWidth val="30"/>
        <c:axId val="570543775"/>
        <c:axId val="570545855"/>
      </c:barChart>
      <c:catAx>
        <c:axId val="57054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1" u="none" strike="noStrike" kern="1200" baseline="0">
                <a:solidFill>
                  <a:schemeClr val="bg1"/>
                </a:solidFill>
                <a:latin typeface="+mn-lt"/>
                <a:ea typeface="+mn-ea"/>
                <a:cs typeface="+mn-cs"/>
              </a:defRPr>
            </a:pPr>
            <a:endParaRPr lang="en-US"/>
          </a:p>
        </c:txPr>
        <c:crossAx val="570545855"/>
        <c:crosses val="autoZero"/>
        <c:auto val="1"/>
        <c:lblAlgn val="ctr"/>
        <c:lblOffset val="100"/>
        <c:noMultiLvlLbl val="0"/>
      </c:catAx>
      <c:valAx>
        <c:axId val="570545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1" u="none" strike="noStrike" kern="1200" baseline="0">
                <a:solidFill>
                  <a:schemeClr val="bg1"/>
                </a:solidFill>
                <a:latin typeface="+mn-lt"/>
                <a:ea typeface="+mn-ea"/>
                <a:cs typeface="+mn-cs"/>
              </a:defRPr>
            </a:pPr>
            <a:endParaRPr lang="en-US"/>
          </a:p>
        </c:txPr>
        <c:crossAx val="5705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solidFill>
              <a:ln>
                <a:solidFill>
                  <a:schemeClr val="bg1"/>
                </a:solidFill>
              </a:ln>
            </c:spPr>
            <c:extLst>
              <c:ext xmlns:c16="http://schemas.microsoft.com/office/drawing/2014/chart" uri="{C3380CC4-5D6E-409C-BE32-E72D297353CC}">
                <c16:uniqueId val="{00000001-0584-407B-9838-1761481D5769}"/>
              </c:ext>
            </c:extLst>
          </c:dPt>
          <c:dPt>
            <c:idx val="1"/>
            <c:bubble3D val="0"/>
            <c:spPr>
              <a:noFill/>
              <a:ln>
                <a:solidFill>
                  <a:schemeClr val="bg1"/>
                </a:solidFill>
              </a:ln>
            </c:spPr>
            <c:extLst>
              <c:ext xmlns:c16="http://schemas.microsoft.com/office/drawing/2014/chart" uri="{C3380CC4-5D6E-409C-BE32-E72D297353CC}">
                <c16:uniqueId val="{00000003-0584-407B-9838-1761481D5769}"/>
              </c:ext>
            </c:extLst>
          </c:dPt>
          <c:dLbls>
            <c:delete val="1"/>
          </c:dLbls>
          <c:cat>
            <c:strRef>
              <c:f>'MASUK-TARGET'!$S$4:$S$5</c:f>
              <c:strCache>
                <c:ptCount val="2"/>
                <c:pt idx="0">
                  <c:v>Terkumpul</c:v>
                </c:pt>
                <c:pt idx="1">
                  <c:v>Belum</c:v>
                </c:pt>
              </c:strCache>
            </c:strRef>
          </c:cat>
          <c:val>
            <c:numRef>
              <c:f>'MASUK-TARGET'!$AG$4:$AG$5</c:f>
              <c:numCache>
                <c:formatCode>General</c:formatCode>
                <c:ptCount val="2"/>
                <c:pt idx="0">
                  <c:v>0</c:v>
                </c:pt>
                <c:pt idx="1">
                  <c:v>0</c:v>
                </c:pt>
              </c:numCache>
            </c:numRef>
          </c:val>
          <c:extLst>
            <c:ext xmlns:c16="http://schemas.microsoft.com/office/drawing/2014/chart" uri="{C3380CC4-5D6E-409C-BE32-E72D297353CC}">
              <c16:uniqueId val="{00000004-0584-407B-9838-1761481D5769}"/>
            </c:ext>
          </c:extLst>
        </c:ser>
        <c:dLbls>
          <c:showLegendKey val="0"/>
          <c:showVal val="0"/>
          <c:showCatName val="0"/>
          <c:showSerName val="0"/>
          <c:showPercent val="1"/>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B91D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(01) JAN</c:v>
              </c:pt>
              <c:pt idx="1">
                <c:v>(02) FEB</c:v>
              </c:pt>
              <c:pt idx="2">
                <c:v>(03) MAR</c:v>
              </c:pt>
              <c:pt idx="3">
                <c:v>(04) APR</c:v>
              </c:pt>
            </c:strLit>
          </c:cat>
          <c:val>
            <c:numLit>
              <c:formatCode>General</c:formatCode>
              <c:ptCount val="4"/>
              <c:pt idx="0">
                <c:v>9566.2999999999993</c:v>
              </c:pt>
              <c:pt idx="1">
                <c:v>7967.8</c:v>
              </c:pt>
              <c:pt idx="2">
                <c:v>9272</c:v>
              </c:pt>
              <c:pt idx="3">
                <c:v>1093</c:v>
              </c:pt>
            </c:numLit>
          </c:val>
          <c:extLst>
            <c:ext xmlns:c16="http://schemas.microsoft.com/office/drawing/2014/chart" uri="{C3380CC4-5D6E-409C-BE32-E72D297353CC}">
              <c16:uniqueId val="{00000001-8A6E-497B-AB60-74A6772480B7}"/>
            </c:ext>
          </c:extLst>
        </c:ser>
        <c:dLbls>
          <c:showLegendKey val="0"/>
          <c:showVal val="0"/>
          <c:showCatName val="0"/>
          <c:showSerName val="0"/>
          <c:showPercent val="0"/>
          <c:showBubbleSize val="0"/>
        </c:dLbls>
        <c:gapWidth val="219"/>
        <c:overlap val="-27"/>
        <c:axId val="2034871200"/>
        <c:axId val="2034873696"/>
      </c:barChart>
      <c:catAx>
        <c:axId val="20348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873696"/>
        <c:crosses val="autoZero"/>
        <c:auto val="1"/>
        <c:lblAlgn val="ctr"/>
        <c:lblOffset val="100"/>
        <c:noMultiLvlLbl val="0"/>
      </c:catAx>
      <c:valAx>
        <c:axId val="203487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8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PIVOT.xlsx]MASUK-TARGET!TARGET-BULANAN</c:name>
    <c:fmtId val="0"/>
  </c:pivotSource>
  <c:chart>
    <c:autoTitleDeleted val="0"/>
    <c:pivotFmts>
      <c:pivotFmt>
        <c:idx val="0"/>
        <c:spPr>
          <a:gradFill flip="none" rotWithShape="1">
            <a:gsLst>
              <a:gs pos="58500">
                <a:srgbClr val="3E5687"/>
              </a:gs>
              <a:gs pos="0">
                <a:srgbClr val="7B8CAE"/>
              </a:gs>
              <a:gs pos="100000">
                <a:srgbClr val="002060"/>
              </a:gs>
            </a:gsLst>
            <a:lin ang="16200000" scaled="1"/>
            <a:tileRect/>
          </a:gradFill>
          <a:ln w="127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alpha val="70000"/>
            </a:schemeClr>
          </a:solidFill>
          <a:ln w="635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'MASUK-TARGET'!$BA$3</c:f>
              <c:strCache>
                <c:ptCount val="1"/>
                <c:pt idx="0">
                  <c:v>Target Bulanan</c:v>
                </c:pt>
              </c:strCache>
            </c:strRef>
          </c:tx>
          <c:spPr>
            <a:gradFill flip="none" rotWithShape="1">
              <a:gsLst>
                <a:gs pos="58500">
                  <a:srgbClr val="3E5687"/>
                </a:gs>
                <a:gs pos="0">
                  <a:srgbClr val="7B8CAE"/>
                </a:gs>
                <a:gs pos="100000">
                  <a:srgbClr val="002060"/>
                </a:gs>
              </a:gsLst>
              <a:lin ang="16200000" scaled="1"/>
              <a:tileRect/>
            </a:gradFill>
            <a:ln w="12700">
              <a:solidFill>
                <a:schemeClr val="bg1"/>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'MASUK-TARGET'!$AZ$4:$AZ$11</c:f>
              <c:multiLvlStrCache>
                <c:ptCount val="5"/>
                <c:lvl>
                  <c:pt idx="0">
                    <c:v>Jan</c:v>
                  </c:pt>
                  <c:pt idx="1">
                    <c:v>Feb</c:v>
                  </c:pt>
                  <c:pt idx="2">
                    <c:v>Mar</c:v>
                  </c:pt>
                  <c:pt idx="3">
                    <c:v>Apr</c:v>
                  </c:pt>
                  <c:pt idx="4">
                    <c:v>May</c:v>
                  </c:pt>
                </c:lvl>
                <c:lvl>
                  <c:pt idx="0">
                    <c:v>Q1</c:v>
                  </c:pt>
                  <c:pt idx="3">
                    <c:v>Q2</c:v>
                  </c:pt>
                </c:lvl>
              </c:multiLvlStrCache>
            </c:multiLvlStrRef>
          </c:cat>
          <c:val>
            <c:numRef>
              <c:f>'MASUK-TARGET'!$BA$4:$BA$11</c:f>
              <c:numCache>
                <c:formatCode>#,##0</c:formatCode>
                <c:ptCount val="5"/>
                <c:pt idx="0">
                  <c:v>20833.33332960332</c:v>
                </c:pt>
                <c:pt idx="1">
                  <c:v>20833.333329603342</c:v>
                </c:pt>
                <c:pt idx="2">
                  <c:v>20829.54920261903</c:v>
                </c:pt>
                <c:pt idx="3">
                  <c:v>20833.333329603352</c:v>
                </c:pt>
                <c:pt idx="4">
                  <c:v>20833.333329603312</c:v>
                </c:pt>
              </c:numCache>
            </c:numRef>
          </c:val>
          <c:extLst>
            <c:ext xmlns:c16="http://schemas.microsoft.com/office/drawing/2014/chart" uri="{C3380CC4-5D6E-409C-BE32-E72D297353CC}">
              <c16:uniqueId val="{00000001-8DB5-4C55-8F8D-AE11BF2D8E16}"/>
            </c:ext>
          </c:extLst>
        </c:ser>
        <c:ser>
          <c:idx val="1"/>
          <c:order val="1"/>
          <c:tx>
            <c:strRef>
              <c:f>'MASUK-TARGET'!$BB$3</c:f>
              <c:strCache>
                <c:ptCount val="1"/>
                <c:pt idx="0">
                  <c:v>Total Bulanan</c:v>
                </c:pt>
              </c:strCache>
            </c:strRef>
          </c:tx>
          <c:spPr>
            <a:solidFill>
              <a:schemeClr val="accent2"/>
            </a:solidFill>
            <a:ln>
              <a:noFill/>
            </a:ln>
            <a:effectLst/>
          </c:spPr>
          <c:invertIfNegative val="0"/>
          <c:cat>
            <c:multiLvlStrRef>
              <c:f>'MASUK-TARGET'!$AZ$4:$AZ$11</c:f>
              <c:multiLvlStrCache>
                <c:ptCount val="5"/>
                <c:lvl>
                  <c:pt idx="0">
                    <c:v>Jan</c:v>
                  </c:pt>
                  <c:pt idx="1">
                    <c:v>Feb</c:v>
                  </c:pt>
                  <c:pt idx="2">
                    <c:v>Mar</c:v>
                  </c:pt>
                  <c:pt idx="3">
                    <c:v>Apr</c:v>
                  </c:pt>
                  <c:pt idx="4">
                    <c:v>May</c:v>
                  </c:pt>
                </c:lvl>
                <c:lvl>
                  <c:pt idx="0">
                    <c:v>Q1</c:v>
                  </c:pt>
                  <c:pt idx="3">
                    <c:v>Q2</c:v>
                  </c:pt>
                </c:lvl>
              </c:multiLvlStrCache>
            </c:multiLvlStrRef>
          </c:cat>
          <c:val>
            <c:numRef>
              <c:f>'MASUK-TARGET'!$BB$4:$BB$11</c:f>
              <c:numCache>
                <c:formatCode>General</c:formatCode>
                <c:ptCount val="5"/>
                <c:pt idx="0">
                  <c:v>9566.2999999999993</c:v>
                </c:pt>
                <c:pt idx="1">
                  <c:v>7967.8</c:v>
                </c:pt>
                <c:pt idx="2">
                  <c:v>9277</c:v>
                </c:pt>
                <c:pt idx="3">
                  <c:v>10062.870000000001</c:v>
                </c:pt>
                <c:pt idx="4">
                  <c:v>3771.5</c:v>
                </c:pt>
              </c:numCache>
            </c:numRef>
          </c:val>
          <c:extLst>
            <c:ext xmlns:c16="http://schemas.microsoft.com/office/drawing/2014/chart" uri="{C3380CC4-5D6E-409C-BE32-E72D297353CC}">
              <c16:uniqueId val="{00000001-DBF8-40B9-9342-B9FBCF5119FF}"/>
            </c:ext>
          </c:extLst>
        </c:ser>
        <c:dLbls>
          <c:showLegendKey val="0"/>
          <c:showVal val="0"/>
          <c:showCatName val="0"/>
          <c:showSerName val="0"/>
          <c:showPercent val="0"/>
          <c:showBubbleSize val="0"/>
        </c:dLbls>
        <c:gapWidth val="219"/>
        <c:overlap val="100"/>
        <c:axId val="2133442943"/>
        <c:axId val="286654815"/>
      </c:barChart>
      <c:catAx>
        <c:axId val="213344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86654815"/>
        <c:crosses val="autoZero"/>
        <c:auto val="1"/>
        <c:lblAlgn val="ctr"/>
        <c:lblOffset val="100"/>
        <c:noMultiLvlLbl val="0"/>
      </c:catAx>
      <c:valAx>
        <c:axId val="2866548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133442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solidFill>
            <a:effectLst>
              <a:outerShdw blurRad="63500" sx="102000" sy="102000" algn="ctr" rotWithShape="0">
                <a:prstClr val="black">
                  <a:alpha val="40000"/>
                </a:prstClr>
              </a:outerShdw>
            </a:effectLst>
          </c:spPr>
          <c:dPt>
            <c:idx val="0"/>
            <c:bubble3D val="0"/>
            <c:spPr>
              <a:solidFill>
                <a:schemeClr val="bg1"/>
              </a:solid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FD94-46EA-AA56-57A7CE8B4B69}"/>
              </c:ext>
            </c:extLst>
          </c:dPt>
          <c:dPt>
            <c:idx val="1"/>
            <c:bubble3D val="0"/>
            <c:spPr>
              <a:noFill/>
              <a:ln w="19050">
                <a:solidFill>
                  <a:schemeClr val="lt1"/>
                </a:solid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FD94-46EA-AA56-57A7CE8B4B69}"/>
              </c:ext>
            </c:extLst>
          </c:dPt>
          <c:cat>
            <c:strRef>
              <c:f>'MASUK-TARGET'!$BD$4:$BD$5</c:f>
              <c:strCache>
                <c:ptCount val="2"/>
                <c:pt idx="0">
                  <c:v>Terkumpul</c:v>
                </c:pt>
                <c:pt idx="1">
                  <c:v>Belum</c:v>
                </c:pt>
              </c:strCache>
            </c:strRef>
          </c:cat>
          <c:val>
            <c:numRef>
              <c:f>'MASUK-TARGET'!$BE$4:$BE$5</c:f>
              <c:numCache>
                <c:formatCode>0.0</c:formatCode>
                <c:ptCount val="2"/>
                <c:pt idx="0" formatCode="General">
                  <c:v>40645.47</c:v>
                </c:pt>
                <c:pt idx="1">
                  <c:v>63517.412521032442</c:v>
                </c:pt>
              </c:numCache>
            </c:numRef>
          </c:val>
          <c:extLst>
            <c:ext xmlns:c16="http://schemas.microsoft.com/office/drawing/2014/chart" uri="{C3380CC4-5D6E-409C-BE32-E72D297353CC}">
              <c16:uniqueId val="{00000000-EC9D-45F9-996F-BA49DB18B4E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PIVOT.xlsx]MASUK-TARGET!TARGET-TAHUNAN</c:name>
    <c:fmtId val="0"/>
  </c:pivotSource>
  <c:chart>
    <c:autoTitleDeleted val="0"/>
    <c:pivotFmts>
      <c:pivotFmt>
        <c:idx val="0"/>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alpha val="84000"/>
            </a:schemeClr>
          </a:solidFill>
          <a:ln w="635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'MASUK-TARGET'!$BM$3</c:f>
              <c:strCache>
                <c:ptCount val="1"/>
                <c:pt idx="0">
                  <c:v>Target Tahunan</c:v>
                </c:pt>
              </c:strCache>
            </c:strRef>
          </c:tx>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'MASUK-TARGET'!$BL$4:$BL$5</c:f>
              <c:strCache>
                <c:ptCount val="1"/>
                <c:pt idx="0">
                  <c:v>2021</c:v>
                </c:pt>
              </c:strCache>
            </c:strRef>
          </c:cat>
          <c:val>
            <c:numRef>
              <c:f>'MASUK-TARGET'!$BM$4:$BM$5</c:f>
              <c:numCache>
                <c:formatCode>General</c:formatCode>
                <c:ptCount val="1"/>
                <c:pt idx="0">
                  <c:v>249909.99999999904</c:v>
                </c:pt>
              </c:numCache>
            </c:numRef>
          </c:val>
          <c:extLst>
            <c:ext xmlns:c16="http://schemas.microsoft.com/office/drawing/2014/chart" uri="{C3380CC4-5D6E-409C-BE32-E72D297353CC}">
              <c16:uniqueId val="{00000001-59C2-4B1E-AB9C-AF99162DB570}"/>
            </c:ext>
          </c:extLst>
        </c:ser>
        <c:ser>
          <c:idx val="1"/>
          <c:order val="1"/>
          <c:tx>
            <c:strRef>
              <c:f>'MASUK-TARGET'!$BN$3</c:f>
              <c:strCache>
                <c:ptCount val="1"/>
                <c:pt idx="0">
                  <c:v>Sum of ∑ KMK (Kg)</c:v>
                </c:pt>
              </c:strCache>
            </c:strRef>
          </c:tx>
          <c:spPr>
            <a:solidFill>
              <a:schemeClr val="accent2"/>
            </a:solidFill>
            <a:ln>
              <a:noFill/>
            </a:ln>
            <a:effectLst/>
          </c:spPr>
          <c:invertIfNegative val="0"/>
          <c:cat>
            <c:strRef>
              <c:f>'MASUK-TARGET'!$BL$4:$BL$5</c:f>
              <c:strCache>
                <c:ptCount val="1"/>
                <c:pt idx="0">
                  <c:v>2021</c:v>
                </c:pt>
              </c:strCache>
            </c:strRef>
          </c:cat>
          <c:val>
            <c:numRef>
              <c:f>'MASUK-TARGET'!$BN$4:$BN$5</c:f>
              <c:numCache>
                <c:formatCode>General</c:formatCode>
                <c:ptCount val="1"/>
                <c:pt idx="0">
                  <c:v>40645.47</c:v>
                </c:pt>
              </c:numCache>
            </c:numRef>
          </c:val>
          <c:extLst>
            <c:ext xmlns:c16="http://schemas.microsoft.com/office/drawing/2014/chart" uri="{C3380CC4-5D6E-409C-BE32-E72D297353CC}">
              <c16:uniqueId val="{00000001-D9F3-443B-86BF-D8F460B50DF4}"/>
            </c:ext>
          </c:extLst>
        </c:ser>
        <c:dLbls>
          <c:showLegendKey val="0"/>
          <c:showVal val="0"/>
          <c:showCatName val="0"/>
          <c:showSerName val="0"/>
          <c:showPercent val="0"/>
          <c:showBubbleSize val="0"/>
        </c:dLbls>
        <c:gapWidth val="219"/>
        <c:overlap val="100"/>
        <c:axId val="1153797999"/>
        <c:axId val="1153812559"/>
      </c:barChart>
      <c:catAx>
        <c:axId val="11537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153812559"/>
        <c:crosses val="autoZero"/>
        <c:auto val="1"/>
        <c:lblAlgn val="ctr"/>
        <c:lblOffset val="100"/>
        <c:noMultiLvlLbl val="0"/>
      </c:catAx>
      <c:valAx>
        <c:axId val="115381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153797999"/>
        <c:crosses val="autoZero"/>
        <c:crossBetween val="between"/>
      </c:valAx>
      <c:spPr>
        <a:noFill/>
        <a:ln>
          <a:noFill/>
        </a:ln>
        <a:effectLst/>
      </c:spPr>
    </c:plotArea>
    <c:legend>
      <c:legendPos val="r"/>
      <c:layout>
        <c:manualLayout>
          <c:xMode val="edge"/>
          <c:yMode val="edge"/>
          <c:x val="0.78462431990339243"/>
          <c:y val="0.38824110527850686"/>
          <c:w val="0.19790121689334289"/>
          <c:h val="0.2197031343778273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87C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B8E6-4DE9-98F4-78275FADF66B}"/>
              </c:ext>
            </c:extLst>
          </c:dPt>
          <c:dPt>
            <c:idx val="1"/>
            <c:bubble3D val="0"/>
            <c:spPr>
              <a:noFill/>
              <a:ln w="19050">
                <a:solidFill>
                  <a:schemeClr val="bg1"/>
                </a:solidFill>
              </a:ln>
              <a:effectLst/>
            </c:spPr>
            <c:extLst>
              <c:ext xmlns:c16="http://schemas.microsoft.com/office/drawing/2014/chart" uri="{C3380CC4-5D6E-409C-BE32-E72D297353CC}">
                <c16:uniqueId val="{00000003-B8E6-4DE9-98F4-78275FADF66B}"/>
              </c:ext>
            </c:extLst>
          </c:dPt>
          <c:cat>
            <c:strRef>
              <c:f>'MASUK-TARGET'!$BP$4:$BP$5</c:f>
              <c:strCache>
                <c:ptCount val="2"/>
                <c:pt idx="0">
                  <c:v>Terkumpul</c:v>
                </c:pt>
                <c:pt idx="1">
                  <c:v>Belum</c:v>
                </c:pt>
              </c:strCache>
            </c:strRef>
          </c:cat>
          <c:val>
            <c:numRef>
              <c:f>'MASUK-TARGET'!$BQ$4:$BQ$5</c:f>
              <c:numCache>
                <c:formatCode>General</c:formatCode>
                <c:ptCount val="2"/>
                <c:pt idx="0">
                  <c:v>40645.47</c:v>
                </c:pt>
                <c:pt idx="1">
                  <c:v>209264.52999999904</c:v>
                </c:pt>
              </c:numCache>
            </c:numRef>
          </c:val>
          <c:extLst>
            <c:ext xmlns:c16="http://schemas.microsoft.com/office/drawing/2014/chart" uri="{C3380CC4-5D6E-409C-BE32-E72D297353CC}">
              <c16:uniqueId val="{00000000-A9E3-4969-882B-B340626525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87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PIVOT.xlsx]MASUK-TARGET!TARGET-CATEGORY</c:name>
    <c:fmtId val="0"/>
  </c:pivotSource>
  <c:chart>
    <c:autoTitleDeleted val="0"/>
    <c:pivotFmts>
      <c:pivotFmt>
        <c:idx val="0"/>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'MASUK-TARGET'!$BY$3</c:f>
              <c:strCache>
                <c:ptCount val="1"/>
                <c:pt idx="0">
                  <c:v>Target Bulanan</c:v>
                </c:pt>
              </c:strCache>
            </c:strRef>
          </c:tx>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c:spPr>
          <c:invertIfNegative val="0"/>
          <c:cat>
            <c:strRef>
              <c:f>'MASUK-TARGET'!$BX$4:$BX$15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'MASUK-TARGET'!$BY$4:$BY$15</c:f>
              <c:numCache>
                <c:formatCode>#,##0.0</c:formatCode>
                <c:ptCount val="11"/>
                <c:pt idx="0">
                  <c:v>1397.375</c:v>
                </c:pt>
                <c:pt idx="1">
                  <c:v>393.54920636571455</c:v>
                </c:pt>
                <c:pt idx="2">
                  <c:v>5790.9999999999955</c:v>
                </c:pt>
                <c:pt idx="3">
                  <c:v>4318.6666664999984</c:v>
                </c:pt>
                <c:pt idx="4">
                  <c:v>1007.0416665</c:v>
                </c:pt>
                <c:pt idx="5">
                  <c:v>18562.166664999997</c:v>
                </c:pt>
                <c:pt idx="6">
                  <c:v>59906.041649999999</c:v>
                </c:pt>
                <c:pt idx="7">
                  <c:v>323.87500000000017</c:v>
                </c:pt>
                <c:pt idx="8">
                  <c:v>4394.875</c:v>
                </c:pt>
                <c:pt idx="9">
                  <c:v>1957.1666666666649</c:v>
                </c:pt>
                <c:pt idx="10">
                  <c:v>6111.125</c:v>
                </c:pt>
              </c:numCache>
            </c:numRef>
          </c:val>
          <c:extLst>
            <c:ext xmlns:c16="http://schemas.microsoft.com/office/drawing/2014/chart" uri="{C3380CC4-5D6E-409C-BE32-E72D297353CC}">
              <c16:uniqueId val="{00000001-A6AF-4C8D-93A1-C4DEC7EDBDB6}"/>
            </c:ext>
          </c:extLst>
        </c:ser>
        <c:ser>
          <c:idx val="1"/>
          <c:order val="1"/>
          <c:tx>
            <c:strRef>
              <c:f>'MASUK-TARGET'!$BZ$3</c:f>
              <c:strCache>
                <c:ptCount val="1"/>
                <c:pt idx="0">
                  <c:v>Sum of ∑ KMK (Kg)</c:v>
                </c:pt>
              </c:strCache>
            </c:strRef>
          </c:tx>
          <c:spPr>
            <a:solidFill>
              <a:schemeClr val="accent2"/>
            </a:solidFill>
            <a:ln>
              <a:noFill/>
            </a:ln>
            <a:effectLst/>
          </c:spPr>
          <c:invertIfNegative val="0"/>
          <c:cat>
            <c:strRef>
              <c:f>'MASUK-TARGET'!$BX$4:$BX$15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'MASUK-TARGET'!$BZ$4:$BZ$15</c:f>
              <c:numCache>
                <c:formatCode>General</c:formatCode>
                <c:ptCount val="11"/>
                <c:pt idx="0">
                  <c:v>277.5</c:v>
                </c:pt>
                <c:pt idx="1">
                  <c:v>148.9</c:v>
                </c:pt>
                <c:pt idx="2">
                  <c:v>3541.6</c:v>
                </c:pt>
                <c:pt idx="3">
                  <c:v>2217.1999999999998</c:v>
                </c:pt>
                <c:pt idx="4">
                  <c:v>21.9</c:v>
                </c:pt>
                <c:pt idx="5">
                  <c:v>4332</c:v>
                </c:pt>
                <c:pt idx="6">
                  <c:v>26723</c:v>
                </c:pt>
                <c:pt idx="7">
                  <c:v>117.5</c:v>
                </c:pt>
                <c:pt idx="8">
                  <c:v>1475</c:v>
                </c:pt>
                <c:pt idx="9">
                  <c:v>372.87</c:v>
                </c:pt>
                <c:pt idx="10">
                  <c:v>1418</c:v>
                </c:pt>
              </c:numCache>
            </c:numRef>
          </c:val>
          <c:extLst>
            <c:ext xmlns:c16="http://schemas.microsoft.com/office/drawing/2014/chart" uri="{C3380CC4-5D6E-409C-BE32-E72D297353CC}">
              <c16:uniqueId val="{00000001-9FD5-4FC0-9E6F-25D916E68B15}"/>
            </c:ext>
          </c:extLst>
        </c:ser>
        <c:dLbls>
          <c:showLegendKey val="0"/>
          <c:showVal val="0"/>
          <c:showCatName val="0"/>
          <c:showSerName val="0"/>
          <c:showPercent val="0"/>
          <c:showBubbleSize val="0"/>
        </c:dLbls>
        <c:gapWidth val="70"/>
        <c:overlap val="100"/>
        <c:axId val="90499119"/>
        <c:axId val="90496207"/>
      </c:barChart>
      <c:catAx>
        <c:axId val="904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0496207"/>
        <c:crosses val="autoZero"/>
        <c:auto val="1"/>
        <c:lblAlgn val="ctr"/>
        <c:lblOffset val="100"/>
        <c:noMultiLvlLbl val="0"/>
      </c:catAx>
      <c:valAx>
        <c:axId val="9049620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904991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87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PIVOT.xlsx]MASUK-CATEGORY!Category-UBC</c:name>
    <c:fmtId val="6"/>
  </c:pivotSource>
  <c:chart>
    <c:autoTitleDeleted val="1"/>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63000">
                <a:srgbClr val="CCAAE6"/>
              </a:gs>
              <a:gs pos="0">
                <a:schemeClr val="accent2">
                  <a:lumMod val="0"/>
                  <a:lumOff val="100000"/>
                </a:schemeClr>
              </a:gs>
              <a:gs pos="100000">
                <a:srgbClr val="9954CC"/>
              </a:gs>
            </a:gsLst>
            <a:path path="circle">
              <a:fillToRect l="50000" t="-80000" r="50000" b="180000"/>
            </a:path>
            <a:tileRect/>
          </a:gradFill>
          <a:ln w="19050">
            <a:solidFill>
              <a:schemeClr val="lt1"/>
            </a:solidFill>
          </a:ln>
          <a:effectLst/>
        </c:spPr>
      </c:pivotFmt>
      <c:pivotFmt>
        <c:idx val="3"/>
        <c:spPr>
          <a:gradFill flip="none" rotWithShape="1">
            <a:gsLst>
              <a:gs pos="50000">
                <a:srgbClr val="D4E8C7"/>
              </a:gs>
              <a:gs pos="0">
                <a:schemeClr val="accent2">
                  <a:lumMod val="0"/>
                  <a:lumOff val="100000"/>
                </a:schemeClr>
              </a:gs>
              <a:gs pos="100000">
                <a:schemeClr val="accent6">
                  <a:lumMod val="60000"/>
                  <a:lumOff val="40000"/>
                </a:schemeClr>
              </a:gs>
            </a:gsLst>
            <a:path path="circle">
              <a:fillToRect t="100000" r="100000"/>
            </a:path>
            <a:tileRect l="-100000" b="-100000"/>
          </a:gradFill>
          <a:ln w="19050">
            <a:solidFill>
              <a:schemeClr val="lt1"/>
            </a:solidFill>
          </a:ln>
          <a:effectLst/>
        </c:spPr>
      </c:pivotFmt>
      <c:pivotFmt>
        <c:idx val="4"/>
        <c:spPr>
          <a:gradFill>
            <a:gsLst>
              <a:gs pos="0">
                <a:schemeClr val="accent1">
                  <a:lumMod val="5000"/>
                  <a:lumOff val="95000"/>
                </a:schemeClr>
              </a:gs>
              <a:gs pos="52200">
                <a:srgbClr val="CCCDCF"/>
              </a:gs>
              <a:gs pos="100000">
                <a:schemeClr val="bg1">
                  <a:lumMod val="65000"/>
                </a:schemeClr>
              </a:gs>
            </a:gsLst>
            <a:lin ang="18900000" scaled="1"/>
          </a:gradFill>
          <a:ln w="19050">
            <a:noFill/>
          </a:ln>
          <a:effectLst/>
        </c:spPr>
      </c:pivotFmt>
      <c:pivotFmt>
        <c:idx val="5"/>
        <c:spPr>
          <a:gradFill flip="none" rotWithShape="1">
            <a:gsLst>
              <a:gs pos="0">
                <a:schemeClr val="accent1">
                  <a:lumMod val="5000"/>
                  <a:lumOff val="95000"/>
                </a:schemeClr>
              </a:gs>
              <a:gs pos="50000">
                <a:srgbClr val="7B9F8E"/>
              </a:gs>
              <a:gs pos="100000">
                <a:srgbClr val="004620"/>
              </a:gs>
            </a:gsLst>
            <a:lin ang="18900000" scaled="1"/>
            <a:tileRect/>
          </a:gradFill>
          <a:ln w="19050">
            <a:solidFill>
              <a:schemeClr val="bg1"/>
            </a:solidFill>
          </a:ln>
          <a:effectLst/>
        </c:spPr>
      </c:pivotFmt>
      <c:pivotFmt>
        <c:idx val="6"/>
        <c:spPr>
          <a:gradFill flip="none" rotWithShape="1">
            <a:gsLst>
              <a:gs pos="0">
                <a:schemeClr val="accent1">
                  <a:lumMod val="5000"/>
                  <a:lumOff val="95000"/>
                </a:schemeClr>
              </a:gs>
              <a:gs pos="50000">
                <a:srgbClr val="FB7DDC"/>
              </a:gs>
              <a:gs pos="100000">
                <a:srgbClr val="FF01BC"/>
              </a:gs>
            </a:gsLst>
            <a:lin ang="16200000" scaled="1"/>
            <a:tileRect/>
          </a:gradFill>
          <a:ln w="19050">
            <a:solidFill>
              <a:schemeClr val="lt1"/>
            </a:solidFill>
          </a:ln>
          <a:effectLst/>
        </c:spPr>
      </c:pivotFmt>
      <c:pivotFmt>
        <c:idx val="7"/>
        <c:spPr>
          <a:gradFill flip="none" rotWithShape="1">
            <a:gsLst>
              <a:gs pos="0">
                <a:schemeClr val="accent1">
                  <a:lumMod val="5000"/>
                  <a:lumOff val="95000"/>
                </a:schemeClr>
              </a:gs>
              <a:gs pos="50000">
                <a:srgbClr val="DB7C7E"/>
              </a:gs>
              <a:gs pos="100000">
                <a:srgbClr val="C00000"/>
              </a:gs>
            </a:gsLst>
            <a:lin ang="13500000" scaled="1"/>
            <a:tileRect/>
          </a:gradFill>
          <a:ln w="19050">
            <a:solidFill>
              <a:schemeClr val="lt1"/>
            </a:solidFill>
          </a:ln>
          <a:effectLst/>
        </c:spPr>
      </c:pivotFmt>
      <c:pivotFmt>
        <c:idx val="8"/>
        <c:spPr>
          <a:gradFill flip="none" rotWithShape="1">
            <a:gsLst>
              <a:gs pos="0">
                <a:schemeClr val="accent1">
                  <a:lumMod val="5000"/>
                  <a:lumOff val="95000"/>
                </a:schemeClr>
              </a:gs>
              <a:gs pos="50000">
                <a:srgbClr val="7BD4F6"/>
              </a:gs>
              <a:gs pos="100000">
                <a:srgbClr val="00B0F0"/>
              </a:gs>
            </a:gsLst>
            <a:lin ang="16200000" scaled="1"/>
            <a:tileRect/>
          </a:gradFill>
          <a:ln w="19050">
            <a:solidFill>
              <a:schemeClr val="lt1"/>
            </a:solidFill>
          </a:ln>
          <a:effectLst/>
        </c:spPr>
      </c:pivotFmt>
      <c:pivotFmt>
        <c:idx val="9"/>
        <c:spPr>
          <a:gradFill flip="none" rotWithShape="1">
            <a:gsLst>
              <a:gs pos="0">
                <a:schemeClr val="accent1">
                  <a:lumMod val="5000"/>
                  <a:lumOff val="95000"/>
                </a:schemeClr>
              </a:gs>
              <a:gs pos="48700">
                <a:srgbClr val="7ED5A8"/>
              </a:gs>
              <a:gs pos="100000">
                <a:srgbClr val="00B050"/>
              </a:gs>
            </a:gsLst>
            <a:lin ang="16200000" scaled="1"/>
            <a:tileRect/>
          </a:gradFill>
          <a:ln w="19050">
            <a:solidFill>
              <a:schemeClr val="lt1"/>
            </a:solidFill>
          </a:ln>
          <a:effectLst/>
        </c:spPr>
      </c:pivotFmt>
      <c:pivotFmt>
        <c:idx val="10"/>
        <c:spPr>
          <a:gradFill flip="none" rotWithShape="1">
            <a:gsLst>
              <a:gs pos="0">
                <a:schemeClr val="accent1">
                  <a:lumMod val="5000"/>
                  <a:lumOff val="95000"/>
                </a:schemeClr>
              </a:gs>
              <a:gs pos="50000">
                <a:srgbClr val="F2BB97"/>
              </a:gs>
              <a:gs pos="100000">
                <a:schemeClr val="accent2"/>
              </a:gs>
            </a:gsLst>
            <a:lin ang="13500000" scaled="1"/>
            <a:tileRect/>
          </a:gradFill>
          <a:ln w="19050">
            <a:solidFill>
              <a:schemeClr val="lt1"/>
            </a:solidFill>
          </a:ln>
          <a:effectLst/>
        </c:spPr>
      </c:pivotFmt>
      <c:pivotFmt>
        <c:idx val="11"/>
        <c:spPr>
          <a:gradFill flip="none" rotWithShape="1">
            <a:gsLst>
              <a:gs pos="48700">
                <a:srgbClr val="FAE9B3"/>
              </a:gs>
              <a:gs pos="0">
                <a:schemeClr val="accent1">
                  <a:lumMod val="5000"/>
                  <a:lumOff val="95000"/>
                </a:schemeClr>
              </a:gs>
              <a:gs pos="100000">
                <a:schemeClr val="accent4">
                  <a:lumMod val="60000"/>
                  <a:lumOff val="40000"/>
                </a:schemeClr>
              </a:gs>
            </a:gsLst>
            <a:lin ang="16200000" scaled="1"/>
            <a:tileRect/>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9"/>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'MASUK-CATEGORY'!$H$3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88E5-4F86-9BE8-05D19389427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88E5-4F86-9BE8-05D19389427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88E5-4F86-9BE8-05D193894278}"/>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88E5-4F86-9BE8-05D193894278}"/>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88E5-4F86-9BE8-05D193894278}"/>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88E5-4F86-9BE8-05D193894278}"/>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88E5-4F86-9BE8-05D193894278}"/>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88E5-4F86-9BE8-05D193894278}"/>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88E5-4F86-9BE8-05D193894278}"/>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88E5-4F86-9BE8-05D193894278}"/>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88E5-4F86-9BE8-05D1938942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'MASUK-CATEGORY'!$G$4:$G$15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'MASUK-CATEGORY'!$H$4:$H$15</c:f>
              <c:numCache>
                <c:formatCode>General</c:formatCode>
                <c:ptCount val="11"/>
                <c:pt idx="0">
                  <c:v>277.5</c:v>
                </c:pt>
                <c:pt idx="1">
                  <c:v>148.9</c:v>
                </c:pt>
                <c:pt idx="2">
                  <c:v>3541.6</c:v>
                </c:pt>
                <c:pt idx="3">
                  <c:v>2217.1999999999998</c:v>
                </c:pt>
                <c:pt idx="4">
                  <c:v>21.9</c:v>
                </c:pt>
                <c:pt idx="5">
                  <c:v>4332</c:v>
                </c:pt>
                <c:pt idx="6">
                  <c:v>26723</c:v>
                </c:pt>
                <c:pt idx="7">
                  <c:v>117.5</c:v>
                </c:pt>
                <c:pt idx="8">
                  <c:v>1475</c:v>
                </c:pt>
                <c:pt idx="9">
                  <c:v>372.87</c:v>
                </c:pt>
                <c:pt idx="10">
                  <c:v>1418</c:v>
                </c:pt>
              </c:numCache>
            </c:numRef>
          </c:val>
          <c:extLst>
            <c:ext xmlns:c16="http://schemas.microsoft.com/office/drawing/2014/chart" uri="{C3380CC4-5D6E-409C-BE32-E72D297353CC}">
              <c16:uniqueId val="{00000016-B940-4C89-85DE-AF646206B6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1"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PIVOT.xlsx]MASUK-CATEGORY!Category-Participants UBC</c:name>
    <c:fmtId val="12"/>
  </c:pivotSource>
  <c:chart>
    <c:autoTitleDeleted val="1"/>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000">
                <a:srgbClr val="FFF5D5"/>
              </a:gs>
              <a:gs pos="72000">
                <a:srgbClr val="FFE390"/>
              </a:gs>
              <a:gs pos="44000">
                <a:srgbClr val="FFECB3"/>
              </a:gs>
              <a:gs pos="100000">
                <a:srgbClr val="FFD757"/>
              </a:gs>
            </a:gsLst>
            <a:path path="circle">
              <a:fillToRect t="100000" r="100000"/>
            </a:path>
            <a:tileRect l="-100000" b="-100000"/>
          </a:gradFill>
          <a:ln w="19050">
            <a:solidFill>
              <a:schemeClr val="lt1"/>
            </a:solidFill>
          </a:ln>
          <a:effectLst/>
        </c:spPr>
      </c:pivotFmt>
      <c:pivotFmt>
        <c:idx val="3"/>
        <c:spPr>
          <a:gradFill flip="none" rotWithShape="1">
            <a:gsLst>
              <a:gs pos="24800">
                <a:srgbClr val="FFC0EF"/>
              </a:gs>
              <a:gs pos="75000">
                <a:srgbClr val="FF41CD"/>
              </a:gs>
              <a:gs pos="50000">
                <a:srgbClr val="FF80DE"/>
              </a:gs>
              <a:gs pos="100000">
                <a:srgbClr val="FF01BC"/>
              </a:gs>
            </a:gsLst>
            <a:path path="circle">
              <a:fillToRect r="100000" b="100000"/>
            </a:path>
            <a:tileRect l="-100000" t="-100000"/>
          </a:gradFill>
          <a:ln w="19050">
            <a:solidFill>
              <a:schemeClr val="lt1"/>
            </a:solidFill>
          </a:ln>
          <a:effectLst/>
        </c:spPr>
      </c:pivotFmt>
      <c:pivotFmt>
        <c:idx val="4"/>
        <c:spPr>
          <a:gradFill flip="none" rotWithShape="1">
            <a:gsLst>
              <a:gs pos="0">
                <a:schemeClr val="accent2">
                  <a:lumMod val="0"/>
                  <a:lumOff val="100000"/>
                </a:schemeClr>
              </a:gs>
              <a:gs pos="100000">
                <a:srgbClr val="004620"/>
              </a:gs>
            </a:gsLst>
            <a:path path="circle">
              <a:fillToRect l="50000" t="-80000" r="50000" b="180000"/>
            </a:path>
            <a:tileRect/>
          </a:gradFill>
          <a:ln w="19050">
            <a:solidFill>
              <a:schemeClr val="lt1"/>
            </a:solidFill>
          </a:ln>
          <a:effectLst/>
        </c:spPr>
      </c:pivotFmt>
      <c:pivotFmt>
        <c:idx val="5"/>
        <c:spPr>
          <a:gradFill flip="none" rotWithShape="1">
            <a:gsLst>
              <a:gs pos="0">
                <a:schemeClr val="accent2">
                  <a:lumMod val="0"/>
                  <a:lumOff val="100000"/>
                </a:schemeClr>
              </a:gs>
              <a:gs pos="50000">
                <a:srgbClr val="D3D3D3"/>
              </a:gs>
              <a:gs pos="100000">
                <a:schemeClr val="bg1">
                  <a:lumMod val="65000"/>
                </a:schemeClr>
              </a:gs>
            </a:gsLst>
            <a:path path="circle">
              <a:fillToRect l="100000" b="100000"/>
            </a:path>
            <a:tileRect t="-100000" r="-100000"/>
          </a:gradFill>
          <a:ln w="19050">
            <a:solidFill>
              <a:schemeClr val="lt1"/>
            </a:solidFill>
          </a:ln>
          <a:effectLst/>
        </c:spPr>
      </c:pivotFmt>
      <c:pivotFmt>
        <c:idx val="6"/>
        <c:spPr>
          <a:gradFill flip="none" rotWithShape="1">
            <a:gsLst>
              <a:gs pos="50000">
                <a:srgbClr val="B8D6A3"/>
              </a:gs>
              <a:gs pos="19450">
                <a:srgbClr val="E3EFDB"/>
              </a:gs>
              <a:gs pos="100000">
                <a:schemeClr val="accent6">
                  <a:lumMod val="60000"/>
                  <a:lumOff val="40000"/>
                </a:schemeClr>
              </a:gs>
            </a:gsLst>
            <a:path path="circle">
              <a:fillToRect l="100000" b="100000"/>
            </a:path>
            <a:tileRect t="-100000" r="-100000"/>
          </a:gradFill>
          <a:ln w="19050">
            <a:solidFill>
              <a:schemeClr val="lt1"/>
            </a:solidFill>
          </a:ln>
          <a:effectLst/>
        </c:spPr>
      </c:pivotFmt>
      <c:pivotFmt>
        <c:idx val="7"/>
        <c:spPr>
          <a:gradFill flip="none" rotWithShape="1">
            <a:gsLst>
              <a:gs pos="73471">
                <a:srgbClr val="B482D9"/>
              </a:gs>
              <a:gs pos="22133">
                <a:srgbClr val="E9D9F4"/>
              </a:gs>
              <a:gs pos="52200">
                <a:srgbClr val="CAA6E4"/>
              </a:gs>
              <a:gs pos="0">
                <a:schemeClr val="bg1"/>
              </a:gs>
              <a:gs pos="100000">
                <a:srgbClr val="9954CC"/>
              </a:gs>
            </a:gsLst>
            <a:path path="circle">
              <a:fillToRect l="100000" b="100000"/>
            </a:path>
            <a:tileRect t="-100000" r="-100000"/>
          </a:gradFill>
          <a:ln w="19050">
            <a:solidFill>
              <a:schemeClr val="lt1"/>
            </a:solidFill>
          </a:ln>
          <a:effectLst/>
        </c:spPr>
      </c:pivotFmt>
      <c:pivotFmt>
        <c:idx val="8"/>
        <c:spPr>
          <a:gradFill flip="none" rotWithShape="1">
            <a:gsLst>
              <a:gs pos="0">
                <a:schemeClr val="bg1"/>
              </a:gs>
              <a:gs pos="76100">
                <a:srgbClr val="F19C62"/>
              </a:gs>
              <a:gs pos="50000">
                <a:srgbClr val="F6BE98"/>
              </a:gs>
              <a:gs pos="100000">
                <a:schemeClr val="accent2"/>
              </a:gs>
            </a:gsLst>
            <a:path path="circle">
              <a:fillToRect l="100000" b="100000"/>
            </a:path>
            <a:tileRect t="-100000" r="-100000"/>
          </a:gradFill>
          <a:ln w="19050">
            <a:solidFill>
              <a:schemeClr val="lt1"/>
            </a:solidFill>
          </a:ln>
          <a:effectLst/>
        </c:spPr>
      </c:pivotFmt>
      <c:pivotFmt>
        <c:idx val="9"/>
        <c:spPr>
          <a:gradFill flip="none" rotWithShape="1">
            <a:gsLst>
              <a:gs pos="50000">
                <a:srgbClr val="E08080"/>
              </a:gs>
              <a:gs pos="0">
                <a:schemeClr val="bg1"/>
              </a:gs>
              <a:gs pos="100000">
                <a:srgbClr val="C00000"/>
              </a:gs>
            </a:gsLst>
            <a:path path="circle">
              <a:fillToRect l="100000" t="100000"/>
            </a:path>
            <a:tileRect r="-100000" b="-100000"/>
          </a:gradFill>
          <a:ln w="19050">
            <a:solidFill>
              <a:schemeClr val="lt1"/>
            </a:solidFill>
          </a:ln>
          <a:effectLst/>
        </c:spPr>
      </c:pivotFmt>
      <c:pivotFmt>
        <c:idx val="10"/>
        <c:spPr>
          <a:gradFill>
            <a:gsLst>
              <a:gs pos="29200">
                <a:srgbClr val="B5E8CC"/>
              </a:gs>
              <a:gs pos="73450">
                <a:srgbClr val="44C57F"/>
              </a:gs>
              <a:gs pos="50000">
                <a:srgbClr val="80D8A8"/>
              </a:gs>
              <a:gs pos="0">
                <a:schemeClr val="bg1"/>
              </a:gs>
              <a:gs pos="100000">
                <a:srgbClr val="00B050"/>
              </a:gs>
            </a:gsLst>
            <a:path path="circle">
              <a:fillToRect l="100000" t="100000"/>
            </a:path>
          </a:gradFill>
          <a:ln w="19050">
            <a:solidFill>
              <a:schemeClr val="lt1"/>
            </a:solidFill>
          </a:ln>
          <a:effectLst/>
        </c:spPr>
      </c:pivotFmt>
      <c:pivotFmt>
        <c:idx val="11"/>
        <c:spPr>
          <a:gradFill flip="none" rotWithShape="1">
            <a:gsLst>
              <a:gs pos="0">
                <a:schemeClr val="accent5">
                  <a:lumMod val="0"/>
                  <a:lumOff val="100000"/>
                </a:schemeClr>
              </a:gs>
              <a:gs pos="50000">
                <a:srgbClr val="80D8F8"/>
              </a:gs>
              <a:gs pos="100000">
                <a:srgbClr val="00B0F0"/>
              </a:gs>
            </a:gsLst>
            <a:path path="circle">
              <a:fillToRect t="100000" r="100000"/>
            </a:path>
            <a:tileRect l="-100000" b="-100000"/>
          </a:gradFill>
          <a:ln w="19050">
            <a:solidFill>
              <a:schemeClr val="lt1"/>
            </a:solidFill>
          </a:ln>
          <a:effectLst/>
        </c:spPr>
      </c:pivotFmt>
      <c:pivotFmt>
        <c:idx val="12"/>
        <c:spPr>
          <a:gradFill flip="none" rotWithShape="1">
            <a:gsLst>
              <a:gs pos="0">
                <a:schemeClr val="accent5">
                  <a:lumMod val="0"/>
                  <a:lumOff val="100000"/>
                </a:schemeClr>
              </a:gs>
              <a:gs pos="100000">
                <a:srgbClr val="FFFF00"/>
              </a:gs>
            </a:gsLst>
            <a:path path="circle">
              <a:fillToRect t="100000" r="100000"/>
            </a:path>
            <a:tileRect l="-100000" b="-10000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'MASUK-CATEGORY'!$C$3</c:f>
              <c:strCache>
                <c:ptCount val="1"/>
                <c:pt idx="0">
                  <c:v>∑ Partisipan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4-D8F8-4E2A-8E86-E00301D4D4BE}"/>
              </c:ext>
            </c:extLst>
          </c:dPt>
          <c:dPt>
            <c:idx val="1"/>
            <c:bubble3D val="0"/>
            <c:spPr>
              <a:gradFill flip="none" rotWithShape="1">
                <a:gsLst>
                  <a:gs pos="3000">
                    <a:srgbClr val="FFF5D5"/>
                  </a:gs>
                  <a:gs pos="72000">
                    <a:srgbClr val="FFE390"/>
                  </a:gs>
                  <a:gs pos="44000">
                    <a:srgbClr val="FFECB3"/>
                  </a:gs>
                  <a:gs pos="100000">
                    <a:srgbClr val="FFD757"/>
                  </a:gs>
                </a:gsLst>
                <a:path path="circle">
                  <a:fillToRect t="100000" r="100000"/>
                </a:path>
                <a:tileRect l="-100000" b="-100000"/>
              </a:gradFill>
              <a:ln w="19050">
                <a:solidFill>
                  <a:schemeClr val="lt1"/>
                </a:solidFill>
              </a:ln>
              <a:effectLst/>
            </c:spPr>
            <c:extLst>
              <c:ext xmlns:c16="http://schemas.microsoft.com/office/drawing/2014/chart" uri="{C3380CC4-5D6E-409C-BE32-E72D297353CC}">
                <c16:uniqueId val="{00000005-D8F8-4E2A-8E86-E00301D4D4BE}"/>
              </c:ext>
            </c:extLst>
          </c:dPt>
          <c:dPt>
            <c:idx val="2"/>
            <c:bubble3D val="0"/>
            <c:spPr>
              <a:gradFill flip="none" rotWithShape="1">
                <a:gsLst>
                  <a:gs pos="24800">
                    <a:srgbClr val="FFC0EF"/>
                  </a:gs>
                  <a:gs pos="75000">
                    <a:srgbClr val="FF41CD"/>
                  </a:gs>
                  <a:gs pos="50000">
                    <a:srgbClr val="FF80DE"/>
                  </a:gs>
                  <a:gs pos="100000">
                    <a:srgbClr val="FF01BC"/>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6-D8F8-4E2A-8E86-E00301D4D4B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8F8-4E2A-8E86-E00301D4D4BE}"/>
              </c:ext>
            </c:extLst>
          </c:dPt>
          <c:dPt>
            <c:idx val="4"/>
            <c:bubble3D val="0"/>
            <c:spPr>
              <a:gradFill flip="none" rotWithShape="1">
                <a:gsLst>
                  <a:gs pos="0">
                    <a:schemeClr val="accent2">
                      <a:lumMod val="0"/>
                      <a:lumOff val="100000"/>
                    </a:schemeClr>
                  </a:gs>
                  <a:gs pos="50000">
                    <a:srgbClr val="D3D3D3"/>
                  </a:gs>
                  <a:gs pos="100000">
                    <a:schemeClr val="bg1">
                      <a:lumMod val="65000"/>
                    </a:schemeClr>
                  </a:gs>
                </a:gsLst>
                <a:path path="circle">
                  <a:fillToRect l="100000" b="100000"/>
                </a:path>
                <a:tileRect t="-100000" r="-100000"/>
              </a:gradFill>
              <a:ln w="19050">
                <a:solidFill>
                  <a:schemeClr val="lt1"/>
                </a:solidFill>
              </a:ln>
              <a:effectLst/>
            </c:spPr>
            <c:extLst>
              <c:ext xmlns:c16="http://schemas.microsoft.com/office/drawing/2014/chart" uri="{C3380CC4-5D6E-409C-BE32-E72D297353CC}">
                <c16:uniqueId val="{00000008-D8F8-4E2A-8E86-E00301D4D4BE}"/>
              </c:ext>
            </c:extLst>
          </c:dPt>
          <c:dPt>
            <c:idx val="5"/>
            <c:bubble3D val="0"/>
            <c:spPr>
              <a:gradFill flip="none" rotWithShape="1">
                <a:gsLst>
                  <a:gs pos="50000">
                    <a:srgbClr val="B8D6A3"/>
                  </a:gs>
                  <a:gs pos="19450">
                    <a:srgbClr val="E3EFDB"/>
                  </a:gs>
                  <a:gs pos="100000">
                    <a:schemeClr val="accent6">
                      <a:lumMod val="60000"/>
                      <a:lumOff val="40000"/>
                    </a:schemeClr>
                  </a:gs>
                </a:gsLst>
                <a:path path="circle">
                  <a:fillToRect l="100000" b="100000"/>
                </a:path>
                <a:tileRect t="-100000" r="-100000"/>
              </a:gradFill>
              <a:ln w="19050">
                <a:solidFill>
                  <a:schemeClr val="lt1"/>
                </a:solidFill>
              </a:ln>
              <a:effectLst/>
            </c:spPr>
            <c:extLst>
              <c:ext xmlns:c16="http://schemas.microsoft.com/office/drawing/2014/chart" uri="{C3380CC4-5D6E-409C-BE32-E72D297353CC}">
                <c16:uniqueId val="{00000009-D8F8-4E2A-8E86-E00301D4D4BE}"/>
              </c:ext>
            </c:extLst>
          </c:dPt>
          <c:dPt>
            <c:idx val="6"/>
            <c:bubble3D val="0"/>
            <c:spPr>
              <a:gradFill flip="none" rotWithShape="1">
                <a:gsLst>
                  <a:gs pos="73471">
                    <a:srgbClr val="B482D9"/>
                  </a:gs>
                  <a:gs pos="22133">
                    <a:srgbClr val="E9D9F4"/>
                  </a:gs>
                  <a:gs pos="52200">
                    <a:srgbClr val="CAA6E4"/>
                  </a:gs>
                  <a:gs pos="0">
                    <a:schemeClr val="bg1"/>
                  </a:gs>
                  <a:gs pos="100000">
                    <a:srgbClr val="9954CC"/>
                  </a:gs>
                </a:gsLst>
                <a:path path="circle">
                  <a:fillToRect l="100000" b="100000"/>
                </a:path>
                <a:tileRect t="-100000" r="-100000"/>
              </a:gradFill>
              <a:ln w="19050">
                <a:solidFill>
                  <a:schemeClr val="lt1"/>
                </a:solidFill>
              </a:ln>
              <a:effectLst/>
            </c:spPr>
            <c:extLst>
              <c:ext xmlns:c16="http://schemas.microsoft.com/office/drawing/2014/chart" uri="{C3380CC4-5D6E-409C-BE32-E72D297353CC}">
                <c16:uniqueId val="{0000000A-D8F8-4E2A-8E86-E00301D4D4BE}"/>
              </c:ext>
            </c:extLst>
          </c:dPt>
          <c:dPt>
            <c:idx val="7"/>
            <c:bubble3D val="0"/>
            <c:spPr>
              <a:gradFill flip="none" rotWithShape="1">
                <a:gsLst>
                  <a:gs pos="0">
                    <a:schemeClr val="bg1"/>
                  </a:gs>
                  <a:gs pos="76100">
                    <a:srgbClr val="F19C62"/>
                  </a:gs>
                  <a:gs pos="50000">
                    <a:srgbClr val="F6BE98"/>
                  </a:gs>
                  <a:gs pos="100000">
                    <a:schemeClr val="accent2"/>
                  </a:gs>
                </a:gsLst>
                <a:path path="circle">
                  <a:fillToRect l="100000" b="100000"/>
                </a:path>
                <a:tileRect t="-100000" r="-100000"/>
              </a:gradFill>
              <a:ln w="19050">
                <a:solidFill>
                  <a:schemeClr val="lt1"/>
                </a:solidFill>
              </a:ln>
              <a:effectLst/>
            </c:spPr>
            <c:extLst>
              <c:ext xmlns:c16="http://schemas.microsoft.com/office/drawing/2014/chart" uri="{C3380CC4-5D6E-409C-BE32-E72D297353CC}">
                <c16:uniqueId val="{0000000B-D8F8-4E2A-8E86-E00301D4D4BE}"/>
              </c:ext>
            </c:extLst>
          </c:dPt>
          <c:dPt>
            <c:idx val="8"/>
            <c:bubble3D val="0"/>
            <c:spPr>
              <a:gradFill flip="none" rotWithShape="1">
                <a:gsLst>
                  <a:gs pos="50000">
                    <a:srgbClr val="E08080"/>
                  </a:gs>
                  <a:gs pos="0">
                    <a:schemeClr val="bg1"/>
                  </a:gs>
                  <a:gs pos="100000">
                    <a:srgbClr val="C00000"/>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C-D8F8-4E2A-8E86-E00301D4D4BE}"/>
              </c:ext>
            </c:extLst>
          </c:dPt>
          <c:dPt>
            <c:idx val="9"/>
            <c:bubble3D val="0"/>
            <c:spPr>
              <a:gradFill>
                <a:gsLst>
                  <a:gs pos="29200">
                    <a:srgbClr val="B5E8CC"/>
                  </a:gs>
                  <a:gs pos="73450">
                    <a:srgbClr val="44C57F"/>
                  </a:gs>
                  <a:gs pos="50000">
                    <a:srgbClr val="80D8A8"/>
                  </a:gs>
                  <a:gs pos="0">
                    <a:schemeClr val="bg1"/>
                  </a:gs>
                  <a:gs pos="100000">
                    <a:srgbClr val="00B050"/>
                  </a:gs>
                </a:gsLst>
                <a:path path="circle">
                  <a:fillToRect l="100000" t="100000"/>
                </a:path>
              </a:gradFill>
              <a:ln w="19050">
                <a:solidFill>
                  <a:schemeClr val="lt1"/>
                </a:solidFill>
              </a:ln>
              <a:effectLst/>
            </c:spPr>
            <c:extLst>
              <c:ext xmlns:c16="http://schemas.microsoft.com/office/drawing/2014/chart" uri="{C3380CC4-5D6E-409C-BE32-E72D297353CC}">
                <c16:uniqueId val="{0000000D-D8F8-4E2A-8E86-E00301D4D4BE}"/>
              </c:ext>
            </c:extLst>
          </c:dPt>
          <c:dPt>
            <c:idx val="10"/>
            <c:bubble3D val="0"/>
            <c:spPr>
              <a:gradFill flip="none" rotWithShape="1">
                <a:gsLst>
                  <a:gs pos="0">
                    <a:schemeClr val="accent5">
                      <a:lumMod val="0"/>
                      <a:lumOff val="100000"/>
                    </a:schemeClr>
                  </a:gs>
                  <a:gs pos="50000">
                    <a:srgbClr val="80D8F8"/>
                  </a:gs>
                  <a:gs pos="100000">
                    <a:srgbClr val="00B0F0"/>
                  </a:gs>
                </a:gsLst>
                <a:path path="circle">
                  <a:fillToRect t="100000" r="100000"/>
                </a:path>
                <a:tileRect l="-100000" b="-100000"/>
              </a:gradFill>
              <a:ln w="19050">
                <a:solidFill>
                  <a:schemeClr val="lt1"/>
                </a:solidFill>
              </a:ln>
              <a:effectLst/>
            </c:spPr>
            <c:extLst>
              <c:ext xmlns:c16="http://schemas.microsoft.com/office/drawing/2014/chart" uri="{C3380CC4-5D6E-409C-BE32-E72D297353CC}">
                <c16:uniqueId val="{00000015-6826-4B19-9D15-A2D3D2668A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'MASUK-CATEGORY'!$B$4:$B$15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'MASUK-CATEGORY'!$C$4:$C$15</c:f>
              <c:numCache>
                <c:formatCode>General</c:formatCode>
                <c:ptCount val="11"/>
                <c:pt idx="0">
                  <c:v>4</c:v>
                </c:pt>
                <c:pt idx="1">
                  <c:v>22</c:v>
                </c:pt>
                <c:pt idx="2">
                  <c:v>13</c:v>
                </c:pt>
                <c:pt idx="3">
                  <c:v>1</c:v>
                </c:pt>
                <c:pt idx="4">
                  <c:v>4</c:v>
                </c:pt>
                <c:pt idx="5">
                  <c:v>7</c:v>
                </c:pt>
                <c:pt idx="6">
                  <c:v>6</c:v>
                </c:pt>
                <c:pt idx="7">
                  <c:v>3</c:v>
                </c:pt>
                <c:pt idx="8">
                  <c:v>1</c:v>
                </c:pt>
                <c:pt idx="9">
                  <c:v>5</c:v>
                </c:pt>
                <c:pt idx="10">
                  <c:v>2</c:v>
                </c:pt>
              </c:numCache>
            </c:numRef>
          </c:val>
          <c:extLst>
            <c:ext xmlns:c16="http://schemas.microsoft.com/office/drawing/2014/chart" uri="{C3380CC4-5D6E-409C-BE32-E72D297353CC}">
              <c16:uniqueId val="{00000000-D8F8-4E2A-8E86-E00301D4D4BE}"/>
            </c:ext>
          </c:extLst>
        </c:ser>
        <c:ser>
          <c:idx val="1"/>
          <c:order val="1"/>
          <c:tx>
            <c:strRef>
              <c:f>'MASUK-CATEGORY'!$D$3</c:f>
              <c:strCache>
                <c:ptCount val="1"/>
                <c:pt idx="0">
                  <c:v>% Partisipan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5-1FDC-4390-A466-0407FDA7BEF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7-1FDC-4390-A466-0407FDA7BEFC}"/>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9-1FDC-4390-A466-0407FDA7BEFC}"/>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B-1FDC-4390-A466-0407FDA7BEFC}"/>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1D-1FDC-4390-A466-0407FDA7BEFC}"/>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F-1FDC-4390-A466-0407FDA7BEFC}"/>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21-1FDC-4390-A466-0407FDA7BEFC}"/>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23-1FDC-4390-A466-0407FDA7BEFC}"/>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25-1FDC-4390-A466-0407FDA7BEFC}"/>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27-1FDC-4390-A466-0407FDA7BEFC}"/>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2B-6826-4B19-9D15-A2D3D2668A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'MASUK-CATEGORY'!$B$4:$B$15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'MASUK-CATEGORY'!$D$4:$D$15</c:f>
              <c:numCache>
                <c:formatCode>0.0%</c:formatCode>
                <c:ptCount val="11"/>
                <c:pt idx="0">
                  <c:v>2.056555269922879E-2</c:v>
                </c:pt>
                <c:pt idx="1">
                  <c:v>0.10025706940874037</c:v>
                </c:pt>
                <c:pt idx="2">
                  <c:v>0.32133676092544988</c:v>
                </c:pt>
                <c:pt idx="3">
                  <c:v>0.26735218508997427</c:v>
                </c:pt>
                <c:pt idx="4">
                  <c:v>1.7994858611825194E-2</c:v>
                </c:pt>
                <c:pt idx="5">
                  <c:v>6.1696658097686374E-2</c:v>
                </c:pt>
                <c:pt idx="6">
                  <c:v>8.7403598971722368E-2</c:v>
                </c:pt>
                <c:pt idx="7">
                  <c:v>5.1413881748071981E-2</c:v>
                </c:pt>
                <c:pt idx="8">
                  <c:v>1.5424164524421594E-2</c:v>
                </c:pt>
                <c:pt idx="9">
                  <c:v>2.8277634961439587E-2</c:v>
                </c:pt>
                <c:pt idx="10">
                  <c:v>2.8277634961439587E-2</c:v>
                </c:pt>
              </c:numCache>
            </c:numRef>
          </c:val>
          <c:extLst>
            <c:ext xmlns:c16="http://schemas.microsoft.com/office/drawing/2014/chart" uri="{C3380CC4-5D6E-409C-BE32-E72D297353CC}">
              <c16:uniqueId val="{00000001-D8F8-4E2A-8E86-E00301D4D4B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PIVOT.xlsx]MASUK-CATEGORY!Category-UBC Total</c:name>
    <c:fmtId val="14"/>
  </c:pivotSource>
  <c:chart>
    <c:autoTitleDeleted val="1"/>
    <c:pivotFmts>
      <c:pivotFmt>
        <c:idx val="0"/>
        <c:spPr>
          <a:solidFill>
            <a:schemeClr val="accent1"/>
          </a:solidFill>
          <a:ln>
            <a:noFill/>
          </a:ln>
          <a:effectLst>
            <a:outerShdw blurRad="50800" dist="38100" dir="5400000" algn="t" rotWithShape="0">
              <a:prstClr val="black">
                <a:alpha val="40000"/>
              </a:prstClr>
            </a:outerShdw>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600" b="1" i="1"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50000">
                <a:srgbClr val="B37FD9"/>
              </a:gs>
              <a:gs pos="0">
                <a:srgbClr val="CCAAE6"/>
              </a:gs>
              <a:gs pos="100000">
                <a:srgbClr val="9954CC"/>
              </a:gs>
            </a:gsLst>
            <a:lin ang="10800000" scaled="1"/>
            <a:tileRect/>
          </a:gradFill>
          <a:ln>
            <a:noFill/>
          </a:ln>
          <a:effectLst>
            <a:outerShdw blurRad="50800" dist="38100" dir="5400000" algn="t" rotWithShape="0">
              <a:prstClr val="black">
                <a:alpha val="40000"/>
              </a:prstClr>
            </a:outerShdw>
          </a:effectLst>
        </c:spPr>
      </c:pivotFmt>
      <c:pivotFmt>
        <c:idx val="2"/>
        <c:spPr>
          <a:gradFill>
            <a:gsLst>
              <a:gs pos="50000">
                <a:srgbClr val="BFDDAB"/>
              </a:gs>
              <a:gs pos="0">
                <a:srgbClr val="D4E8C7"/>
              </a:gs>
              <a:gs pos="100000">
                <a:schemeClr val="accent6">
                  <a:lumMod val="60000"/>
                  <a:lumOff val="40000"/>
                </a:schemeClr>
              </a:gs>
            </a:gsLst>
            <a:lin ang="10800000" scaled="1"/>
          </a:gradFill>
          <a:ln>
            <a:noFill/>
          </a:ln>
          <a:effectLst>
            <a:outerShdw blurRad="50800" dist="38100" dir="5400000" algn="t" rotWithShape="0">
              <a:prstClr val="black">
                <a:alpha val="40000"/>
              </a:prstClr>
            </a:outerShdw>
          </a:effectLst>
        </c:spPr>
      </c:pivotFmt>
      <c:pivotFmt>
        <c:idx val="3"/>
        <c:spPr>
          <a:gradFill>
            <a:gsLst>
              <a:gs pos="50000">
                <a:srgbClr val="407558"/>
              </a:gs>
              <a:gs pos="0">
                <a:srgbClr val="80A390"/>
              </a:gs>
              <a:gs pos="100000">
                <a:srgbClr val="004620"/>
              </a:gs>
            </a:gsLst>
            <a:lin ang="10800000" scaled="1"/>
          </a:gradFill>
          <a:ln>
            <a:noFill/>
          </a:ln>
          <a:effectLst>
            <a:outerShdw blurRad="50800" dist="38100" dir="5400000" algn="t" rotWithShape="0">
              <a:prstClr val="black">
                <a:alpha val="40000"/>
              </a:prstClr>
            </a:outerShdw>
          </a:effectLst>
        </c:spPr>
      </c:pivotFmt>
      <c:pivotFmt>
        <c:idx val="4"/>
        <c:spPr>
          <a:gradFill>
            <a:gsLst>
              <a:gs pos="0">
                <a:srgbClr val="FF80DE"/>
              </a:gs>
              <a:gs pos="100000">
                <a:srgbClr val="FF01BC"/>
              </a:gs>
            </a:gsLst>
            <a:lin ang="10800000" scaled="1"/>
          </a:gradFill>
          <a:ln>
            <a:noFill/>
          </a:ln>
          <a:effectLst>
            <a:outerShdw blurRad="50800" dist="38100" dir="5400000" algn="t" rotWithShape="0">
              <a:prstClr val="black">
                <a:alpha val="40000"/>
              </a:prstClr>
            </a:outerShdw>
          </a:effectLst>
        </c:spPr>
      </c:pivotFmt>
      <c:pivotFmt>
        <c:idx val="5"/>
        <c:spPr>
          <a:gradFill>
            <a:gsLst>
              <a:gs pos="50000">
                <a:srgbClr val="D04040"/>
              </a:gs>
              <a:gs pos="0">
                <a:srgbClr val="E08080"/>
              </a:gs>
              <a:gs pos="100000">
                <a:srgbClr val="C00000"/>
              </a:gs>
            </a:gsLst>
            <a:lin ang="10800000" scaled="1"/>
          </a:gradFill>
          <a:ln>
            <a:noFill/>
          </a:ln>
          <a:effectLst>
            <a:outerShdw blurRad="50800" dist="38100" dir="5400000" algn="t" rotWithShape="0">
              <a:prstClr val="black">
                <a:alpha val="40000"/>
              </a:prstClr>
            </a:outerShdw>
          </a:effectLst>
        </c:spPr>
      </c:pivotFmt>
      <c:pivotFmt>
        <c:idx val="6"/>
        <c:spPr>
          <a:gradFill>
            <a:gsLst>
              <a:gs pos="50000">
                <a:srgbClr val="40C4F4"/>
              </a:gs>
              <a:gs pos="0">
                <a:srgbClr val="80D8F8"/>
              </a:gs>
              <a:gs pos="100000">
                <a:srgbClr val="00B0F0"/>
              </a:gs>
            </a:gsLst>
            <a:lin ang="10800000" scaled="1"/>
          </a:gradFill>
          <a:ln>
            <a:noFill/>
          </a:ln>
          <a:effectLst>
            <a:outerShdw blurRad="50800" dist="38100" dir="5400000" algn="t" rotWithShape="0">
              <a:prstClr val="black">
                <a:alpha val="40000"/>
              </a:prstClr>
            </a:outerShdw>
          </a:effectLst>
        </c:spPr>
      </c:pivotFmt>
      <c:pivotFmt>
        <c:idx val="7"/>
        <c:spPr>
          <a:gradFill>
            <a:gsLst>
              <a:gs pos="50000">
                <a:srgbClr val="40C47C"/>
              </a:gs>
              <a:gs pos="0">
                <a:srgbClr val="80D8A8"/>
              </a:gs>
              <a:gs pos="100000">
                <a:srgbClr val="00B050"/>
              </a:gs>
            </a:gsLst>
            <a:lin ang="10800000" scaled="1"/>
          </a:gradFill>
          <a:ln>
            <a:noFill/>
          </a:ln>
          <a:effectLst>
            <a:outerShdw blurRad="50800" dist="38100" dir="5400000" algn="t" rotWithShape="0">
              <a:prstClr val="black">
                <a:alpha val="40000"/>
              </a:prstClr>
            </a:outerShdw>
          </a:effectLst>
        </c:spPr>
      </c:pivotFmt>
      <c:pivotFmt>
        <c:idx val="8"/>
        <c:spPr>
          <a:gradFill>
            <a:gsLst>
              <a:gs pos="50000">
                <a:srgbClr val="BDBDBD"/>
              </a:gs>
              <a:gs pos="0">
                <a:srgbClr val="D3D3D3"/>
              </a:gs>
              <a:gs pos="100000">
                <a:schemeClr val="bg1">
                  <a:lumMod val="65000"/>
                </a:schemeClr>
              </a:gs>
            </a:gsLst>
            <a:lin ang="10800000" scaled="1"/>
          </a:gradFill>
          <a:ln>
            <a:noFill/>
          </a:ln>
          <a:effectLst>
            <a:outerShdw blurRad="50800" dist="38100" dir="5400000" algn="t" rotWithShape="0">
              <a:prstClr val="black">
                <a:alpha val="40000"/>
              </a:prstClr>
            </a:outerShdw>
          </a:effectLst>
        </c:spPr>
      </c:pivotFmt>
      <c:pivotFmt>
        <c:idx val="9"/>
        <c:spPr>
          <a:gradFill>
            <a:gsLst>
              <a:gs pos="50000">
                <a:srgbClr val="F29E65"/>
              </a:gs>
              <a:gs pos="0">
                <a:srgbClr val="F6BE98"/>
              </a:gs>
              <a:gs pos="100000">
                <a:schemeClr val="accent2"/>
              </a:gs>
            </a:gsLst>
            <a:lin ang="10800000" scaled="1"/>
          </a:gradFill>
          <a:ln>
            <a:noFill/>
          </a:ln>
          <a:effectLst>
            <a:outerShdw blurRad="50800" dist="38100" dir="5400000" algn="t" rotWithShape="0">
              <a:prstClr val="black">
                <a:alpha val="40000"/>
              </a:prstClr>
            </a:outerShdw>
          </a:effectLst>
        </c:spPr>
      </c:pivotFmt>
      <c:pivotFmt>
        <c:idx val="10"/>
        <c:spPr>
          <a:gradFill>
            <a:gsLst>
              <a:gs pos="50000">
                <a:srgbClr val="FFD040"/>
              </a:gs>
              <a:gs pos="0">
                <a:srgbClr val="FFE080"/>
              </a:gs>
              <a:gs pos="100000">
                <a:schemeClr val="accent4"/>
              </a:gs>
            </a:gsLst>
            <a:lin ang="10800000" scaled="1"/>
          </a:gradFill>
          <a:ln>
            <a:noFill/>
          </a:ln>
          <a:effectLst>
            <a:outerShdw blurRad="50800" dist="38100" dir="5400000" algn="t" rotWithShape="0">
              <a:prstClr val="black">
                <a:alpha val="40000"/>
              </a:prstClr>
            </a:outerShdw>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'MASUK-CATEGORY'!$M$3</c:f>
              <c:strCache>
                <c:ptCount val="1"/>
                <c:pt idx="0">
                  <c:v>Total</c:v>
                </c:pt>
              </c:strCache>
            </c:strRef>
          </c:tx>
          <c:spPr>
            <a:solidFill>
              <a:schemeClr val="accent1"/>
            </a:solidFill>
            <a:ln>
              <a:noFill/>
            </a:ln>
            <a:effectLst/>
          </c:spPr>
          <c:invertIfNegative val="0"/>
          <c:cat>
            <c:strRef>
              <c:f>'MASUK-CATEGORY'!$L$4:$L$15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'MASUK-CATEGORY'!$M$4:$M$15</c:f>
              <c:numCache>
                <c:formatCode>General</c:formatCode>
                <c:ptCount val="11"/>
                <c:pt idx="0">
                  <c:v>277.5</c:v>
                </c:pt>
                <c:pt idx="1">
                  <c:v>148.9</c:v>
                </c:pt>
                <c:pt idx="2">
                  <c:v>3541.6</c:v>
                </c:pt>
                <c:pt idx="3">
                  <c:v>2217.1999999999998</c:v>
                </c:pt>
                <c:pt idx="4">
                  <c:v>21.9</c:v>
                </c:pt>
                <c:pt idx="5">
                  <c:v>4332</c:v>
                </c:pt>
                <c:pt idx="6">
                  <c:v>26723</c:v>
                </c:pt>
                <c:pt idx="7">
                  <c:v>117.5</c:v>
                </c:pt>
                <c:pt idx="8">
                  <c:v>1475</c:v>
                </c:pt>
                <c:pt idx="9">
                  <c:v>372.87</c:v>
                </c:pt>
                <c:pt idx="10">
                  <c:v>1418</c:v>
                </c:pt>
              </c:numCache>
            </c:numRef>
          </c:val>
          <c:extLst>
            <c:ext xmlns:c16="http://schemas.microsoft.com/office/drawing/2014/chart" uri="{C3380CC4-5D6E-409C-BE32-E72D297353CC}">
              <c16:uniqueId val="{00000000-B8EA-4149-AD69-DE413A8F2870}"/>
            </c:ext>
          </c:extLst>
        </c:ser>
        <c:dLbls>
          <c:showLegendKey val="0"/>
          <c:showVal val="0"/>
          <c:showCatName val="0"/>
          <c:showSerName val="0"/>
          <c:showPercent val="0"/>
          <c:showBubbleSize val="0"/>
        </c:dLbls>
        <c:gapWidth val="30"/>
        <c:axId val="570543775"/>
        <c:axId val="570545855"/>
      </c:barChart>
      <c:catAx>
        <c:axId val="57054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1" u="none" strike="noStrike" kern="1200" baseline="0">
                <a:solidFill>
                  <a:schemeClr val="bg1"/>
                </a:solidFill>
                <a:latin typeface="+mn-lt"/>
                <a:ea typeface="+mn-ea"/>
                <a:cs typeface="+mn-cs"/>
              </a:defRPr>
            </a:pPr>
            <a:endParaRPr lang="en-US"/>
          </a:p>
        </c:txPr>
        <c:crossAx val="570545855"/>
        <c:crosses val="autoZero"/>
        <c:auto val="1"/>
        <c:lblAlgn val="ctr"/>
        <c:lblOffset val="100"/>
        <c:noMultiLvlLbl val="0"/>
      </c:catAx>
      <c:valAx>
        <c:axId val="570545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1" u="none" strike="noStrike" kern="1200" baseline="0">
                <a:solidFill>
                  <a:schemeClr val="bg1"/>
                </a:solidFill>
                <a:latin typeface="+mn-lt"/>
                <a:ea typeface="+mn-ea"/>
                <a:cs typeface="+mn-cs"/>
              </a:defRPr>
            </a:pPr>
            <a:endParaRPr lang="en-US"/>
          </a:p>
        </c:txPr>
        <c:crossAx val="5705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B87C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PIVOT.xlsx]MASUK-COMPARISON!PivotTable9</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06092845252174E-2"/>
          <c:y val="0.10579910191948898"/>
          <c:w val="0.77141249958869973"/>
          <c:h val="0.72460397263441412"/>
        </c:manualLayout>
      </c:layout>
      <c:lineChart>
        <c:grouping val="standard"/>
        <c:varyColors val="0"/>
        <c:ser>
          <c:idx val="0"/>
          <c:order val="0"/>
          <c:tx>
            <c:strRef>
              <c:f>'MASUK-COMPARISON'!$C$3:$C$4</c:f>
              <c:strCache>
                <c:ptCount val="1"/>
                <c:pt idx="0">
                  <c:v>Bantas Lestari</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'MASUK-COMPARISON'!$C$5:$C$10</c:f>
              <c:numCache>
                <c:formatCode>General</c:formatCode>
                <c:ptCount val="5"/>
                <c:pt idx="0">
                  <c:v>0</c:v>
                </c:pt>
                <c:pt idx="1">
                  <c:v>0</c:v>
                </c:pt>
                <c:pt idx="2">
                  <c:v>0</c:v>
                </c:pt>
                <c:pt idx="3">
                  <c:v>50.87</c:v>
                </c:pt>
                <c:pt idx="4">
                  <c:v>0</c:v>
                </c:pt>
              </c:numCache>
            </c:numRef>
          </c:val>
          <c:smooth val="0"/>
          <c:extLst>
            <c:ext xmlns:c16="http://schemas.microsoft.com/office/drawing/2014/chart" uri="{C3380CC4-5D6E-409C-BE32-E72D297353CC}">
              <c16:uniqueId val="{00000002-1551-458D-ACF5-080DAC62F642}"/>
            </c:ext>
          </c:extLst>
        </c:ser>
        <c:ser>
          <c:idx val="1"/>
          <c:order val="1"/>
          <c:tx>
            <c:strRef>
              <c:f>'MASUK-COMPARISON'!$D$3:$D$4</c:f>
              <c:strCache>
                <c:ptCount val="1"/>
                <c:pt idx="0">
                  <c:v>Tambyak Lestari</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'MASUK-COMPARISON'!$D$5:$D$10</c:f>
              <c:numCache>
                <c:formatCode>General</c:formatCode>
                <c:ptCount val="5"/>
                <c:pt idx="0">
                  <c:v>110</c:v>
                </c:pt>
                <c:pt idx="1">
                  <c:v>0</c:v>
                </c:pt>
                <c:pt idx="2">
                  <c:v>66</c:v>
                </c:pt>
                <c:pt idx="3">
                  <c:v>0</c:v>
                </c:pt>
                <c:pt idx="4">
                  <c:v>0</c:v>
                </c:pt>
              </c:numCache>
            </c:numRef>
          </c:val>
          <c:smooth val="0"/>
          <c:extLst>
            <c:ext xmlns:c16="http://schemas.microsoft.com/office/drawing/2014/chart" uri="{C3380CC4-5D6E-409C-BE32-E72D297353CC}">
              <c16:uniqueId val="{00000003-1551-458D-ACF5-080DAC62F642}"/>
            </c:ext>
          </c:extLst>
        </c:ser>
        <c:ser>
          <c:idx val="2"/>
          <c:order val="2"/>
          <c:tx>
            <c:strRef>
              <c:f>'MASUK-COMPARISON'!$E$3:$E$4</c:f>
              <c:strCache>
                <c:ptCount val="1"/>
                <c:pt idx="0">
                  <c:v>TPS3R Bayu Suci</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'MASUK-COMPARISON'!$E$5:$E$10</c:f>
              <c:numCache>
                <c:formatCode>General</c:formatCode>
                <c:ptCount val="5"/>
                <c:pt idx="0">
                  <c:v>16</c:v>
                </c:pt>
                <c:pt idx="1">
                  <c:v>0</c:v>
                </c:pt>
                <c:pt idx="2">
                  <c:v>0</c:v>
                </c:pt>
                <c:pt idx="3">
                  <c:v>0</c:v>
                </c:pt>
                <c:pt idx="4">
                  <c:v>60</c:v>
                </c:pt>
              </c:numCache>
            </c:numRef>
          </c:val>
          <c:smooth val="0"/>
          <c:extLst>
            <c:ext xmlns:c16="http://schemas.microsoft.com/office/drawing/2014/chart" uri="{C3380CC4-5D6E-409C-BE32-E72D297353CC}">
              <c16:uniqueId val="{00000004-1551-458D-ACF5-080DAC62F642}"/>
            </c:ext>
          </c:extLst>
        </c:ser>
        <c:ser>
          <c:idx val="3"/>
          <c:order val="3"/>
          <c:tx>
            <c:strRef>
              <c:f>'MASUK-COMPARISON'!$F$3:$F$4</c:f>
              <c:strCache>
                <c:ptCount val="1"/>
                <c:pt idx="0">
                  <c:v>TPS3R Bindu</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'MASUK-COMPARISON'!$F$5:$F$10</c:f>
              <c:numCache>
                <c:formatCode>General</c:formatCode>
                <c:ptCount val="5"/>
                <c:pt idx="0">
                  <c:v>0</c:v>
                </c:pt>
                <c:pt idx="1">
                  <c:v>18</c:v>
                </c:pt>
                <c:pt idx="2">
                  <c:v>0</c:v>
                </c:pt>
                <c:pt idx="3">
                  <c:v>0</c:v>
                </c:pt>
                <c:pt idx="4">
                  <c:v>10</c:v>
                </c:pt>
              </c:numCache>
            </c:numRef>
          </c:val>
          <c:smooth val="0"/>
          <c:extLst>
            <c:ext xmlns:c16="http://schemas.microsoft.com/office/drawing/2014/chart" uri="{C3380CC4-5D6E-409C-BE32-E72D297353CC}">
              <c16:uniqueId val="{00000005-1551-458D-ACF5-080DAC62F642}"/>
            </c:ext>
          </c:extLst>
        </c:ser>
        <c:ser>
          <c:idx val="4"/>
          <c:order val="4"/>
          <c:tx>
            <c:strRef>
              <c:f>'MASUK-COMPARISON'!$G$3:$G$4</c:f>
              <c:strCache>
                <c:ptCount val="1"/>
                <c:pt idx="0">
                  <c:v>TPS3R Rumah Hijau</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'MASUK-COMPARISON'!$G$5:$G$10</c:f>
              <c:numCache>
                <c:formatCode>General</c:formatCode>
                <c:ptCount val="5"/>
                <c:pt idx="0">
                  <c:v>19</c:v>
                </c:pt>
                <c:pt idx="1">
                  <c:v>0</c:v>
                </c:pt>
                <c:pt idx="2">
                  <c:v>0</c:v>
                </c:pt>
                <c:pt idx="3">
                  <c:v>0</c:v>
                </c:pt>
                <c:pt idx="4">
                  <c:v>23</c:v>
                </c:pt>
              </c:numCache>
            </c:numRef>
          </c:val>
          <c:smooth val="0"/>
          <c:extLst>
            <c:ext xmlns:c16="http://schemas.microsoft.com/office/drawing/2014/chart" uri="{C3380CC4-5D6E-409C-BE32-E72D297353CC}">
              <c16:uniqueId val="{00000006-1551-458D-ACF5-080DAC62F642}"/>
            </c:ext>
          </c:extLst>
        </c:ser>
        <c:dLbls>
          <c:showLegendKey val="0"/>
          <c:showVal val="0"/>
          <c:showCatName val="0"/>
          <c:showSerName val="0"/>
          <c:showPercent val="0"/>
          <c:showBubbleSize val="0"/>
        </c:dLbls>
        <c:marker val="1"/>
        <c:smooth val="0"/>
        <c:axId val="664111248"/>
        <c:axId val="664106256"/>
      </c:lineChart>
      <c:catAx>
        <c:axId val="664111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sz="1400">
                    <a:solidFill>
                      <a:schemeClr val="accent1"/>
                    </a:solidFill>
                  </a:rPr>
                  <a:t>Periode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1" u="none" strike="noStrike" kern="1200" baseline="0">
                <a:solidFill>
                  <a:srgbClr val="3B87CD"/>
                </a:solidFill>
                <a:latin typeface="Bodoni MT" panose="02070603080606020203" pitchFamily="18" charset="0"/>
                <a:ea typeface="+mn-ea"/>
                <a:cs typeface="+mn-cs"/>
              </a:defRPr>
            </a:pPr>
            <a:endParaRPr lang="en-US"/>
          </a:p>
        </c:txPr>
        <c:crossAx val="664106256"/>
        <c:crosses val="autoZero"/>
        <c:auto val="1"/>
        <c:lblAlgn val="ctr"/>
        <c:lblOffset val="100"/>
        <c:noMultiLvlLbl val="0"/>
      </c:catAx>
      <c:valAx>
        <c:axId val="664106256"/>
        <c:scaling>
          <c:orientation val="minMax"/>
        </c:scaling>
        <c:delete val="0"/>
        <c:axPos val="l"/>
        <c:majorGridlines>
          <c:spPr>
            <a:ln w="31750" cap="flat" cmpd="sng" algn="ctr">
              <a:solidFill>
                <a:srgbClr val="4B91D1">
                  <a:alpha val="33000"/>
                </a:srgbClr>
              </a:solidFill>
              <a:round/>
            </a:ln>
            <a:effectLst>
              <a:outerShdw blurRad="50800" dist="38100" dir="5400000" algn="t" rotWithShape="0">
                <a:prstClr val="black">
                  <a:alpha val="40000"/>
                </a:prstClr>
              </a:outerShdw>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sz="1600" i="1">
                    <a:solidFill>
                      <a:srgbClr val="3B87CD"/>
                    </a:solidFill>
                  </a:rPr>
                  <a:t>Jumlah UBC (Kg)</a:t>
                </a:r>
              </a:p>
            </c:rich>
          </c:tx>
          <c:layout>
            <c:manualLayout>
              <c:xMode val="edge"/>
              <c:yMode val="edge"/>
              <c:x val="3.4391759491675163E-3"/>
              <c:y val="0.2680026463634194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1" u="none" strike="noStrike" kern="1200" baseline="0">
                <a:solidFill>
                  <a:srgbClr val="3B87CD"/>
                </a:solidFill>
                <a:latin typeface="Bodoni MT" panose="02070603080606020203" pitchFamily="18" charset="0"/>
                <a:ea typeface="+mn-ea"/>
                <a:cs typeface="+mn-cs"/>
              </a:defRPr>
            </a:pPr>
            <a:endParaRPr lang="en-US"/>
          </a:p>
        </c:txPr>
        <c:crossAx val="664111248"/>
        <c:crosses val="autoZero"/>
        <c:crossBetween val="between"/>
      </c:valAx>
      <c:spPr>
        <a:noFill/>
        <a:ln>
          <a:noFill/>
        </a:ln>
        <a:effectLst/>
      </c:spPr>
    </c:plotArea>
    <c:legend>
      <c:legendPos val="r"/>
      <c:layout>
        <c:manualLayout>
          <c:xMode val="edge"/>
          <c:yMode val="edge"/>
          <c:x val="0.85146359372734493"/>
          <c:y val="3.3211893289458221E-2"/>
          <c:w val="0.12841352167637646"/>
          <c:h val="0.29916046808378199"/>
        </c:manualLayout>
      </c:layout>
      <c:overlay val="0"/>
      <c:spPr>
        <a:noFill/>
        <a:ln>
          <a:noFill/>
        </a:ln>
        <a:effectLst/>
      </c:spPr>
      <c:txPr>
        <a:bodyPr rot="0" spcFirstLastPara="1" vertOverflow="ellipsis" vert="horz" wrap="square" anchor="ctr" anchorCtr="1"/>
        <a:lstStyle/>
        <a:p>
          <a:pPr>
            <a:defRPr sz="1800" b="0" i="1" u="none" strike="noStrike" kern="1200" baseline="0">
              <a:solidFill>
                <a:srgbClr val="3B87CD"/>
              </a:solidFill>
              <a:latin typeface="Bodoni MT" panose="020706030806060202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PIVOT.xlsx]MASUK-COMPARISON!PivotTable9</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48489654340911E-2"/>
          <c:y val="6.6066066066066062E-2"/>
          <c:w val="0.63278094655129236"/>
          <c:h val="0.71365727932657075"/>
        </c:manualLayout>
      </c:layout>
      <c:lineChart>
        <c:grouping val="standard"/>
        <c:varyColors val="0"/>
        <c:ser>
          <c:idx val="0"/>
          <c:order val="0"/>
          <c:tx>
            <c:strRef>
              <c:f>'MASUK-COMPARISON'!$C$3:$C$4</c:f>
              <c:strCache>
                <c:ptCount val="1"/>
                <c:pt idx="0">
                  <c:v>Bantas Lestari</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'MASUK-COMPARISON'!$C$5:$C$10</c:f>
              <c:numCache>
                <c:formatCode>General</c:formatCode>
                <c:ptCount val="5"/>
                <c:pt idx="0">
                  <c:v>0</c:v>
                </c:pt>
                <c:pt idx="1">
                  <c:v>0</c:v>
                </c:pt>
                <c:pt idx="2">
                  <c:v>0</c:v>
                </c:pt>
                <c:pt idx="3">
                  <c:v>50.87</c:v>
                </c:pt>
                <c:pt idx="4">
                  <c:v>0</c:v>
                </c:pt>
              </c:numCache>
            </c:numRef>
          </c:val>
          <c:smooth val="0"/>
          <c:extLst>
            <c:ext xmlns:c16="http://schemas.microsoft.com/office/drawing/2014/chart" uri="{C3380CC4-5D6E-409C-BE32-E72D297353CC}">
              <c16:uniqueId val="{00000001-AE1E-43D2-ACF1-4455F67F0ECD}"/>
            </c:ext>
          </c:extLst>
        </c:ser>
        <c:ser>
          <c:idx val="1"/>
          <c:order val="1"/>
          <c:tx>
            <c:strRef>
              <c:f>'MASUK-COMPARISON'!$D$3:$D$4</c:f>
              <c:strCache>
                <c:ptCount val="1"/>
                <c:pt idx="0">
                  <c:v>Tambyak Lestari</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'MASUK-COMPARISON'!$D$5:$D$10</c:f>
              <c:numCache>
                <c:formatCode>General</c:formatCode>
                <c:ptCount val="5"/>
                <c:pt idx="0">
                  <c:v>110</c:v>
                </c:pt>
                <c:pt idx="1">
                  <c:v>0</c:v>
                </c:pt>
                <c:pt idx="2">
                  <c:v>66</c:v>
                </c:pt>
                <c:pt idx="3">
                  <c:v>0</c:v>
                </c:pt>
                <c:pt idx="4">
                  <c:v>0</c:v>
                </c:pt>
              </c:numCache>
            </c:numRef>
          </c:val>
          <c:smooth val="0"/>
          <c:extLst>
            <c:ext xmlns:c16="http://schemas.microsoft.com/office/drawing/2014/chart" uri="{C3380CC4-5D6E-409C-BE32-E72D297353CC}">
              <c16:uniqueId val="{00000002-AE1E-43D2-ACF1-4455F67F0ECD}"/>
            </c:ext>
          </c:extLst>
        </c:ser>
        <c:ser>
          <c:idx val="2"/>
          <c:order val="2"/>
          <c:tx>
            <c:strRef>
              <c:f>'MASUK-COMPARISON'!$E$3:$E$4</c:f>
              <c:strCache>
                <c:ptCount val="1"/>
                <c:pt idx="0">
                  <c:v>TPS3R Bayu Suci</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'MASUK-COMPARISON'!$E$5:$E$10</c:f>
              <c:numCache>
                <c:formatCode>General</c:formatCode>
                <c:ptCount val="5"/>
                <c:pt idx="0">
                  <c:v>16</c:v>
                </c:pt>
                <c:pt idx="1">
                  <c:v>0</c:v>
                </c:pt>
                <c:pt idx="2">
                  <c:v>0</c:v>
                </c:pt>
                <c:pt idx="3">
                  <c:v>0</c:v>
                </c:pt>
                <c:pt idx="4">
                  <c:v>60</c:v>
                </c:pt>
              </c:numCache>
            </c:numRef>
          </c:val>
          <c:smooth val="0"/>
          <c:extLst>
            <c:ext xmlns:c16="http://schemas.microsoft.com/office/drawing/2014/chart" uri="{C3380CC4-5D6E-409C-BE32-E72D297353CC}">
              <c16:uniqueId val="{00000003-AE1E-43D2-ACF1-4455F67F0ECD}"/>
            </c:ext>
          </c:extLst>
        </c:ser>
        <c:ser>
          <c:idx val="3"/>
          <c:order val="3"/>
          <c:tx>
            <c:strRef>
              <c:f>'MASUK-COMPARISON'!$F$3:$F$4</c:f>
              <c:strCache>
                <c:ptCount val="1"/>
                <c:pt idx="0">
                  <c:v>TPS3R Bindu</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'MASUK-COMPARISON'!$F$5:$F$10</c:f>
              <c:numCache>
                <c:formatCode>General</c:formatCode>
                <c:ptCount val="5"/>
                <c:pt idx="0">
                  <c:v>0</c:v>
                </c:pt>
                <c:pt idx="1">
                  <c:v>18</c:v>
                </c:pt>
                <c:pt idx="2">
                  <c:v>0</c:v>
                </c:pt>
                <c:pt idx="3">
                  <c:v>0</c:v>
                </c:pt>
                <c:pt idx="4">
                  <c:v>10</c:v>
                </c:pt>
              </c:numCache>
            </c:numRef>
          </c:val>
          <c:smooth val="0"/>
          <c:extLst>
            <c:ext xmlns:c16="http://schemas.microsoft.com/office/drawing/2014/chart" uri="{C3380CC4-5D6E-409C-BE32-E72D297353CC}">
              <c16:uniqueId val="{00000004-AE1E-43D2-ACF1-4455F67F0ECD}"/>
            </c:ext>
          </c:extLst>
        </c:ser>
        <c:ser>
          <c:idx val="4"/>
          <c:order val="4"/>
          <c:tx>
            <c:strRef>
              <c:f>'MASUK-COMPARISON'!$G$3:$G$4</c:f>
              <c:strCache>
                <c:ptCount val="1"/>
                <c:pt idx="0">
                  <c:v>TPS3R Rumah Hijau</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'MASUK-COMPARISON'!$B$5:$B$10</c:f>
              <c:strCache>
                <c:ptCount val="5"/>
                <c:pt idx="0">
                  <c:v>(01) JAN</c:v>
                </c:pt>
                <c:pt idx="1">
                  <c:v>(02) FEB</c:v>
                </c:pt>
                <c:pt idx="2">
                  <c:v>(03) MAR</c:v>
                </c:pt>
                <c:pt idx="3">
                  <c:v>(04) APR</c:v>
                </c:pt>
                <c:pt idx="4">
                  <c:v>(05) MEI</c:v>
                </c:pt>
              </c:strCache>
            </c:strRef>
          </c:cat>
          <c:val>
            <c:numRef>
              <c:f>'MASUK-COMPARISON'!$G$5:$G$10</c:f>
              <c:numCache>
                <c:formatCode>General</c:formatCode>
                <c:ptCount val="5"/>
                <c:pt idx="0">
                  <c:v>19</c:v>
                </c:pt>
                <c:pt idx="1">
                  <c:v>0</c:v>
                </c:pt>
                <c:pt idx="2">
                  <c:v>0</c:v>
                </c:pt>
                <c:pt idx="3">
                  <c:v>0</c:v>
                </c:pt>
                <c:pt idx="4">
                  <c:v>23</c:v>
                </c:pt>
              </c:numCache>
            </c:numRef>
          </c:val>
          <c:smooth val="0"/>
          <c:extLst>
            <c:ext xmlns:c16="http://schemas.microsoft.com/office/drawing/2014/chart" uri="{C3380CC4-5D6E-409C-BE32-E72D297353CC}">
              <c16:uniqueId val="{00000005-AE1E-43D2-ACF1-4455F67F0ECD}"/>
            </c:ext>
          </c:extLst>
        </c:ser>
        <c:dLbls>
          <c:showLegendKey val="0"/>
          <c:showVal val="0"/>
          <c:showCatName val="0"/>
          <c:showSerName val="0"/>
          <c:showPercent val="0"/>
          <c:showBubbleSize val="0"/>
        </c:dLbls>
        <c:marker val="1"/>
        <c:smooth val="0"/>
        <c:axId val="664111248"/>
        <c:axId val="664106256"/>
      </c:lineChart>
      <c:catAx>
        <c:axId val="6641112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06256"/>
        <c:crosses val="autoZero"/>
        <c:auto val="1"/>
        <c:lblAlgn val="ctr"/>
        <c:lblOffset val="100"/>
        <c:noMultiLvlLbl val="0"/>
      </c:catAx>
      <c:valAx>
        <c:axId val="66410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11248"/>
        <c:crosses val="autoZero"/>
        <c:crossBetween val="between"/>
      </c:valAx>
      <c:spPr>
        <a:noFill/>
        <a:ln>
          <a:noFill/>
        </a:ln>
        <a:effectLst/>
      </c:spPr>
    </c:plotArea>
    <c:legend>
      <c:legendPos val="r"/>
      <c:layout>
        <c:manualLayout>
          <c:xMode val="edge"/>
          <c:yMode val="edge"/>
          <c:x val="0.75385507175496502"/>
          <c:y val="9.2913385826771652E-2"/>
          <c:w val="0.24614506738354286"/>
          <c:h val="0.69537679411695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PIVOT.xlsx]UNTUK PITRIA!PivotTable1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'UNTUK PITRIA'!$E$3:$E$4</c:f>
              <c:strCache>
                <c:ptCount val="1"/>
                <c:pt idx="0">
                  <c:v>(01) JAN</c:v>
                </c:pt>
              </c:strCache>
            </c:strRef>
          </c:tx>
          <c:spPr>
            <a:solidFill>
              <a:schemeClr val="accent1"/>
            </a:solidFill>
            <a:ln>
              <a:noFill/>
            </a:ln>
            <a:effectLst/>
          </c:spPr>
          <c:invertIfNegative val="0"/>
          <c:cat>
            <c:strRef>
              <c:f>'UNTUK PITRIA'!$D$5:$D$9</c:f>
              <c:strCache>
                <c:ptCount val="5"/>
                <c:pt idx="0">
                  <c:v>KMK MASUK(Kg)</c:v>
                </c:pt>
                <c:pt idx="1">
                  <c:v>KMK KELUAR (Kg)</c:v>
                </c:pt>
                <c:pt idx="2">
                  <c:v>Susut ecoBali (Kg)</c:v>
                </c:pt>
                <c:pt idx="3">
                  <c:v>KMK Bulan Lalu (Kg)</c:v>
                </c:pt>
                <c:pt idx="4">
                  <c:v>KMK untuk bulan depan (Kg)</c:v>
                </c:pt>
              </c:strCache>
            </c:strRef>
          </c:cat>
          <c:val>
            <c:numRef>
              <c:f>'UNTUK PITRIA'!$E$5:$E$9</c:f>
              <c:numCache>
                <c:formatCode>General</c:formatCode>
                <c:ptCount val="5"/>
                <c:pt idx="0">
                  <c:v>9566.2999999999993</c:v>
                </c:pt>
                <c:pt idx="1">
                  <c:v>9270</c:v>
                </c:pt>
                <c:pt idx="2">
                  <c:v>413.39999999999964</c:v>
                </c:pt>
                <c:pt idx="3">
                  <c:v>5257</c:v>
                </c:pt>
                <c:pt idx="4">
                  <c:v>5139.8999999999996</c:v>
                </c:pt>
              </c:numCache>
            </c:numRef>
          </c:val>
          <c:extLst>
            <c:ext xmlns:c16="http://schemas.microsoft.com/office/drawing/2014/chart" uri="{C3380CC4-5D6E-409C-BE32-E72D297353CC}">
              <c16:uniqueId val="{00000001-C98A-4039-B20A-F83668E18C3F}"/>
            </c:ext>
          </c:extLst>
        </c:ser>
        <c:ser>
          <c:idx val="1"/>
          <c:order val="1"/>
          <c:tx>
            <c:strRef>
              <c:f>'UNTUK PITRIA'!$F$3:$F$4</c:f>
              <c:strCache>
                <c:ptCount val="1"/>
                <c:pt idx="0">
                  <c:v>(02) FEB</c:v>
                </c:pt>
              </c:strCache>
            </c:strRef>
          </c:tx>
          <c:spPr>
            <a:solidFill>
              <a:schemeClr val="accent2"/>
            </a:solidFill>
            <a:ln>
              <a:noFill/>
            </a:ln>
            <a:effectLst/>
          </c:spPr>
          <c:invertIfNegative val="0"/>
          <c:cat>
            <c:strRef>
              <c:f>'UNTUK PITRIA'!$D$5:$D$9</c:f>
              <c:strCache>
                <c:ptCount val="5"/>
                <c:pt idx="0">
                  <c:v>KMK MASUK(Kg)</c:v>
                </c:pt>
                <c:pt idx="1">
                  <c:v>KMK KELUAR (Kg)</c:v>
                </c:pt>
                <c:pt idx="2">
                  <c:v>Susut ecoBali (Kg)</c:v>
                </c:pt>
                <c:pt idx="3">
                  <c:v>KMK Bulan Lalu (Kg)</c:v>
                </c:pt>
                <c:pt idx="4">
                  <c:v>KMK untuk bulan depan (Kg)</c:v>
                </c:pt>
              </c:strCache>
            </c:strRef>
          </c:cat>
          <c:val>
            <c:numRef>
              <c:f>'UNTUK PITRIA'!$F$5:$F$9</c:f>
              <c:numCache>
                <c:formatCode>General</c:formatCode>
                <c:ptCount val="5"/>
                <c:pt idx="0">
                  <c:v>7967.8</c:v>
                </c:pt>
                <c:pt idx="1">
                  <c:v>11758</c:v>
                </c:pt>
                <c:pt idx="2">
                  <c:v>1102.2000000000007</c:v>
                </c:pt>
                <c:pt idx="3">
                  <c:v>5139.8999999999996</c:v>
                </c:pt>
                <c:pt idx="4">
                  <c:v>247.5</c:v>
                </c:pt>
              </c:numCache>
            </c:numRef>
          </c:val>
          <c:extLst>
            <c:ext xmlns:c16="http://schemas.microsoft.com/office/drawing/2014/chart" uri="{C3380CC4-5D6E-409C-BE32-E72D297353CC}">
              <c16:uniqueId val="{00000002-C98A-4039-B20A-F83668E18C3F}"/>
            </c:ext>
          </c:extLst>
        </c:ser>
        <c:ser>
          <c:idx val="2"/>
          <c:order val="2"/>
          <c:tx>
            <c:strRef>
              <c:f>'UNTUK PITRIA'!$G$3:$G$4</c:f>
              <c:strCache>
                <c:ptCount val="1"/>
                <c:pt idx="0">
                  <c:v>(03) MAR</c:v>
                </c:pt>
              </c:strCache>
            </c:strRef>
          </c:tx>
          <c:spPr>
            <a:solidFill>
              <a:schemeClr val="accent3"/>
            </a:solidFill>
            <a:ln>
              <a:noFill/>
            </a:ln>
            <a:effectLst/>
          </c:spPr>
          <c:invertIfNegative val="0"/>
          <c:cat>
            <c:strRef>
              <c:f>'UNTUK PITRIA'!$D$5:$D$9</c:f>
              <c:strCache>
                <c:ptCount val="5"/>
                <c:pt idx="0">
                  <c:v>KMK MASUK(Kg)</c:v>
                </c:pt>
                <c:pt idx="1">
                  <c:v>KMK KELUAR (Kg)</c:v>
                </c:pt>
                <c:pt idx="2">
                  <c:v>Susut ecoBali (Kg)</c:v>
                </c:pt>
                <c:pt idx="3">
                  <c:v>KMK Bulan Lalu (Kg)</c:v>
                </c:pt>
                <c:pt idx="4">
                  <c:v>KMK untuk bulan depan (Kg)</c:v>
                </c:pt>
              </c:strCache>
            </c:strRef>
          </c:cat>
          <c:val>
            <c:numRef>
              <c:f>'UNTUK PITRIA'!$G$5:$G$9</c:f>
              <c:numCache>
                <c:formatCode>General</c:formatCode>
                <c:ptCount val="5"/>
                <c:pt idx="0">
                  <c:v>9277</c:v>
                </c:pt>
                <c:pt idx="1">
                  <c:v>8985</c:v>
                </c:pt>
                <c:pt idx="2">
                  <c:v>539.10000000000036</c:v>
                </c:pt>
                <c:pt idx="3">
                  <c:v>247.5</c:v>
                </c:pt>
                <c:pt idx="4">
                  <c:v>0.3999999999996362</c:v>
                </c:pt>
              </c:numCache>
            </c:numRef>
          </c:val>
          <c:extLst>
            <c:ext xmlns:c16="http://schemas.microsoft.com/office/drawing/2014/chart" uri="{C3380CC4-5D6E-409C-BE32-E72D297353CC}">
              <c16:uniqueId val="{00000003-C98A-4039-B20A-F83668E18C3F}"/>
            </c:ext>
          </c:extLst>
        </c:ser>
        <c:ser>
          <c:idx val="3"/>
          <c:order val="3"/>
          <c:tx>
            <c:strRef>
              <c:f>'UNTUK PITRIA'!$H$3:$H$4</c:f>
              <c:strCache>
                <c:ptCount val="1"/>
                <c:pt idx="0">
                  <c:v>(04) APR</c:v>
                </c:pt>
              </c:strCache>
            </c:strRef>
          </c:tx>
          <c:spPr>
            <a:solidFill>
              <a:schemeClr val="accent4"/>
            </a:solidFill>
            <a:ln>
              <a:noFill/>
            </a:ln>
            <a:effectLst/>
          </c:spPr>
          <c:invertIfNegative val="0"/>
          <c:cat>
            <c:strRef>
              <c:f>'UNTUK PITRIA'!$D$5:$D$9</c:f>
              <c:strCache>
                <c:ptCount val="5"/>
                <c:pt idx="0">
                  <c:v>KMK MASUK(Kg)</c:v>
                </c:pt>
                <c:pt idx="1">
                  <c:v>KMK KELUAR (Kg)</c:v>
                </c:pt>
                <c:pt idx="2">
                  <c:v>Susut ecoBali (Kg)</c:v>
                </c:pt>
                <c:pt idx="3">
                  <c:v>KMK Bulan Lalu (Kg)</c:v>
                </c:pt>
                <c:pt idx="4">
                  <c:v>KMK untuk bulan depan (Kg)</c:v>
                </c:pt>
              </c:strCache>
            </c:strRef>
          </c:cat>
          <c:val>
            <c:numRef>
              <c:f>'UNTUK PITRIA'!$H$5:$H$9</c:f>
              <c:numCache>
                <c:formatCode>General</c:formatCode>
                <c:ptCount val="5"/>
                <c:pt idx="0">
                  <c:v>10062.870000000001</c:v>
                </c:pt>
                <c:pt idx="1">
                  <c:v>8373</c:v>
                </c:pt>
                <c:pt idx="2">
                  <c:v>215.96999999999935</c:v>
                </c:pt>
                <c:pt idx="3">
                  <c:v>0.3999999999996362</c:v>
                </c:pt>
                <c:pt idx="4">
                  <c:v>1474.3000000000011</c:v>
                </c:pt>
              </c:numCache>
            </c:numRef>
          </c:val>
          <c:extLst>
            <c:ext xmlns:c16="http://schemas.microsoft.com/office/drawing/2014/chart" uri="{C3380CC4-5D6E-409C-BE32-E72D297353CC}">
              <c16:uniqueId val="{00000004-C98A-4039-B20A-F83668E18C3F}"/>
            </c:ext>
          </c:extLst>
        </c:ser>
        <c:dLbls>
          <c:showLegendKey val="0"/>
          <c:showVal val="0"/>
          <c:showCatName val="0"/>
          <c:showSerName val="0"/>
          <c:showPercent val="0"/>
          <c:showBubbleSize val="0"/>
        </c:dLbls>
        <c:gapWidth val="219"/>
        <c:overlap val="-27"/>
        <c:axId val="1942438144"/>
        <c:axId val="1942418176"/>
      </c:barChart>
      <c:catAx>
        <c:axId val="194243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18176"/>
        <c:crosses val="autoZero"/>
        <c:auto val="1"/>
        <c:lblAlgn val="ctr"/>
        <c:lblOffset val="100"/>
        <c:noMultiLvlLbl val="0"/>
      </c:catAx>
      <c:valAx>
        <c:axId val="194241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3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(01) JAN</c:v>
          </c:tx>
          <c:spPr>
            <a:solidFill>
              <a:schemeClr val="accent1"/>
            </a:solidFill>
            <a:ln>
              <a:noFill/>
            </a:ln>
            <a:effectLst/>
          </c:spPr>
          <c:invertIfNegative val="0"/>
          <c:cat>
            <c:strLit>
              <c:ptCount val="5"/>
              <c:pt idx="0">
                <c:v>Sum of Collected by ecoBali (Kg)</c:v>
              </c:pt>
              <c:pt idx="1">
                <c:v>Sum of Delivered to Papermill (Kg)</c:v>
              </c:pt>
              <c:pt idx="2">
                <c:v>Sum of Weighing scale Gap ecoBali (Kg)</c:v>
              </c:pt>
              <c:pt idx="3">
                <c:v>Sum of Sisa KMK Bulan Lalu (Kg)</c:v>
              </c:pt>
              <c:pt idx="4">
                <c:v>Sum of Sisa KMK untuk bulan depan (Kg)</c:v>
              </c:pt>
            </c:strLit>
          </c:cat>
          <c:val>
            <c:numLit>
              <c:formatCode>General</c:formatCode>
              <c:ptCount val="5"/>
              <c:pt idx="0">
                <c:v>9566.2999999999993</c:v>
              </c:pt>
              <c:pt idx="1">
                <c:v>9270</c:v>
              </c:pt>
              <c:pt idx="2">
                <c:v>418.5</c:v>
              </c:pt>
              <c:pt idx="3">
                <c:v>5257</c:v>
              </c:pt>
              <c:pt idx="4">
                <c:v>5134.7999999999993</c:v>
              </c:pt>
            </c:numLit>
          </c:val>
          <c:extLst>
            <c:ext xmlns:c16="http://schemas.microsoft.com/office/drawing/2014/chart" uri="{C3380CC4-5D6E-409C-BE32-E72D297353CC}">
              <c16:uniqueId val="{00000001-83A2-4D09-B8F5-A64D70E64F20}"/>
            </c:ext>
          </c:extLst>
        </c:ser>
        <c:ser>
          <c:idx val="1"/>
          <c:order val="1"/>
          <c:tx>
            <c:v>(02) FEB</c:v>
          </c:tx>
          <c:spPr>
            <a:solidFill>
              <a:schemeClr val="accent2"/>
            </a:solidFill>
            <a:ln>
              <a:noFill/>
            </a:ln>
            <a:effectLst/>
          </c:spPr>
          <c:invertIfNegative val="0"/>
          <c:cat>
            <c:strLit>
              <c:ptCount val="5"/>
              <c:pt idx="0">
                <c:v>Sum of Collected by ecoBali (Kg)</c:v>
              </c:pt>
              <c:pt idx="1">
                <c:v>Sum of Delivered to Papermill (Kg)</c:v>
              </c:pt>
              <c:pt idx="2">
                <c:v>Sum of Weighing scale Gap ecoBali (Kg)</c:v>
              </c:pt>
              <c:pt idx="3">
                <c:v>Sum of Sisa KMK Bulan Lalu (Kg)</c:v>
              </c:pt>
              <c:pt idx="4">
                <c:v>Sum of Sisa KMK untuk bulan depan (Kg)</c:v>
              </c:pt>
            </c:strLit>
          </c:cat>
          <c:val>
            <c:numLit>
              <c:formatCode>General</c:formatCode>
              <c:ptCount val="5"/>
              <c:pt idx="0">
                <c:v>7967.8</c:v>
              </c:pt>
              <c:pt idx="1">
                <c:v>11758</c:v>
              </c:pt>
              <c:pt idx="2">
                <c:v>1097.3</c:v>
              </c:pt>
              <c:pt idx="3">
                <c:v>5134.7999999999993</c:v>
              </c:pt>
              <c:pt idx="4">
                <c:v>247.29999999999859</c:v>
              </c:pt>
            </c:numLit>
          </c:val>
          <c:extLst>
            <c:ext xmlns:c16="http://schemas.microsoft.com/office/drawing/2014/chart" uri="{C3380CC4-5D6E-409C-BE32-E72D297353CC}">
              <c16:uniqueId val="{00000002-83A2-4D09-B8F5-A64D70E64F20}"/>
            </c:ext>
          </c:extLst>
        </c:ser>
        <c:ser>
          <c:idx val="2"/>
          <c:order val="2"/>
          <c:tx>
            <c:v>(03) MAR</c:v>
          </c:tx>
          <c:spPr>
            <a:solidFill>
              <a:schemeClr val="accent3"/>
            </a:solidFill>
            <a:ln>
              <a:noFill/>
            </a:ln>
            <a:effectLst/>
          </c:spPr>
          <c:invertIfNegative val="0"/>
          <c:cat>
            <c:strLit>
              <c:ptCount val="5"/>
              <c:pt idx="0">
                <c:v>Sum of Collected by ecoBali (Kg)</c:v>
              </c:pt>
              <c:pt idx="1">
                <c:v>Sum of Delivered to Papermill (Kg)</c:v>
              </c:pt>
              <c:pt idx="2">
                <c:v>Sum of Weighing scale Gap ecoBali (Kg)</c:v>
              </c:pt>
              <c:pt idx="3">
                <c:v>Sum of Sisa KMK Bulan Lalu (Kg)</c:v>
              </c:pt>
              <c:pt idx="4">
                <c:v>Sum of Sisa KMK untuk bulan depan (Kg)</c:v>
              </c:pt>
            </c:strLit>
          </c:cat>
          <c:val>
            <c:numLit>
              <c:formatCode>General</c:formatCode>
              <c:ptCount val="5"/>
              <c:pt idx="0">
                <c:v>9277</c:v>
              </c:pt>
              <c:pt idx="1">
                <c:v>8985</c:v>
              </c:pt>
              <c:pt idx="2">
                <c:v>539.29999999999995</c:v>
              </c:pt>
              <c:pt idx="3">
                <c:v>247.29999999999859</c:v>
              </c:pt>
              <c:pt idx="4">
                <c:v>0</c:v>
              </c:pt>
            </c:numLit>
          </c:val>
          <c:extLst>
            <c:ext xmlns:c16="http://schemas.microsoft.com/office/drawing/2014/chart" uri="{C3380CC4-5D6E-409C-BE32-E72D297353CC}">
              <c16:uniqueId val="{00000003-83A2-4D09-B8F5-A64D70E64F20}"/>
            </c:ext>
          </c:extLst>
        </c:ser>
        <c:ser>
          <c:idx val="3"/>
          <c:order val="3"/>
          <c:tx>
            <c:v>(04) APR</c:v>
          </c:tx>
          <c:spPr>
            <a:solidFill>
              <a:schemeClr val="accent4"/>
            </a:solidFill>
            <a:ln>
              <a:noFill/>
            </a:ln>
            <a:effectLst/>
          </c:spPr>
          <c:invertIfNegative val="0"/>
          <c:cat>
            <c:strLit>
              <c:ptCount val="5"/>
              <c:pt idx="0">
                <c:v>Sum of Collected by ecoBali (Kg)</c:v>
              </c:pt>
              <c:pt idx="1">
                <c:v>Sum of Delivered to Papermill (Kg)</c:v>
              </c:pt>
              <c:pt idx="2">
                <c:v>Sum of Weighing scale Gap ecoBali (Kg)</c:v>
              </c:pt>
              <c:pt idx="3">
                <c:v>Sum of Sisa KMK Bulan Lalu (Kg)</c:v>
              </c:pt>
              <c:pt idx="4">
                <c:v>Sum of Sisa KMK untuk bulan depan (Kg)</c:v>
              </c:pt>
            </c:strLit>
          </c:cat>
          <c:val>
            <c:numLit>
              <c:formatCode>General</c:formatCode>
              <c:ptCount val="5"/>
              <c:pt idx="0">
                <c:v>8584.57</c:v>
              </c:pt>
              <c:pt idx="1">
                <c:v>8373</c:v>
              </c:pt>
              <c:pt idx="2">
                <c:v>211.6</c:v>
              </c:pt>
              <c:pt idx="3">
                <c:v>0</c:v>
              </c:pt>
              <c:pt idx="4">
                <c:v>-3.0000000000285354E-2</c:v>
              </c:pt>
            </c:numLit>
          </c:val>
          <c:extLst>
            <c:ext xmlns:c16="http://schemas.microsoft.com/office/drawing/2014/chart" uri="{C3380CC4-5D6E-409C-BE32-E72D297353CC}">
              <c16:uniqueId val="{00000004-83A2-4D09-B8F5-A64D70E64F20}"/>
            </c:ext>
          </c:extLst>
        </c:ser>
        <c:dLbls>
          <c:showLegendKey val="0"/>
          <c:showVal val="0"/>
          <c:showCatName val="0"/>
          <c:showSerName val="0"/>
          <c:showPercent val="0"/>
          <c:showBubbleSize val="0"/>
        </c:dLbls>
        <c:gapWidth val="219"/>
        <c:overlap val="-27"/>
        <c:axId val="826334640"/>
        <c:axId val="826335056"/>
      </c:barChart>
      <c:catAx>
        <c:axId val="82633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35056"/>
        <c:crosses val="autoZero"/>
        <c:auto val="1"/>
        <c:lblAlgn val="ctr"/>
        <c:lblOffset val="100"/>
        <c:noMultiLvlLbl val="0"/>
      </c:catAx>
      <c:valAx>
        <c:axId val="82633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3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bg1"/>
                </a:solidFill>
              </a:ln>
              <a:effectLst/>
            </c:spPr>
            <c:extLst>
              <c:ext xmlns:c16="http://schemas.microsoft.com/office/drawing/2014/chart" uri="{C3380CC4-5D6E-409C-BE32-E72D297353CC}">
                <c16:uniqueId val="{00000001-3347-4FBC-A618-9DDBDAADD9B5}"/>
              </c:ext>
            </c:extLst>
          </c:dPt>
          <c:dPt>
            <c:idx val="1"/>
            <c:bubble3D val="0"/>
            <c:spPr>
              <a:noFill/>
              <a:ln w="19050">
                <a:solidFill>
                  <a:schemeClr val="bg1"/>
                </a:solidFill>
              </a:ln>
              <a:effectLst/>
            </c:spPr>
            <c:extLst>
              <c:ext xmlns:c16="http://schemas.microsoft.com/office/drawing/2014/chart" uri="{C3380CC4-5D6E-409C-BE32-E72D297353CC}">
                <c16:uniqueId val="{00000003-3347-4FBC-A618-9DDBDAADD9B5}"/>
              </c:ext>
            </c:extLst>
          </c:dPt>
          <c:dLbls>
            <c:delete val="1"/>
          </c:dLbls>
          <c:cat>
            <c:strRef>
              <c:f>'JUAL-ECOBALI'!$W$5:$W$6</c:f>
              <c:strCache>
                <c:ptCount val="2"/>
                <c:pt idx="0">
                  <c:v>Terkumpul</c:v>
                </c:pt>
                <c:pt idx="1">
                  <c:v>Belum </c:v>
                </c:pt>
              </c:strCache>
            </c:strRef>
          </c:cat>
          <c:val>
            <c:numRef>
              <c:f>'JUAL-ECOBALI'!$X$5:$X$6</c:f>
              <c:numCache>
                <c:formatCode>#,##0</c:formatCode>
                <c:ptCount val="2"/>
                <c:pt idx="0">
                  <c:v>38386</c:v>
                </c:pt>
                <c:pt idx="1">
                  <c:v>44947.320000000007</c:v>
                </c:pt>
              </c:numCache>
            </c:numRef>
          </c:val>
          <c:extLst>
            <c:ext xmlns:c16="http://schemas.microsoft.com/office/drawing/2014/chart" uri="{C3380CC4-5D6E-409C-BE32-E72D297353CC}">
              <c16:uniqueId val="{00000004-3347-4FBC-A618-9DDBDAADD9B5}"/>
            </c:ext>
          </c:extLst>
        </c:ser>
        <c:dLbls>
          <c:showLegendKey val="0"/>
          <c:showVal val="0"/>
          <c:showCatName val="1"/>
          <c:showSerName val="0"/>
          <c:showPercent val="1"/>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bg1"/>
                </a:solidFill>
              </a:ln>
              <a:effectLst/>
            </c:spPr>
            <c:extLst>
              <c:ext xmlns:c16="http://schemas.microsoft.com/office/drawing/2014/chart" uri="{C3380CC4-5D6E-409C-BE32-E72D297353CC}">
                <c16:uniqueId val="{00000001-5C0B-43B6-A0DE-78A09486389D}"/>
              </c:ext>
            </c:extLst>
          </c:dPt>
          <c:dPt>
            <c:idx val="1"/>
            <c:bubble3D val="0"/>
            <c:spPr>
              <a:noFill/>
              <a:ln w="19050">
                <a:solidFill>
                  <a:schemeClr val="bg1"/>
                </a:solidFill>
              </a:ln>
              <a:effectLst/>
            </c:spPr>
            <c:extLst>
              <c:ext xmlns:c16="http://schemas.microsoft.com/office/drawing/2014/chart" uri="{C3380CC4-5D6E-409C-BE32-E72D297353CC}">
                <c16:uniqueId val="{00000003-5C0B-43B6-A0DE-78A09486389D}"/>
              </c:ext>
            </c:extLst>
          </c:dPt>
          <c:dLbls>
            <c:delete val="1"/>
          </c:dLbls>
          <c:cat>
            <c:strRef>
              <c:f>'JUAL-ECOBALI'!$W$5:$W$6</c:f>
              <c:strCache>
                <c:ptCount val="2"/>
                <c:pt idx="0">
                  <c:v>Terkumpul</c:v>
                </c:pt>
                <c:pt idx="1">
                  <c:v>Belum </c:v>
                </c:pt>
              </c:strCache>
            </c:strRef>
          </c:cat>
          <c:val>
            <c:numRef>
              <c:f>'JUAL-ECOBALI'!$AF$5:$AF$6</c:f>
              <c:numCache>
                <c:formatCode>#,##0</c:formatCode>
                <c:ptCount val="2"/>
                <c:pt idx="0">
                  <c:v>38386</c:v>
                </c:pt>
                <c:pt idx="1">
                  <c:v>211614</c:v>
                </c:pt>
              </c:numCache>
            </c:numRef>
          </c:val>
          <c:extLst>
            <c:ext xmlns:c16="http://schemas.microsoft.com/office/drawing/2014/chart" uri="{C3380CC4-5D6E-409C-BE32-E72D297353CC}">
              <c16:uniqueId val="{00000004-5C0B-43B6-A0DE-78A09486389D}"/>
            </c:ext>
          </c:extLst>
        </c:ser>
        <c:dLbls>
          <c:showLegendKey val="0"/>
          <c:showVal val="0"/>
          <c:showCatName val="1"/>
          <c:showSerName val="0"/>
          <c:showPercent val="1"/>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PIVOT.xlsx]MASUK-TARGET!TARGET-CATEGORY</c:name>
    <c:fmtId val="5"/>
  </c:pivotSource>
  <c:chart>
    <c:autoTitleDeleted val="0"/>
    <c:pivotFmts>
      <c:pivotFmt>
        <c:idx val="0"/>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25400">
            <a:solidFill>
              <a:schemeClr val="bg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w="25400">
            <a:solidFill>
              <a:schemeClr val="bg1"/>
            </a:solidFill>
          </a:ln>
          <a:effectLst>
            <a:outerShdw blurRad="50800" dist="38100" dir="2700000" algn="tl" rotWithShape="0">
              <a:prstClr val="black">
                <a:alpha val="40000"/>
              </a:prstClr>
            </a:outerShdw>
          </a:effectLst>
        </c:spPr>
        <c:dLbl>
          <c:idx val="0"/>
          <c:layout>
            <c:manualLayout>
              <c:x val="1.6985138004245973E-3"/>
              <c:y val="-1.492790580181564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a:outerShdw blurRad="50800" dist="38100" dir="2700000" algn="tl" rotWithShape="0">
              <a:prstClr val="black">
                <a:alpha val="40000"/>
              </a:prstClr>
            </a:outerShdw>
          </a:effectLst>
        </c:spPr>
        <c:dLbl>
          <c:idx val="0"/>
          <c:layout>
            <c:manualLayout>
              <c:x val="4.2462845010615398E-3"/>
              <c:y val="-5.2926211479164188E-2"/>
            </c:manualLayout>
          </c:layout>
          <c:spPr>
            <a:noFill/>
            <a:ln>
              <a:noFill/>
            </a:ln>
            <a:effectLst/>
          </c:spPr>
          <c:txPr>
            <a:bodyPr rot="0" spcFirstLastPara="1" vertOverflow="ellipsis" vert="horz" wrap="square" lIns="38100" tIns="19050" rIns="38100" bIns="19050" anchor="ctr" anchorCtr="1">
              <a:spAutoFit/>
            </a:bodyPr>
            <a:lstStyle/>
            <a:p>
              <a:pPr>
                <a:defRPr sz="2400" b="1" i="0"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a:outerShdw blurRad="50800" dist="38100" dir="2700000" algn="tl" rotWithShape="0">
              <a:prstClr val="black">
                <a:alpha val="40000"/>
              </a:prstClr>
            </a:outerShdw>
          </a:effectLst>
        </c:spPr>
        <c:dLbl>
          <c:idx val="0"/>
          <c:layout>
            <c:manualLayout>
              <c:x val="0"/>
              <c:y val="-2.0356235184294018E-2"/>
            </c:manualLayout>
          </c:layout>
          <c:spPr>
            <a:noFill/>
            <a:ln>
              <a:noFill/>
            </a:ln>
            <a:effectLst/>
          </c:spPr>
          <c:txPr>
            <a:bodyPr rot="0" spcFirstLastPara="1" vertOverflow="ellipsis" vert="horz" wrap="square" lIns="38100" tIns="19050" rIns="38100" bIns="19050" anchor="ctr" anchorCtr="1">
              <a:spAutoFit/>
            </a:bodyPr>
            <a:lstStyle/>
            <a:p>
              <a:pPr>
                <a:defRPr sz="2400" b="1" i="0"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a:outerShdw blurRad="50800" dist="38100" dir="2700000" algn="tl" rotWithShape="0">
              <a:prstClr val="black">
                <a:alpha val="40000"/>
              </a:prstClr>
            </a:outerShdw>
          </a:effectLst>
        </c:spPr>
        <c:dLbl>
          <c:idx val="0"/>
          <c:layout>
            <c:manualLayout>
              <c:x val="0"/>
              <c:y val="-3.5284140986109561E-2"/>
            </c:manualLayout>
          </c:layout>
          <c:spPr>
            <a:noFill/>
            <a:ln>
              <a:noFill/>
            </a:ln>
            <a:effectLst/>
          </c:spPr>
          <c:txPr>
            <a:bodyPr rot="0" spcFirstLastPara="1" vertOverflow="ellipsis" vert="horz" wrap="square" lIns="38100" tIns="19050" rIns="38100" bIns="19050" anchor="ctr" anchorCtr="1">
              <a:spAutoFit/>
            </a:bodyPr>
            <a:lstStyle/>
            <a:p>
              <a:pPr>
                <a:defRPr sz="2400" b="1" i="0"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a:outerShdw blurRad="50800" dist="38100" dir="2700000" algn="tl" rotWithShape="0">
              <a:prstClr val="black">
                <a:alpha val="40000"/>
              </a:prstClr>
            </a:outerShdw>
          </a:effectLst>
        </c:spPr>
        <c:dLbl>
          <c:idx val="0"/>
          <c:layout>
            <c:manualLayout>
              <c:x val="2.5477707006369425E-3"/>
              <c:y val="-3.2569976294870275E-2"/>
            </c:manualLayout>
          </c:layout>
          <c:spPr>
            <a:noFill/>
            <a:ln>
              <a:noFill/>
            </a:ln>
            <a:effectLst/>
          </c:spPr>
          <c:txPr>
            <a:bodyPr rot="0" spcFirstLastPara="1" vertOverflow="ellipsis" vert="horz" wrap="square" lIns="38100" tIns="19050" rIns="38100" bIns="19050" anchor="ctr" anchorCtr="1">
              <a:spAutoFit/>
            </a:bodyPr>
            <a:lstStyle/>
            <a:p>
              <a:pPr>
                <a:defRPr sz="2400" b="1" i="0"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a:outerShdw blurRad="50800" dist="38100" dir="2700000" algn="tl" rotWithShape="0">
              <a:prstClr val="black">
                <a:alpha val="40000"/>
              </a:prstClr>
            </a:outerShdw>
          </a:effectLst>
        </c:spPr>
        <c:dLbl>
          <c:idx val="0"/>
          <c:layout>
            <c:manualLayout>
              <c:x val="8.4925690021231425E-4"/>
              <c:y val="-3.7998305677348548E-2"/>
            </c:manualLayout>
          </c:layout>
          <c:spPr>
            <a:noFill/>
            <a:ln>
              <a:noFill/>
            </a:ln>
            <a:effectLst/>
          </c:spPr>
          <c:txPr>
            <a:bodyPr rot="0" spcFirstLastPara="1" vertOverflow="ellipsis" vert="horz" wrap="square" lIns="38100" tIns="19050" rIns="38100" bIns="19050" anchor="ctr" anchorCtr="1">
              <a:spAutoFit/>
            </a:bodyPr>
            <a:lstStyle/>
            <a:p>
              <a:pPr>
                <a:defRPr sz="2400" b="1" i="0"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a:outerShdw blurRad="50800" dist="38100" dir="2700000" algn="tl" rotWithShape="0">
              <a:prstClr val="black">
                <a:alpha val="40000"/>
              </a:prstClr>
            </a:outerShdw>
          </a:effectLst>
        </c:spPr>
        <c:dLbl>
          <c:idx val="0"/>
          <c:layout>
            <c:manualLayout>
              <c:x val="-8.4925690021231425E-4"/>
              <c:y val="-9.4995764193371631E-3"/>
            </c:manualLayout>
          </c:layout>
          <c:spPr>
            <a:noFill/>
            <a:ln>
              <a:noFill/>
            </a:ln>
            <a:effectLst/>
          </c:spPr>
          <c:txPr>
            <a:bodyPr rot="0" spcFirstLastPara="1" vertOverflow="ellipsis" vert="horz" wrap="square" lIns="38100" tIns="19050" rIns="38100" bIns="19050" anchor="ctr" anchorCtr="1">
              <a:spAutoFit/>
            </a:bodyPr>
            <a:lstStyle/>
            <a:p>
              <a:pPr>
                <a:defRPr sz="2400" b="1" i="0"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16708713597595E-2"/>
          <c:y val="3.8279886968720069E-2"/>
          <c:w val="0.95427319992644233"/>
          <c:h val="0.84305438844099234"/>
        </c:manualLayout>
      </c:layout>
      <c:barChart>
        <c:barDir val="col"/>
        <c:grouping val="clustered"/>
        <c:varyColors val="0"/>
        <c:ser>
          <c:idx val="0"/>
          <c:order val="0"/>
          <c:tx>
            <c:strRef>
              <c:f>'MASUK-TARGET'!$BY$3</c:f>
              <c:strCache>
                <c:ptCount val="1"/>
                <c:pt idx="0">
                  <c:v>Target Bulanan</c:v>
                </c:pt>
              </c:strCache>
            </c:strRef>
          </c:tx>
          <c:spPr>
            <a:gradFill flip="none" rotWithShape="1">
              <a:gsLst>
                <a:gs pos="50000">
                  <a:srgbClr val="3E5687"/>
                </a:gs>
                <a:gs pos="0">
                  <a:srgbClr val="7B8CAE"/>
                </a:gs>
                <a:gs pos="100000">
                  <a:srgbClr val="002060"/>
                </a:gs>
              </a:gsLst>
              <a:lin ang="16200000" scaled="1"/>
              <a:tileRect/>
            </a:gradFill>
            <a:ln w="25400">
              <a:solidFill>
                <a:schemeClr val="bg1"/>
              </a:solidFill>
              <a:prstDash val="sysDash"/>
            </a:ln>
            <a:effectLst>
              <a:outerShdw blurRad="50800" dist="38100" dir="2700000" algn="tl" rotWithShape="0">
                <a:prstClr val="black">
                  <a:alpha val="40000"/>
                </a:prstClr>
              </a:outerShdw>
            </a:effectLst>
          </c:spPr>
          <c:invertIfNegative val="0"/>
          <c:dPt>
            <c:idx val="0"/>
            <c:invertIfNegative val="0"/>
            <c:bubble3D val="0"/>
            <c:extLst>
              <c:ext xmlns:c16="http://schemas.microsoft.com/office/drawing/2014/chart" uri="{C3380CC4-5D6E-409C-BE32-E72D297353CC}">
                <c16:uniqueId val="{00000005-8F1E-4726-A4F7-175D139C8BBB}"/>
              </c:ext>
            </c:extLst>
          </c:dPt>
          <c:dPt>
            <c:idx val="1"/>
            <c:invertIfNegative val="0"/>
            <c:bubble3D val="0"/>
            <c:extLst>
              <c:ext xmlns:c16="http://schemas.microsoft.com/office/drawing/2014/chart" uri="{C3380CC4-5D6E-409C-BE32-E72D297353CC}">
                <c16:uniqueId val="{00000004-8F1E-4726-A4F7-175D139C8BBB}"/>
              </c:ext>
            </c:extLst>
          </c:dPt>
          <c:dPt>
            <c:idx val="4"/>
            <c:invertIfNegative val="0"/>
            <c:bubble3D val="0"/>
            <c:extLst>
              <c:ext xmlns:c16="http://schemas.microsoft.com/office/drawing/2014/chart" uri="{C3380CC4-5D6E-409C-BE32-E72D297353CC}">
                <c16:uniqueId val="{00000006-8F1E-4726-A4F7-175D139C8BBB}"/>
              </c:ext>
            </c:extLst>
          </c:dPt>
          <c:dPt>
            <c:idx val="8"/>
            <c:invertIfNegative val="0"/>
            <c:bubble3D val="0"/>
            <c:extLst>
              <c:ext xmlns:c16="http://schemas.microsoft.com/office/drawing/2014/chart" uri="{C3380CC4-5D6E-409C-BE32-E72D297353CC}">
                <c16:uniqueId val="{00000007-8F1E-4726-A4F7-175D139C8BBB}"/>
              </c:ext>
            </c:extLst>
          </c:dPt>
          <c:dPt>
            <c:idx val="9"/>
            <c:invertIfNegative val="0"/>
            <c:bubble3D val="0"/>
            <c:extLst>
              <c:ext xmlns:c16="http://schemas.microsoft.com/office/drawing/2014/chart" uri="{C3380CC4-5D6E-409C-BE32-E72D297353CC}">
                <c16:uniqueId val="{00000008-8F1E-4726-A4F7-175D139C8BBB}"/>
              </c:ext>
            </c:extLst>
          </c:dPt>
          <c:dPt>
            <c:idx val="10"/>
            <c:invertIfNegative val="0"/>
            <c:bubble3D val="0"/>
            <c:extLst>
              <c:ext xmlns:c16="http://schemas.microsoft.com/office/drawing/2014/chart" uri="{C3380CC4-5D6E-409C-BE32-E72D297353CC}">
                <c16:uniqueId val="{00000009-8F1E-4726-A4F7-175D139C8BBB}"/>
              </c:ext>
            </c:extLst>
          </c:dPt>
          <c:dLbls>
            <c:dLbl>
              <c:idx val="0"/>
              <c:layout>
                <c:manualLayout>
                  <c:x val="0"/>
                  <c:y val="-2.03562351842940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1E-4726-A4F7-175D139C8BBB}"/>
                </c:ext>
              </c:extLst>
            </c:dLbl>
            <c:dLbl>
              <c:idx val="1"/>
              <c:layout>
                <c:manualLayout>
                  <c:x val="4.2462845010615398E-3"/>
                  <c:y val="-5.29262114791641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1E-4726-A4F7-175D139C8BBB}"/>
                </c:ext>
              </c:extLst>
            </c:dLbl>
            <c:dLbl>
              <c:idx val="4"/>
              <c:layout>
                <c:manualLayout>
                  <c:x val="0"/>
                  <c:y val="-3.52841409861095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1E-4726-A4F7-175D139C8BBB}"/>
                </c:ext>
              </c:extLst>
            </c:dLbl>
            <c:dLbl>
              <c:idx val="8"/>
              <c:layout>
                <c:manualLayout>
                  <c:x val="2.5477707006369425E-3"/>
                  <c:y val="-3.25699762948702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1E-4726-A4F7-175D139C8BBB}"/>
                </c:ext>
              </c:extLst>
            </c:dLbl>
            <c:dLbl>
              <c:idx val="9"/>
              <c:layout>
                <c:manualLayout>
                  <c:x val="8.4925690021231425E-4"/>
                  <c:y val="-3.79983056773485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F1E-4726-A4F7-175D139C8BBB}"/>
                </c:ext>
              </c:extLst>
            </c:dLbl>
            <c:dLbl>
              <c:idx val="10"/>
              <c:layout>
                <c:manualLayout>
                  <c:x val="-8.4925690021231425E-4"/>
                  <c:y val="-9.499576419337163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F1E-4726-A4F7-175D139C8BBB}"/>
                </c:ext>
              </c:extLst>
            </c:dLbl>
            <c:spPr>
              <a:noFill/>
              <a:ln>
                <a:noFill/>
              </a:ln>
              <a:effectLst/>
            </c:spPr>
            <c:txPr>
              <a:bodyPr rot="0" spcFirstLastPara="1" vertOverflow="ellipsis" vert="horz" wrap="square" lIns="38100" tIns="19050" rIns="38100" bIns="19050" anchor="ctr" anchorCtr="1">
                <a:spAutoFit/>
              </a:bodyPr>
              <a:lstStyle/>
              <a:p>
                <a:pPr>
                  <a:defRPr sz="2400" b="1" i="0"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'MASUK-TARGET'!$BX$4:$BX$15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'MASUK-TARGET'!$BY$4:$BY$15</c:f>
              <c:numCache>
                <c:formatCode>#,##0.0</c:formatCode>
                <c:ptCount val="11"/>
                <c:pt idx="0">
                  <c:v>1397.375</c:v>
                </c:pt>
                <c:pt idx="1">
                  <c:v>393.54920636571455</c:v>
                </c:pt>
                <c:pt idx="2">
                  <c:v>5790.9999999999955</c:v>
                </c:pt>
                <c:pt idx="3">
                  <c:v>4318.6666664999984</c:v>
                </c:pt>
                <c:pt idx="4">
                  <c:v>1007.0416665</c:v>
                </c:pt>
                <c:pt idx="5">
                  <c:v>18562.166664999997</c:v>
                </c:pt>
                <c:pt idx="6">
                  <c:v>59906.041649999999</c:v>
                </c:pt>
                <c:pt idx="7">
                  <c:v>323.87500000000017</c:v>
                </c:pt>
                <c:pt idx="8">
                  <c:v>4394.875</c:v>
                </c:pt>
                <c:pt idx="9">
                  <c:v>1957.1666666666649</c:v>
                </c:pt>
                <c:pt idx="10">
                  <c:v>6111.125</c:v>
                </c:pt>
              </c:numCache>
            </c:numRef>
          </c:val>
          <c:extLst>
            <c:ext xmlns:c16="http://schemas.microsoft.com/office/drawing/2014/chart" uri="{C3380CC4-5D6E-409C-BE32-E72D297353CC}">
              <c16:uniqueId val="{00000000-8F1E-4726-A4F7-175D139C8BBB}"/>
            </c:ext>
          </c:extLst>
        </c:ser>
        <c:ser>
          <c:idx val="1"/>
          <c:order val="1"/>
          <c:tx>
            <c:strRef>
              <c:f>'MASUK-TARGET'!$BZ$3</c:f>
              <c:strCache>
                <c:ptCount val="1"/>
                <c:pt idx="0">
                  <c:v>Sum of ∑ KMK (Kg)</c:v>
                </c:pt>
              </c:strCache>
            </c:strRef>
          </c:tx>
          <c:spPr>
            <a:solidFill>
              <a:schemeClr val="bg1"/>
            </a:solidFill>
            <a:ln>
              <a:noFill/>
            </a:ln>
            <a:effectLst/>
          </c:spPr>
          <c:invertIfNegative val="0"/>
          <c:cat>
            <c:strRef>
              <c:f>'MASUK-TARGET'!$BX$4:$BX$15</c:f>
              <c:strCache>
                <c:ptCount val="11"/>
                <c:pt idx="0">
                  <c:v>Bank Sampah Induk</c:v>
                </c:pt>
                <c:pt idx="1">
                  <c:v>Bank Sampah Unit</c:v>
                </c:pt>
                <c:pt idx="2">
                  <c:v>Bisnis</c:v>
                </c:pt>
                <c:pt idx="3">
                  <c:v>EB Residential Service</c:v>
                </c:pt>
                <c:pt idx="4">
                  <c:v>Hotel</c:v>
                </c:pt>
                <c:pt idx="5">
                  <c:v>Jasa sampah</c:v>
                </c:pt>
                <c:pt idx="6">
                  <c:v>Pengepul</c:v>
                </c:pt>
                <c:pt idx="7">
                  <c:v>Sekolah</c:v>
                </c:pt>
                <c:pt idx="8">
                  <c:v>TPA</c:v>
                </c:pt>
                <c:pt idx="9">
                  <c:v>TPS3R</c:v>
                </c:pt>
                <c:pt idx="10">
                  <c:v>TPST3R</c:v>
                </c:pt>
              </c:strCache>
            </c:strRef>
          </c:cat>
          <c:val>
            <c:numRef>
              <c:f>'MASUK-TARGET'!$BZ$4:$BZ$15</c:f>
              <c:numCache>
                <c:formatCode>General</c:formatCode>
                <c:ptCount val="11"/>
                <c:pt idx="0">
                  <c:v>277.5</c:v>
                </c:pt>
                <c:pt idx="1">
                  <c:v>148.9</c:v>
                </c:pt>
                <c:pt idx="2">
                  <c:v>3541.6</c:v>
                </c:pt>
                <c:pt idx="3">
                  <c:v>2217.1999999999998</c:v>
                </c:pt>
                <c:pt idx="4">
                  <c:v>21.9</c:v>
                </c:pt>
                <c:pt idx="5">
                  <c:v>4332</c:v>
                </c:pt>
                <c:pt idx="6">
                  <c:v>26723</c:v>
                </c:pt>
                <c:pt idx="7">
                  <c:v>117.5</c:v>
                </c:pt>
                <c:pt idx="8">
                  <c:v>1475</c:v>
                </c:pt>
                <c:pt idx="9">
                  <c:v>372.87</c:v>
                </c:pt>
                <c:pt idx="10">
                  <c:v>1418</c:v>
                </c:pt>
              </c:numCache>
            </c:numRef>
          </c:val>
          <c:extLst>
            <c:ext xmlns:c16="http://schemas.microsoft.com/office/drawing/2014/chart" uri="{C3380CC4-5D6E-409C-BE32-E72D297353CC}">
              <c16:uniqueId val="{00000008-4D2A-4DE6-AF98-29113BE9CF8E}"/>
            </c:ext>
          </c:extLst>
        </c:ser>
        <c:dLbls>
          <c:showLegendKey val="0"/>
          <c:showVal val="0"/>
          <c:showCatName val="0"/>
          <c:showSerName val="0"/>
          <c:showPercent val="0"/>
          <c:showBubbleSize val="0"/>
        </c:dLbls>
        <c:gapWidth val="70"/>
        <c:overlap val="100"/>
        <c:axId val="90499119"/>
        <c:axId val="90496207"/>
      </c:barChart>
      <c:catAx>
        <c:axId val="9049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90496207"/>
        <c:crosses val="autoZero"/>
        <c:auto val="1"/>
        <c:lblAlgn val="ctr"/>
        <c:lblOffset val="100"/>
        <c:noMultiLvlLbl val="0"/>
      </c:catAx>
      <c:valAx>
        <c:axId val="9049620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904991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400" b="0" i="1"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[ECOTP - 2021 PIVOT.xlsx]MASUK-TARGET!TARGET-BULANAN</c:name>
    <c:fmtId val="3"/>
  </c:pivotSource>
  <c:chart>
    <c:autoTitleDeleted val="0"/>
    <c:pivotFmts>
      <c:pivotFmt>
        <c:idx val="0"/>
        <c:spPr>
          <a:gradFill flip="none" rotWithShape="1">
            <a:gsLst>
              <a:gs pos="58500">
                <a:srgbClr val="3E5687"/>
              </a:gs>
              <a:gs pos="0">
                <a:srgbClr val="7B8CAE"/>
              </a:gs>
              <a:gs pos="100000">
                <a:srgbClr val="002060"/>
              </a:gs>
            </a:gsLst>
            <a:lin ang="16200000" scaled="1"/>
            <a:tileRect/>
          </a:gradFill>
          <a:ln w="127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alpha val="70000"/>
            </a:schemeClr>
          </a:solidFill>
          <a:ln w="635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58500">
                <a:srgbClr val="3E5687"/>
              </a:gs>
              <a:gs pos="0">
                <a:srgbClr val="7B8CAE"/>
              </a:gs>
              <a:gs pos="100000">
                <a:srgbClr val="002060"/>
              </a:gs>
            </a:gsLst>
            <a:lin ang="16200000" scaled="1"/>
            <a:tileRect/>
          </a:gradFill>
          <a:ln w="12700">
            <a:solidFill>
              <a:schemeClr val="bg1"/>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alpha val="70000"/>
            </a:schemeClr>
          </a:solidFill>
          <a:ln w="635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58500">
                <a:srgbClr val="3E5687"/>
              </a:gs>
              <a:gs pos="0">
                <a:srgbClr val="7B8CAE"/>
              </a:gs>
              <a:gs pos="100000">
                <a:srgbClr val="002060"/>
              </a:gs>
            </a:gsLst>
            <a:lin ang="16200000" scaled="1"/>
            <a:tileRect/>
          </a:gradFill>
          <a:ln w="63500">
            <a:solidFill>
              <a:schemeClr val="bg1"/>
            </a:solidFill>
            <a:prstDash val="sysDash"/>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0650" cap="rnd">
            <a:solidFill>
              <a:schemeClr val="bg1"/>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0650" cap="rnd">
            <a:solidFill>
              <a:schemeClr val="bg1"/>
            </a:solidFill>
            <a:round/>
          </a:ln>
          <a:effectLst>
            <a:outerShdw blurRad="50800" dist="38100" dir="2700000" algn="tl" rotWithShape="0">
              <a:prstClr val="black">
                <a:alpha val="40000"/>
              </a:prstClr>
            </a:outerShdw>
          </a:effectLst>
        </c:spPr>
        <c:marker>
          <c:symbol val="none"/>
        </c:marker>
        <c:dLbl>
          <c:idx val="0"/>
          <c:layout>
            <c:manualLayout>
              <c:x val="-6.2004659728551667E-2"/>
              <c:y val="-3.3238367565885774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0650" cap="rnd">
            <a:solidFill>
              <a:schemeClr val="bg1"/>
            </a:solidFill>
            <a:round/>
          </a:ln>
          <a:effectLst>
            <a:outerShdw blurRad="50800" dist="38100" dir="2700000" algn="tl" rotWithShape="0">
              <a:prstClr val="black">
                <a:alpha val="40000"/>
              </a:prstClr>
            </a:outerShdw>
          </a:effectLst>
        </c:spPr>
        <c:marker>
          <c:symbol val="none"/>
        </c:marker>
        <c:dLbl>
          <c:idx val="0"/>
          <c:layout>
            <c:manualLayout>
              <c:x val="-6.2004659728551667E-2"/>
              <c:y val="3.3238367565885774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0650" cap="rnd">
            <a:solidFill>
              <a:schemeClr val="bg1"/>
            </a:solidFill>
            <a:round/>
          </a:ln>
          <a:effectLst>
            <a:outerShdw blurRad="50800" dist="38100" dir="2700000" algn="tl" rotWithShape="0">
              <a:prstClr val="black">
                <a:alpha val="40000"/>
              </a:prstClr>
            </a:outerShdw>
          </a:effectLst>
        </c:spPr>
        <c:marker>
          <c:symbol val="none"/>
        </c:marker>
        <c:dLbl>
          <c:idx val="0"/>
          <c:layout>
            <c:manualLayout>
              <c:x val="-5.3846151869531712E-2"/>
              <c:y val="-3.7226971673792165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0650" cap="rnd">
            <a:solidFill>
              <a:schemeClr val="bg1"/>
            </a:solidFill>
            <a:round/>
          </a:ln>
          <a:effectLst>
            <a:outerShdw blurRad="50800" dist="38100" dir="2700000" algn="tl" rotWithShape="0">
              <a:prstClr val="black">
                <a:alpha val="40000"/>
              </a:prstClr>
            </a:outerShdw>
          </a:effectLst>
        </c:spPr>
        <c:marker>
          <c:symbol val="none"/>
        </c:marker>
        <c:dLbl>
          <c:idx val="0"/>
          <c:layout>
            <c:manualLayout>
              <c:x val="-5.221445029772772E-2"/>
              <c:y val="3.3238367565885774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98425" cap="rnd">
            <a:solidFill>
              <a:schemeClr val="bg1"/>
            </a:solidFill>
            <a:round/>
          </a:ln>
          <a:effectLst/>
        </c:spPr>
        <c:marker>
          <c:symbol val="circle"/>
          <c:size val="5"/>
          <c:spPr>
            <a:solidFill>
              <a:schemeClr val="bg1"/>
            </a:solidFill>
            <a:ln w="190500">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98425" cap="rnd">
            <a:solidFill>
              <a:schemeClr val="bg1"/>
            </a:solidFill>
            <a:round/>
          </a:ln>
          <a:effectLst/>
        </c:spPr>
        <c:marker>
          <c:symbol val="circle"/>
          <c:size val="5"/>
          <c:spPr>
            <a:solidFill>
              <a:schemeClr val="bg1"/>
            </a:solidFill>
            <a:ln w="190500">
              <a:solidFill>
                <a:schemeClr val="accent1">
                  <a:lumMod val="60000"/>
                  <a:lumOff val="40000"/>
                </a:schemeClr>
              </a:solidFill>
            </a:ln>
            <a:effectLst/>
          </c:spPr>
        </c:marker>
        <c:dLbl>
          <c:idx val="0"/>
          <c:layout>
            <c:manualLayout>
              <c:x val="-4.2722425994245167E-2"/>
              <c:y val="-5.2202066821706777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'MASUK-TARGET'!$BA$3</c:f>
              <c:strCache>
                <c:ptCount val="1"/>
                <c:pt idx="0">
                  <c:v>Target Bulanan</c:v>
                </c:pt>
              </c:strCache>
            </c:strRef>
          </c:tx>
          <c:spPr>
            <a:gradFill flip="none" rotWithShape="1">
              <a:gsLst>
                <a:gs pos="58500">
                  <a:srgbClr val="3E5687"/>
                </a:gs>
                <a:gs pos="0">
                  <a:srgbClr val="7B8CAE"/>
                </a:gs>
                <a:gs pos="100000">
                  <a:srgbClr val="002060"/>
                </a:gs>
              </a:gsLst>
              <a:lin ang="16200000" scaled="1"/>
              <a:tileRect/>
            </a:gradFill>
            <a:ln w="63500">
              <a:solidFill>
                <a:schemeClr val="bg1"/>
              </a:solidFill>
              <a:prstDash val="sysDash"/>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1" u="sng"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'MASUK-TARGET'!$AZ$4:$AZ$11</c:f>
              <c:multiLvlStrCache>
                <c:ptCount val="5"/>
                <c:lvl>
                  <c:pt idx="0">
                    <c:v>Jan</c:v>
                  </c:pt>
                  <c:pt idx="1">
                    <c:v>Feb</c:v>
                  </c:pt>
                  <c:pt idx="2">
                    <c:v>Mar</c:v>
                  </c:pt>
                  <c:pt idx="3">
                    <c:v>Apr</c:v>
                  </c:pt>
                  <c:pt idx="4">
                    <c:v>May</c:v>
                  </c:pt>
                </c:lvl>
                <c:lvl>
                  <c:pt idx="0">
                    <c:v>Q1</c:v>
                  </c:pt>
                  <c:pt idx="3">
                    <c:v>Q2</c:v>
                  </c:pt>
                </c:lvl>
              </c:multiLvlStrCache>
            </c:multiLvlStrRef>
          </c:cat>
          <c:val>
            <c:numRef>
              <c:f>'MASUK-TARGET'!$BA$4:$BA$11</c:f>
              <c:numCache>
                <c:formatCode>#,##0</c:formatCode>
                <c:ptCount val="5"/>
                <c:pt idx="0">
                  <c:v>20833.33332960332</c:v>
                </c:pt>
                <c:pt idx="1">
                  <c:v>20833.333329603342</c:v>
                </c:pt>
                <c:pt idx="2">
                  <c:v>20829.54920261903</c:v>
                </c:pt>
                <c:pt idx="3">
                  <c:v>20833.333329603352</c:v>
                </c:pt>
                <c:pt idx="4">
                  <c:v>20833.333329603312</c:v>
                </c:pt>
              </c:numCache>
            </c:numRef>
          </c:val>
          <c:extLst>
            <c:ext xmlns:c16="http://schemas.microsoft.com/office/drawing/2014/chart" uri="{C3380CC4-5D6E-409C-BE32-E72D297353CC}">
              <c16:uniqueId val="{00000000-C5AD-4395-993C-6BB97BCFD0E8}"/>
            </c:ext>
          </c:extLst>
        </c:ser>
        <c:dLbls>
          <c:showLegendKey val="0"/>
          <c:showVal val="0"/>
          <c:showCatName val="0"/>
          <c:showSerName val="0"/>
          <c:showPercent val="0"/>
          <c:showBubbleSize val="0"/>
        </c:dLbls>
        <c:gapWidth val="96"/>
        <c:axId val="2133442943"/>
        <c:axId val="286654815"/>
      </c:barChart>
      <c:lineChart>
        <c:grouping val="standard"/>
        <c:varyColors val="0"/>
        <c:ser>
          <c:idx val="1"/>
          <c:order val="1"/>
          <c:tx>
            <c:strRef>
              <c:f>'MASUK-TARGET'!$BB$3</c:f>
              <c:strCache>
                <c:ptCount val="1"/>
                <c:pt idx="0">
                  <c:v>Total Bulanan</c:v>
                </c:pt>
              </c:strCache>
            </c:strRef>
          </c:tx>
          <c:spPr>
            <a:ln w="98425" cap="rnd">
              <a:solidFill>
                <a:schemeClr val="bg1"/>
              </a:solidFill>
              <a:round/>
            </a:ln>
            <a:effectLst/>
          </c:spPr>
          <c:marker>
            <c:symbol val="circle"/>
            <c:size val="5"/>
            <c:spPr>
              <a:solidFill>
                <a:schemeClr val="bg1"/>
              </a:solidFill>
              <a:ln w="190500">
                <a:solidFill>
                  <a:schemeClr val="accent1">
                    <a:lumMod val="60000"/>
                    <a:lumOff val="40000"/>
                  </a:schemeClr>
                </a:solidFill>
              </a:ln>
              <a:effectLst/>
            </c:spPr>
          </c:marker>
          <c:dPt>
            <c:idx val="0"/>
            <c:marker>
              <c:symbol val="circle"/>
              <c:size val="5"/>
              <c:spPr>
                <a:solidFill>
                  <a:schemeClr val="bg1"/>
                </a:solidFill>
                <a:ln w="190500">
                  <a:solidFill>
                    <a:schemeClr val="accent1">
                      <a:lumMod val="60000"/>
                      <a:lumOff val="40000"/>
                    </a:schemeClr>
                  </a:solidFill>
                </a:ln>
                <a:effectLst/>
              </c:spPr>
            </c:marker>
            <c:bubble3D val="0"/>
            <c:extLst>
              <c:ext xmlns:c16="http://schemas.microsoft.com/office/drawing/2014/chart" uri="{C3380CC4-5D6E-409C-BE32-E72D297353CC}">
                <c16:uniqueId val="{00000000-8D63-4F7D-899F-70B35F9615DD}"/>
              </c:ext>
            </c:extLst>
          </c:dPt>
          <c:dPt>
            <c:idx val="4"/>
            <c:marker>
              <c:symbol val="circle"/>
              <c:size val="5"/>
              <c:spPr>
                <a:solidFill>
                  <a:schemeClr val="bg1"/>
                </a:solidFill>
                <a:ln w="190500">
                  <a:solidFill>
                    <a:schemeClr val="accent1">
                      <a:lumMod val="60000"/>
                      <a:lumOff val="40000"/>
                    </a:schemeClr>
                  </a:solidFill>
                </a:ln>
                <a:effectLst/>
              </c:spPr>
            </c:marker>
            <c:bubble3D val="0"/>
            <c:extLst>
              <c:ext xmlns:c16="http://schemas.microsoft.com/office/drawing/2014/chart" uri="{C3380CC4-5D6E-409C-BE32-E72D297353CC}">
                <c16:uniqueId val="{00000001-6C78-404E-B4F1-9DEDFAD58FBD}"/>
              </c:ext>
            </c:extLst>
          </c:dPt>
          <c:dLbls>
            <c:dLbl>
              <c:idx val="4"/>
              <c:layout>
                <c:manualLayout>
                  <c:x val="-4.2722425994245167E-2"/>
                  <c:y val="-5.22020668217067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78-404E-B4F1-9DEDFAD58FBD}"/>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'MASUK-TARGET'!$AZ$4:$AZ$11</c:f>
              <c:multiLvlStrCache>
                <c:ptCount val="5"/>
                <c:lvl>
                  <c:pt idx="0">
                    <c:v>Jan</c:v>
                  </c:pt>
                  <c:pt idx="1">
                    <c:v>Feb</c:v>
                  </c:pt>
                  <c:pt idx="2">
                    <c:v>Mar</c:v>
                  </c:pt>
                  <c:pt idx="3">
                    <c:v>Apr</c:v>
                  </c:pt>
                  <c:pt idx="4">
                    <c:v>May</c:v>
                  </c:pt>
                </c:lvl>
                <c:lvl>
                  <c:pt idx="0">
                    <c:v>Q1</c:v>
                  </c:pt>
                  <c:pt idx="3">
                    <c:v>Q2</c:v>
                  </c:pt>
                </c:lvl>
              </c:multiLvlStrCache>
            </c:multiLvlStrRef>
          </c:cat>
          <c:val>
            <c:numRef>
              <c:f>'MASUK-TARGET'!$BB$4:$BB$11</c:f>
              <c:numCache>
                <c:formatCode>General</c:formatCode>
                <c:ptCount val="5"/>
                <c:pt idx="0">
                  <c:v>9566.2999999999993</c:v>
                </c:pt>
                <c:pt idx="1">
                  <c:v>7967.8</c:v>
                </c:pt>
                <c:pt idx="2">
                  <c:v>9277</c:v>
                </c:pt>
                <c:pt idx="3">
                  <c:v>10062.870000000001</c:v>
                </c:pt>
                <c:pt idx="4">
                  <c:v>3771.5</c:v>
                </c:pt>
              </c:numCache>
            </c:numRef>
          </c:val>
          <c:smooth val="0"/>
          <c:extLst>
            <c:ext xmlns:c16="http://schemas.microsoft.com/office/drawing/2014/chart" uri="{C3380CC4-5D6E-409C-BE32-E72D297353CC}">
              <c16:uniqueId val="{00000005-D8C2-404A-863B-12DA5C929FEA}"/>
            </c:ext>
          </c:extLst>
        </c:ser>
        <c:dLbls>
          <c:showLegendKey val="0"/>
          <c:showVal val="0"/>
          <c:showCatName val="0"/>
          <c:showSerName val="0"/>
          <c:showPercent val="0"/>
          <c:showBubbleSize val="0"/>
        </c:dLbls>
        <c:marker val="1"/>
        <c:smooth val="0"/>
        <c:axId val="2133442943"/>
        <c:axId val="286654815"/>
      </c:lineChart>
      <c:catAx>
        <c:axId val="213344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286654815"/>
        <c:crosses val="autoZero"/>
        <c:auto val="1"/>
        <c:lblAlgn val="ctr"/>
        <c:lblOffset val="100"/>
        <c:noMultiLvlLbl val="0"/>
      </c:catAx>
      <c:valAx>
        <c:axId val="2866548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2133442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400" b="0" i="1"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79E59FCF-7D41-4A0B-8D4D-0723EAFF0EC4}">
          <cx:spPr>
            <a:effectLst>
              <a:glow rad="63500">
                <a:schemeClr val="accent5">
                  <a:satMod val="175000"/>
                  <a:alpha val="40000"/>
                </a:schemeClr>
              </a:glow>
              <a:outerShdw blurRad="63500" sx="102000" sy="102000" algn="ctr" rotWithShape="0">
                <a:prstClr val="black">
                  <a:alpha val="40000"/>
                </a:prstClr>
              </a:outerShdw>
            </a:effectLst>
          </cx:spPr>
          <cx:dataId val="0"/>
          <cx:layoutPr>
            <cx:geography cultureLanguage="en-US" cultureRegion="ID" attribution="Powered by Bing">
              <cx:geoCache provider="{E9337A44-BEBE-4D9F-B70C-5C5E7DAFC167}">
                <cx:binary>1HpZc9w40u1f6ejny24sxMKJmXkAWatKsmTJtuwXhiRLIEiCAElw/fVflt2b7XbfmfjmRtyJcNiu
YpEEkMiT55zE35/mvz3Vzw/dD7Otm/5vT/M/fixC8H/7+ef+qXi2D/1P1jx1rncv4acnZ392Ly/m
6fnnj93DZBr9M0E4/vmpeOjC8/zjP/8OT9PP7uSeHoJxzc3w3C2vn/uhDv1fXPvTSz88fLSmyUwf
OvMUyD9+VEP9XD83+scfnptgwnK3+Od//Pjlr3784eevH/bNi3+oYWxh+Ag3R/InGD9FiBOMKBE4
lj/+ULtG/3Id4/inhDMkCKdYUpbEv7786sHC/b8O6YfXz/q5eVp+vfqnQ/s0sIePH7vnvofJffr3
zx7xxYzgBw+1+fG7i/H7m5/c0ITzamtY+H/8eGg+uua5Nw8//mB6l36+mLrzrA/Zp2X6+ctY/fPv
X30BC/fVN38I59er/H+79O0EHj4O/+lYMkkl4QgCxmksOP8qluwnLCXFcI0RiPTXsfw0oN/X8y82
2Xci+dUD/rU4fnXTf1kUs+fGP/QP3V9u/H87JzmPJaGMQlLGcULIN3EkBKGYJ4lAAlH868s/5+S/
NKQ/j+Dvt/5Lsfv95/9lUduZh2b5TwctlogxLHDCOWNE0G+DJgVLBGecsC8j9stw/hep980T/qX4
fXPXf1kYL2pA0Oo/jqKCJoxDFGMEpR0y8ZtAshjHlJEYQwaek/MzUn7Ovt/G9L+I5p8841+K55/c
9/95RL8/vC8mjH9lAd+tSf8+76GQrEhQJGIaI/ktxGLMMU6ohDoKGftlkD9Tku8P5s/R9U+IzK/z
+v46/L/hLt/nNb+xxewhPGw+8cw/UJu/vvorJ/rq1u/T1V9X9fDxHz9ihIlAifhDJM/P+SK5/rju
X97z/NAHeAZmP8EzGKU8wTGQWgDa6fnzlfinmGIB5ZLEn6rmjz80rgvFJw4MvyQUYRgClzGDIfRu
+OWSjBMaQ6FlTLKECvYbxb929aJd89uK/PL5h2aw1840oYfhwLbxn392Hq3kUpzJNMPxuUAwQBe4
/vTwGmTE+df/J/QoiqQc5oPE0V0f7Ib29YaFcM9mtnPNcO/oejMIFG00ej21eaPc0JbqD0v2Z6OA
RfhyFFJwWAQCnJ7iBCb25SjKKApTpyd6SBxSeG5V77oXwaatndm+ZMsB2UHl1qc1wWr00Y7qqlTe
Hjsc7Wcbtn89noQm3w5IxDFJgJaCBAEp8uWACopXZjijhwWNl6FPIjWsPGxKvG793G1YicNmpeOb
QJBRbq1fYre88rrdCTxmiI9HGoc0svMeJ/32Q5SHTd+vaTGyQy/Ge9TXW4q1IpZurKP7qNCpDWs6
s2Hj8Zqa1ad5MW2LaX0TF4sibkidYFlbsk2Eumu0VNfGLHdY0UonKprJTUW7S1mYTd4nm2UkuyRa
9lTqtGI4DWTczjZ/HQ3xPiHbOpGpq8PFEEWzykN1Kmq9SfLigiR3CbxZ8jX13das17jchznfJnTY
GONT15JNMhfHUbPMRMtVsfBemaV+xYNN654aNTZSxVGbysbtGttv7cJTj8JVM3dbko+v+Djv2gNb
w5E4cxxyuaF1mw562MbYZ6ON1czH93M0bsyQ3IQTWvq3C7monU9N884lTOWDP0XJG2PRqbT4vRmb
DLflvkJDqWppsppR1VGaLQ8NbTZDX6jWi6tAip0PNzPHWYeKNB67bSE71cUZj1aFSbW3I76RtX6l
ozE1tN0Lt2x8mRepiHtFhupxZmJWUUkuF/6hGOusXfmhFWGvMyFgWZBWcePTTuJXajWdEt2Y+cZu
cFo3Ik1Gt0ElfdX0Q6rLdid1gOAGNeIDzk9D2WarexjbZKOXNe2mm4VZNcfR3o1aBXfT53ka8Q8B
1mXqYX6lUxXyWceDmvMbeLCay5tG+ozGg6obnBUNSn0dwSrGOyQlBAUPykfkOi/yjS2jtPBIsXJV
vLzMqyh1eCxVKbtdiJesRG4jVT4Vm3H2aemTtNDRVTO8QYnc+ECVbh60PcR8VKPTacmICvyBsZOo
YlVUo0qiNx4GjpBOTTeoeKQqkloNA6yRvalgsxcWLuFIxQVORTSnZT5nE5eb3ApVdE3KV7GdMdvy
EamcrBlC7dZhli1LsiHyNHivGFO0hskkYj9O6Cle0d7qfaWPhDZP2sVZVNi0wtFundiY8pabVGPY
r8uxicmkUAtxNbSv0oFEADesVwnqSlVRdlMkeDvq5kIuLVVxJe+K0XoVoSvthrvIMKfq2rysKzw3
6SOp2s5v8zjZN/WQK45gKWPXoiyW0Z3tZKN6UR6Z1KVaRXD7We6SJXSbtvCPGFOpojBKtcZrVvWj
39Z8DZuqsM0m6RJlIvNoZ0oyjvLLasLVZh3DCF9vQtCFktKjzPPkTq+LSyt657uoUXhtqCJdVytd
Jikto0NwrIG0EBXAO72pOLtZi9eD8Ccx4NsuwAvzRBV1dUq8WZQ25Eh6XgA+oSptXLOL1m6GSXWp
nQH8qRuv5mC3iSlfvCwyT2mlxiTf+MI8znN9mov4putitdBkUBU2iWpmGBfX5EKPsDwAoudx9h1s
ZliSk1u6e2YtgGxxOU1D2pf9obezzNxUv3y6OOB3/TikVDfX7WQuktDJbBIw+W5pAD/gp0WeS1Un
U1ri8mrK58NIcWb1RNK+huD2oVgVAuCDJ0rv4lTaKlvNcP8JQbtBL0qWdrNo87Fpj8JXAJ3jOqZ4
rX06BvKBDO8rU22MNheLBCiQunDKBfO4jv7SRM0GNwCnbEka1cIyrBwWy80HTKddPFSvP91DkvLl
fEs/y1npccmatkmL3NzXlaWqn4tEOQsvHetLJzpY07pVtswBgFjh07aH7diSIStaT1IUoRZK4XEa
G5RFjty0Hu4sm/4+dtV1XTquFg+XOpw4FbkondZivxKYDTojWWAlYJuZ1LzCrPq1P+EA11pphBLt
rMpcmrSJa6pMAa9dinz7XGJzORkYul3NYytDqdAK5ce80UGYfTRspZXpvJinIa+gAFK4LEeAZ1gX
3Uiok5E56iKQVHr4qykm4BJ5oWwQR7/6j5Mce3Vd546kbpiT1JUwoapAmzn413YhvWpGGJTqdLlt
k/FGE+1TGiKc6jBlLGqSrQvzmjZhrNNx8pdxJ2u1rkOlELyGBcBB2pwnicjVauUVmc5xHHu/rXYC
tUO6LMP9Gs03rR6ifVlGz9E0KDlvCz5dGwH7i3D9CHlbp4uItmUPuW2j4gWfsSTJ+QmX6GQJT9ey
Trbd2vWZKsboGb7u08mRrTXmRQgWqXWKjqwnVTYMjqoEX0qdAHbWdIbi4Q9i4FkzkVmNvL2nnAJT
MKhTQaYdi2+gzvgtOec4jOn9LP2Rkjn1ZekB71yZtXO57xYuVbEimlZ1vytqWJu8k4rx5TUtIB69
hJKyLimwMcALBuDYaJhNnjyw0MfZee51lF+NvssQmTOAhwtRL6OyvNj4eSRQLMx+NYlUfsY3NQJU
cDWU4GGmx5qTy0/hKs+hXObhnl8L2VnVAVnZJTzPFjpfDGWtmry7l3X5Iid/L8lVMi6xqksAabzo
l0jHW2TcZoWIqLUVhzwyLwD3RhVtcczHeO/aC19WmbQhhjDLOz33KU+amwSN71A1v6K9fmFxPiuk
i0fU1Seg1cBfW/NI+r5UUxvf6DrZF5I9ldabTN+EncP1c2zh6sBylk4Cqzhxx5aXN54DjBSe3JRB
SIVFtIl6ukNgvyjk9dO8VC8sh5dV6zhCFMuNQG/byd+ZJYv6aQF6ALvNtNOYFhM8oIm7+/KhK8K1
Dv29jPiVrv29T+QO4PcQxf29M7CgEccVrFf7PrJaTVAO0pnAbqsreESF2UFzc5gAvICAOKWhNE2t
vS9H4OlktimNLkyx6gzM9yTFARYyLvGrceYf44Ztu7KEvTrBtwvPXVqOzu0nji+FDTqjdUWVSzoC
OEivW5pkQwwpU9enIeqTNO/4RzPKN9Mor9ahvRelfhkaetSoODDi76fJPyXntFsJQMQ0YKi8Z9zx
VXJdxVOlmmbXDDFK43OAPqHevIrDyGByXlcpa6b7Yug3UDYvWXybD+LZhOYkE9gdrhX3BJeK9/GY
ThPMte5dq1hEalgiUAmZQdGDGeGnXe8uGCJaaQ/FXYy0V1NZPxb9ciw2UdIUn2+ISsC4gmrIwTge
Utm7PQ7uYDTcpGf78uk/jemPLV43xTQVkDs7Ji4ol4MSEDs7FwdX0WNeAbUoo0tkImBfMIrFyyuB
J6Oi+Lapl8eK9Cijkb9PLLwyipo3kes3zRC2n8bbwOYs4z5skoAyXEDDpYDpxX435Ou7VdAbO3ZJ
yh3Quhz2stHkxoruXngBy3auqXW8lFkPsjJrxhyyM4HlwAuvsiifqqNvZNqLok87qFgqdOQEUuMq
0mO0J2u9xwW+SHJA1VJLnZG2v2XjkAnIUNEDYodKDQu+bch4Zc8Zv0DO5TFUrvPARh9fIE2z2cxr
Rm1/mlD9QOJdEsPzYsrtzgx2UVXRw9ThYSUet5iJ68TLR1vbKwFFNi2hdLlZuqyspman53A1Rq9R
PTsVKrfsKoctvGDs1LQ8zQKxNAgocZXBtx5wXpE6v20qmTXn8oFzeGCk8+06rHVa87lSoS4fVlOU
aaBNAkScAQXA7LLU5H0BNbqfaglLCt9ODpANqOxlHux1NEFWEdjzER5kVs3tW07zvTyzxd5Dnwcl
d0UBG2ucq8t4Kt4t5yK7nLFRHDzQmP1Y67uoXOD9Sw96zqwZa4PIJliAJvjtivSuIV2dYucuiZ9v
ecWrzWDrx0o+xVa3apohfcZZmBRH5sIn9yI+xrV8DaLv6KrwJq4KVWuShSUUKscQEbATr2xTH9ph
3NYgLFISd6e2eJgl3fGAtn3trseKXay4fc0Jf9LTBDknypT61qSxeROXgIHnetVaKLxIN5dkzBHo
TQwko1pTKtGHtp1UsOVB62bdghVdQdHaT5pfa+TfL/O8sZaOad+uMqvLTTyd62/bhCz3y4E2uUmT
geYK1KVVfIFt/dciPj5r9C+sjQTYM48JFzIRJP5aw0e8DVbmXXzIZ53FN+UC+iyfIqguiOzkDDyU
tfOYNuetfHY7qIAkshT6n+4C9MIHvgAyTRGAlk2XobY7LKBi9wgqNnH1qR2wyilRfHb3aGph886v
Cw6QzbryZUaAk2wAvRrnqXbl4xngR0B1oKj5M53FlbikuHoH1SCgQgMsmse/nj7GfzJ/RqAfw2Ui
BZYCTKQ/WjulRCifYrAcSNNRVUmbEjmB6C2L/ZhZnwDJ6/O7CPf3/QxEXAcwGni5WxeIfNK4U+5g
iSptATq61wbD70khDrza1WPdKLnAlo98YlI5vcdk2ms3v4b7PxNcHINhZNsPtnkUexybuwLZl0+E
bgQVqaYPiUvejnVyN3TAJ1uvZ4Vxc4yvkehC2vTA89rWwjiiIZOc3NRn6eMdPrQtKz/zwMAAAJce
ilwj75wIMvu0VRmTwFZRagr6HBCI17WGvOnOAo8yfVzyXFF6hzuobj2FUOYGIi8tkNLSblfXNqpZ
+B24BInydV+rMfhrWQBBYlAHVd/frtZBJYEYL0TefULhT0Wp5/Gu6jYBoV1f6FefwPiT4OxmKM/u
Qk6AgGdSfa4/NYgAoR3YBeSKYSgEve3uPbrAa9SlvoGLCZTz3tpTJYBDQebcdV0C6y3jXTdkvaH+
c7b84qr+4sF9dgafnF86A0T7q4//3D27c8eg/9Rj/u1Xn1vOv32Em3556NkL/eLDN97sd9zXz6cP
vnPx+9bsb473L84l9K4kohK8S5kQicC5/O2gwZ/YtOfW9tcNkO8+6HfvljBMoO8iEmh6YnAJf/Vu
2U8IOtvg28YM0iuGl//u3UIbBpxZqGmIMuDOMO4vzFtydm05I0wCMP075i1P4FFfQhxkNdiUEnxi
BC+M0ZcpzkktpqWPwTedxS6U5tis/IIQMHh4UXwIEvWqXZY7vkRHs454u3YNSEMC0jQ/K22h5nFM
2znBKQH/Ky+HxxyR7Fzd8NOcfyDxW4tRFuZoy+bHQvp0sGdD5R7KFxgMz4R3yp1RtY3VCKQFIfoo
AApEWW8wA2NtmTedT+5m3dyRYdhUbRQrNtXHcXW3jLr9ast94+KD7szbQV9Dl0uhDmd+9plN/G0/
Rk88tCltr9sRHYtlSMeyJuk48rsc19t8WjZgg6SuR1sZL1fxgF4EMRnLwUqoh6t6BsXUM2B/Ezmi
yR1wFV+a/Nmt6MzZ0wBGZrO8cLSqAhw3Nr5xXZn2fM5k+7HvHag7su1bfbPU5GUsEwBue7kA847y
p0QPmxlc4BhsrM54tTRvkY3TxS175PpKTbgTUIaTHe5B6YxRAHOruuqK5pRMQoNAQAyQ5u1kxSYu
7as4jrIuuUNmvJj59LiWfSqG4YhAZEeU9ClbRaUsi95o0HuY5bs2Z5XSgFt9CyR7AXot5cXS+mM/
oCs51fcRb95ByTuaxIGRL7d2dW9ngrPWgAwh/XUv0fWKwPbpqoM0NrPdkCa2ux58fDX75l0t8FVZ
ueOcu7PLO4NJOKdj7PZBAAKb/iOvXJbE8lWp+SFabKpzENqkBeBOVEvzyxW9HZdkO0FdKdiY1fIR
r7kCWN9VCClwcEFFzH7LwKHYRAafFmoe81VYkLXRhok1LTvgweXrUtJGJdy+pnK9mKvmecRNrfjA
UpMPGw7kBjy3tETssHb0mdm7dvRZWddnnwrMAHYKIwcHZMjmot/xor4xjm6brk0XqClVMaRhWbfa
oaym3WZszZEUazqUsRLosQQTWZg8HfLo2RUObAKgovVd04KnIh846NUWVobk7MSSdTvT9thCwWSs
BtXUpxiEciX6LFkm1fh1N4PMjRlsFa4QLjN/hvKouzHJBZ3qTUJCJkcGKk7vTNyqvJxS0xIQ4OUh
OpuiNmQmAV+xGtI46aHuVlsfmKrCnPaJOdK6u4qNzGITpd6yzKM1xUN3M1bFxpRBJSJs6mpJ+z7Z
gWu/Q6sAMdlmY9OqFutNaKrUOJN6saqIxZBZ/Z4MehPVDGpsuxuoeOMJvYjW6ZD07U0b3lvbH0bY
qmtELzpQRWRAaun6Y9G5U6NrFRuugh/VoHs1gBWnx6d2Yjcx2JI5rXdAjNQ0PpPZ7FGAZaPPS//i
Oc1WcPW0iy6EmY8rJq+GAFmCYKcN2QjSaU4yTfjVsFTbCYj8qMmuboCSAM0JtIWlrzYJhxzjRqs+
KrKCLCfreNZK8BDHFm0aj+COEXithubLcDUMKGXhdgxYifjFgTyNvX5TfILP4rpbyIZDGwZ36zVo
Z9WukI8CqJCXOx7pq1oPpxWcznyNcxUDFvb0JaF2l2ixK2lxVTjyJsHDgc/hFnybSzvyW9nz9z7x
N5hhSOXocZLJVRzirQ0gdixrtl3BXsGZuA+jsGfxyF+PdWlVzwc10fllKtnVqv3RD5AmMjqYkh+d
ZXtX6eeYuhRP4V1Ruk3EdRZJccHqKQWOmYG6OxaDv+I12Xf9A89r4MXQh5hyUPwgaMocZCer7hCL
TzWHmbRSdQPfL+K4Qodr4HYE0+4daEToXZRvp5ztY9mefG22RdNkdY72xQwdqKi/wON0Y6xTpbO7
aIovJvZ2xBo6d9O+mkC8MwiU6/b07Ex0y1PXaPDiAjD0fDdDANpu3XLibmdwZVv+sU7QnsUR8PEu
i9iSFm2zxeDFIuizUY5VNNTpLMSWIZOaodhGCYad6FUru8eJgi+xRqlY6Wbtg8IVz6SrjzEq96Zs
t0ONdnPlD6sMO2uHbI0nBR2KDTi0V7hfHvPptggGHIsq09ylfGEKSnKturE+8iqkE3Qls8GDeTTj
YzIOp7klj3GkoUUi7qChf9HVlqVrUt6uc60EBWQxRk3BqQSW3ENN5CSHdsnzCi2hXPALsGJTWsGC
1CAUOkrSXNeHuoARIX9IJpsmnTDZUInb2LZZz5oP3aJ3Vs4fJtNehrXdx0VzWfiQYQrNjUZklrks
ptpsmloUKunxxg3T02Ls+yJ/J2mchtmqkg1ZS+fjlBenHucKEPoqGZpbTOR7vvSvqsIccrQAPoeU
rNddWF6LAppiQOiBn1+YOcoCnzJaFakH68ZiSN5AL0vMFI/IK+KiU1TkGQehGKClsYLRHsSUkRwf
RO5TW/uggGw9W2z3dGi2BQbAA7/b0u7QudyqFYuNX3jmkuIoArtoQsjqNc4mRPZF0kNjsgN2Yval
AduZk6wrpkuUr6/6MF43c5wVi4GGQdjy+AU6J6oVN3zKDxZ9nNsl61vzGqyi7UA6DQoEvKCyX/S2
Q5By2AwpolBorW4O0LwbsxUAa+MbDLuvhSaYa/GiwJPUu7ZhUKz5Llj7IanppVufTTVcGEFgA52F
FQHT1Z9bN9EWx/qu7y6bWO6mZdbKGTJvZtbeDsSdpjDNaWTIS8zbK7NCe6iMb+YSb9bAVV/wfWT9
1jPAg/lOhiUdPch+nm+XvNQqmujV0tbH5VwfJvpqyZOsMDeG108i9kq2g2L+rYWTA2q04rRCy6/J
A6hU8DTWIVGrK8As8g6aIv2psOxizkflF/hi1NF2AOkrl+JQho8eg49kAEGqGprGC9S0ZTdbftIV
TmnXGiUb8kFGfZniBkp7WJdbonUKZCUT+YNvpsM05puxBKfeLfE12K83VexummWOdp8I/7+lcN6Z
yvjnj+bhv0TiiPMxD8y54JIJ+POXEueXs9jfETnfPup3kQMHTBChnCAOuA4v+VXknA+owPmHs4si
Yo5A/vwuchDHXIDyQegsYxAc7P1d5FA40psgzCBdEpLwf0vk0POjvhQ53w79jz5GU/l8qfoVHQZC
T9BUhSSaxmpbLzEQfzOnYI5ZIGnm6Oe1Ub4or8xUjqqsV6saBlZA4kWsKgbdcm7Eui1rODywai5B
0udvJOnQtjXjHcXu3ShGYKhwlkfx3INUqTDkh+ugTzLSY1GjdS/4gC4SZOpUQwdxW2gs0s6GDw3L
J5U4dxpqHx8a6zqFmwEBxRHJLdcJT8sFeuGjYezINA9bcBqgyFn0JCc3Z6yG4wgCOMHg3XSKpvIK
DrjQlFLjjVoMpKcf4H9uhDKHQiE3oTDsJOv1PVojrGZhLyNUvgE/ZhfyAlqQYyVULJze6Ti8yyvT
ZdoYnVWDKwDNuFU6KsaL1giqWDwhVSNoVsJBlrD1EFMgtyPIjbafUmHbKssx8uBLtOAQ+eYKrGs4
eZNMF0PXAuezTKfzAGbrMEdDujYe/InmQ9NMr3Dnp11P0H3TMRhbVxwij+FhhFx3o0Ynw6N830ER
PDK3yI+2zfNjX+oKTmVM/VZOE9rgx1CPH9cqgsZ/v8SnsXRy37YFkH+KWpBMwsNRhQDI2szcXUJ/
7y3oYfl6Ghl6XCQfd7iE4xIRdNHemtKay4EBfS560WSNL/HWo77LigksONIX9k09yWiD6qnP+qqy
WV7lL3zUz3i2Iu07hi5ZwtfLsksAzwqgGV0oI0UChVamgUNCQefLAQ660JS0QHnAxjp3M6ZLK6cL
LOubRhhocAIFYdLe2jUJ2RDgyEYeAaDOax/fzSie3wlBxQWvKnmk/bojJLmJoSGpeiKiVwLmniWD
BHFRQuPG9mAGd3CEpG5v3ULl0YZyE+XkhFcPzYDcDJnLwZ8rqj61yD30UIoavb7r+vnVRKEyyhY2
d8cfxiqBIydlUqR6yVdluvIBnNy3nmjo4J+PqrS8OE268XBuQb6SBXVwImre5KBRxZKAVPPPIgfu
NRb8Ki/mVyyvjYIWOXRo6/I92HTDfpnLIiOSOwVY9AFa9FvomHdZLrqLJen5DQ0gZOYCi8sYnztF
q3y3+vrB6FnfMIyjbCb+YVrso9HI7Lp5jU9UEJbptngf17ZTkW6r1C6yVcKvcOaH7PVSwQfCL6BL
cf0/3J3XjuRWtm2/iA1yc9O93AeS4SMjvX0hMktZ9N7z6++gdHTKtfpCB+fhdgMSBKFUUZE0e601
55hL/VDrW1EsgVeNKNepaNKt7MfE7xNVcZkfd7iCn0uz4JIhn+BXWM21icDjp2Pf0TDFxUMWV3dt
qSc+MqbmxkHzdZDLXefYX5oeRqUfLLF3mljsyxmsxRgXhpyERzKS9n4UcbkzY7v0ZtWId+aQHGw1
g/EZnK/5VEzXSTJYm3oYxTkdVtGij1+iUd40YUxVjvoPbLnj1NJ4lpKHQGbq5GXSFPxaIvxI6x/G
cr4a6mXTmzj4ZV9liKrKV6Ew1nD+w46lWrNRGosRxu6+Lq1qcmRBTzV2GQND9feFI58mVXu0pfaC
fNV5bTRxNcaMq9xZePZBxQNNzfDmsZrPaaFEb3+/Sj+UOX/9XKLXUNSfyuX/+Xcr5GjtyHQ6cjyE
tlwr6V9rlQ/vH+/Fe/EXdfzXT/pWx4WG52UKJMEVNf2+jjvaSqCaK+tlWqiI3+q4kL8jl8SqNN2w
5A9ipcn748CuolbaK776d8RKJNOf6/gaNpD8zVfgmFwB5+/reB0nzRCjxB0cXtqlSPx8PdkyuQ9a
bSed/FpRBr+wEti7dpdxsISR3Fez4Vs1Y39sncYuOWqT5SvS3kQhvWVQ6KeIASFkUBAMDHlY7m2h
fI5xipqXI5H07SGi8zbH9NbGIOxKlckxPeiMIhYjCQ66q+fGlciXY83IsliRN8nJj6dwkzPSJOhj
ugaHMap3QXATq72nMAABGx7mob+ecuUVcuU+GJRLx8Akl+RslssxZZCKEkQrBiuteamn8lUmyxe4
iU0T44mXfR5vclH5HaNZ1YeextQpjfLKCJr9xAhXMMoxfOw6RrtCAjFGQC9+wOSHmbHVFX0zldH1
ZFFIWueipUGHdaOc5gV2KkUCDWBtaF/sBPuCHp5pEx3MVeLcnZlC63UcrSpxGhfjYZyVfSeWD6SR
c8H82jHHhnLU/E62nhJwxddRtwYniph9IVt8zYnd3LmnHH+EtXqJmZRVJuYg4e5l1Nu5Pohe2yVM
1qOS7lsjPwombl3pXEjoTcQkPlbGMR77D9Op3DDgIJ3jLW0AWI21XfLck0z06tR7gglf68ttaM7e
xOTfDYCyKAFm9TmjC1joAw06gRZlbm4pOwf9YICWyeT0YofhdrGyfays0ynMWTvtR/QHmT+Hkzwp
Q4HIRilCpVhQK2JUixz1IkbFqFEzDFSNsrGQKsRDoPY+ROa1CeKjZ+r1YiGymvsWsGFCr9PQSgSa
iW5r/sIlT3rqHCyga6GutO27hdbSlc0lGuJjjQaTKaMXOtbJEpEfo9EItBrEcPSZ8BPdDvDIPKZo
OhkPq4rGM6H1TGg+3ar9rCLQYtt3iUE7GKEPJcECSLOqRg3NJBUwdWMNklSxxmZbiO6jyMqe+ydN
T3PEozKVji9l13tTkKu7xjJOhmKcct25AyPZlei4U4UoNprbrJ7OZTu6BiqrXlhnHb89NzRf1+q3
CN3UbVUq7BCmWwp/5imDOJlm4PZ6dF0N3cWwtGORRM9ZuFwnQ3xZusnXdfVcQSVXssFKgBRVZ+oY
VpeGDqAlkZvGj91QHJ2pcPsqd3PxLBL1Wh36ixHrXj9jJxfiQUNY601jl7aPi9Wi95QAruWzMOKj
FkqvAZmx0xKnrQdoe7YGuZtClcsmPE1AKRrWZrC7m66eDrKQV41S+yXX2s7AZ3InyoH+Gq8UqKHF
wLDetG4nQc9pGRXe20IJoNLKQx5bW4VmRtESgGIeuuU9MdVNV3e7wVS90viMc8PFV4pd1dB9MQ5+
yXMa2JM/UOfLeeJHhO8TctuKD1QdJvL2UE82LQC0K9OKRL8KBP1c1SB1v2qJ5pkCbcJAxVCMTcpx
4+YjAlDDkC+DjVCEq5nGdcpk5FgzKIfDox97MyZPCIzWtprXt8Z5xhAtFYYB2OdAbzyhaOdmnP2B
/3ZqJi80Gr+PAPHD6boJ0bBzDUcCr7TQ6s2CeI0p7Klmd1AMZ6/Z8y5CNY6m5ble5G7Q2r1u1Rsj
R6dRmg3QomdJdR9Y47EzHhycoxocxekrvx6G2262QedCd6pPCgfILH7LkZ37doBi5Q/EGm3a0Gfg
Og2T4dn66AXOWyd0r2sJ1EUvyVK6y6B6oyYSt5n7wk+0oPGnOQTUGUgNJB2cpsJs4OrRXVuMft5f
ovQtbTkJItfMl33dy1ctN59Cs4BnqIGI5iYSGPW2lw/26MZjdAwVGBA7v9NAxiMNHcjctUp9aJFo
kiB4MGoDqutOdjr6SOXzOmysAvl2vomr0sf29fuSsztT3WTUHutYDjvwBEAElJoJdRIF29PFvLHD
9NwwTpWxeQr5RWtAJF2K63qWr0M2g7oQN5gUUJa5hW5FS3WnnKcsL6ZLKKyDwY0wTdyO4TVulQ+9
uK+LC16CV8vtxA2MohKnriw3WYJUbYrl6e93b/9urRmUiJQSj5cOx6GB+let2em9eS/C9/Yz/4vu
7NcP+9adWWSBhHSIuCCYAGv8qbIY/9AdFaXEIdMuSHZ9352h/RDiVE2pO0JF+/xeZUFesYT6e2z6
b6aAKJ8/92a/fvHvezPDLpq8r03yLks9gcQ45aHL1ad0ssCkhlM65ZuxUrdp/8XRmajSR2VZPNFu
haUeKif1hdlduqz3kR31guwBjD8KqTcAvA0QFbHcWumr2aq342heaD9cQavU2uZBi+P3MESeiJbm
zhDP9YApLdNzOD4FfXvRivmqV9t7gOnfglzxRNd/OjQHfbrsGl17XRI5u3pr3KVivFcK466IzV2l
5pOX07V0SYIAqY1i08e3wbS41hx6zVR4OHzXtomN/VVE3d0UVm8t6L6zaK6Y820qj0PcrNDP6n3n
ezNAth9lt2ucZd9W3b7oREqp0p/A9J/iyNrjJtabbhHg7L1hkiuYYgIK+W1WdAcrDHeVMt+OanhQ
LBIchuo7erUZVXxSTTqPCWhKknwJ6Hei6gpgaZ9xJfEQXSy06wzcf+qmbayNmwphPDXbzVzV16bV
XtIpuusaZcMUCBxz0DIbHx9cnWuyJD2VydxkJfkac/JiOq04sLZzO/sOqEqoB56u9ket6m+ixdpj
3e+d/NTLYau3ypfQWkMaZK1suupaQQ7THprpLdc5a3R+aXiMbfW6tZqLjQDSWdWBSNQ5Mmi05hiK
LHdek0k7LP3wm0XEA8lZQkwbdDDKuNDWaptM03B9o7smlJMblEm8sRP7NggUn6yKn4banuSyp/ft
VtFXDrF+7NT6mKgZliEKjtAI2dkJqZrlU5mXXbpgwSP41QkmNa14VI2fGoUSfs6r5/Kd9CyFxkmw
xuh2kQSnChI0Ho+xljxGS3CdBtG9KIaL0CZ1a1nTTd8HqIYzT7GI2sqP7L6BmrI2pm5flwp6NSDu
JbaiUzdba0SrvGnVQRKFCWJAiInLzENWavLaDsdzJ6qjnQ6eNZnUnWnfjcYmFqd0UPxEXqlYBfHD
VH8GZGlmSVAspFL3D2on74JObsogioEHo4EHuHJ7i1ZVIvQt7aMkuUCA5CNI0pOVtgeJ/FNbCmRR
GGycRd9GTXe25pZIRpx6aoAfF+pp5eph5pVpcLTN6WxFhFDKhm+NgKE8lNGEI057N03YZFhtXacc
NeGQoCLXpAWlWyuQfm12qZ3guYoJ4o2Nflctt5PmXGtR7WaRcxPM064ZEFEK7UEIcIWU/FjUflTF
slmM7JSXgRdkzaZhNYcijuZcu04W743FPoX5o8bdSZAc26hy02rYtlNxV9nB2ZDyCN5yk6gpPqOG
FqWfhhHLu7X8ISm2mIkHYTVoXhoMsLEzCy9tRuI6wymBXtWJAhRxvEl008ejA4tuuXuZn5rTcSij
K6nAppOGkcAHaq15ypj5Vj8fncjy6jy7NhTmnETlLFRnWPugItrzNTTbAyKyJ6E6FCMA5eugOyy3
Mq1jplsXp1F9MwlAbkDlRMKcM7xjVmHPM8vEw65WaSc4L7TKAqRVdiFnp5XaOJujp861r+gv7QBw
rNV8LAmq6FFRTb+hXyRS6K+pu8rKjzyZJzrqLZtV3AVpSrQZaanndAVDIObSCK10HRQ09V4lZSBS
3a/CwY+12VM5jILJqgE8Vjq6f9MqbdMmwVHlSUwzZGpCH6/Eyq5iZ9zOaNFJq5BDSr3B7m/VBbQ9
vnWijCTYa73QawTLRoOTmLTQn/vn3sSxHfVtsoybNsy4L88iHTMvH42drIEimok5HBtx6IByTM+O
I64Rd6uB23RVekW0+MvaZU/Yebk5bZKEIWiU7aWszxrJsWbUvZoe2SKgADC4TZyPSTrYmcpVp68H
EraVqqQXMSQ7NIeDVTU387B0MELVqVLM7WSTTpO5IKYybrPIvu2EkXhlv/hd73hNX12LQccFNLLd
VEc75xjHq/Nv3Gdzf+3YiwDAGX1Ej9r9+/3Uf6IaRtrX1B3bUB0yzqtQ9Ndq2LeNHp+/R7//m9n7
+SO+NVoIYMSapWEYdE8/NFqaRQzblgIuFinu+0bLoPVb48/SMchXr/3RNzsL72tVrti8YAlwQ/Pv
yGBE9n9utX7POpvw0CS8sdbZyvF9q6VDFBfOmnVOrZFcT+eWlLrWdsHUK5QLHmMldtPh3GbWRumy
I+ZPv872fsHZzh6dQyvmnehB1sLPBAtKIF6HUl6DSbltuo8X64Hw8VXb1fgk1XMxrNHFTwrDoUnC
SyrCh6XhzOhJC42YumFbLgT17FMWYHGpzwUZV9eZAUyH3gStMKhL93YGzFYAn872vFUEZJxarRhc
hjHQG+2HlmtnJ3J8Y56pwmJbac9WWG8n5y3N9PvFNu6dwPIKLdiTaPLSVlxJCsuKU6umsh9R7IOm
23KuvQd1eUPmbmCgV+4bOqS8nd2cpjBciHNCmgUQZxbkWQmBtoYRe4g0aY3ezHE5r6jasORH8sfn
XALPwLJVZXWTz0jZeeaHsG7c5w0m0rGGKpx7TDtdBd7In8bQoskqdhPM3DJkzxYMXbvMlwmmziys
08xRmkIVKQCItUMDOKfBrmxKokjOo1zA89KUQbttXnWnPSp1s6p6HwtAX+1wRxRfB/PDbN/k81NR
jYZbYf+TFQQIBAy0nHZTNSBTkKXM0FzuZaUIJ3DCRNSnIKtv8iB9zLqAMXK8rqJ8o9S5F0iKi3Nn
Gs9x+EwV8fpIe+/lS1rVCJ2Wlxbja054X9XeOsIZlkM0yYr8crYMGtTo9bs3878Y4u+3CTgrb/oD
cr8+2z++2d8/29YsDRaILfqhtImHon21wEt99gwO6NXUaaV+S4dHq1FRWjNkkXYDm06mEe3sSyff
yVrujATxcjEuTX401MRL9F3QQnEK5Mys81SgxFj/apTwH/dGQ3skeLyDj3K5HhzGeXErZeiZnP5G
UXiJY7qZiDzDPNvEPMjrhgnRcGBzuxz8VG9pl6/sktxbre8SKU4NPmJMcDWumyP3eF8Gd5MoQEKI
08jXSqXH5BZn9bIvG3GoBoupv9oCPpLomInkSC9FrxH57MUJqtE07Jq2vzYxoYY5JfLSvTlm59dm
eBx4mqy0cNPgY+zI41nXZlFuGxltozY+Z+1jVbWbSfns8vf/rZKykhT/7bD8f4V5c+xiQajG7xPy
d4/kL5j3L+uDfqoZxk+f9K1m6JbGriSIbRXeAZr723AuhKHjXFho078T4N+sEx3HBHsEOoI9GprJ
7/pWM/i6UjKcs/pMSoOFWH/i7v/1Gv3B3rOX75+8Vvo/s07ALWx2APE1NVv8tB9jKSIz7ElxHDhv
lp0eYHZWlbFLep75qJj2mal5Rt08tYqy6wGkupDtEnq8Tr8G9LKGF5yKYFvmpcF5TZghGs37btaJ
DS0K/rM9+3lKY6N0javGAq1LaW8zoVhubodvzQK+GSQnxXzJ2pMNrZQTRx6hsbvuuY+En3Neq0YI
YAt/YSAucswIRNmUgdNZ7hJyNQ1orJO8F9broN2VrXSdbl1Oka/QBsjCQluYeGLszm2KFTBJryJB
WYTjh80LHk/WVlrzJqnFo1QDWCynBCFrdlpXXSltuB+chmR7A966plOWHbsQtrYzb/Uq2NmCFQdf
ujKnAc793lZd8nifXTSTEBv3WgIYlc23SRE/iaDYW0V9mkdi/8vsG6MNV7K4GRnHRl0ObRVcxWFm
kosPtkU/X/B3dk4iC1dZnG2bfszl6GVOfgjYthAlr3omrxSMXJ2UUGsgiZrdiXj0Lu+yG51dIUEO
u2q81117sjp105fhNm+0awUHIwa3l+mxGctjL+aQq0Vlm+3mHh7vytZeyhShM1iOTWl9SUOFpH9Z
UN7IMDfVVenAow8z/kAyeEaGycFIEjJehG11yMfqNJRZ67XSOHWY+pgBRE2mm2iur2e7YjkBNzQs
fJNQZxbuBjEf8iHcVlG7VdX0oNb2TsbWTcgMkOqEOBdzO2flMeN0xh5mL8boNz2PJHFDQxZEspfN
1C9I5d1B6Pj6mWY9EdE+GV3jt2J4lcwEUwnLvmBK4ElsRlFs1EXzUjg2TY0fDdKJZhpdxnQENImf
QWp3ougvQEgER8ttplqkqyvmjRzQWOxK6kXeJ1vkj0s1I71WL0PccXGuOzDiGZzYBCtWCuVEKpEE
ISRi+zUrPzUQ5LyI9tPwWTJVOQDKY2l7Zq/fhuGXXLBIhfcAv5HYv+EmADKdlp8ncGcN7LkGfy4a
cbIo/IFeH6ru1QaSbrLh4ETi1PfGowSiZi0ClLSCiFzvE13flMDWq3zeAl/XMA49MLY2MU1291bf
eBGcdsuwMUOUZ024jeC4e3huGN7bEr4b5tcvC6QcuO+mqS6B+kja6pAz9kwzDhSIeMi9bkabJBoL
BRoeTlDytIoPEQOwqEkjg5orgIstD7YNgp6M6cZcTg1gugZfuQCqxxCvljTcsXrJwdgrBboKrF0d
yIGDuUu+nIkxOK7vuD5vNXB4k3bMAI9v+veGF6TNHsAV3QKEvs+czwFquxD5xlQ/hJSuBnDfUBSJ
Qm0UAp0tQH4CmI82s8kB9c1IbOcouR0B+Jum81uA/jmO7kvjLqPj1PLFk/mDaIp3O2zPBmmAthqv
id95Vqt/CQvWUwiyAzYZgngNE1TyNiZbsI75EVkDZw0dTGv6gBSCXOMIeVdu62aAa1EB2uOVlWew
7z50ixeKRT1LY2/VtUt1aFcD2lYG1u1AG7vQzpq0tTrtbUKbm8Q1SiR5GtrfmTY4oR0enTeT5tgp
nidaZckPYNM6q7TQHa3036/2/46CvFhFebhtyMd/OR3+k/1yP5T8Vdb+8bO+lXwT1kjoDoungF9+
KPnsuZTGH8GuVVn/jpZgqNRYdGljorBobw2EfSv5NpurTFVlqEWuZ/j8OyVfc/ioH1vp3xV5lqMK
XAO6k59KfhpWqRoltNIkH7+mdpHvs5hgZjuWH32qCSZC+zCF4sPOhL6f5u5+4lR3g7ZBD48jyjiK
RLBKE9HAuFA3z1qsUljjHYfYxonzd2sNtydKdwRAfMe1uMoRPsZo2IqYCXBGEmFpGBucitOcMOYV
TXXT82fmZbxDhL3EDoVlIqI5KM7VTMNd9B8TXKONCGOONWFp4U3hxIqTcxjUl3TVbArEG4LYV6FI
PIjvi4a4oxv4XFML8e8g/GgIQAnSdVoxSCIMGQhEgWHu9FUxwu6zbdQ6hKRGl9sBYWnpn7sp8g3O
lgbZSWGjVGgDdsa3LGFh45B9V8jEG8pgMy/FJkG/IjFxJWfjdVH7yA2dp7y+E6V6Jkl1ZAHBbYUG
1tvrCitZb0zSFVkw+P0AQP0bssJtn7FRQxDat/Hi9CdEpbBMT3oR7ep1/dWinw2z8pRVZyRqYses
UGjlDdGqr30svIydM2U1gpnvJH5gp4x4rPIgAcgVNdxMjnrIxW9O0O6sItkN45c2YPcLTZUw7TMc
Gcq3s2kUdZMSVmkEcWzEuK6yyNH1dwYxdYX4hirf1f6lSO9Ve3FD9cYyXhX2itkSGqz7YhNBFgDk
BmO1QH8dTYIBoeF2tF8yMOgZ6LUsei5W53yU9GA2vVhDT0bW7xzxH0Xh4pf0bCoBiop0QUEv12t3
ufU6aW/M1MeCTsWm6aP3A90gSENihJ7QGXLgfhwcObgdPWPbPY9G5/VGhT1gY+WfrPLVSU712my2
Vr3vlmZTZcns2VN5mzvjJRzyuyYo/e8GhH/SXK/LM3950SzbdhwddAo3bX0Rv9uAF0RGErPdTB56
nrki1O9tAdNeJg572FT7vqCUjngHMaLJECjnoG2v0jo4h0N2kw/GUc3LR8MKnwyWCXGmmztbZzGT
jNjOk5vJXZ/Fu5LAXDP8hsC4zbrKtwbIpe5LsDYN5tdZs67jim0LdCyZQjbB1Mj+YOuEgCSvSarB
wQYANpo3TVcMs+6cGaj1J6DTbTssT1pk/SE6/rFa+p9cEf0X4Jqjh6FmFcI46Eiz/nhF9IoSZzat
PJRB7wdKsLWn62klZOePUjUgAIaz6kxeJBAgSpgBMP8dCepjEmeLzzKmvVHaWz0r/UqYV1M6wO60
ydlBsfE0ZSSfZh3LiVVH6UUZQBnM+76jww0BWxSa5WzwnfwcxDj9o9ga4BhV1v8/dgNgq/5619dw
PD+nymjJXPXjz9izd73N7NE4VEbK3h62MSj1JiRJC8e9SkAQM9qOV+wpbS2SKehQsvCdOtsIMMgu
y2+j0tix/etsw5/pLe1CmfoTbFfSzDdjxWqkgT5wJsfjbM3ubQZTzov8pFiBu+hgGap+WtT0pOi6
x0YotwVFGuarxn4Sg+qjf2wa4uHtAoZWfAD6stzOAalqg12VV5t+eDfCaZdrYeAGnBntBPAw7Vu+
SpYXno6uxGouTQ78dOcyz/nNQBz96KfzFaGzQ5qUOy0U+0q3rhqZ34UzDN2IZB+EpuUGk3mRU7cN
jOqrKYaz0i9Po9LfS6O5sBPr3nGW0wyb51J7X42peJEW/ZMsO5wuXpRFq069NV3YwHQBZGdNTV9q
2wiDwFe7OtgmjdwZJYdvEmm3fVI8ailAhcSZJUl4igL1ZspvHPkCkfUohnwv1WhjGSwvWpAsB+Mh
ZjFZD29ROcqJe7sZutk37WxTkFwe6htd496x2W6M5/tItfhn5M9lsZnU6phg0A7LsHPEUZM0y4wn
SfUEO72pUXjK+Sljf0ad4L/kmifbva18hD2tJpsOxKx4BVJm+FyDEUk2mUxLwjpKTKQKihZPt3Fu
5ml0h57E3CJuREaswM529tIch0rbsUbN7fAHl/ljfeodlCadCaiLflurK0iVMaMmcTAWQvFi1q3N
MwHAHCFLWDt7kF5Bhx0Ms5ukyU7Pu8+G3XmdmXiq8RQgojVKj5N3miqCuix2Ghz4yUSQxVHwfR/1
/lXlBRsw953W8ZuAeGcXfxlSHiCLACZf32JNz2q42APE15c04NGzcNgqHK/F8k1RMAr8pjIuF8NH
N7105pcxKw4EyHdOXpwwa1goOB66oj2KDB8pN0/VdGKd2C4uS7/pzAud1LmV0rPYXDUCZaYhCyH1
zi+YoEQF9IfXUgb1iz3Oh77FEzfu++U5dd4cB22VsHrEkZwu1lkL04zYXOUZ04Pa1vsi5KHtJ4KL
yhYE6ZLGuKrsDVsm65gn6oOZFudcm7fkQn1HGQ92ZZ6iEJUkIyNh5Ae4vj+Kyn961ggOhV0KpIEk
Kwq+K6O/6GzHz/wDEub9LygYAjs/fdSfXbf8hwOGDABjgZBb66n7p9C2Zo2gXXRD++N/6/B9172q
aGSJ2D6P2oZ/833XjSmD+cz+XPhmOjD773TddOk/lwWbZgPeGRzHxBLSfyoL+VRFk5nQh6VwZYmS
vPTtew9tpjhv7TR5IwyaUaSnFiatUYjOgFN1sGqi6fZx/mlFUIzLKYBn6+Ha6nG6jVqMV9pcg4OQ
fAlU5tGGhrNT6cmw25hQcgni1Qg110DPcco/rxlsg0hqUih7zO+DredegZK9iGazLp/ppPoaRgEy
FHzeAKcXwevRLBO9YXkBHN/UmmyOGy8QnrSMUfcp5qJkmI5OijE84J45LnsleAETdl0RP7ioSePZ
HGejM50my0yhR4a7shj2Zkfj6DicUsQAJrNibStRWXaEVshoOGYvUcXeCbzkVtP4Gibvd3+vGslL
F2ns9WvPeRN4atdcLXZxr6TmRm3JHMRi/Or0w4bUIevemj1ruHz2+N1woc+53T/UhrqJAGmjiB1d
st7C1F9ntoaDTJzbUb1G/SxDsIxM38z9m1VpnHbZbTiu21rW5IPV8u6H7Rol5mA3r/KWazdDZmTv
YRLTQTnaA0/bIY+wtKX1W6wZX/UlPNuMVabR7Du2svKDd6GCcPKYO8Ehybu9s5S4v8tWT9WrMZj3
MR5+REQjG1aJT+lsNynMTZzOD42xvNop6EKjgJ934SmJk20KJxtr5qsTg5pqWnUYpuVUpeYxDIpH
Z7DeBgxxMGPnDqRj30/EwYYQSnT8kpbLAiaq+/BZpI9V/q2fOJZVZ0ZytbldERETYzXq1RJVVYzx
uan4Us6UnzoVFiNdw7nqthyyw8CT73F3PvoKvlaz891ozu89ARabJb6T5VwlhFoihoVEwZ4oChvk
XmK/h9ukkPdrcDQJiu2SXA+0NNzu/dTbp0SXH0YTy41c6lfymyAXtn1fOVlH8SEv59S5305K6NH0
mr5VgRHM8k5M/d4YJK0vI+AIMjEsrGwjVvQsOuj+UlF4T+LT1LOFsV4jO/oa3lGqco2bhvdZt+zQ
v26K2DjNyKjmSMaaYWOcroRavg3tSWrZxahRYGgjQjIAblORnxbGdbMQVy1AWjKQr3SO8JQydo7p
+2i2rjTw+pTsTJW2bH5ENa3Fif8/jZc3yY0M0l1TE0u2ebT6dpczdNqZcgWCthn7/KvdL7t8po0d
p5atVqTBmkDdKQXOHAIqGh5LAJG9l6doBTCBsZ+nNL2dK1CSiG3b3thpzB8Eu4wsfW6V5LoOizvN
LlmtiUwXaOmxi0nhOT1nh04OENjCIXZfFq85i6eFtmAFFnd24DwOsw1XNQwsX4FwqSuI6lQYHyrb
Bl0z1E+VrHfpNJ5aMsyuwivnjqVBg4h/NWYyOrB/dGR4yz7HtvaWcjzif8Kr0Th7QcWDSd1lmQTb
otPpa0rQma2xbKzu8qk/OKkod1HkjDeakcst0nXp97V2mLT0UNbDxhoGZOGM1R96REqMA3TXqsYW
dh24H1i1bJyTmKLnCclfmVsvcgzL1W1WiVjh2cGOHbt+G9hoxmz4LIFlYJjtWvlNRixtsDPeRBaB
nEBbWDyxqONulnHqZv3S/g+q/H8gnUHZY/E5tKlmIaH/ayDWBYfN4r9oA379oD/bAOMfa5NBjNGQ
Nm4WA+afbYDxD4HRpkkh0dIM+QOjoUloEVXTHWmSZiI+9E17W8FaA/lN/k7Jso7pb9ht8vck0g82
9q/f/HtJQJROZhJX0g/tUlDnUb+VWT4aZXrdo4AYyCWjzrJt5BMnXGjjEc6bNdP5xeHctGA8leKt
VG40BJhmvG/tFw1v29F8E4lmQP9R1vUjc71VanL0znDfIumEaFRKjII3keYkx9xOKP3jFxshKEAQ
Etmn1opDokWbkXM0WidXgoodAlGpVO8RQ3a3KkwoTSgyNxbKU8P6mwSiIIPJamrjHLNthSDGLrSy
U5hd2pSFkpqfoGYFir5uhfEmWNM0Mf255n3BoI7DFw2ObI06Vi3b7ppxGzj2yQF6SPmwDv5MQZ1q
VMbn/lGFTlOh1DpoNSt7tYeG42TigLBPEUybkkX7mYGMs5DfEeG5j7Bv7AFfWbhgek+tdLsuBazJ
VwQwc8bsXNJg2Ib/l7pza0sbi8LwL8rz5Jxw0wsxHASBTqttvcnjWJsjScg5+fV9N1ZHpDogF9O5
VAI7WZC9s9f3rm9FAPVeTumRi4CFeQWsnQ9zV5AhiQWDB6dF+ixxTEHndUGydMH1bLA9r6VYCYxP
eAn1YH0GeF8D5ifn/UXFpOirJY5J7BpVC5wkcCyJfUa2GnjRopIQSnGqzdqFiQVToKRTTDLHYZqO
kJfQSNhDwR4qvepEsIiuHK/QgS9SGEW7z/6SK6ZCwS7CMKqwjHp3paTurG3CySbGyBfiUTLvJX5A
aigNtSKZKRk/AaWiZBk7LVxpgkr7rKnB2LUor/Cllcgnlb203PQfKQMb0Z2AZRO8BFK4aNbLfJ0s
TIuvCjwTH3O0sCgY+54/sxAiMJw6NyL9xtfx8LDNURL3sLCQn7oqXSC/DX2BhEYRpkadwERteNHY
r+eZqY+kEB/TSMCbVeQkfUmywbwc4PSkdPE9U+pVAonqarZjCzJVIKobl1qLMt/8wK1DTNDDotos
mILPMllzkqK59IRkZMsOgNSVZ61SqRh6msnPUl52uv29tcO7dtDPu5TP0q5rt3HqNl7VWT1DC8I4
ykKFStwbN8wWmTdX4hx01KAaCb4naOSrBLdPy85mhtbOo7yf130xJl9wq1jleY0vaKMNrqmqgSpU
kdpANTRRHabw4wvkT4EEBp6Wcxn7j3XPhcCrowqSNjfMcKrSP8A1my+2lE/iEm4wBImSEOMRFn9g
mD6M63YpUwO3AaUtNsnYVNsLs2bhLlW+XTUYujYlOkm6qNUbw8jOG1Va9aqaUXQd3nSKaInA/RTK
7tgDS1bC+BIJHZjTzD/iqnJm0voC/CecB6rwc7easbdmb0IKpnfVC7yfzkiWnJfU6q3zCLwqXugx
24+4/ChT2iJcR9b9OhrqvT0Ns5LKLpPErVKVy00i5gqJsubYnLDfGBeYz2g4GQ2EpVEnXNzxODLw
OjLwPCLfw+RTUO9vkrlvVwbeSFpNrkCWlh6eSWngfk6xaZDSH1T+nCFllvgruX61KCCBDeowQ6/n
XuqdTBgyxTgzkRec61G3KmWyD1HqGMFXC3m3ChoezQAT6i+i8J7ivnisBO6Eh+qrEHnYxnWg0VKn
gljVyWIN8S7CtJj7IO6+xZQ8hX7LVt+9ZqfXUgJYTBukaC/vHJ3cT4REXQfNJEOyXiNdR0jYG0Bt
vviRpS0ijLAp7Bo1wWDVo3oXwXoKwjyqIO4R5aeai9mK/tW1k3Oj1c7NCB6hKpZlu9KEpJ7F3jx0
9VklxHYOmvGgP5VSC/shvLiY4SmsGFao9NyFLAt442RUlybI+LSkYSfT6XcBCn+C0m+x0dJi9ioZ
dkgkV8oi/ORpwZUHIrDBLFI4BeXKUo0kp857xzQ2s8q4Vbn3ej0du1W4ag1iqviLSM9AGlQK5Enn
gid44Tc14NsFWqAai0T/32Fpj2zBNIAujvO+WSjADr6gHuzavqQIaRqBQ2gV1C94hAYm0bGVNMEm
1B7bHno/eOAUIk+E++ikALMwwS3chGQ3+EUBhjGI7uzispdI+uvtaA2qQVZxHIFuqCAcZEqdUkJj
Au0oQDzgR/8/UO0z50znzUZG2349nzHdEV01X+t29NpBj88+Im2zf8xRBpsveKkdTHf70dtze/Mj
d1p7Mq+joB7akY7hnkVs/1L2jUTfd8zr539AO6hDwkC/tucNTsk7KSSs5EMbff33ceBhe0dX/xfv
1UNiwkfuBOXoTqF/YlTMF/TryTcMBLuNNQcUADzhQBVBe94Ll+0SOAKli099N/+8qOzbN50claM7
BP95UWGL+YJMOTkq1rFdIg+NygGT8BPPOvSD+Pt23Qrui9+tXK8d8Lhq7b/+bOph+09JKbrBztGi
t/PDCTxMUuLvDzvtGtXtQvLs1ceFZTvar/f/usz9E9gZ7PHaHv85Ce7z2/zO77YvdL9O9qH15vE6
yXbBF+fzRhvtt0aEpr8XHblfScns34v/xOSdIx5tV3PqJR4NeZ864NmLhtAPIXsqRHrpQn5yRA8v
eTr9yo5L35063jtwvZOHfEfJ/ttj/m6aeHpQ3Z88Hh9Sf/e23flRHHEX39/mH34CAAD//w==</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E1049439-3D9F-411E-8449-E2CCA91C8150}">
          <cx:spPr>
            <a:gradFill flip="none" rotWithShape="1">
              <a:gsLst>
                <a:gs pos="0">
                  <a:schemeClr val="bg1">
                    <a:alpha val="50000"/>
                  </a:schemeClr>
                </a:gs>
                <a:gs pos="100000">
                  <a:schemeClr val="bg1">
                    <a:lumMod val="95000"/>
                  </a:schemeClr>
                </a:gs>
              </a:gsLst>
              <a:lin ang="5400000" scaled="1"/>
              <a:tileRect/>
            </a:gradFill>
            <a:effectLst>
              <a:outerShdw blurRad="50800" dist="38100" algn="l" rotWithShape="0">
                <a:prstClr val="black">
                  <a:alpha val="40000"/>
                </a:prstClr>
              </a:outerShdw>
            </a:effectLst>
          </cx:spPr>
          <cx:dataPt idx="0">
            <cx:spPr>
              <a:solidFill>
                <a:srgbClr val="002060"/>
              </a:solidFill>
              <a:ln>
                <a:solidFill>
                  <a:sysClr val="window" lastClr="FFFFFF"/>
                </a:solidFill>
              </a:ln>
            </cx:spPr>
          </cx:dataPt>
          <cx:dataPt idx="1">
            <cx:spPr>
              <a:gradFill flip="none" rotWithShape="1">
                <a:gsLst>
                  <a:gs pos="0">
                    <a:srgbClr val="00B0F0"/>
                  </a:gs>
                  <a:gs pos="100000">
                    <a:srgbClr val="002060"/>
                  </a:gs>
                </a:gsLst>
                <a:lin ang="16200000" scaled="1"/>
                <a:tileRect/>
              </a:gradFill>
              <a:ln>
                <a:noFill/>
              </a:ln>
            </cx:spPr>
          </cx:dataPt>
          <cx:dataPt idx="2">
            <cx:spPr>
              <a:ln>
                <a:solidFill>
                  <a:sysClr val="window" lastClr="FFFFFF"/>
                </a:solidFill>
              </a:ln>
            </cx:spPr>
          </cx:dataPt>
          <cx:dataLabels>
            <cx:txPr>
              <a:bodyPr spcFirstLastPara="1" vertOverflow="ellipsis" horzOverflow="overflow" wrap="square" lIns="0" tIns="0" rIns="0" bIns="0" anchor="ctr" anchorCtr="1"/>
              <a:lstStyle/>
              <a:p>
                <a:pPr algn="ctr" rtl="0">
                  <a:defRPr sz="2400" b="1" i="1" u="sng">
                    <a:solidFill>
                      <a:schemeClr val="bg1"/>
                    </a:solidFill>
                  </a:defRPr>
                </a:pPr>
                <a:endParaRPr lang="en-US" sz="2400" b="1" i="1" u="sng" strike="noStrike" baseline="0">
                  <a:solidFill>
                    <a:schemeClr val="bg1"/>
                  </a:solidFill>
                  <a:latin typeface="Calibri" panose="020F0502020204030204"/>
                </a:endParaRPr>
              </a:p>
            </cx:txPr>
            <cx:visibility seriesName="0" categoryName="0" value="1"/>
            <cx:dataLabel idx="1">
              <cx:txPr>
                <a:bodyPr spcFirstLastPara="1" vertOverflow="ellipsis" horzOverflow="overflow" wrap="square" lIns="0" tIns="0" rIns="0" bIns="0" anchor="ctr" anchorCtr="1"/>
                <a:lstStyle/>
                <a:p>
                  <a:pPr algn="ctr" rtl="0">
                    <a:defRPr sz="2400" i="1" u="sng"/>
                  </a:pPr>
                  <a:r>
                    <a:rPr lang="en-US" sz="2400" b="1" i="1" u="sng" strike="noStrike" baseline="0">
                      <a:solidFill>
                        <a:schemeClr val="bg1"/>
                      </a:solidFill>
                      <a:latin typeface="Calibri" panose="020F0502020204030204"/>
                    </a:rPr>
                    <a:t>35627</a:t>
                  </a:r>
                </a:p>
              </cx:txPr>
              <cx:visibility seriesName="0" categoryName="0" value="1"/>
            </cx:dataLabel>
          </cx:dataLabels>
          <cx:dataId val="0"/>
          <cx:layoutPr>
            <cx:visibility connectorLines="1"/>
            <cx:subtotals>
              <cx:idx val="2"/>
            </cx:subtotals>
          </cx:layoutPr>
        </cx:series>
      </cx:plotAreaRegion>
      <cx:axis id="0">
        <cx:catScaling gapWidth="0.5"/>
        <cx:majorGridlines>
          <cx:spPr>
            <a:ln>
              <a:noFill/>
            </a:ln>
          </cx:spPr>
        </cx:majorGridlines>
        <cx:tickLabels/>
        <cx:txPr>
          <a:bodyPr spcFirstLastPara="1" vertOverflow="ellipsis" horzOverflow="overflow" wrap="square" lIns="0" tIns="0" rIns="0" bIns="0" anchor="ctr" anchorCtr="1"/>
          <a:lstStyle/>
          <a:p>
            <a:pPr algn="ctr" rtl="0">
              <a:defRPr sz="1600" b="1" i="1">
                <a:solidFill>
                  <a:schemeClr val="bg1"/>
                </a:solidFill>
              </a:defRPr>
            </a:pPr>
            <a:endParaRPr lang="en-US" sz="1600" b="1" i="1" u="none" strike="noStrike" baseline="0">
              <a:solidFill>
                <a:schemeClr val="bg1"/>
              </a:solidFill>
              <a:latin typeface="Calibri" panose="020F0502020204030204"/>
            </a:endParaRPr>
          </a:p>
        </cx:txPr>
      </cx:axis>
      <cx:axis id="1" hidden="1">
        <cx:valScaling/>
        <cx:tickLabels/>
        <cx:txPr>
          <a:bodyPr spcFirstLastPara="1" vertOverflow="ellipsis" horzOverflow="overflow" wrap="square" lIns="0" tIns="0" rIns="0" bIns="0" anchor="ctr" anchorCtr="1"/>
          <a:lstStyle/>
          <a:p>
            <a:pPr algn="ctr" rtl="0">
              <a:defRPr sz="1200" b="1" i="1">
                <a:solidFill>
                  <a:schemeClr val="bg1"/>
                </a:solidFill>
              </a:defRPr>
            </a:pPr>
            <a:endParaRPr lang="en-US" sz="1200" b="1" i="1" u="none" strike="noStrike" baseline="0">
              <a:solidFill>
                <a:schemeClr val="bg1"/>
              </a:solidFill>
              <a:latin typeface="Calibri" panose="020F0502020204030204"/>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plotSurface>
          <cx:spPr>
            <a:ln>
              <a:noFill/>
            </a:ln>
          </cx:spPr>
        </cx:plotSurface>
        <cx:series layoutId="regionMap" uniqueId="{CFEFC1ED-A72E-4901-833E-A65EB6A24B15}">
          <cx:spPr>
            <a:solidFill>
              <a:schemeClr val="bg1"/>
            </a:solidFill>
            <a:effectLst>
              <a:outerShdw blurRad="50800" dist="38100" dir="2700000" algn="tl" rotWithShape="0">
                <a:prstClr val="black">
                  <a:alpha val="40000"/>
                </a:prstClr>
              </a:outerShdw>
            </a:effectLst>
          </cx:spPr>
          <cx:dataId val="0"/>
          <cx:layoutPr>
            <cx:geography cultureLanguage="en-US" cultureRegion="ID" attribution="Powered by Bing">
              <cx:geoCache provider="{E9337A44-BEBE-4D9F-B70C-5C5E7DAFC167}">
                <cx:binary>1Hppc922su1fSeXzY4KBGHjqnPsB5B61JUu2bMv+wpJkCQQngAQ4/vrb20MS23HeSd37qt6pSiXR
BgkC3ejutVbjn4/zPx7rp/v+p7mpW/+Px/lfPxchuH/8+qt/LJ6ae/9LYx576+1z+OXRNr/a52fz
+PTrh/5+Mq3+lSAc//pY3Pfhaf75v/4Js+kne7KP98HY9mZ46peXT36og/+LsT8d+un+Q2PazPjQ
m8dA/vWzGuqn+qnVP//01AYTltvFPf3r56+f+vmnX7+d7LsP/1TD2sLwAV6O5C+wfooQJxhRInAs
f/6ptq3+PI5x/EvCGRKEUywpS+IvH7+6b+D9L0v66eWTfmofly+jf7q0jwu7//Chf/IeNvfxv382
xVc7ggfua/PzD43x+5cf7dCGs7U1GP5fPx/aD7Z98ub+55+Mt+mnwdSed33IPprp16999V///OYH
MNw3v/zBnd9a+f829P0G7j8M/9u+ZJJKwhE4jNNYcP6NL9kvWEqKYYwR8PS3vvy4oN/t+ReH7Aee
/GaCf8+P37z0H+bF7Kl19/6+/8uD/7djkvNYEsooBGUcJ4R850dCEIp5kggkEMVfPv4pJv+tJf25
B39/9d/y3e+P/4d57fb+4b69b7/Y7U+z1d92WkyShAkqEwgxFtPvfIaEJEgmhFKafBt7nxf0Pwi+
72b4tzz43Vv/YY7cmft2+d+OvlgixrDACeeMEfG9J4kULBGcccK+HKFPofd5Of8DN343w7/lxu/e
+v/cjT9e3lfbxV+K/w9L0d+HOxRciwRFIqYxkt9nVow5xgmVUD7Bv1+79xMS+fFi/jyp/gl++bKv
H9vh/w1k+TGc+Q0kZvfhfvMRXv4B0fz16Bco9M2rP0apX6x6+PCvnzHCRKBE/MGT53k+v/wZZX5E
gJ/s/vU7T/c+wByY/QJzMEp5gmPAshCW09OnkfiXmGIBVZLEH4vlzz+1tg/FR+gLTxKKMCyBy5jB
ErwdPg/JOKEx1FfGJEuoYL8h+2tbL9q2v1nk898/tUNzbU0bPCwHjo379Nh5tZJLccbQDMfndMKA
L8D44/1LYA/np/9P8CiKpBzmg8TRrQ/Nhvp6w0K4YzPb2Xa4s3S9GQSKNhq9nLq8VXboSvUHk/3Z
KsAIX69CCg5GIADlKU5gY1+vooyiMPV6oofEIoXnTnnbPws2bZuZ7Uu2HFAzqLxxaU2wGl20o7oq
lWuOPY72cxO2f72ehCbfL0jEUDUBjQLzAAby9YIKildmOKOHBY2XwSeRGlYeNiVet27uN6zEYbPS
8XUgyCi71s+xXV443e0EHjPExyONQxo18x4nfvs+ysPG+zUtRnbwYrxDvt5SrBVp6KaxdB8VOm3C
ms5s2Di8pmZ1aV5M22JaX8fFoogdUitY1pVsE6H+Gi3VtTHLLVa00omKZnJT0f5SFmaT+2SzjGSX
RMueSp1WDKeBjNu5yV9GQ7xPyLZOZGrrcDFE0azyUJ2KWm+SvLggyW0CX5Z8TV2/Nes1LvdhzrcJ
HTbGuNR2ZJPMxXHULDPRclUs3Cuz1C94aNLaU6PGVqo46lLZ2l3b+G2z8NShcNXO/Zbk4ws+zrvu
wNZwJNYch1xuaN2lgx62MXbZ2MRq5uO7ORo3Zkhuwgkt/s1CLmrrUtO+tQlT+eBOUfLaNOhUNvid
GdsMd+W+QkOpammymlHVU5ot9y1tN4MvVOfEVSDFzoWbmeOsR0Uaj/22kL3q44xHq8Kk2jcjvpG1
fqGjMTW02wu7bFyZF6mIvSJD9TAzMauoJJcLf1+Mddat/NCJsNeZEGAWpFXcurSX+IVaTa9EP2au
bTY4rVuRJqPdoJK+aP2Q6rLbSR3AuUGN+IDz01B22Wrvxy7Z6GVN++lmYY2a42hvR62CvfF5nkb8
fQC7TB72V1pVIZf1PKg5v4GJ1VzetNJlNB5U3eKsaFHq6gisGO+QlOAUPCgXkeu8yDdNGaWFQ4qV
q+LlZV5FqcVjqUrZ70K8ZCWyG6nyqdiMs0tLl6SFjq7a4TVK5MYFqnR7r5tDzEc1Wp2WjKjA7xk7
iSpWRTWqJHrtYOEI6dT0g4pHqiKp1TCAjZqbCg570cAQjlRc4FREc1rmczZxuckboYq+TfkqtjNm
Wz4ilZM1Q6jbWsyyZUk2RJ4G5xRjitawmUTsxwk9xivaN3pf6SOh7aO2cRYVTVrhaLdObEx5x02q
MZzX5djGZFKoA78a6qt0IBGkG+ZVgvpSVZTdFAnejrq9kEtHVVzJ22JsnIrQlbbDbWSYVXVtntcV
5k18JFXXu20eJ/u2HnLFEZgyth3KYhndNr1slRflkUldqlUEu5/lLllCv+kK94AxlSoKo1RrvGaV
H9225mvYVEXTbpI+USYyD81MScZRfllNuNqsYxjh500IulBSOpQ5ntzqdbFpRW9dH7UKry1VpO9r
pcskpWV0CJa1EBaigvRObyrObtbi5SDcSQz4VR/gg3miiro6Jc4sShtyJJ4XkJ9Qlba23UVrP8Om
+rSZIflTO17Nodkmpnx2ssgcpZUak3zjCvMwz/VpLuKbvo/VQpNBVdgkqp1hXVyTCz2CeSCJntfp
ezjMYJKTXfo71jSQZIvLaRpSX/qDb2aZ2al+/jg44Ld+HFKq2+tuMhdJ6GU2Cdh8v7SQP+DRIs+l
qpMpLXF5NeXzYaQ4a/REUl+Dc30oVoUg8cGM0tk4lU2VrWa4+5hB+0EvSpbNZtHmQ9sdhasgdY7r
mOK1dukYyHsyvKtMtTHaXCwSUoHUhVU2mId1dJcmaje4hXTKlqRVHZhh5WAsOx8wnXbxUL38+A5J
yufzK36Ws9LjkrVdmxa5uaurhio/F4myDXx0rC+t6MGmdaeaMocExAqXdh6OY0eGrOgcSVGEOiiF
x2lsURZZctM5eLNs/V1sq+u6tFwtDoZ6nFgV2Sid1mK/EtgNOmeywErIbWZS8wq78qs/4QBjnTRC
iW5WZS5N2sY1VaaAzy5Fvn0qsbmcDCy9Wc1DJ0Op0Arlx7zWQZh9NGxlI9N5MY9DXkEBpDAsR0jP
YBfdSqiTkTnqIpBUOvhXW0yAJfJCNUEc3eo+THL06rrOLUntMCepLWFDVYE2c3Avm4V41Y6wKNXr
ctsl440m2qU0RDjVYcpY1CZbG+Y1bcNYp+PkLuNe1mpdh0oh+AwLkAdpe94kIldrI6/IdPbj6N22
2gnUDemyDHdrNN90eoj2ZRk9RdOg5Lwt+HRtBJwvwvUDxG2dLiLalh5iu4mKZ3zOJUnOT7hEp4bw
dC3rZNuvvc9UMUZP8LNPJ0u2jTHPQrBIrVN0ZJ5U2TBYqhJ8KXUCubOmMxQPdxADz9qJzGrk3R3l
FJCCQb0KMu1ZfAN1xm3JOcZhTe9m6Y6UzKkrSwf5zpZZN5f7fuFSFSuiaVX7XVGDbfJeKsaXl7QA
f3gJJWVdUkBjkC8YJMdWw27y5J4FH2fnvddRfjW6PkNkziA9XIh6GVXDi42bRwLFwuxXk0jlZnxT
I8gKtoYSPMz0WHNy+dFd5dmVyzzc8Wsh+0b1AFZ2Cc+zhc4XQ1mrNu/vZF0+y8ndSXKVjEus6hKS
NF70c6TjLTJ2s4JH1NqJQx6ZZ0j3RhVdcczHeG+7C1dWmWxCDG6Wt3r2KU/amwSNb1E1v6BeP7M4
nxXSxQPq6xPAasCvnXkg3pdq6uIbXSf7QrLHsnEm0zdhZ3H9FDcwOrCcpZPAKk7ssePljeOQRgpH
bsogpMIi2kSe7hCQdYWcfpyX6pnl8LFqHUfwYrkR6E03uVuzZJGfFoAHcNpMN41pMcEEbdzflfd9
Ea518Hcy4le6dncukTtIv4co9nfWgEEjjiuwV/cuarSaoBykM4HTVlcwRYXZQXNzmCB5AQCxSkNp
mrrmrhwBp5O5SWl0YYpVZ6C5JykOYMi4xC/GmX+IW7btyxLO6gS/Ljy3aTlau584vhRN0BmtK6ps
0hPIg/S6o0k2xBAydX0aIp+kec8/mFG+nkZ5tQ7dnSj189DSo0bFgRF3N03uMTmH3UogRUwDhsp7
zjuuSq6reKpU2+7aIUZpfHbQx6w3r+IwMtic01XK2umuGPwGyuYli1/lg3gyoT3JBE6H7cQdwaXi
Ph7TaYK91t52ikWkBhMBS8gMiu7NCI/23l4wRLTSDoq7GKlXU1k/FH45FpsoaYtPL0Ql5LiCaojB
OB5S6e0eB3swGl7Sc/P88X9a448dXjfFNBUQOzsmLiiXgxLgu2YuDraix7wCaFFGl8hEgL5gFYuT
VwJPRkXxq7ZeHiriUUYjd5c08Mkoal9H1m/aIWw/rreFw1nGPmySgDJcQJ+lgO3Fbjfk69tV0Jtm
7JOUW4B1OZxlo8lNI/o74QSY7VxT63gpMw+0MmvHHKIzAXPghVdZlE/V0bUy9aLwaQ8VS4WenIBq
XEV6jPZkrfe4wBdJDlm11FJnpPOv2DhkAiJUeMjYoVLDgl+1ZLxqzhG/QMzlMVSu88JGF18gTbPZ
zGtGG3+aUH1P4l0Sw3wx5c3ODM2iqsLD1mGyEo9bzMR14uRDUzdXAopsWkLpsrO0WVlN7U7P4WqM
XqJ6tipUdtlVFjfwgbFX0/I4C8TSIKDEVQa/cpDnFanzV20ls/ZcPnAOE0Y6367DWqc1nysV6vJ+
NUWZBtomAMQZQADMLktN3hVQo/1USzAp/DpZyGwAZS/z0FxHE0QVgTMf4UFm1dy94TTfyzNa9A7a
Oyi5LQo4WONcXcZT8XY5F9nlnBvFwQGM2Y+1vo3KBb6/eOBzZs1YF0Q2gQHa4LYr0ruW9HWKrb0k
bn7FK15thqZ+qORj3OhOTTOEzzgLk+LIXLjkTsTHuJYvgfQdbRVex1Whak2ysIRC5Rg8kjA4k219
6IZxWwOxSEncn7rifpZ0xwPa+tpejxW7WHH3khP+qKcJYk6UKXWdSWPzOi4hB57rVddA4UW6vSRj
joBvYgAZ1ZpSid533aRCUx60btctCJcVFK39pPm1Ru7dMs+bpqFj6rtVZnW5iadz/e3akOVuOdA2
N2ky0FwBu2wUX+BY/zWJj88c/StpIwH0zGPChUwEib/l8BHvQiPzPj7ks87im3IBfpZPEVQXRHZy
BhzKunlM2/NRPqsdVEAQNRTanvYC+MJ7vkBmmiJIWk26DHWzwwIqtkdQsYmtT92AVU6J4rO9Q1MH
h3d+WXBI2awvn2cEeZINwFfjPNW2fDgn+BGyOkDU/InO4kpcUly9hWoQUKEhLZqHv94+xn+yf0ag
DcNB9hdYChCR/ijtlBKhfIpBciBtT1Ulm5TICUhvWezHrHEJgDyf30bY3/kZgLgOIDTwcrcu4Pmk
tafcgokq3UDq6F8aDM+TQhx4tavHulVygSMfucSkcnqHybTXdn4J738CuDgGwajp3jftg9jj2NwW
qHn+COhGYJFqep/Y5M1YJ7dDD3iyc3pWGLfH+BqJPqStB5zXdQ2sIxoyyclNfaY+zuJD17HyEw4M
DBLg4qHItfLWiiCzj0eVMQloFaWmoE8BAXlda4ib/kzwKNPHJc8Vpbe4h+rmKbgyN+B52QAoLZvt
artWtQu/BZUgUa72tRqDu5YFACQGdVB5/2ptLFQS8PFC5O3HLPyxKHke76p+ExDa+UK/+JiMPxLO
fobybC/kBBnwDKrP9acGEiC0BbmAXDEMhcA3/Z1DF3iN+tS1MJhAOfdNc6oEYCiInNu+T8DeMt71
Q+YNdZ+i5bOq+lmD+6QMPlq39AaA9jd//tfuyZ5FTf+xtfzbU586zb/9CS99nvSshX71x3fa7A/U
10+XDn4w+GNp9jfF+7NyCZ0OiagE7RI6VxKBcvnb/YI/kWnPHe1vmx8/nOh37ZYwTKDlKRLodWJQ
Cb9ot+wXBA1t0G1jBuEVw8d/125JjEGZhZqGKAPsDOv+SrwlZ9WWM8IkJKa/I97yBKb6OsVBVINM
KUEnRvDBGH0d4pzUYlp8DLrpLHahNMd25ReEgMDDi+J9kMirbllu+RIdzTri7dq3QA0JUNP8zLSF
mscx7eYEpwT0r7wcHnJEsnN1w49z/p7EbxqMsjBHWzY/FNKlQ3MWVO6gfIHA8ER4r+w5q3axGgG0
IEQfBKQCUdYbzEBYW+ZN75LbWbe3ZBg2VRfFik31cVztK0btfm3KfWvjg+7Nm0Ffsxgr1OPMzS5r
EvfKj9EjD11Ku+tuRMdiGdKxrEk6jvw2x/U2n5YNyCCp9Wgr4+UqHtCzICZjOUgJ9XBVz8CYPAP0
N5EjmuwBV/GlyZ/sis6YPQ0gZLbLM0erKkBxY+Nr25ep53Mmuw/eW2B3ZOs7fbPU5HksE0jczeUC
yDvKHxM9bGZQgWOQsXrj1NK+QU2cLnbZI+srNeFeQBlOdtgD0xmjAOJWddUX7SmZhAaCgBhkmjdT
IzZx2byI4yjrk1tkxouZTw9r6VMxDEcEJDuixKdsFZVqWPRaA9/DLN91OauUhrzlOwDZC8BrKS+W
zh39gK7kVN9FvH0LJe9oEgtCvtw2q30zE5x1BmgI8ddeousVgezTVwdpmqzphzRp+uvBxVeza9/W
Al+VlT3OuT2rvDOIhHM6xnYfBGRg4z/wymZJLF+Umh+ipUl1DkSbdJC4E9XR/HJFb8Yl2U5QVwo2
ZrV8wGuuIK3vKoQUKLjAIma3ZaBQbCKDTws1D/kqGqC10YaJNS17wMHly1LSViW8eUnlejFX7dOI
21rxgaUmHzYcwA1obmmJ2GHt6RNrbrvRZWVdn3UqEAPYKYwcFJAhmwu/40V9Yyzdtn2XLlBTqmJI
w7JutUVZTfvN2JkjKdZ0KGMl0EMJIrIweTrk0ZMtLMgEAEXr27YDTUXec+CrHViG5OzEknU70+7Y
QcFkrAbW5FMMRLkSPkuWSbVu3c1Ac2MGR4UrhMvMnVN51N+Y5IJO9SYhIZMjAxandybuVF5OqekI
EPDyEJ1F0SZkJgFdsRrSOPFQd6utC0xVYU59Yo607q9iI7PYRKlrWObQmuKhvxmrYmPKoBIRNnW1
pN4nO1Dtd2gVQCa7bGw71WG9CW2VGmtSJ1YVsRgiy+/JoDdRzaDGdruBiteO0ItonQ6J72668K5p
/GGEo7pG9KIHVkQGpJbeH4venlpdq9hwFdyoBu3VAFKcHh+7id3EIEvmtN4BMFLT+ERms0cBzEaf
Fv/sOM1WUPW0jS6EmY8rJi+GAFGC4KQN2QjUaU4yTfjVsFTbCYD8qMmubgGSAMwJtAPTV5uEQ4xx
o5WPiqwgy6mxPOskaIhjhzatQ/DGCLhWQ/NluBoGlLLwagxYifjZAj2NnX5dfEyfxXW/kA2HNgzu
12vgzqpbIR4FQCEndzzSV7UeTisonfka5yqGXOjpc0KbXaLFrqTFVWHJ6wQPBz6HV6DbXDYjfyU9
f+cSd4MZhlCOHiaZXMUh3jYByE7D2m1fsBdwFe79KJozeeQvx7pslOeDmuj8PJXsatXu6AYIExkd
TMmPtmF7W+mnmNoUT+FtUdpNxHUWSXHB6ikFjJkBuzsWg7viNdn3/p7nNeBi6ENMOTB+IDRlDrST
VbeIxaeaw046qfqB7xdxXKHDNfBmBNHuLXBE6F2Ub6ac7WPZnVxttkXbZnWO9sUMHajIX+BxujGN
VaVtdtEUX0zszYg1dO6mfTUBeWfgKNvv6VmZ6JfHvtWgxQVA6PluBgd0/brlxL6aQZXt+Ic6QXsW
R4DH+yxiS1p07RaDFougz0Y5VtFQp7MQW4ZMaoZiGyUYTqJTnewfJgq6xBqlYqWb1QeFK55JWx9j
VO5N2W2HGu3myh1WGXZNM2RrPCnoUGxAob3CfnnIp1dFMKBYVJnmNuULU1CSa9WP9ZFXIZ2gK5kN
DsSjGR+TcTjNHXmIIw0tEnELDf2Lvm5Yuiblq3WulaCQWYxRU7AqAZM7qImc5NAueVqhJZQLfgFS
bEorMEgNRKGnJM11fagLWBFyh2Rq0qQXJhsq8Spuusyz9n2/6F0j5/eT6S7D2u3jor0sXMgwheZG
K7KG2Sym2mzaWhQq8Xhjh+lxMc27In8raZyGuVElG7KOzscpL04e5woy9FUytK8wke/44l9UhTnk
aIH8HFKyXvdheSkKaIoBoAd8fmHmKAt8ymhVpA6kmwZD8AZ6WWKmeEReEBudoiLPOBDFAC2NFYT2
IKaM5Pggcpc2tQsKwNZTg5s9HdptgSHhgd7d0P7Q27xRKxYbt/DMJsVRBHbRhpDVa5xNiOyLxENj
sgd0YvalAdmZk6wvpkuUry98GK/bOc6KxUDDIGx5/AydE9WJGz7lhwZ9mLsl8515CVLRdiC9BgYC
WlDpF73tEYQcNkOKKBTaRrcHaN6N2QoJa+NaDKevgyaY7fCiQJPUu65lUKz5LjTN+6Sml3Z9MtVw
YQSBA3QmVgREV3du3URbHOtb31+2sdxNy6yVNWTezKx7NRB7msI0p5EhzzHvrswK7aEyvplLvFkD
V77g+6hxW8cgH8y3Mizp6ID283y75KVW0USvlq4+Luf6MNEXS55khbkxvH4UsVOyGxRzbxq4OaDG
RpxWaPm1eQCWCprGOiRqtQWIRc5CU8SfioZdzPmo3AI/jDraDkB95VIcyvDBYdCRDGSQqoam8QI1
bdnNDT/pCqe074ySLXkvI1+muIXSHtblFdE6BbCSifzetdNhGvPNWIJSb5f4GuTXmyq2N+0yR7uP
gP9vMZy3pjLu6YO5/w+hOOJ8zQNzLrhkAv75S4rz+Qr2D0jO91P9TnLgggkilBPEIa/DR76QnPMF
Fbj/cFZRRMwR0J/fSQ7imAtgPgidaQyC+7y/kxwK1wwThBmES0IS/rdIDj1P9TXJ+X7pf9Qx2srl
S+VXdBgIPUFTFYJoGqttvcQA/M2cgjjWAEgzRzevrXJFeWWmclRlvTaqZSAFJE7EqmLQLedGrNuy
hssDq+YSKH3+WpIebTsz3lJs345iBIQKd3kUzx1QlQpDfNge+iQjPRY1WveCD+giQaZONXQQt4XG
Iu2b8L5l+aQSa09D7eJD29he4XZAAHFE8orrhKflAr3w0TB2ZJqHLSgNUOQa9CgnO2eshusIAjDB
4Ox0iqbyCi640JRS44xaDISnG+D/7AhlDoVCbkJh2EnW6zu0RljNormMUPka9JhdyAtoQY6VULGw
eqfj8DavTJ9pY3RWDbaAbMYbpaNivOiMoIrFE1I1gmYlXGQJWwc+BXA7At3o/JSKpquyHCMHukQH
CpFrr0C6hps3yXQx9B1gvobpdB5AbB3maEjX1oE+0b5v2+kF7t208wTdtT2DtfXFIXIYJiPkuh81
Ohke5fseiuCR2UV+aLo8P/pSV3ArY/JbOU1ogx9CPX5Yqwga/36JT2Np5b7rCgD/FHVAmYSDqwoB
Mms7c3sJ/b03wIfly2lk6GGRfNzhEq5LRNBFe2PKxlwODOBz4UWbta7EW4d8nxUTSHDEF83repLR
BtWTz3xVNVle5c981E94bkTqe4YuWcLXy7JPIJ8VADP6UEaKBAqtTAOXhILOlwNcdKEp6QDygIx1
7mZMl42cLrCsb1phoMEJEITJ5lWzJiEbAlzZyCNIqPPq49sZxfNbIai44FUlj9SvO0KSmxgaksoT
Eb0QsPcsGSSQixIaN40HMbiHKyR198ouVB6bUG6inJzw6qAZkJshsznoc0Xl0wbZew+lqNXr297P
LyYKlVF2cLh7fj9WCVw5KZMi1Uu+KtOX96DkvnFEQwf/fFWl48Vp0q2DewvyhSyohRtR8yYHjiqW
BKiaexI5YK+x4Fd5Mb9geW0UtMihQ1uX70CmG/bLXBYZkdwqyEXvoUW/hY55n+Wiv1gSz29oACIz
F1hcxvjcKVrl29XV90bP+oZhHGUzcffT0jwYjcyun9f4RAVhme6Kd3Hd9CrSXZU2i+yUcCvc+SH7
/2bvzHYkt64u/UQ0yMPD6aYvgmTMGZFj5XBDZJayOM8zn74/SlZXSSUZENAX7R8N2DCMslNRQZ6z
917rWzvDOeW/CPOES3HbD7W+FcUSuNWIcp2KJt3Kfky8PlGVDfPjDlfwc2kWXDLkE/wKq7maCDxe
OvYdDVNcPGZxdd+WeuIhY2qbOGi+DXK57xz7a9PDqPSDJfZOE4t9OYO1GOPCkJPwSkbS3o8iLndm
bJfurBrxzhySg61mMD6D8y2fiumaJIPl18MozumwihZ9/BKN8rYJY6py1H9gyx2nlsazlLwEMlMn
N5Om4M8S4UVa/ziW881QL35v4uCXfZUhqirfhMJYw/0PO5Zqja80FiOM3X1bWtXkyoKeauwyBobq
HwpHfplU7cmW2gvyVee20cS3MWZ8y52FZx9UvNDUDHceq/mcFkr09s+r9GOZ868/l+g1C/W7cvm/
/tsKOVo7Mp2OHK+Zjlwr6d9rlT+B79/pUnjNn3/S9zouNDwvUyAJrqjpj3Xc0VYC1VxZL9NCRfxe
x4X8FbkkTaXphiX/IFaanB+CA6taaa/46j8RK5FM/1zHVzRd8m8+AtfkCjj/WMfrOGmGGCXu4HBo
lyLx8vVmy+Q+aLWddPKrogxeYSWwd+0u42IJI7mvZsOzasb+2DqNXXLUJstTpO1HIb1lUOiniAEh
ZFAQDAx5WO5toXyOcYqalyOR9O0hovM2x/TOxiDsSpXJMT3ojCIWIwkO+kbPjRuRL8eakWWxIneS
kxdPoZ8z0iToY7oGhzGq90FwG6u9qzAAARse5qG/TrnyCrnyEAzKpWNgkktyNsvlmDJIRQmiFYOV
1rzUU/kqk+Ur3ITfxHjiZZ/Hfi4qr2M0q/rQ1Zg6pVHeGEGznxjhCkY5ho9dx2hXSCDGCOjFC5j8
MDO2uqL7UxldJ4tC0joXLQ06rBvlNC+wUykSaABrQ/tiJ9gX9PBMm+hgGyXONzNTaL2Oo1UlTuNi
PI6zsu/E8oE0ci6YXzvm2FCOmtfJ1lUCvvF11K3BiSJmX8gWT3PiTe48UI4/wlq9xEzKKhNzkPD0
MurtXB9Er+0SJutRSfetkR8FE7eudBtIaD9iEh8r4xiP/YfpVJsw4CKd4y1tAFiNtV3y3JVM9OrU
u4IJX+vLbWjO7sTk3w2AsigBZvU5owtY6AMNOoEWZZvcUnYO+sEALZPJ6cUOw+1iZftYWadTmLN2
2o/oDzJ/Did5UoYCkY1ShEqxoFbEqBY56kWMilGjZhioGmVjIVWIx0DtPYjMqwnio2fqdbEQWc19
C9gwodeRuDkLNBPd1ryFrzzpqXOwgBsLdaVt3y20lq5sLtEQH2s0mEwZ3dCxTpaIvBiNRqDVIIaj
z4Sf6HaAR+YxRdPJeFlVNJ4JrWdC8+lW7WcVgRbbvk8M2sEIfSgJFkCaVTVqaCapgOkm1iBJFWts
toXoPoqs7Hl+0nQ1RzwpU+l4Una9OwW5umss42QoxinXnXswkl2JjjtViGKjuc3q6Vy248ZAZdUL
66zjt+eG5ula/Rahm25alQo7hOmWwp+5yiBOphlsej26VkN3MSztWCTRcxYu12SIL0s3ebquniuo
5Eo2WAmQoupMHcPq0tABtCTapPFTNxRHZyo2fZVvcvEsEvWqDv3FiHW3n7GTC/GoIaz1prFL26fF
atF7SgDX8lkY8VELpduAzNhpidPWA7Q9W4PcTaHK1yZcTUApGpY/2N1tV08HWcibRqm9ku/azsBn
cifKgf4atxSoocXAsN60m06CntMyKpzbQgmg0spDHltbhWZG0RKAYl665T0xVb+ru91gqm5pfMa5
scFXijeqoXtiHLyS9zSwJ2+gzpfzxF8Rvk/IbSs+UHWYyNtDPdm0ANCuTCsS/SoQ9HNVg9T9qiWa
awq0CQMVQzH8lOtmk48IQA1Dvgx8oYiNZhrXlMnIsWZQDodXP3ZnTJ4QGK1tNbdvjfOMIVoqDAOw
z4HeuELRzs04ewP/26mZ3NBovD4CxA+naxOiYecajgReaaHV/oJ4jSnsqmZ3UAxnr9nzLkI1jqbl
uV7kbtDavW7VvpGj0yiND7ToWlLdB9Z47IxHB+eoBkdx+sqrh+Gum23QuXAz1SeFC2QWv+TIzn07
QLHyD8QabdrQY+A6DZPh2vroBs5bJ3S3a4lfRS/JUm6WQXVHTSSbZu4LL9GCxpvmEFBnIDWQdHCa
CrPBRo/u22L08v4SpW9py00Qbcx82de9fNVy80toFvAMNRDR3EQCo95288EeN/EYHUMFBsTO7zWQ
8UhDBzJ3rVIfWiSaJAgejdqA6rqXnY4+UnkcB98qkG/n27gqPWxfry+5uzN1k4zaUx3LYQeeAIiA
UjOhTqJgu7qYfTtMzw3jVBmbp5A/tAZE0qW41rN8HbIZ1IW4waSAsswtdCta6mbKecvyYrqEwjoY
PAjTxO0YXuNW+dCLh7q44CW4tdxOPMAoKnHqytLPEqRqUyxf/nn39t/WmkGJSCnxeOlwHBqo/9Sa
nd6b9yJ8bz/zv1FZfv5h37sziyyQkA4RFwQTYI3fVRbjX7qjopQ4RNkFya4fuzO0HyJ/qil1Zw1o
kov5rrIgr1hC/TUt/Q9TQJTPP/dmP3/wH3szwy6avK9N8i5LPYHEOOWhy9Uv6WSBSQ2ndMr9sVK3
af/V0Zmo0idlWVzRboWlHion9YTZXbqs95Ad9YLsAYw/Cqk7ALwNEBWx3Frpq9mqd+NoXmg/NoJW
qbXNgxbH72GIPBEtzb0hnusBU1qm53D8EvTtRSvmm15tHwCmfwlyxRVd/+nQHPTpsmt07XVJ5LzR
W+M+FeODUhj3RWzuKjWf3JyupUsSBEhtFH4f3wXTsrHm0G2mwsXhu9omNvY3EXX3U1i9taD7zqJt
xJxvU3kc4maFflbvO9+bAbL9KLtd4yz7tur2RSdSSpX+BUz/SxxZe9zE2u8WAc7eGya5gikmoJDf
ZUV3sMJwVynz3aiGB8UiwWGonqNX/qjik2rSeUpAU5Lka0C/E1U3AEv7jG8SD3GDhXbNwP2nbtrG
2uhXCOOp2fpzVV9Nq72kU3TfNYrPFAgcc9AyGx8fXJ3vZEl6KpPpZyX5GnNyYzqtOLC2czt7DqhK
qAeurvZHrepvo8XaY93vnfzUy2Grt8rX0FpDGmStbLrqWkEO0x6b6S3XuWt0/mh4im312lrNxUYA
6azqQCTqHBk0WnMMRZY7r8mkHZZ++MUi4oHkLCGmDToYZVxoazU/0zRc3+i+CeW0Ccok9u3EvgsC
xSOr4qWhtifn6up9u1X0lUOsnzq1PiZqhmWIgiM0QnZ2Qqpm+VTmZZcuWPAIfnWCSU0rHlXjp0ah
hJ9z67l8lzpckOMkWGN0u0iCUwUJGo/HWEueoiW4pkH0IIrhIrRJ3VrWdNv3AarhzFssorbyIrtv
oKYs39Tta6mgVwPiXmIrOnWztUa0yttWHSRRmCAGhJj4mnnJSk1e7XA8d6I62ungWpNJ3Zn23Wj4
sTilg+Il8kbFKogfp/ozIEszS4JiIZW6f1Q7eR900i+DKAYejAZe4GrTW7SqEqFvaZ8kyQUCJB9B
kp6stD1I5J/aUiCLwsB3Fn0bNd3ZmlsiGXHqqgF+XKin1UYPM7dMg6NtTmcrIoRSNnxqBAzlsYwm
HHHau2nCJsNq6zrlqAmHBBW5Ji0oN7UC6ddml9oJnquYIN7Y6PfVcjdpzlWL6k0WObfBPO2aARGl
0B6FAFdIyY9F7UdVLP5iZKe8DNwga/yGjRyKOJpzvXGyeG8s9inMnzSeToLk2EbVJq2GbTsV95Ud
nA0pj+Att4ma4jNqaFH6aRixvFvLG5Jii5l4EFaD5qXBABs7s3DTZiSuM5wS6FWdKEARx36imx4e
HVh0y9PLvNScjkMZ3UgFNp00jAQ+UGvNVcbMs/r56ESWW+fZ1VCYcxKVu1CdYe2DimjPt9BsD4jI
roTqUIwAlK+D7rA2lWkdM926OI3qmUkAcgMqJxLmnOEdswp7nlkmHna1SjvBfaFVFiCtsgu5O63U
xtkcXXWuPUV/aQeAY63mx5Kgip4U1fQa+kUihd6auqus/MibeaKj3rJQZbMgTYk2Iy31nK5gCMRc
GqGVroOCpj6opAxEqntVOHixNrsql1EwWTWAx0pH929apfltEhxV3sQ0Q6Ym9PFKrOwmdsbtjBad
tAo5pNQd7P5OXUDb4zsnykiCvdYLvUaw+BqcxKSF3tw/9yaO7ahvk2X02zDjuTyLdMzcfDR2sgaK
aCbmcGzEoQPKMV07jviOeFoN3OZGpVdEi7+sXfaEnZebk58kDEGjbC9lfdZIjjWj7tb0yBYBBYDB
beJ8TNLBzlRuOn29kLCtVCW9iCHZoTkcrKq5nYelgxGqTpVibiebdJrMBTGVcZtF9l0njMQt+8Xr
esdt+uoqBh0X0Mh2Ux3tnGMcr86/8ZDN/dWxFwGAM3qIHvXmn/dT/xPVMNK+JpsmDNUh47wKRX+v
hn1f5PFHGeynH/G90UIAI9YsDcOge/pDo6VZxLBtKeBikeJ+bLQMWr81/iwdg3z12h99b7Twvlbl
SuM/BLih+U9kMCL7f261fs06m/DQJLyx1tnh8GOrpUMUF86adU6tkVxPtykpda29AVOvUC54jZV4
kw7nNrN8pcuOmD/9Ott7BXc763MOrZh3ogdZCz8TLCiBeB1KeQWT2rTpPl6sR8LHN21X45NUz8Ww
Rhc/KQyHJgkvqQgfl4Y7oyctNGLqhm25ENSzT1mAxaU+F2RcN84MYDr0JmiFQV16sDNgtgL4dLbn
rSIg49RqxeAyjIHeaD+0XDs7keMZ80wVFttKe7bCejs5b2mmPyy28eAElltowZ5Ek5u24kZSWFac
WjWV/YhiHzTdlnvtPajLWzJ3AwO98tDQIeXtvMlpCsOFOCekWQBxZkGelRBoaxixh0iT1ujOXJfz
iqoNS34kf3zOJfAMLFtVVrf5jJSdZ14I68Zz9jGRjjVU4dxj2ukq8Eb+ZQwtmqxiN8HMLUP2bMHQ
tct8mWDqzMI6zVylKVSRAoBYOzSAcxrsyqYkiuQ8yQU8L00ZtNvmVXfao1I3q6r3sQD01Q5PRPF0
MD/Mdj+fvxTVaGwq7H+yggCBgIGW0/pVAzIFWcoMzde9rBThBE6YiPoUZPVtHqRPWRcwRo7XKsp9
pc7dQFJcnHvTeI7DZ6qI20faey9f0qpG6LTctBhfc8L7qvbWEc6wHKJJVuSVs2XQoEavP5zMfzPE
P24TcFbe9A/I/fpu//Fk//huW7M02Bu26IfSJh6K9tUCL/XZMzigW1OnlfotHZ6sRkVpzZBFWh82
nUwj2tnXTr6TtdwZCeLlYlya/GioiZvou6CF4hTImVnnqkCJsf7NKOE/HoyG9kjwegcf5XIdHMZ5
cSdl6Jrc/kZRuIljbjIRuYZ5tol5kNcNE6LhwOZ2OXip3tIu39glubda3yVSnBp8xJjgalw3R57x
vgzuJ1GAhBCnka+VSo/JI87qZV824lANFlN/tQV8JNExE8mRbopeI/LZjRNUo2nYNW1/NTGhhjkl
8tK9OWbn1WZ4HHibrLTYpMHH2JHHs65mUW4bGW2jNj5n7VNVtf6kfHb5+/+tkrKSFP/HYfl/B/Nm
MmUPA8OvZoEV/Of5fMN0nsV/P5v/6Qd9LxkQEBJX1ZC2Dbr142wu0KQ1KaTxbzbiu3OiSYqXqumO
ZBGE/gfjZJ3zDTI28tehHTr8d9j934foN/KeZXx/cahYr/XnU/XzV/DjqRKlk5m4J/qhXQqUP/Az
ZZZPRplee06IERoggWT/6aadcNno4EF2s1rMXx0JbsbIqRRvpXKr2cumGR9a+0XjqDmaZxJsGqrx
XllpyLneKjVYjzM8tIrqh2XAeIZcOWEug1W0Ezf9+NUukl0QtDuRfWqtOCRa5I8K8+BoHCp80y4g
nadU79HA2BALN2v6b0Urb60YHQ8aN+GCy2gRm9o4x8Cf6MK70MpOYXZpU/JtmpeI4ilQ9BVSdSdG
3zQxvblONxnnJQ5fNNra1XmtWsI3zbgNHPvkcAen/LCOdliBfWhUslX9k0qzrNI0dzTPVvZqD42X
wuratNYRLbaSRftZparRepP24AoYacVZS7C25sH0nlrpds0o1ci9AS08ye5LGgzbMEXfCxuckIDa
CUtH6x8xArQNEvA6EtA2YhIVvrkOC3NcXAOmB5spIpzwTpgqVrR5YcowmDZGpg61WY49U0gkOgBu
4Q3CorrFvqVQUqpbJ0wvvWJseoKz1XQxIcJjrTyQ2dslZbktW9tLRgfWTSc+IvyU0ShQs1uTUalk
ZLKX6l7tx223jlKMVILRSs5PWhmcpjHZ1xm5YgYwxfxUeIHW6IDeFiet4hXQeggK6H4g2bjXH3UR
7wILtTdSbiPC592iXOvlDldqy7IUDDiqHcJFO+bXJi8upsWjYlpkrQKjQBrvojA6WZR9+HfPSOVb
JEEKbXNbZAujOYOoFMpRMphG64SapjDW8zq12oyvWTScK1NulYRYZbrOkn3qF0t3yFvzxgE81+bs
s2cgLhiMA9327XVQXifmOkD67Zr6G/Agijr5x76+zJIOSNX9oh1vQkBtNDiffu0ptG5LpXVD3eS1
VK+ztH+Z7OTr5CznueRn6V+GYGQtRnY7VMMpb2o4dqt6yYvgLUiqSxWetaxhkoXKW9uNeFSfCsKH
ll2dDH06p81yHpZ219fGu2Z13kBMcdSdL4j8DDkCQZjKoa9mlcbLF6sPsYIqVXZnFRoxX/iLIJ9B
6k/xzjCTg2CdSWCOz7bS7LOOMSahQ1MAIbrO+sb+BjcbpquKJVcz2bd1sTPFdDQHmq1O8HRF7AY2
jkFRXgbxZhiVNwrldhGiggFJ3mZt3dDCeUrUYBeikmhJdpMGxJ2JfdwBeW5MNvHQjSTnWKzrJaxx
F+a6q0zFyxKIIyj6RqqR12Ed5k1Kt5ddZMYYmnV3Kkr7CkHmS566crEPSdVhNJnafa713bUu1rtC
gbLIzL0NSd3CwuqA1c5KWM/rUgmQawP02gDBlqDYFUh2D5o9tdOtAaqtD4gDqnINQbjLOHgsocaU
8htGxEZ2Dx24dwD23SJMGNjCSbhwlha/WvnwDFBcU8azTOfbTh2AwErfiF8sHdUxHuk+GACH55UD
wmvMdloc7KMufEqgLm0gqFEv/Z4BWoakVUCpyVBzDrL5NcOBSaLpFIXBF00HcFna9jD2RA+a2Zey
2KYEdId43FcLJkVQeSn9To1uxIPfWvolJZePz7QdY+d2qe1dG+cHFJVtjwDYCxKVAeynfAnswjMm
3TPTZqf17bWbbhkHSsJs4TkJ5Kkvs5bnXpzCoDgopQUNTTSAGx6dF4Mt3nAKKQuguhVmd1Gs9y29
GtH8r3GwHIu08CztJdKzm1hW0NkZfU6bPIQ6ayBkeiS/bK3gcqNdRar4Q7P4kN6n3ngXnL1Flrug
T24ng+9Uiy6prCD3BLwO/FUmb8LkVcQ8XSc/YA65TfqRdPbWTiRwv070bRkvWh5A3WXUuMG+wRM5
pCTQ9R4RYmSb0DJ78+r3F/VJLFDErKIJs5kVOQ530bhvo9k1tfEzKFQo/txry9xz0q92e7Mo9i6V
0za32QYxoCem6U60jT9bld8p8U7tqptWb3aMs/9/xl/3igF7MC1DjqjGr8bGD5PET+m8n3YE/mnU
//NP+t636ZbGQkSCdiqYKiG8756KEIa+fgbat1+De9/7Nh3QBaoFqJWPqZn8v76P+nxcKfFUWFQr
pcH60n/QuOl/RbxAydqGCfajanSWfxz1lyIyw57w7YExcdnpAVdzVRm7pGdUiYppn5l0A3XzpVWU
XQ/X3oUsBdPj1bQwCJ1pIHypCLZlXlL+1yUd0Wg+dLNO2ntRwAbt2ctTriOlazZqLCgPSnuXCcXa
5Hb41iykboLkpJgvWXuygcxztsiMXEtd99xHwssZs1UjJBcFNmvgCTMdCrx0Lvmts9wnxKEbEk1O
8l5Yr4N2X7bcwN26UyxfWVtI0wU1L3HF2J3bFIJjkm7F4osiHD9s5rJ4srbSmv2kFk9SDUDonRLy
n3uJw6S04X5wGl/nkGUctoxDxwqrre3MW70KdrZgM9XXjgPacFB7W92wRuGz4wBrHGSNAx1xsJMi
/iKCYm9x4OeRbU1cAAYXgRUvm4yLoVGXQ1sFN/F6YwiujqKfL2A5O2e9U5TF2bbpx1yObsaVE7Ak
K0pedS4iBf6Onn/TGjjZZndiq80u77JbPax3QU7kyHivu/Zkdarfl+E257pTAE9iUpJcgs1YHrmS
Q74tBInZbh6IUdzY2kvJ7QmwcWxK62saKixoKrlgQ1bPNNVN6cSkariBI25iI4NN4WYOUYXDtjrk
Y3Ua1qu7lcapg8WE4SAhPN1Gc32lS2OnFA80LDyTXRxZuBuoCDnVoqJCqGp6UKkYMrZuQ6TbVGf3
BkVlzspjRpGB6mOd2eg1Pa8kRcigGJXd4k8UJwWbX6zVKtOsL2zWORld47VieKVR86aSCOICSwJK
4o+i8NVFc1MKoabGTwZLJcw0uozpCB8cP5OE2omivzDkse+j3GaqxVKcit4wJx8mdjSybt4nW1yr
SzXjmFcvQ9zx5VxpZ/yZFJhJGkwplBPLJFj8QICk/ZaVnxrJsbyI9tPwWSKGO9TksbRds9fvwvBr
Lth/xzkAE2Nbk8HEwRoGLT9PpNQ00mo1qbWiEScLvSbQ60PVvdpk25psODiROPW98STJvrHNinCb
gvdf7xNd90syciv10JKZq0FTezJ02oQJ0D1YPQMB8boWjXgmCJg14TYiftcTwyN6dVcSyyOq5ZUF
DhxxvaapLoH6REj+kKNWTzPgEMm+kGfdjDYLBNgD1fBykgBMq/gQMSGImiUyJAQV8ibtWgpJDiZj
6pvLqSFPqBGLWcgXxkyKlmQ6pEMlfVgpQPGkEdWB9T1r08uHM+G5xvWM6/NWI8VooqIZsyTz9d5w
QNrskZTJpiD52GfO50DYrhC5b6ofQsqNRk6yQcsgwc6IqXotOcqEPCWWmk9vTAZZbOcouRvJXTZN
57XkMOc4eiiN+wyhUMsXV+aPoine7bA9G4Q422q8GgQ7rVb/GhZsFRNEPm2in/GaAa3kXUwkdHVn
IiKizpoVndbQKOFRuaZI867c1s0AjqySQ4zXiCN+TPehWxwo9isujb1VV3HRQWUMUBvxGbYD6uOC
CmmiRuqMJwnqZBLXGMjEoFEtZ9TLBBVzdN5MNE2neJ5QOCV/ARvFU0X57FBA/7lI89/GUZDSgGMg
i79qKUTc/1PBP37mH5AU73+j1Pz8o36v+PJfDhgrAIUFgmytEv7vFf/XZar8kaH99tsAfhT313JO
FoWl5ZT9Xxdcf6/4iPqYl+xfhY/FGLD/UcU3/mKRqbThZcE5TCwFnQ/4o1STT1U0mYmjHlK4JCaY
l759J7biKs5bO03uCMNkFOmphWlqFKIX4DgdrJNoun2cf1oRFNxyCuCherioepzuopaJCQ/MSFhI
kz9B9R3J5OztVLoy7HwTyiqhio5QVw30VeZoz2uG1yDSmBTKHvP0wADlFiihi2j8dXlJJ9XXMAqo
h/BdA5xXBO81w33B5LpsqvKm1mTz2HiBEIR7iLpPMRclpzo6KcbwiPvibNhLQLQ5YVcS+PpFTRrX
XhJ3dKbTZJkp9MFwXxbD3ux633Ycr1sx8smsWPtJ1JIdkxX1HMflJarYW4AX2WoaH8M8t0DoqpG8
dJHGXrj2nDeBq3bNzWIXD0pq+moLsx6L8ZvTDz6pNdaFNXvWOHnsgbvliz7ndv9YG6ofAWJGETue
ZL2Fyb5mtoYDSRzYUd1G/SxDbP1M9+f+zao0d3Cyu3Bct32s5LzVok+HTElj4NfCvMlbvrsZZz97
D5M4YgDVHnnbDnmEJSqtX2LN+KYv4dnWmDyMZt+x1ZO/eBcq3OBPuRMckrzbO0uJe7hs9VS9GYN5
vwpNEYh/trL+wLH2JilMxI35sTGWVztFr2kU8OUuPCVxsk3hLGPNfHViUEVNqw7DtJyq1Dwyxz05
g/U2YKiCqTr3IAH7fiJONIRQhuPXtFwWMEMd3RnKlGUHy6afKvZUOTO9n83jiogoGKvRq5a0d2KM
z03Fh3Km/NSpePnpGu5Ut+WQHQbefJen89FX8Jmane9Gc37vCUDYLIGdLOcmIRQRITwmCvJ2Udgg
2xL7NtwmhXxYg4dJUGyX5DqQ3OFx76fePiW6/DCaWPpyqV/J/2HZ2/ZD5WQd0Ap5K6dmVpsQGoMe
79uqsKFneS+mfm8MEuUJVG7Ech8WVn4RS3kWHXR4qSick/g09Wzxq9fIh76GP5SqXOOK4UPWLTsK
8W0RG6eZfs4cyegSbx6nG6GWb0N7klp2MWpKwZDvQxjyTVORvxXGtVmIOxYgERnIUDpHqAIZO6v0
fTRbNxp4dkr2okpbNgfSvtXixK81cfMmuZVBumtqYq02r1bf7nK8cjtTbkCY/LHPv9n9sstnhb/O
1LIViTRRE6g7BZESpqqlmWCJHP338iVaAT5g3ucpTe/mCt0xYluzO3baAwQ8iyiz9LlVkmsdFvea
XbKakX4h0NJjF5PicnruDp0cGWa9Q2y7LF5zFhcLbcFKKu7twHkaZhsuZxhY3oE2WVcQuakwPlS2
1bHIUz9Vst6l03hqycBuFI7cZiwNFFb8jzGT0YH9lSMp+uxzbGt3Kccj/hm8U58VblDxYrb1nmUE
bBtOp28pQVm2jrLxuMun/uCkokRldMZbzcjllh669PpaO6AiHsp68K1hoD/NWB2hR6SMuEB3rWps
f03/OMCOZeOcxBQ9T8weyty6Eb8bYcMvR9iyeOPsYOeNXb8NbJpX9MAS2AIG1q6VX2RE6N/OOIks
kjiBRrC4YFHHHWohAjTqovfPq/z/QHefssfIDVRJ7p7k6n90908Za3nSv1/N8/PP+r0TMP5lkhUT
usPicMJLf5j9+fUk0vhtMc9KRv6QdgEK0ASRVSBY57eFPt87AZvN46aqGir8G6v4/9ledeentMv6
0bGT+EUpBgOS9qfZPw2rVI0SrFA2V31L7SLfZzGLtdqx/OhTCkWT24cpFB92JvT9NHcPE+PdJmgb
xMs4Yp6HKAlWtCQasHvr5lmLVSbseMc04ztx/m6tywkTpTsSIH2HOr3JAVfGaNiKGAd/Bmlh6Tsb
uIvTnGDTF0112/PPzEvErIyMrMOEObFia1Ccm5mSXvQfE7lUm7feHGuW3Ql3CidW1J7DoL6kK3NT
AN+wSO8mFIlLYv+i0ZjoBpfv1HI5OoA7GgBPAnqYVoAAgD0GgE9gmDt9JX7AtW0b2goQqNHldgAM
Wvrnboo8gyGj4SpU2Age2gRz4zuW6LIx2r4vZOIOmFHzUvgJ/BEbL27kbLwuah9tQudLXt/TVJzZ
hHNkgeRdBcPU2+sKcln7JlZMFgxePxCA/4Xu767P2IiKxaTYsNT6F6CgsExPehHt6nV9+aKfDbNy
lZUTQwq2sa0QPW5ZjfOtX+0sdgaXGGaGupPw3J2Cih3Kg2QBgKKG/kTfl4tfHPwxC59sGL+2+GEC
dUWY9pkcIOSi4ze4aynLRhrBOj1gqq6y2IPU3xu4cQrrN1T5rvYvRfqg4teF6q1lvCrshbcpqVr3
1WaFnMDhM8AiBIbNaLLYAQewQ4eRgYF4gOhiIb6w+vijRIyxEWUaxBlE+3PE/ygKF69EvFFZgFGx
HQJ7btOju1uvk/YGE3EskCxs1B9EIKI3XOGURMQhZ8gxByFw5bDpEI/a7nk0Orc3KvBOtFPEkPLV
SU71qjq1Vr3vlsavsmR27am8y53xEg75fROUv12iv/3+q7+0R//CHbVsukid6Bs09HoQf/gNBkFk
JDHb6eWh550rQp36x06CMnHYo6/aDwUz9Qj7GQO9DIFyDtr/zdyZbSeKRWH4ieglM9zUhaLEIVaq
kljDDasyFDIjk8DT94dJqmMsbY2rV9dlInoOGzjss/9h55fBypm5VXgVVeqkFyW3qu4uVMyg2dxp
tiFjrK10AFek+Z/L0LMTHWlB9QBBbBQWqaVXKM+Ke1IRlAw/G1H/6KW4ZVK6CAW8JTQR7xZouS5C
oG9+IKJjdhBIiYO6voSM0G9CFbblFNHwKK/ahbh8LijvjYi8I5hn6aG62RGZWOiAr7cjIqfsdbUs
V8aJU1qO4IyM+mPdKZybu6SnouCoZj2zHiwlCCQJmg9sGmwc8Ca+F7YWZtoXamKM5DCxUpLfOgDL
rXN/ZsK4GQCM4C+kT5La7CfBXKiQomjXZUGy6CJMInGRw8oyo5njodRYSyMVOU0alv/i7Qgtfveq
d+aGnGePGjMF1u1zJI3I89DoYGc1wHcZxFdYDV2c0NDhdxQeFE+izSO2CHIdZxF4REpsmatwKCFj
LcLo0zJRbTMXZgb6QTmnbpAEVo02z8+aq3WKtXVFQajBh8UcacV3YABEFtFU0J1+KyOr6cnTthdM
BVke4OhNIgtm0lxmxkKqehb8lWGGvV/eIiOM7xBq05zARBKXO3YapcOy+qG6tR2JrtN3WDPyGsFK
fZEzlTCKBzK8IKzVRaXi7GZJFPFlRDjlmvTqEtOgceAntuhKF6msX2ZK9BmoyXLX7IYcl3zTqbW5
UhcjR01/alI1E8p2sRbKa0XN5kAb16bZThu0lX1eYN9U0DoAtAh39wKmMg9KK6bTUq/nOGjPMSLA
ZrhMxNESgqfVK1bOyM8UW01YfP2l+Kn041sxQBCjwKzHCWq6dHpXdXRlKl9R1N1KJM5ggENdxXy6
hXJWqTcexvIAoIPUFKZc22FVNJZmhMMY57lqdSWLXDs6E6y95noJPr/2llaTxMO6l058CPZVW9mm
NBEVqmbUKf10gfadbZoIqWkR4n+68uHPRuJAyS8M4c4tqTnhVCk1wiCGiuZ+WSEDU3CirdmwhhIk
4BQVNJz8zLxq6nW/KnE8aqUrKcQWwghto80mVSra2OBDJcBournr7noTppBMKbRYPnRvVyRxagMb
iIUxloSBh11+02DgFEFEknTbqJRBTKnNqZq+H/i2HBWPGb0PCs0f9NSFAwkqE0qY2NM6xWgNY+7K
RP/qS3ipCGyBbuXyW48HrEKcYeaA/Q72XIV3XwXcQDoGWkxfx2a5I8waQJbOfeBw6+mAoGz0/Fa3
NCmmJvjQAWFxdVfUXwvtfh3GYwwAbTOKp5BtaQixHhdxPpHA9NaRNk3rKXbwtpckVlZoczIp9ufK
QMd5fN1t/10aesiFFVNKlVJEm3BlE2f11Vg34zJH06Bel+2XwPxumhAZMBtcsiQHrT4T3YDdkZAO
1Pqmxz4gdrlpyxrjKWGEhGweeLDi8X1va30S+b0bLYhnkdiAy6EbE9ZjI9VAUYFLQhB9NRqjy3xH
Zv5f1N9eOWcODzYy2vTrucF0p2umua/b0b6DXjCrDmfbPeYkg81DEN7mpzdzO/iTWx09IVKQgR/b
vwxW8KuI7Z7KrpHo+47ZP/8j2kEdEwYa7r3ua3pqo6//Pw5Q0t5isoe8V4+JCT+5FZSTG4T+iVHR
3rBft3jt74kKDHYDaw52kQDTptQF7XULXPUvie0s0sVf7Tb/vKhQzT9kYvWeqJzcGPjPi8quj8fZ
98qpXT6PDcoRa/AvQutg6YUPm9eW95j/7sW174CXl9bu569WHlgUKEpJ9reO7nqkPk3gaY3q/v6w
1a1R2rxHXn368l7ZjPb8/efT3J3A1mAv5/byzwvvMfuR3S+bzQfN82SfmgOeDnMd0zz70IiQ6R+7
Ptz7gbU3j+I/MTnQrvvQiCe71Zx7iieThc4dsP+mDfRTyPZ7h5873vGKp3NHOpUuf+5476j2nj3k
OxT7h8f83TLxK0/dXTxectTffW17feyOuA8ff2Qf/gYAAP//</cx:binary>
              </cx:geoCache>
            </cx:geography>
          </cx:layoutPr>
          <cx:valueColors>
            <cx:maxColor>
              <a:srgbClr val="1D4971"/>
            </cx:maxColor>
          </cx:valueColors>
        </cx:series>
      </cx:plotAreaRegion>
    </cx:plotArea>
  </cx:chart>
  <cx:spPr>
    <a:noFill/>
    <a:ln>
      <a:noFill/>
    </a:ln>
    <a:effectLst>
      <a:outerShdw blurRad="50800" dist="38100" algn="l" rotWithShape="0">
        <a:prstClr val="black">
          <a:alpha val="40000"/>
        </a:prstClr>
      </a:outerShdw>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E1049439-3D9F-411E-8449-E2CCA91C8150}">
          <cx:dataLabels>
            <cx:visibility seriesName="0" categoryName="0" value="1"/>
          </cx:dataLabels>
          <cx:dataId val="0"/>
          <cx:layoutPr>
            <cx:visibility connectorLines="1"/>
            <cx:subtotals>
              <cx:idx val="2"/>
            </cx:subtotals>
          </cx:layoutPr>
        </cx:series>
      </cx:plotAreaRegion>
      <cx:axis id="0">
        <cx:catScaling gapWidth="0.5"/>
        <cx:majorGridlines/>
        <cx:tickLabels/>
      </cx:axis>
      <cx:axis id="1">
        <cx:valScaling/>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plotArea>
      <cx:plotAreaRegion>
        <cx:series layoutId="regionMap" uniqueId="{CFEFC1ED-A72E-4901-833E-A65EB6A24B15}">
          <cx:spPr>
            <a:solidFill>
              <a:schemeClr val="bg1">
                <a:lumMod val="85000"/>
              </a:schemeClr>
            </a:solidFill>
          </cx:spPr>
          <cx:dataId val="0"/>
          <cx:layoutPr>
            <cx:geography cultureLanguage="en-US" cultureRegion="ID" attribution="Powered by Bing">
              <cx:geoCache provider="{E9337A44-BEBE-4D9F-B70C-5C5E7DAFC167}">
                <cx:binary>1Hppc922su1fSeXzY4KBGHjqnPsB5B61JUu2bMv+wpJkCQQngAQ4/vrb20MS23HeSd37qt6pSiXR
BgkC3ejutVbjn4/zPx7rp/v+p7mpW/+Px/lfPxchuH/8+qt/LJ6ae/9LYx576+1z+OXRNr/a52fz
+PTrh/5+Mq3+lSAc//pY3Pfhaf75v/4Js+kne7KP98HY9mZ46peXT36og/+LsT8d+un+Q2PazPjQ
m8dA/vWzGuqn+qnVP//01AYTltvFPf3r56+f+vmnX7+d7LsP/1TD2sLwAV6O5C+wfooQJxhRInAs
f/6ptq3+PI5x/EvCGRKEUywpS+IvH7+6b+D9L0v66eWTfmofly+jf7q0jwu7//Chf/IeNvfxv382
xVc7ggfua/PzD43x+5cf7dCGs7U1GP5fPx/aD7Z98ub+55+Mt+mnwdSed33IPprp16999V///OYH
MNw3v/zBnd9a+f829P0G7j8M/9u+ZJJKwhE4jNNYcP6NL9kvWEqKYYwR8PS3vvy4oN/t+ReH7Aee
/GaCf8+P37z0H+bF7Kl19/6+/8uD/7djkvNYEsooBGUcJ4R850dCEIp5kggkEMVfPv4pJv+tJf25
B39/9d/y3e+P/4d57fb+4b69b7/Y7U+z1d92WkyShAkqEwgxFtPvfIaEJEgmhFKafBt7nxf0Pwi+
72b4tzz43Vv/YY7cmft2+d+OvlgixrDACeeMEfG9J4kULBGcccK+HKFPofd5Of8DN343w7/lxu/e
+v/cjT9e3lfbxV+K/w9L0d+HOxRciwRFIqYxkt9nVow5xgmVUD7Bv1+79xMS+fFi/jyp/gl++bKv
H9vh/w1k+TGc+Q0kZvfhfvMRXv4B0fz16Bco9M2rP0apX6x6+PCvnzHCRKBE/MGT53k+v/wZZX5E
gJ/s/vU7T/c+wByY/QJzMEp5gmPAshCW09OnkfiXmGIBVZLEH4vlzz+1tg/FR+gLTxKKMCyBy5jB
ErwdPg/JOKEx1FfGJEuoYL8h+2tbL9q2v1nk898/tUNzbU0bPCwHjo379Nh5tZJLccbQDMfndMKA
L8D44/1LYA/np/9P8CiKpBzmg8TRrQ/Nhvp6w0K4YzPb2Xa4s3S9GQSKNhq9nLq8VXboSvUHk/3Z
KsAIX69CCg5GIADlKU5gY1+vooyiMPV6oofEIoXnTnnbPws2bZuZ7Uu2HFAzqLxxaU2wGl20o7oq
lWuOPY72cxO2f72ehCbfL0jEUDUBjQLzAAby9YIKildmOKOHBY2XwSeRGlYeNiVet27uN6zEYbPS
8XUgyCi71s+xXV443e0EHjPExyONQxo18x4nfvs+ysPG+zUtRnbwYrxDvt5SrBVp6KaxdB8VOm3C
ms5s2Di8pmZ1aV5M22JaX8fFoogdUitY1pVsE6H+Gi3VtTHLLVa00omKZnJT0f5SFmaT+2SzjGSX
RMueSp1WDKeBjNu5yV9GQ7xPyLZOZGrrcDFE0azyUJ2KWm+SvLggyW0CX5Z8TV2/Nes1LvdhzrcJ
HTbGuNR2ZJPMxXHULDPRclUs3Cuz1C94aNLaU6PGVqo46lLZ2l3b+G2z8NShcNXO/Zbk4ws+zrvu
wNZwJNYch1xuaN2lgx62MXbZ2MRq5uO7ORo3Zkhuwgkt/s1CLmrrUtO+tQlT+eBOUfLaNOhUNvid
GdsMd+W+QkOpammymlHVU5ot9y1tN4MvVOfEVSDFzoWbmeOsR0Uaj/22kL3q44xHq8Kk2jcjvpG1
fqGjMTW02wu7bFyZF6mIvSJD9TAzMauoJJcLf1+Mddat/NCJsNeZEGAWpFXcurSX+IVaTa9EP2au
bTY4rVuRJqPdoJK+aP2Q6rLbSR3AuUGN+IDz01B22Wrvxy7Z6GVN++lmYY2a42hvR62CvfF5nkb8
fQC7TB72V1pVIZf1PKg5v4GJ1VzetNJlNB5U3eKsaFHq6gisGO+QlOAUPCgXkeu8yDdNGaWFQ4qV
q+LlZV5FqcVjqUrZ70K8ZCWyG6nyqdiMs0tLl6SFjq7a4TVK5MYFqnR7r5tDzEc1Wp2WjKjA7xk7
iSpWRTWqJHrtYOEI6dT0g4pHqiKp1TCAjZqbCg570cAQjlRc4FREc1rmczZxuckboYq+TfkqtjNm
Wz4ilZM1Q6jbWsyyZUk2RJ4G5xRjitawmUTsxwk9xivaN3pf6SOh7aO2cRYVTVrhaLdObEx5x02q
MZzX5djGZFKoA78a6qt0IBGkG+ZVgvpSVZTdFAnejrq9kEtHVVzJ22JsnIrQlbbDbWSYVXVtntcV
5k18JFXXu20eJ/u2HnLFEZgyth3KYhndNr1slRflkUldqlUEu5/lLllCv+kK94AxlSoKo1RrvGaV
H9225mvYVEXTbpI+USYyD81MScZRfllNuNqsYxjh500IulBSOpQ5ntzqdbFpRW9dH7UKry1VpO9r
pcskpWV0CJa1EBaigvRObyrObtbi5SDcSQz4VR/gg3miiro6Jc4sShtyJJ4XkJ9Qlba23UVrP8Om
+rSZIflTO17Nodkmpnx2ssgcpZUak3zjCvMwz/VpLuKbvo/VQpNBVdgkqp1hXVyTCz2CeSCJntfp
ezjMYJKTXfo71jSQZIvLaRpSX/qDb2aZ2al+/jg44Ld+HFKq2+tuMhdJ6GU2Cdh8v7SQP+DRIs+l
qpMpLXF5NeXzYaQ4a/REUl+Dc30oVoUg8cGM0tk4lU2VrWa4+5hB+0EvSpbNZtHmQ9sdhasgdY7r
mOK1dukYyHsyvKtMtTHaXCwSUoHUhVU2mId1dJcmaje4hXTKlqRVHZhh5WAsOx8wnXbxUL38+A5J
yufzK36Ws9LjkrVdmxa5uaurhio/F4myDXx0rC+t6MGmdaeaMocExAqXdh6OY0eGrOgcSVGEOiiF
x2lsURZZctM5eLNs/V1sq+u6tFwtDoZ6nFgV2Sid1mK/EtgNOmeywErIbWZS8wq78qs/4QBjnTRC
iW5WZS5N2sY1VaaAzy5Fvn0qsbmcDCy9Wc1DJ0Op0Arlx7zWQZh9NGxlI9N5MY9DXkEBpDAsR0jP
YBfdSqiTkTnqIpBUOvhXW0yAJfJCNUEc3eo+THL06rrOLUntMCepLWFDVYE2c3Avm4V41Y6wKNXr
ctsl440m2qU0RDjVYcpY1CZbG+Y1bcNYp+PkLuNe1mpdh0oh+AwLkAdpe94kIldrI6/IdPbj6N22
2gnUDemyDHdrNN90eoj2ZRk9RdOg5Lwt+HRtBJwvwvUDxG2dLiLalh5iu4mKZ3zOJUnOT7hEp4bw
dC3rZNuvvc9UMUZP8LNPJ0u2jTHPQrBIrVN0ZJ5U2TBYqhJ8KXUCubOmMxQPdxADz9qJzGrk3R3l
FJCCQb0KMu1ZfAN1xm3JOcZhTe9m6Y6UzKkrSwf5zpZZN5f7fuFSFSuiaVX7XVGDbfJeKsaXl7QA
f3gJJWVdUkBjkC8YJMdWw27y5J4FH2fnvddRfjW6PkNkziA9XIh6GVXDi42bRwLFwuxXk0jlZnxT
I8gKtoYSPMz0WHNy+dFd5dmVyzzc8Wsh+0b1AFZ2Cc+zhc4XQ1mrNu/vZF0+y8ndSXKVjEus6hKS
NF70c6TjLTJ2s4JH1NqJQx6ZZ0j3RhVdcczHeG+7C1dWmWxCDG6Wt3r2KU/amwSNb1E1v6BeP7M4
nxXSxQPq6xPAasCvnXkg3pdq6uIbXSf7QrLHsnEm0zdhZ3H9FDcwOrCcpZPAKk7ssePljeOQRgpH
bsogpMIi2kSe7hCQdYWcfpyX6pnl8LFqHUfwYrkR6E03uVuzZJGfFoAHcNpMN41pMcEEbdzflfd9
Ea518Hcy4le6dncukTtIv4co9nfWgEEjjiuwV/cuarSaoBykM4HTVlcwRYXZQXNzmCB5AQCxSkNp
mrrmrhwBp5O5SWl0YYpVZ6C5JykOYMi4xC/GmX+IW7btyxLO6gS/Ljy3aTlau584vhRN0BmtK6ps
0hPIg/S6o0k2xBAydX0aIp+kec8/mFG+nkZ5tQ7dnSj189DSo0bFgRF3N03uMTmH3UogRUwDhsp7
zjuuSq6reKpU2+7aIUZpfHbQx6w3r+IwMtic01XK2umuGPwGyuYli1/lg3gyoT3JBE6H7cQdwaXi
Ph7TaYK91t52ikWkBhMBS8gMiu7NCI/23l4wRLTSDoq7GKlXU1k/FH45FpsoaYtPL0Ql5LiCaojB
OB5S6e0eB3swGl7Sc/P88X9a448dXjfFNBUQOzsmLiiXgxLgu2YuDraix7wCaFFGl8hEgL5gFYuT
VwJPRkXxq7ZeHiriUUYjd5c08Mkoal9H1m/aIWw/rreFw1nGPmySgDJcQJ+lgO3Fbjfk69tV0Jtm
7JOUW4B1OZxlo8lNI/o74QSY7VxT63gpMw+0MmvHHKIzAXPghVdZlE/V0bUy9aLwaQ8VS4WenIBq
XEV6jPZkrfe4wBdJDlm11FJnpPOv2DhkAiJUeMjYoVLDgl+1ZLxqzhG/QMzlMVSu88JGF18gTbPZ
zGtGG3+aUH1P4l0Sw3wx5c3ODM2iqsLD1mGyEo9bzMR14uRDUzdXAopsWkLpsrO0WVlN7U7P4WqM
XqJ6tipUdtlVFjfwgbFX0/I4C8TSIKDEVQa/cpDnFanzV20ls/ZcPnAOE0Y6367DWqc1nysV6vJ+
NUWZBtomAMQZQADMLktN3hVQo/1USzAp/DpZyGwAZS/z0FxHE0QVgTMf4UFm1dy94TTfyzNa9A7a
Oyi5LQo4WONcXcZT8XY5F9nlnBvFwQGM2Y+1vo3KBb6/eOBzZs1YF0Q2gQHa4LYr0ruW9HWKrb0k
bn7FK15thqZ+qORj3OhOTTOEzzgLk+LIXLjkTsTHuJYvgfQdbRVex1Whak2ysIRC5Rg8kjA4k219
6IZxWwOxSEncn7rifpZ0xwPa+tpejxW7WHH3khP+qKcJYk6UKXWdSWPzOi4hB57rVddA4UW6vSRj
joBvYgAZ1ZpSid533aRCUx60btctCJcVFK39pPm1Ru7dMs+bpqFj6rtVZnW5iadz/e3akOVuOdA2
N2ky0FwBu2wUX+BY/zWJj88c/StpIwH0zGPChUwEib/l8BHvQiPzPj7ks87im3IBfpZPEVQXRHZy
BhzKunlM2/NRPqsdVEAQNRTanvYC+MJ7vkBmmiJIWk26DHWzwwIqtkdQsYmtT92AVU6J4rO9Q1MH
h3d+WXBI2awvn2cEeZINwFfjPNW2fDgn+BGyOkDU/InO4kpcUly9hWoQUKEhLZqHv94+xn+yf0ag
DcNB9hdYChCR/ijtlBKhfIpBciBtT1Ulm5TICUhvWezHrHEJgDyf30bY3/kZgLgOIDTwcrcu4Pmk
tafcgokq3UDq6F8aDM+TQhx4tavHulVygSMfucSkcnqHybTXdn4J738CuDgGwajp3jftg9jj2NwW
qHn+COhGYJFqep/Y5M1YJ7dDD3iyc3pWGLfH+BqJPqStB5zXdQ2sIxoyyclNfaY+zuJD17HyEw4M
DBLg4qHItfLWiiCzj0eVMQloFaWmoE8BAXlda4ib/kzwKNPHJc8Vpbe4h+rmKbgyN+B52QAoLZvt
artWtQu/BZUgUa72tRqDu5YFACQGdVB5/2ptLFQS8PFC5O3HLPyxKHke76p+ExDa+UK/+JiMPxLO
fobybC/kBBnwDKrP9acGEiC0BbmAXDEMhcA3/Z1DF3iN+tS1MJhAOfdNc6oEYCiInNu+T8DeMt71
Q+YNdZ+i5bOq+lmD+6QMPlq39AaA9jd//tfuyZ5FTf+xtfzbU586zb/9CS99nvSshX71x3fa7A/U
10+XDn4w+GNp9jfF+7NyCZ0OiagE7RI6VxKBcvnb/YI/kWnPHe1vmx8/nOh37ZYwTKDlKRLodWJQ
Cb9ot+wXBA1t0G1jBuEVw8d/125JjEGZhZqGKAPsDOv+SrwlZ9WWM8IkJKa/I97yBKb6OsVBVINM
KUEnRvDBGH0d4pzUYlp8DLrpLHahNMd25ReEgMDDi+J9kMirbllu+RIdzTri7dq3QA0JUNP8zLSF
mscx7eYEpwT0r7wcHnJEsnN1w49z/p7EbxqMsjBHWzY/FNKlQ3MWVO6gfIHA8ER4r+w5q3axGgG0
IEQfBKQCUdYbzEBYW+ZN75LbWbe3ZBg2VRfFik31cVztK0btfm3KfWvjg+7Nm0Ffsxgr1OPMzS5r
EvfKj9EjD11Ku+tuRMdiGdKxrEk6jvw2x/U2n5YNyCCp9Wgr4+UqHtCzICZjOUgJ9XBVz8CYPAP0
N5EjmuwBV/GlyZ/sis6YPQ0gZLbLM0erKkBxY+Nr25ep53Mmuw/eW2B3ZOs7fbPU5HksE0jczeUC
yDvKHxM9bGZQgWOQsXrj1NK+QU2cLnbZI+srNeFeQBlOdtgD0xmjAOJWddUX7SmZhAaCgBhkmjdT
IzZx2byI4yjrk1tkxouZTw9r6VMxDEcEJDuixKdsFZVqWPRaA9/DLN91OauUhrzlOwDZC8BrKS+W
zh39gK7kVN9FvH0LJe9oEgtCvtw2q30zE5x1BmgI8ddeousVgezTVwdpmqzphzRp+uvBxVeza9/W
Al+VlT3OuT2rvDOIhHM6xnYfBGRg4z/wymZJLF+Umh+ipUl1DkSbdJC4E9XR/HJFb8Yl2U5QVwo2
ZrV8wGuuIK3vKoQUKLjAIma3ZaBQbCKDTws1D/kqGqC10YaJNS17wMHly1LSViW8eUnlejFX7dOI
21rxgaUmHzYcwA1obmmJ2GHt6RNrbrvRZWVdn3UqEAPYKYwcFJAhmwu/40V9Yyzdtn2XLlBTqmJI
w7JutUVZTfvN2JkjKdZ0KGMl0EMJIrIweTrk0ZMtLMgEAEXr27YDTUXec+CrHViG5OzEknU70+7Y
QcFkrAbW5FMMRLkSPkuWSbVu3c1Ac2MGR4UrhMvMnVN51N+Y5IJO9SYhIZMjAxandybuVF5OqekI
EPDyEJ1F0SZkJgFdsRrSOPFQd6utC0xVYU59Yo607q9iI7PYRKlrWObQmuKhvxmrYmPKoBIRNnW1
pN4nO1Dtd2gVQCa7bGw71WG9CW2VGmtSJ1YVsRgiy+/JoDdRzaDGdruBiteO0ItonQ6J72668K5p
/GGEo7pG9KIHVkQGpJbeH4venlpdq9hwFdyoBu3VAFKcHh+7id3EIEvmtN4BMFLT+ERms0cBzEaf
Fv/sOM1WUPW0jS6EmY8rJi+GAFGC4KQN2QjUaU4yTfjVsFTbCYD8qMmubgGSAMwJtAPTV5uEQ4xx
o5WPiqwgy6mxPOskaIhjhzatQ/DGCLhWQ/NluBoGlLLwagxYifjZAj2NnX5dfEyfxXW/kA2HNgzu
12vgzqpbIR4FQCEndzzSV7UeTisonfka5yqGXOjpc0KbXaLFrqTFVWHJ6wQPBz6HV6DbXDYjfyU9
f+cSd4MZhlCOHiaZXMUh3jYByE7D2m1fsBdwFe79KJozeeQvx7pslOeDmuj8PJXsatXu6AYIExkd
TMmPtmF7W+mnmNoUT+FtUdpNxHUWSXHB6ikFjJkBuzsWg7viNdn3/p7nNeBi6ENMOTB+IDRlDrST
VbeIxaeaw046qfqB7xdxXKHDNfBmBNHuLXBE6F2Ub6ac7WPZnVxttkXbZnWO9sUMHajIX+BxujGN
VaVtdtEUX0zszYg1dO6mfTUBeWfgKNvv6VmZ6JfHvtWgxQVA6PluBgd0/brlxL6aQZXt+Ic6QXsW
R4DH+yxiS1p07RaDFougz0Y5VtFQp7MQW4ZMaoZiGyUYTqJTnewfJgq6xBqlYqWb1QeFK55JWx9j
VO5N2W2HGu3myh1WGXZNM2RrPCnoUGxAob3CfnnIp1dFMKBYVJnmNuULU1CSa9WP9ZFXIZ2gK5kN
DsSjGR+TcTjNHXmIIw0tEnELDf2Lvm5Yuiblq3WulaCQWYxRU7AqAZM7qImc5NAueVqhJZQLfgFS
bEorMEgNRKGnJM11fagLWBFyh2Rq0qQXJhsq8Spuusyz9n2/6F0j5/eT6S7D2u3jor0sXMgwheZG
K7KG2Sym2mzaWhQq8Xhjh+lxMc27In8raZyGuVElG7KOzscpL04e5woy9FUytK8wke/44l9UhTnk
aIH8HFKyXvdheSkKaIoBoAd8fmHmKAt8ymhVpA6kmwZD8AZ6WWKmeEReEBudoiLPOBDFAC2NFYT2
IKaM5Pggcpc2tQsKwNZTg5s9HdptgSHhgd7d0P7Q27xRKxYbt/DMJsVRBHbRhpDVa5xNiOyLxENj
sgd0YvalAdmZk6wvpkuUry98GK/bOc6KxUDDIGx5/AydE9WJGz7lhwZ9mLsl8515CVLRdiC9BgYC
WlDpF73tEYQcNkOKKBTaRrcHaN6N2QoJa+NaDKevgyaY7fCiQJPUu65lUKz5LjTN+6Sml3Z9MtVw
YQSBA3QmVgREV3du3URbHOtb31+2sdxNy6yVNWTezKx7NRB7msI0p5EhzzHvrswK7aEyvplLvFkD
V77g+6hxW8cgH8y3Mizp6ID283y75KVW0USvlq4+Luf6MNEXS55khbkxvH4UsVOyGxRzbxq4OaDG
RpxWaPm1eQCWCprGOiRqtQWIRc5CU8SfioZdzPmo3AI/jDraDkB95VIcyvDBYdCRDGSQqoam8QI1
bdnNDT/pCqe074ySLXkvI1+muIXSHtblFdE6BbCSifzetdNhGvPNWIJSb5f4GuTXmyq2N+0yR7uP
gP9vMZy3pjLu6YO5/w+hOOJ8zQNzLrhkAv75S4rz+Qr2D0jO91P9TnLgggkilBPEIa/DR76QnPMF
Fbj/cFZRRMwR0J/fSQ7imAtgPgidaQyC+7y/kxwK1wwThBmES0IS/rdIDj1P9TXJ+X7pf9Qx2srl
S+VXdBgIPUFTFYJoGqttvcQA/M2cgjjWAEgzRzevrXJFeWWmclRlvTaqZSAFJE7EqmLQLedGrNuy
hssDq+YSKH3+WpIebTsz3lJs345iBIQKd3kUzx1QlQpDfNge+iQjPRY1WveCD+giQaZONXQQt4XG
Iu2b8L5l+aQSa09D7eJD29he4XZAAHFE8orrhKflAr3w0TB2ZJqHLSgNUOQa9CgnO2eshusIAjDB
4Ox0iqbyCi640JRS44xaDISnG+D/7AhlDoVCbkJh2EnW6zu0RljNormMUPka9JhdyAtoQY6VULGw
eqfj8DavTJ9pY3RWDbaAbMYbpaNivOiMoIrFE1I1gmYlXGQJWwc+BXA7At3o/JSKpquyHCMHukQH
CpFrr0C6hps3yXQx9B1gvobpdB5AbB3maEjX1oE+0b5v2+kF7t208wTdtT2DtfXFIXIYJiPkuh81
Ohke5fseiuCR2UV+aLo8P/pSV3ArY/JbOU1ogx9CPX5Yqwga/36JT2Np5b7rCgD/FHVAmYSDqwoB
Mms7c3sJ/b03wIfly2lk6GGRfNzhEq5LRNBFe2PKxlwODOBz4UWbta7EW4d8nxUTSHDEF83repLR
BtWTz3xVNVle5c981E94bkTqe4YuWcLXy7JPIJ8VADP6UEaKBAqtTAOXhILOlwNcdKEp6QDygIx1
7mZMl42cLrCsb1phoMEJEITJ5lWzJiEbAlzZyCNIqPPq49sZxfNbIai44FUlj9SvO0KSmxgaksoT
Eb0QsPcsGSSQixIaN40HMbiHKyR198ouVB6bUG6inJzw6qAZkJshsznoc0Xl0wbZew+lqNXr297P
LyYKlVF2cLh7fj9WCVw5KZMi1Uu+KtOX96DkvnFEQwf/fFWl48Vp0q2DewvyhSyohRtR8yYHjiqW
BKiaexI5YK+x4Fd5Mb9geW0UtMihQ1uX70CmG/bLXBYZkdwqyEXvoUW/hY55n+Wiv1gSz29oACIz
F1hcxvjcKVrl29XV90bP+oZhHGUzcffT0jwYjcyun9f4RAVhme6Kd3Hd9CrSXZU2i+yUcCvc+SH7
/2bvzHYkt64u/UQ0yMPD6aYvgmTMGZFj5XBDZJayOM8zn74/SlZXSSUZENAX7R8N2DCMslNRQZ6z
917rWzvDOeW/CPOES3HbD7W+FcUSuNWIcp2KJt3Kfky8PlGVDfPjDlfwc2kWXDLkE/wKq7maCDxe
OvYdDVNcPGZxdd+WeuIhY2qbOGi+DXK57xz7a9PDqPSDJfZOE4t9OYO1GOPCkJPwSkbS3o8iLndm
bJfurBrxzhySg61mMD6D8y2fiumaJIPl18MozumwihZ9/BKN8rYJY6py1H9gyx2nlsazlLwEMlMn
N5Om4M8S4UVa/ziW881QL35v4uCXfZUhqirfhMJYw/0PO5Zqja80FiOM3X1bWtXkyoKeauwyBobq
HwpHfplU7cmW2gvyVee20cS3MWZ8y52FZx9UvNDUDHceq/mcFkr09s+r9GOZ868/l+g1C/W7cvm/
/tsKOVo7Mp2OHK+Zjlwr6d9rlT+B79/pUnjNn3/S9zouNDwvUyAJrqjpj3Xc0VYC1VxZL9NCRfxe
x4X8FbkkTaXphiX/IFaanB+CA6taaa/46j8RK5FM/1zHVzRd8m8+AtfkCjj/WMfrOGmGGCXu4HBo
lyLx8vVmy+Q+aLWddPKrogxeYSWwd+0u42IJI7mvZsOzasb+2DqNXXLUJstTpO1HIb1lUOiniAEh
ZFAQDAx5WO5toXyOcYqalyOR9O0hovM2x/TOxiDsSpXJMT3ojCIWIwkO+kbPjRuRL8eakWWxIneS
kxdPoZ8z0iToY7oGhzGq90FwG6u9qzAAARse5qG/TrnyCrnyEAzKpWNgkktyNsvlmDJIRQmiFYOV
1rzUU/kqk+Ur3ITfxHjiZZ/Hfi4qr2M0q/rQ1Zg6pVHeGEGznxjhCkY5ho9dx2hXSCDGCOjFC5j8
MDO2uqL7UxldJ4tC0joXLQ06rBvlNC+wUykSaABrQ/tiJ9gX9PBMm+hgGyXONzNTaL2Oo1UlTuNi
PI6zsu/E8oE0ci6YXzvm2FCOmtfJ1lUCvvF11K3BiSJmX8gWT3PiTe48UI4/wlq9xEzKKhNzkPD0
MurtXB9Er+0SJutRSfetkR8FE7eudBtIaD9iEh8r4xiP/YfpVJsw4CKd4y1tAFiNtV3y3JVM9OrU
u4IJX+vLbWjO7sTk3w2AsigBZvU5owtY6AMNOoEWZZvcUnYO+sEALZPJ6cUOw+1iZftYWadTmLN2
2o/oDzJ/Did5UoYCkY1ShEqxoFbEqBY56kWMilGjZhioGmVjIVWIx0DtPYjMqwnio2fqdbEQWc19
C9gwodeRuDkLNBPd1ryFrzzpqXOwgBsLdaVt3y20lq5sLtEQH2s0mEwZ3dCxTpaIvBiNRqDVIIaj
z4Sf6HaAR+YxRdPJeFlVNJ4JrWdC8+lW7WcVgRbbvk8M2sEIfSgJFkCaVTVqaCapgOkm1iBJFWts
toXoPoqs7Hl+0nQ1RzwpU+l4Una9OwW5umss42QoxinXnXswkl2JjjtViGKjuc3q6Vy248ZAZdUL
66zjt+eG5ula/Rahm25alQo7hOmWwp+5yiBOphlsej26VkN3MSztWCTRcxYu12SIL0s3ebquniuo
5Eo2WAmQoupMHcPq0tABtCTapPFTNxRHZyo2fZVvcvEsEvWqDv3FiHW3n7GTC/GoIaz1prFL26fF
atF7SgDX8lkY8VELpduAzNhpidPWA7Q9W4PcTaHK1yZcTUApGpY/2N1tV08HWcibRqm9ku/azsBn
cifKgf4atxSoocXAsN60m06CntMyKpzbQgmg0spDHltbhWZG0RKAYl665T0xVb+ru91gqm5pfMa5
scFXijeqoXtiHLyS9zSwJ2+gzpfzxF8Rvk/IbSs+UHWYyNtDPdm0ANCuTCsS/SoQ9HNVg9T9qiWa
awq0CQMVQzH8lOtmk48IQA1Dvgx8oYiNZhrXlMnIsWZQDodXP3ZnTJ4QGK1tNbdvjfOMIVoqDAOw
z4HeuELRzs04ewP/26mZ3NBovD4CxA+naxOiYecajgReaaHV/oJ4jSnsqmZ3UAxnr9nzLkI1jqbl
uV7kbtDavW7VvpGj0yiND7ToWlLdB9Z47IxHB+eoBkdx+sqrh+Gum23QuXAz1SeFC2QWv+TIzn07
QLHyD8QabdrQY+A6DZPh2vroBs5bJ3S3a4lfRS/JUm6WQXVHTSSbZu4LL9GCxpvmEFBnIDWQdHCa
CrPBRo/u22L08v4SpW9py00Qbcx82de9fNVy80toFvAMNRDR3EQCo95288EeN/EYHUMFBsTO7zWQ
8UhDBzJ3rVIfWiSaJAgejdqA6rqXnY4+UnkcB98qkG/n27gqPWxfry+5uzN1k4zaUx3LYQeeAIiA
UjOhTqJgu7qYfTtMzw3jVBmbp5A/tAZE0qW41rN8HbIZ1IW4waSAsswtdCta6mbKecvyYrqEwjoY
PAjTxO0YXuNW+dCLh7q44CW4tdxOPMAoKnHqytLPEqRqUyxf/nn39t/WmkGJSCnxeOlwHBqo/9Sa
nd6b9yJ8bz/zv1FZfv5h37sziyyQkA4RFwQTYI3fVRbjX7qjopQ4RNkFya4fuzO0HyJ/qil1Zw1o
kov5rrIgr1hC/TUt/Q9TQJTPP/dmP3/wH3szwy6avK9N8i5LPYHEOOWhy9Uv6WSBSQ2ndMr9sVK3
af/V0Zmo0idlWVzRboWlHion9YTZXbqs95Ad9YLsAYw/Cqk7ALwNEBWx3Frpq9mqd+NoXmg/NoJW
qbXNgxbH72GIPBEtzb0hnusBU1qm53D8EvTtRSvmm15tHwCmfwlyxRVd/+nQHPTpsmt07XVJ5LzR
W+M+FeODUhj3RWzuKjWf3JyupUsSBEhtFH4f3wXTsrHm0G2mwsXhu9omNvY3EXX3U1i9taD7zqJt
xJxvU3kc4maFflbvO9+bAbL9KLtd4yz7tur2RSdSSpX+BUz/SxxZe9zE2u8WAc7eGya5gikmoJDf
ZUV3sMJwVynz3aiGB8UiwWGonqNX/qjik2rSeUpAU5Lka0C/E1U3AEv7jG8SD3GDhXbNwP2nbtrG
2uhXCOOp2fpzVV9Nq72kU3TfNYrPFAgcc9AyGx8fXJ3vZEl6KpPpZyX5GnNyYzqtOLC2czt7DqhK
qAeurvZHrepvo8XaY93vnfzUy2Grt8rX0FpDGmStbLrqWkEO0x6b6S3XuWt0/mh4im312lrNxUYA
6azqQCTqHBk0WnMMRZY7r8mkHZZ++MUi4oHkLCGmDToYZVxoazU/0zRc3+i+CeW0Ccok9u3EvgsC
xSOr4qWhtifn6up9u1X0lUOsnzq1PiZqhmWIgiM0QnZ2Qqpm+VTmZZcuWPAIfnWCSU0rHlXjp0ah
hJ9z67l8lzpckOMkWGN0u0iCUwUJGo/HWEueoiW4pkH0IIrhIrRJ3VrWdNv3AarhzFssorbyIrtv
oKYs39Tta6mgVwPiXmIrOnWztUa0yttWHSRRmCAGhJj4mnnJSk1e7XA8d6I62ungWpNJ3Zn23Wj4
sTilg+Il8kbFKogfp/ozIEszS4JiIZW6f1Q7eR900i+DKAYejAZe4GrTW7SqEqFvaZ8kyQUCJB9B
kp6stD1I5J/aUiCLwsB3Fn0bNd3ZmlsiGXHqqgF+XKin1UYPM7dMg6NtTmcrIoRSNnxqBAzlsYwm
HHHau2nCJsNq6zrlqAmHBBW5Ji0oN7UC6ddml9oJnquYIN7Y6PfVcjdpzlWL6k0WObfBPO2aARGl
0B6FAFdIyY9F7UdVLP5iZKe8DNwga/yGjRyKOJpzvXGyeG8s9inMnzSeToLk2EbVJq2GbTsV95Ud
nA0pj+Att4ma4jNqaFH6aRixvFvLG5Jii5l4EFaD5qXBABs7s3DTZiSuM5wS6FWdKEARx36imx4e
HVh0y9PLvNScjkMZ3UgFNp00jAQ+UGvNVcbMs/r56ESWW+fZ1VCYcxKVu1CdYe2DimjPt9BsD4jI
roTqUIwAlK+D7rA2lWkdM926OI3qmUkAcgMqJxLmnOEdswp7nlkmHna1SjvBfaFVFiCtsgu5O63U
xtkcXXWuPUV/aQeAY63mx5Kgip4U1fQa+kUihd6auqus/MibeaKj3rJQZbMgTYk2Iy31nK5gCMRc
GqGVroOCpj6opAxEqntVOHixNrsql1EwWTWAx0pH929apfltEhxV3sQ0Q6Ym9PFKrOwmdsbtjBad
tAo5pNQd7P5OXUDb4zsnykiCvdYLvUaw+BqcxKSF3tw/9yaO7ahvk2X02zDjuTyLdMzcfDR2sgaK
aCbmcGzEoQPKMV07jviOeFoN3OZGpVdEi7+sXfaEnZebk58kDEGjbC9lfdZIjjWj7tb0yBYBBYDB
beJ8TNLBzlRuOn29kLCtVCW9iCHZoTkcrKq5nYelgxGqTpVibiebdJrMBTGVcZtF9l0njMQt+8Xr
esdt+uoqBh0X0Mh2Ux3tnGMcr86/8ZDN/dWxFwGAM3qIHvXmn/dT/xPVMNK+JpsmDNUh47wKRX+v
hn1f5PFHGeynH/G90UIAI9YsDcOge/pDo6VZxLBtKeBikeJ+bLQMWr81/iwdg3z12h99b7Twvlbl
SuM/BLih+U9kMCL7f261fs06m/DQJLyx1tnh8GOrpUMUF86adU6tkVxPtykpda29AVOvUC54jZV4
kw7nNrN8pcuOmD/9Ott7BXc763MOrZh3ogdZCz8TLCiBeB1KeQWT2rTpPl6sR8LHN21X45NUz8Ww
Rhc/KQyHJgkvqQgfl4Y7oyctNGLqhm25ENSzT1mAxaU+F2RcN84MYDr0JmiFQV16sDNgtgL4dLbn
rSIg49RqxeAyjIHeaD+0XDs7keMZ80wVFttKe7bCejs5b2mmPyy28eAElltowZ5Ek5u24kZSWFac
WjWV/YhiHzTdlnvtPajLWzJ3AwO98tDQIeXtvMlpCsOFOCekWQBxZkGelRBoaxixh0iT1ujOXJfz
iqoNS34kf3zOJfAMLFtVVrf5jJSdZ14I68Zz9jGRjjVU4dxj2ukq8Eb+ZQwtmqxiN8HMLUP2bMHQ
tct8mWDqzMI6zVylKVSRAoBYOzSAcxrsyqYkiuQ8yQU8L00ZtNvmVXfao1I3q6r3sQD01Q5PRPF0
MD/Mdj+fvxTVaGwq7H+yggCBgIGW0/pVAzIFWcoMzde9rBThBE6YiPoUZPVtHqRPWRcwRo7XKsp9
pc7dQFJcnHvTeI7DZ6qI20faey9f0qpG6LTctBhfc8L7qvbWEc6wHKJJVuSVs2XQoEavP5zMfzPE
P24TcFbe9A/I/fpu//Fk//huW7M02Bu26IfSJh6K9tUCL/XZMzigW1OnlfotHZ6sRkVpzZBFWh82
nUwj2tnXTr6TtdwZCeLlYlya/GioiZvou6CF4hTImVnnqkCJsf7NKOE/HoyG9kjwegcf5XIdHMZ5
cSdl6Jrc/kZRuIljbjIRuYZ5tol5kNcNE6LhwOZ2OXip3tIu39glubda3yVSnBp8xJjgalw3R57x
vgzuJ1GAhBCnka+VSo/JI87qZV824lANFlN/tQV8JNExE8mRbopeI/LZjRNUo2nYNW1/NTGhhjkl
8tK9OWbn1WZ4HHibrLTYpMHH2JHHs65mUW4bGW2jNj5n7VNVtf6kfHb5+/+tkrKSFP/HYfl/B/Nm
MmUPA8OvZoEV/Of5fMN0nsV/P5v/6Qd9LxkQEBJX1ZC2Dbr142wu0KQ1KaTxbzbiu3OiSYqXqumO
ZBGE/gfjZJ3zDTI28tehHTr8d9j934foN/KeZXx/cahYr/XnU/XzV/DjqRKlk5m4J/qhXQqUP/Az
ZZZPRplee06IERoggWT/6aadcNno4EF2s1rMXx0JbsbIqRRvpXKr2cumGR9a+0XjqDmaZxJsGqrx
XllpyLneKjVYjzM8tIrqh2XAeIZcOWEug1W0Ezf9+NUukl0QtDuRfWqtOCRa5I8K8+BoHCp80y4g
nadU79HA2BALN2v6b0Urb60YHQ8aN+GCy2gRm9o4x8Cf6MK70MpOYXZpU/JtmpeI4ilQ9BVSdSdG
3zQxvblONxnnJQ5fNNra1XmtWsI3zbgNHPvkcAen/LCOdliBfWhUslX9k0qzrNI0dzTPVvZqD42X
wuratNYRLbaSRftZparRepP24AoYacVZS7C25sH0nlrpds0o1ci9AS08ye5LGgzbMEXfCxuckIDa
CUtH6x8xArQNEvA6EtA2YhIVvrkOC3NcXAOmB5spIpzwTpgqVrR5YcowmDZGpg61WY49U0gkOgBu
4Q3CorrFvqVQUqpbJ0wvvWJseoKz1XQxIcJjrTyQ2dslZbktW9tLRgfWTSc+IvyU0ShQs1uTUalk
ZLKX6l7tx223jlKMVILRSs5PWhmcpjHZ1xm5YgYwxfxUeIHW6IDeFiet4hXQeggK6H4g2bjXH3UR
7wILtTdSbiPC592iXOvlDldqy7IUDDiqHcJFO+bXJi8upsWjYlpkrQKjQBrvojA6WZR9+HfPSOVb
JEEKbXNbZAujOYOoFMpRMphG64SapjDW8zq12oyvWTScK1NulYRYZbrOkn3qF0t3yFvzxgE81+bs
s2cgLhiMA9327XVQXifmOkD67Zr6G/Agijr5x76+zJIOSNX9oh1vQkBtNDiffu0ptG5LpXVD3eS1
VK+ztH+Z7OTr5CznueRn6V+GYGQtRnY7VMMpb2o4dqt6yYvgLUiqSxWetaxhkoXKW9uNeFSfCsKH
ll2dDH06p81yHpZ219fGu2Z13kBMcdSdL4j8DDkCQZjKoa9mlcbLF6sPsYIqVXZnFRoxX/iLIJ9B
6k/xzjCTg2CdSWCOz7bS7LOOMSahQ1MAIbrO+sb+BjcbpquKJVcz2bd1sTPFdDQHmq1O8HRF7AY2
jkFRXgbxZhiVNwrldhGiggFJ3mZt3dDCeUrUYBeikmhJdpMGxJ2JfdwBeW5MNvHQjSTnWKzrJaxx
F+a6q0zFyxKIIyj6RqqR12Ed5k1Kt5ddZMYYmnV3Kkr7CkHmS566crEPSdVhNJnafa713bUu1rtC
gbLIzL0NSd3CwuqA1c5KWM/rUgmQawP02gDBlqDYFUh2D5o9tdOtAaqtD4gDqnINQbjLOHgsocaU
8htGxEZ2Dx24dwD23SJMGNjCSbhwlha/WvnwDFBcU8azTOfbTh2AwErfiF8sHdUxHuk+GACH55UD
wmvMdloc7KMufEqgLm0gqFEv/Z4BWoakVUCpyVBzDrL5NcOBSaLpFIXBF00HcFna9jD2RA+a2Zey
2KYEdId43FcLJkVQeSn9To1uxIPfWvolJZePz7QdY+d2qe1dG+cHFJVtjwDYCxKVAeynfAnswjMm
3TPTZqf17bWbbhkHSsJs4TkJ5Kkvs5bnXpzCoDgopQUNTTSAGx6dF4Mt3nAKKQuguhVmd1Gs9y29
GtH8r3GwHIu08CztJdKzm1hW0NkZfU6bPIQ6ayBkeiS/bK3gcqNdRar4Q7P4kN6n3ngXnL1Flrug
T24ng+9Uiy6prCD3BLwO/FUmb8LkVcQ8XSc/YA65TfqRdPbWTiRwv070bRkvWh5A3WXUuMG+wRM5
pCTQ9R4RYmSb0DJ78+r3F/VJLFDErKIJs5kVOQ530bhvo9k1tfEzKFQo/txry9xz0q92e7Mo9i6V
0za32QYxoCem6U60jT9bld8p8U7tqptWb3aMs/9/xl/3igF7MC1DjqjGr8bGD5PET+m8n3YE/mnU
//NP+t636ZbGQkSCdiqYKiG8756KEIa+fgbat1+De9/7Nh3QBaoFqJWPqZn8v76P+nxcKfFUWFQr
pcH60n/QuOl/RbxAydqGCfajanSWfxz1lyIyw57w7YExcdnpAVdzVRm7pGdUiYppn5l0A3XzpVWU
XQ/X3oUsBdPj1bQwCJ1pIHypCLZlXlL+1yUd0Wg+dLNO2ntRwAbt2ctTriOlazZqLCgPSnuXCcXa
5Hb41iykboLkpJgvWXuygcxztsiMXEtd99xHwssZs1UjJBcFNmvgCTMdCrx0Lvmts9wnxKEbEk1O
8l5Yr4N2X7bcwN26UyxfWVtI0wU1L3HF2J3bFIJjkm7F4osiHD9s5rJ4srbSmv2kFk9SDUDonRLy
n3uJw6S04X5wGl/nkGUctoxDxwqrre3MW70KdrZgM9XXjgPacFB7W92wRuGz4wBrHGSNAx1xsJMi
/iKCYm9x4OeRbU1cAAYXgRUvm4yLoVGXQ1sFN/F6YwiujqKfL2A5O2e9U5TF2bbpx1yObsaVE7Ak
K0pedS4iBf6Onn/TGjjZZndiq80u77JbPax3QU7kyHivu/Zkdarfl+E257pTAE9iUpJcgs1YHrmS
Q74tBInZbh6IUdzY2kvJ7QmwcWxK62saKixoKrlgQ1bPNNVN6cSkariBI25iI4NN4WYOUYXDtjrk
Y3Ua1qu7lcapg8WE4SAhPN1Gc32lS2OnFA80LDyTXRxZuBuoCDnVoqJCqGp6UKkYMrZuQ6TbVGf3
BkVlzspjRpGB6mOd2eg1Pa8kRcigGJXd4k8UJwWbX6zVKtOsL2zWORld47VieKVR86aSCOICSwJK
4o+i8NVFc1MKoabGTwZLJcw0uozpCB8cP5OE2omivzDkse+j3GaqxVKcit4wJx8mdjSybt4nW1yr
SzXjmFcvQ9zx5VxpZ/yZFJhJGkwplBPLJFj8QICk/ZaVnxrJsbyI9tPwWSKGO9TksbRds9fvwvBr
Lth/xzkAE2Nbk8HEwRoGLT9PpNQ00mo1qbWiEScLvSbQ60PVvdpk25psODiROPW98STJvrHNinCb
gvdf7xNd90syciv10JKZq0FTezJ02oQJ0D1YPQMB8boWjXgmCJg14TYiftcTwyN6dVcSyyOq5ZUF
DhxxvaapLoH6REj+kKNWTzPgEMm+kGfdjDYLBNgD1fBykgBMq/gQMSGImiUyJAQV8ibtWgpJDiZj
6pvLqSFPqBGLWcgXxkyKlmQ6pEMlfVgpQPGkEdWB9T1r08uHM+G5xvWM6/NWI8VooqIZsyTz9d5w
QNrskZTJpiD52GfO50DYrhC5b6ofQsqNRk6yQcsgwc6IqXotOcqEPCWWmk9vTAZZbOcouRvJXTZN
57XkMOc4eiiN+wyhUMsXV+aPoine7bA9G4Q422q8GgQ7rVb/GhZsFRNEPm2in/GaAa3kXUwkdHVn
IiKizpoVndbQKOFRuaZI867c1s0AjqySQ4zXiCN+TPehWxwo9isujb1VV3HRQWUMUBvxGbYD6uOC
CmmiRuqMJwnqZBLXGMjEoFEtZ9TLBBVzdN5MNE2neJ5QOCV/ARvFU0X57FBA/7lI89/GUZDSgGMg
i79qKUTc/1PBP37mH5AU73+j1Pz8o36v+PJfDhgrAIUFgmytEv7vFf/XZar8kaH99tsAfhT313JO
FoWl5ZT9Xxdcf6/4iPqYl+xfhY/FGLD/UcU3/mKRqbThZcE5TCwFnQ/4o1STT1U0mYmjHlK4JCaY
l759J7biKs5bO03uCMNkFOmphWlqFKIX4DgdrJNoun2cf1oRFNxyCuCherioepzuopaJCQ/MSFhI
kz9B9R3J5OztVLoy7HwTyiqhio5QVw30VeZoz2uG1yDSmBTKHvP0wADlFiihi2j8dXlJJ9XXMAqo
h/BdA5xXBO81w33B5LpsqvKm1mTz2HiBEIR7iLpPMRclpzo6KcbwiPvibNhLQLQ5YVcS+PpFTRrX
XhJ3dKbTZJkp9MFwXxbD3ux633Ycr1sx8smsWPtJ1JIdkxX1HMflJarYW4AX2WoaH8M8t0DoqpG8
dJHGXrj2nDeBq3bNzWIXD0pq+moLsx6L8ZvTDz6pNdaFNXvWOHnsgbvliz7ndv9YG6ofAWJGETue
ZL2Fyb5mtoYDSRzYUd1G/SxDbP1M9+f+zao0d3Cyu3Bct32s5LzVok+HTElj4NfCvMlbvrsZZz97
D5M4YgDVHnnbDnmEJSqtX2LN+KYv4dnWmDyMZt+x1ZO/eBcq3OBPuRMckrzbO0uJe7hs9VS9GYN5
vwpNEYh/trL+wLH2JilMxI35sTGWVztFr2kU8OUuPCVxsk3hLGPNfHViUEVNqw7DtJyq1Dwyxz05
g/U2YKiCqTr3IAH7fiJONIRQhuPXtFwWMEMd3RnKlGUHy6afKvZUOTO9n83jiogoGKvRq5a0d2KM
z03Fh3Km/NSpePnpGu5Ut+WQHQbefJen89FX8Jmane9Gc37vCUDYLIGdLOcmIRQRITwmCvJ2Udgg
2xL7NtwmhXxYg4dJUGyX5DqQ3OFx76fePiW6/DCaWPpyqV/J/2HZ2/ZD5WQd0Ap5K6dmVpsQGoMe
79uqsKFneS+mfm8MEuUJVG7Ech8WVn4RS3kWHXR4qSick/g09Wzxq9fIh76GP5SqXOOK4UPWLTsK
8W0RG6eZfs4cyegSbx6nG6GWb0N7klp2MWpKwZDvQxjyTVORvxXGtVmIOxYgERnIUDpHqAIZO6v0
fTRbNxp4dkr2okpbNgfSvtXixK81cfMmuZVBumtqYq02r1bf7nK8cjtTbkCY/LHPv9n9sstnhb/O
1LIViTRRE6g7BZESpqqlmWCJHP338iVaAT5g3ucpTe/mCt0xYluzO3baAwQ8iyiz9LlVkmsdFvea
XbKakX4h0NJjF5PicnruDp0cGWa9Q2y7LF5zFhcLbcFKKu7twHkaZhsuZxhY3oE2WVcQuakwPlS2
1bHIUz9Vst6l03hqycBuFI7cZiwNFFb8jzGT0YH9lSMp+uxzbGt3Kccj/hm8U58VblDxYrb1nmUE
bBtOp28pQVm2jrLxuMun/uCkokRldMZbzcjllh669PpaO6AiHsp68K1hoD/NWB2hR6SMuEB3rWps
f03/OMCOZeOcxBQ9T8weyty6Eb8bYcMvR9iyeOPsYOeNXb8NbJpX9MAS2AIG1q6VX2RE6N/OOIks
kjiBRrC4YFHHHWohAjTqovfPq/z/QHefssfIDVRJ7p7k6n90908Za3nSv1/N8/PP+r0TMP5lkhUT
usPicMJLf5j9+fUk0vhtMc9KRv6QdgEK0ASRVSBY57eFPt87AZvN46aqGir8G6v4/9ledeentMv6
0bGT+EUpBgOS9qfZPw2rVI0SrFA2V31L7SLfZzGLtdqx/OhTCkWT24cpFB92JvT9NHcPE+PdJmgb
xMs4Yp6HKAlWtCQasHvr5lmLVSbseMc04ztx/m6tywkTpTsSIH2HOr3JAVfGaNiKGAd/Bmlh6Tsb
uIvTnGDTF0112/PPzEvErIyMrMOEObFia1Ccm5mSXvQfE7lUm7feHGuW3Ql3CidW1J7DoL6kK3NT
AN+wSO8mFIlLYv+i0ZjoBpfv1HI5OoA7GgBPAnqYVoAAgD0GgE9gmDt9JX7AtW0b2goQqNHldgAM
Wvrnboo8gyGj4SpU2Age2gRz4zuW6LIx2r4vZOIOmFHzUvgJ/BEbL27kbLwuah9tQudLXt/TVJzZ
hHNkgeRdBcPU2+sKcln7JlZMFgxePxCA/4Xu767P2IiKxaTYsNT6F6CgsExPehHt6nV9+aKfDbNy
lZUTQwq2sa0QPW5ZjfOtX+0sdgaXGGaGupPw3J2Cih3Kg2QBgKKG/kTfl4tfHPwxC59sGL+2+GEC
dUWY9pkcIOSi4ze4aynLRhrBOj1gqq6y2IPU3xu4cQrrN1T5rvYvRfqg4teF6q1lvCrshbcpqVr3
1WaFnMDhM8AiBIbNaLLYAQewQ4eRgYF4gOhiIb6w+vijRIyxEWUaxBlE+3PE/ygKF69EvFFZgFGx
HQJ7btOju1uvk/YGE3EskCxs1B9EIKI3XOGURMQhZ8gxByFw5bDpEI/a7nk0Orc3KvBOtFPEkPLV
SU71qjq1Vr3vlsavsmR27am8y53xEg75fROUv12iv/3+q7+0R//CHbVsukid6Bs09HoQf/gNBkFk
JDHb6eWh550rQp36x06CMnHYo6/aDwUz9Qj7GQO9DIFyDtr/zdyZbSeKRWH4ieglM9zUhaLEIVaq
kljDDasyFDIjk8DT94dJqmMsbY2rV9dlInoOGzjss/9h55fBypm5VXgVVeqkFyW3qu4uVMyg2dxp
tiFjrK10AFek+Z/L0LMTHWlB9QBBbBQWqaVXKM+Ke1IRlAw/G1H/6KW4ZVK6CAW8JTQR7xZouS5C
oG9+IKJjdhBIiYO6voSM0G9CFbblFNHwKK/ahbh8LijvjYi8I5hn6aG62RGZWOiAr7cjIqfsdbUs
V8aJU1qO4IyM+mPdKZybu6SnouCoZj2zHiwlCCQJmg9sGmwc8Ca+F7YWZtoXamKM5DCxUpLfOgDL
rXN/ZsK4GQCM4C+kT5La7CfBXKiQomjXZUGy6CJMInGRw8oyo5njodRYSyMVOU0alv/i7Qgtfveq
d+aGnGePGjMF1u1zJI3I89DoYGc1wHcZxFdYDV2c0NDhdxQeFE+izSO2CHIdZxF4REpsmatwKCFj
LcLo0zJRbTMXZgb6QTmnbpAEVo02z8+aq3WKtXVFQajBh8UcacV3YABEFtFU0J1+KyOr6cnTthdM
BVke4OhNIgtm0lxmxkKqehb8lWGGvV/eIiOM7xBq05zARBKXO3YapcOy+qG6tR2JrtN3WDPyGsFK
fZEzlTCKBzK8IKzVRaXi7GZJFPFlRDjlmvTqEtOgceAntuhKF6msX2ZK9BmoyXLX7IYcl3zTqbW5
UhcjR01/alI1E8p2sRbKa0XN5kAb16bZThu0lX1eYN9U0DoAtAh39wKmMg9KK6bTUq/nOGjPMSLA
ZrhMxNESgqfVK1bOyM8UW01YfP2l+Kn041sxQBCjwKzHCWq6dHpXdXRlKl9R1N1KJM5ggENdxXy6
hXJWqTcexvIAoIPUFKZc22FVNJZmhMMY57lqdSWLXDs6E6y95noJPr/2llaTxMO6l058CPZVW9mm
NBEVqmbUKf10gfadbZoIqWkR4n+68uHPRuJAyS8M4c4tqTnhVCk1wiCGiuZ+WSEDU3CirdmwhhIk
4BQVNJz8zLxq6nW/KnE8aqUrKcQWwghto80mVSra2OBDJcBournr7noTppBMKbRYPnRvVyRxagMb
iIUxloSBh11+02DgFEFEknTbqJRBTKnNqZq+H/i2HBWPGb0PCs0f9NSFAwkqE0qY2NM6xWgNY+7K
RP/qS3ipCGyBbuXyW48HrEKcYeaA/Q72XIV3XwXcQDoGWkxfx2a5I8waQJbOfeBw6+mAoGz0/Fa3
NCmmJvjQAWFxdVfUXwvtfh3GYwwAbTOKp5BtaQixHhdxPpHA9NaRNk3rKXbwtpckVlZoczIp9ufK
QMd5fN1t/10aesiFFVNKlVJEm3BlE2f11Vg34zJH06Bel+2XwPxumhAZMBtcsiQHrT4T3YDdkZAO
1Pqmxz4gdrlpyxrjKWGEhGweeLDi8X1va30S+b0bLYhnkdiAy6EbE9ZjI9VAUYFLQhB9NRqjy3xH
Zv5f1N9eOWcODzYy2vTrucF0p2umua/b0b6DXjCrDmfbPeYkg81DEN7mpzdzO/iTWx09IVKQgR/b
vwxW8KuI7Z7KrpHo+47ZP/8j2kEdEwYa7r3ua3pqo6//Pw5Q0t5isoe8V4+JCT+5FZSTG4T+iVHR
3rBft3jt74kKDHYDaw52kQDTptQF7XULXPUvie0s0sVf7Tb/vKhQzT9kYvWeqJzcGPjPi8quj8fZ
98qpXT6PDcoRa/AvQutg6YUPm9eW95j/7sW174CXl9bu569WHlgUKEpJ9reO7nqkPk3gaY3q/v6w
1a1R2rxHXn368l7ZjPb8/efT3J3A1mAv5/byzwvvMfuR3S+bzQfN82SfmgOeDnMd0zz70IiQ6R+7
Ptz7gbU3j+I/MTnQrvvQiCe71Zx7iieThc4dsP+mDfRTyPZ7h5873vGKp3NHOpUuf+5476j2nj3k
OxT7h8f83TLxK0/dXTxectTffW17feyOuA8ff2Qf/gYAAP//</cx:binary>
              </cx:geoCache>
            </cx:geography>
          </cx:layoutPr>
          <cx:valueColors>
            <cx:maxColor>
              <a:srgbClr val="1D4971"/>
            </cx:maxColor>
          </cx:valueColors>
        </cx:series>
      </cx:plotAreaRegion>
    </cx:plotArea>
    <cx:legend pos="r" align="min"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plotArea>
      <cx:plotAreaRegion>
        <cx:series layoutId="regionMap" uniqueId="{79E59FCF-7D41-4A0B-8D4D-0723EAFF0EC4}">
          <cx:dataId val="0"/>
          <cx:layoutPr>
            <cx:geography cultureLanguage="en-US" cultureRegion="ID" attribution="Powered by Bing">
              <cx:geoCache provider="{E9337A44-BEBE-4D9F-B70C-5C5E7DAFC167}">
                <cx:binary>1HpZc9w40u1f6ejny24sxMKJmXkAWatKsmTJtuwXhiRLIEiCAElw/fVflt2b7XbfmfjmRtyJcNiu
YpEEkMiT55zE35/mvz3Vzw/dD7Otm/5vT/M/fixC8H/7+ef+qXi2D/1P1jx1rncv4acnZ392Ly/m
6fnnj93DZBr9M0E4/vmpeOjC8/zjP/8OT9PP7uSeHoJxzc3w3C2vn/uhDv1fXPvTSz88fLSmyUwf
OvMUyD9+VEP9XD83+scfnptgwnK3+Od//Pjlr3784eevH/bNi3+oYWxh+Ag3R/InGD9FiBOMKBE4
lj/+ULtG/3Id4/inhDMkCKdYUpbEv7786sHC/b8O6YfXz/q5eVp+vfqnQ/s0sIePH7vnvofJffr3
zx7xxYzgBw+1+fG7i/H7m5/c0ITzamtY+H/8eGg+uua5Nw8//mB6l36+mLrzrA/Zp2X6+ctY/fPv
X30BC/fVN38I59er/H+79O0EHj4O/+lYMkkl4QgCxmksOP8qluwnLCXFcI0RiPTXsfw0oN/X8y82
2Xci+dUD/rU4fnXTf1kUs+fGP/QP3V9u/H87JzmPJaGMQlLGcULIN3EkBKGYJ4lAAlH868s/5+S/
NKQ/j+Dvt/5Lsfv95/9lUduZh2b5TwctlogxLHDCOWNE0G+DJgVLBGecsC8j9stw/hep980T/qX4
fXPXf1kYL2pA0Oo/jqKCJoxDFGMEpR0y8ZtAshjHlJEYQwaek/MzUn7Ovt/G9L+I5p8841+K55/c
9/95RL8/vC8mjH9lAd+tSf8+76GQrEhQJGIaI/ktxGLMMU6ohDoKGftlkD9Tku8P5s/R9U+IzK/z
+v46/L/hLt/nNb+xxewhPGw+8cw/UJu/vvorJ/rq1u/T1V9X9fDxHz9ihIlAifhDJM/P+SK5/rju
X97z/NAHeAZmP8EzGKU8wTGQWgDa6fnzlfinmGIB5ZLEn6rmjz80rgvFJw4MvyQUYRgClzGDIfRu
+OWSjBMaQ6FlTLKECvYbxb929aJd89uK/PL5h2aw1840oYfhwLbxn392Hq3kUpzJNMPxuUAwQBe4
/vTwGmTE+df/J/QoiqQc5oPE0V0f7Ib29YaFcM9mtnPNcO/oejMIFG00ej21eaPc0JbqD0v2Z6OA
RfhyFFJwWAQCnJ7iBCb25SjKKApTpyd6SBxSeG5V77oXwaatndm+ZMsB2UHl1qc1wWr00Y7qqlTe
Hjsc7Wcbtn89noQm3w5IxDFJgJaCBAEp8uWACopXZjijhwWNl6FPIjWsPGxKvG793G1YicNmpeOb
QJBRbq1fYre88rrdCTxmiI9HGoc0svMeJ/32Q5SHTd+vaTGyQy/Ge9TXW4q1IpZurKP7qNCpDWs6
s2Hj8Zqa1ad5MW2LaX0TF4sibkidYFlbsk2Eumu0VNfGLHdY0UonKprJTUW7S1mYTd4nm2UkuyRa
9lTqtGI4DWTczjZ/HQ3xPiHbOpGpq8PFEEWzykN1Kmq9SfLigiR3CbxZ8jX13das17jchznfJnTY
GONT15JNMhfHUbPMRMtVsfBemaV+xYNN654aNTZSxVGbysbtGttv7cJTj8JVM3dbko+v+Djv2gNb
w5E4cxxyuaF1mw562MbYZ6ON1czH93M0bsyQ3IQTWvq3C7monU9N884lTOWDP0XJG2PRqbT4vRmb
DLflvkJDqWppsppR1VGaLQ8NbTZDX6jWi6tAip0PNzPHWYeKNB67bSE71cUZj1aFSbW3I76RtX6l
ozE1tN0Lt2x8mRepiHtFhupxZmJWUUkuF/6hGOusXfmhFWGvMyFgWZBWcePTTuJXajWdEt2Y+cZu
cFo3Ik1Gt0ElfdX0Q6rLdid1gOAGNeIDzk9D2WarexjbZKOXNe2mm4VZNcfR3o1aBXfT53ka8Q8B
1mXqYX6lUxXyWceDmvMbeLCay5tG+ozGg6obnBUNSn0dwSrGOyQlBAUPykfkOi/yjS2jtPBIsXJV
vLzMqyh1eCxVKbtdiJesRG4jVT4Vm3H2aemTtNDRVTO8QYnc+ECVbh60PcR8VKPTacmICvyBsZOo
YlVUo0qiNx4GjpBOTTeoeKQqkloNA6yRvalgsxcWLuFIxQVORTSnZT5nE5eb3ApVdE3KV7GdMdvy
EamcrBlC7dZhli1LsiHyNHivGFO0hskkYj9O6Cle0d7qfaWPhDZP2sVZVNi0wtFundiY8pabVGPY
r8uxicmkUAtxNbSv0oFEADesVwnqSlVRdlMkeDvq5kIuLVVxJe+K0XoVoSvthrvIMKfq2rysKzw3
6SOp2s5v8zjZN/WQK45gKWPXoiyW0Z3tZKN6UR6Z1KVaRXD7We6SJXSbtvCPGFOpojBKtcZrVvWj
39Z8DZuqsM0m6RJlIvNoZ0oyjvLLasLVZh3DCF9vQtCFktKjzPPkTq+LSyt657uoUXhtqCJdVytd
Jikto0NwrIG0EBXAO72pOLtZi9eD8Ccx4NsuwAvzRBV1dUq8WZQ25Eh6XgA+oSptXLOL1m6GSXWp
nQH8qRuv5mC3iSlfvCwyT2mlxiTf+MI8znN9mov4putitdBkUBU2iWpmGBfX5EKPsDwAoudx9h1s
ZliSk1u6e2YtgGxxOU1D2pf9obezzNxUv3y6OOB3/TikVDfX7WQuktDJbBIw+W5pAD/gp0WeS1Un
U1ri8mrK58NIcWb1RNK+huD2oVgVAuCDJ0rv4lTaKlvNcP8JQbtBL0qWdrNo87Fpj8JXAJ3jOqZ4
rX06BvKBDO8rU22MNheLBCiQunDKBfO4jv7SRM0GNwCnbEka1cIyrBwWy80HTKddPFSvP91DkvLl
fEs/y1npccmatkmL3NzXlaWqn4tEOQsvHetLJzpY07pVtswBgFjh07aH7diSIStaT1IUoRZK4XEa
G5RFjty0Hu4sm/4+dtV1XTquFg+XOpw4FbkondZivxKYDTojWWAlYJuZ1LzCrPq1P+EA11pphBLt
rMpcmrSJa6pMAa9dinz7XGJzORkYul3NYytDqdAK5ce80UGYfTRspZXpvJinIa+gAFK4LEeAZ1gX
3Uiok5E56iKQVHr4qykm4BJ5oWwQR7/6j5Mce3Vd546kbpiT1JUwoapAmzn413YhvWpGGJTqdLlt
k/FGE+1TGiKc6jBlLGqSrQvzmjZhrNNx8pdxJ2u1rkOlELyGBcBB2pwnicjVauUVmc5xHHu/rXYC
tUO6LMP9Gs03rR6ifVlGz9E0KDlvCz5dGwH7i3D9CHlbp4uItmUPuW2j4gWfsSTJ+QmX6GQJT9ey
Trbd2vWZKsboGb7u08mRrTXmRQgWqXWKjqwnVTYMjqoEX0qdAHbWdIbi4Q9i4FkzkVmNvL2nnAJT
MKhTQaYdi2+gzvgtOec4jOn9LP2Rkjn1ZekB71yZtXO57xYuVbEimlZ1vytqWJu8k4rx5TUtIB69
hJKyLimwMcALBuDYaJhNnjyw0MfZee51lF+NvssQmTOAhwtRL6OyvNj4eSRQLMx+NYlUfsY3NQJU
cDWU4GGmx5qTy0/hKs+hXObhnl8L2VnVAVnZJTzPFjpfDGWtmry7l3X5Iid/L8lVMi6xqksAabzo
l0jHW2TcZoWIqLUVhzwyLwD3RhVtcczHeO/aC19WmbQhhjDLOz33KU+amwSN71A1v6K9fmFxPiuk
i0fU1Seg1cBfW/NI+r5UUxvf6DrZF5I9ldabTN+EncP1c2zh6sBylk4Cqzhxx5aXN54DjBSe3JRB
SIVFtIl6ukNgvyjk9dO8VC8sh5dV6zhCFMuNQG/byd+ZJYv6aQF6ALvNtNOYFhM8oIm7+/KhK8K1
Dv29jPiVrv29T+QO4PcQxf29M7CgEccVrFf7PrJaTVAO0pnAbqsreESF2UFzc5gAvICAOKWhNE2t
vS9H4OlktimNLkyx6gzM9yTFARYyLvGrceYf44Ztu7KEvTrBtwvPXVqOzu0nji+FDTqjdUWVSzoC
OEivW5pkQwwpU9enIeqTNO/4RzPKN9Mor9ahvRelfhkaetSoODDi76fJPyXntFsJQMQ0YKi8Z9zx
VXJdxVOlmmbXDDFK43OAPqHevIrDyGByXlcpa6b7Yug3UDYvWXybD+LZhOYkE9gdrhX3BJeK9/GY
ThPMte5dq1hEalgiUAmZQdGDGeGnXe8uGCJaaQ/FXYy0V1NZPxb9ciw2UdIUn2+ISsC4gmrIwTge
Utm7PQ7uYDTcpGf78uk/jemPLV43xTQVkDs7Ji4ol4MSEDs7FwdX0WNeAbUoo0tkImBfMIrFyyuB
J6Oi+Lapl8eK9Cijkb9PLLwyipo3kes3zRC2n8bbwOYs4z5skoAyXEDDpYDpxX435Ou7VdAbO3ZJ
yh3Quhz2stHkxoruXngBy3auqXW8lFkPsjJrxhyyM4HlwAuvsiifqqNvZNqLok87qFgqdOQEUuMq
0mO0J2u9xwW+SHJA1VJLnZG2v2XjkAnIUNEDYodKDQu+bch4Zc8Zv0DO5TFUrvPARh9fIE2z2cxr
Rm1/mlD9QOJdEsPzYsrtzgx2UVXRw9ThYSUet5iJ68TLR1vbKwFFNi2hdLlZuqyspman53A1Rq9R
PTsVKrfsKoctvGDs1LQ8zQKxNAgocZXBtx5wXpE6v20qmTXn8oFzeGCk8+06rHVa87lSoS4fVlOU
aaBNAkScAQXA7LLU5H0BNbqfaglLCt9ODpANqOxlHux1NEFWEdjzER5kVs3tW07zvTyzxd5Dnwcl
d0UBG2ucq8t4Kt4t5yK7nLFRHDzQmP1Y67uoXOD9Sw96zqwZa4PIJliAJvjtivSuIV2dYucuiZ9v
ecWrzWDrx0o+xVa3apohfcZZmBRH5sIn9yI+xrV8DaLv6KrwJq4KVWuShSUUKscQEbATr2xTH9ph
3NYgLFISd6e2eJgl3fGAtn3trseKXay4fc0Jf9LTBDknypT61qSxeROXgIHnetVaKLxIN5dkzBHo
TQwko1pTKtGHtp1UsOVB62bdghVdQdHaT5pfa+TfL/O8sZaOad+uMqvLTTyd62/bhCz3y4E2uUmT
geYK1KVVfIFt/dciPj5r9C+sjQTYM48JFzIRJP5aw0e8DVbmXXzIZ53FN+UC+iyfIqguiOzkDDyU
tfOYNuetfHY7qIAkshT6n+4C9MIHvgAyTRGAlk2XobY7LKBi9wgqNnH1qR2wyilRfHb3aGph886v
Cw6QzbryZUaAk2wAvRrnqXbl4xngR0B1oKj5M53FlbikuHoH1SCgQgMsmse/nj7GfzJ/RqAfw2Ui
BZYCTKQ/WjulRCifYrAcSNNRVUmbEjmB6C2L/ZhZnwDJ6/O7CPf3/QxEXAcwGni5WxeIfNK4U+5g
iSptATq61wbD70khDrza1WPdKLnAlo98YlI5vcdk2ms3v4b7PxNcHINhZNsPtnkUexybuwLZl0+E
bgQVqaYPiUvejnVyN3TAJ1uvZ4Vxc4yvkehC2vTA89rWwjiiIZOc3NRn6eMdPrQtKz/zwMAAAJce
ilwj75wIMvu0VRmTwFZRagr6HBCI17WGvOnOAo8yfVzyXFF6hzuobj2FUOYGIi8tkNLSblfXNqpZ
+B24BInydV+rMfhrWQBBYlAHVd/frtZBJYEYL0TefULhT0Wp5/Gu6jYBoV1f6FefwPiT4OxmKM/u
Qk6AgGdSfa4/NYgAoR3YBeSKYSgEve3uPbrAa9SlvoGLCZTz3tpTJYBDQebcdV0C6y3jXTdkvaH+
c7b84qr+4sF9dgafnF86A0T7q4//3D27c8eg/9Rj/u1Xn1vOv32Em3556NkL/eLDN97sd9zXz6cP
vnPx+9bsb473L84l9K4kohK8S5kQicC5/O2gwZ/YtOfW9tcNkO8+6HfvljBMoO8iEmh6YnAJf/Vu
2U8IOtvg28YM0iuGl//u3UIbBpxZqGmIMuDOMO4vzFtydm05I0wCMP075i1P4FFfQhxkNdiUEnxi
BC+M0ZcpzkktpqWPwTedxS6U5tis/IIQMHh4UXwIEvWqXZY7vkRHs454u3YNSEMC0jQ/K22h5nFM
2znBKQH/Ky+HxxyR7Fzd8NOcfyDxW4tRFuZoy+bHQvp0sGdD5R7KFxgMz4R3yp1RtY3VCKQFIfoo
AApEWW8wA2NtmTedT+5m3dyRYdhUbRQrNtXHcXW3jLr9ast94+KD7szbQV9Dl0uhDmd+9plN/G0/
Rk88tCltr9sRHYtlSMeyJuk48rsc19t8WjZgg6SuR1sZL1fxgF4EMRnLwUqoh6t6BsXUM2B/Ezmi
yR1wFV+a/Nmt6MzZ0wBGZrO8cLSqAhw3Nr5xXZn2fM5k+7HvHag7su1bfbPU5GUsEwBue7kA847y
p0QPmxlc4BhsrM54tTRvkY3TxS175PpKTbgTUIaTHe5B6YxRAHOruuqK5pRMQoNAQAyQ5u1kxSYu
7as4jrIuuUNmvJj59LiWfSqG4YhAZEeU9ClbRaUsi95o0HuY5bs2Z5XSgFt9CyR7AXot5cXS+mM/
oCs51fcRb95ByTuaxIGRL7d2dW9ngrPWgAwh/XUv0fWKwPbpqoM0NrPdkCa2ux58fDX75l0t8FVZ
ueOcu7PLO4NJOKdj7PZBAAKb/iOvXJbE8lWp+SFabKpzENqkBeBOVEvzyxW9HZdkO0FdKdiY1fIR
r7kCWN9VCClwcEFFzH7LwKHYRAafFmoe81VYkLXRhok1LTvgweXrUtJGJdy+pnK9mKvmecRNrfjA
UpMPGw7kBjy3tETssHb0mdm7dvRZWddnnwrMAHYKIwcHZMjmot/xor4xjm6brk0XqClVMaRhWbfa
oaym3WZszZEUazqUsRLosQQTWZg8HfLo2RUObAKgovVd04KnIh846NUWVobk7MSSdTvT9thCwWSs
BtXUpxiEciX6LFkm1fh1N4PMjRlsFa4QLjN/hvKouzHJBZ3qTUJCJkcGKk7vTNyqvJxS0xIQ4OUh
OpuiNmQmAV+xGtI46aHuVlsfmKrCnPaJOdK6u4qNzGITpd6yzKM1xUN3M1bFxpRBJSJs6mpJ+z7Z
gWu/Q6sAMdlmY9OqFutNaKrUOJN6saqIxZBZ/Z4MehPVDGpsuxuoeOMJvYjW6ZD07U0b3lvbH0bY
qmtELzpQRWRAaun6Y9G5U6NrFRuugh/VoHs1gBWnx6d2Yjcx2JI5rXdAjNQ0PpPZ7FGAZaPPS//i
Oc1WcPW0iy6EmY8rJq+GAFmCYKcN2QjSaU4yTfjVsFTbCYj8qMmuboCSAM0JtIWlrzYJhxzjRqs+
KrKCLCfreNZK8BDHFm0aj+COEXithubLcDUMKGXhdgxYifjFgTyNvX5TfILP4rpbyIZDGwZ36zVo
Z9WukI8CqJCXOx7pq1oPpxWcznyNcxUDFvb0JaF2l2ixK2lxVTjyJsHDgc/hFnybSzvyW9nz9z7x
N5hhSOXocZLJVRzirQ0gdixrtl3BXsGZuA+jsGfxyF+PdWlVzwc10fllKtnVqv3RD5AmMjqYkh+d
ZXtX6eeYuhRP4V1Ruk3EdRZJccHqKQWOmYG6OxaDv+I12Xf9A89r4MXQh5hyUPwgaMocZCer7hCL
TzWHmbRSdQPfL+K4Qodr4HYE0+4daEToXZRvp5ztY9mefG22RdNkdY72xQwdqKi/wON0Y6xTpbO7
aIovJvZ2xBo6d9O+mkC8MwiU6/b07Ex0y1PXaPDiAjD0fDdDANpu3XLibmdwZVv+sU7QnsUR8PEu
i9iSFm2zxeDFIuizUY5VNNTpLMSWIZOaodhGCYad6FUru8eJgi+xRqlY6Wbtg8IVz6SrjzEq96Zs
t0ONdnPlD6sMO2uHbI0nBR2KDTi0V7hfHvPptggGHIsq09ylfGEKSnKturE+8iqkE3Qls8GDeTTj
YzIOp7klj3GkoUUi7qChf9HVlqVrUt6uc60EBWQxRk3BqQSW3ENN5CSHdsnzCi2hXPALsGJTWsGC
1CAUOkrSXNeHuoARIX9IJpsmnTDZUInb2LZZz5oP3aJ3Vs4fJtNehrXdx0VzWfiQYQrNjUZklrks
ptpsmloUKunxxg3T02Ls+yJ/J2mchtmqkg1ZS+fjlBenHucKEPoqGZpbTOR7vvSvqsIccrQAPoeU
rNddWF6LAppiQOiBn1+YOcoCnzJaFakH68ZiSN5AL0vMFI/IK+KiU1TkGQehGKClsYLRHsSUkRwf
RO5TW/uggGw9W2z3dGi2BQbAA7/b0u7QudyqFYuNX3jmkuIoArtoQsjqNc4mRPZF0kNjsgN2Yval
AduZk6wrpkuUr6/6MF43c5wVi4GGQdjy+AU6J6oVN3zKDxZ9nNsl61vzGqyi7UA6DQoEvKCyX/S2
Q5By2AwpolBorW4O0LwbsxUAa+MbDLuvhSaYa/GiwJPUu7ZhUKz5Llj7IanppVufTTVcGEFgA52F
FQHT1Z9bN9EWx/qu7y6bWO6mZdbKGTJvZtbeDsSdpjDNaWTIS8zbK7NCe6iMb+YSb9bAVV/wfWT9
1jPAg/lOhiUdPch+nm+XvNQqmujV0tbH5VwfJvpqyZOsMDeG108i9kq2g2L+rYWTA2q04rRCy6/J
A6hU8DTWIVGrK8As8g6aIv2psOxizkflF/hi1NF2AOkrl+JQho8eg49kAEGqGprGC9S0ZTdbftIV
TmnXGiUb8kFGfZniBkp7WJdbonUKZCUT+YNvpsM05puxBKfeLfE12K83VexummWOdp8I/7+lcN6Z
yvjnj+bhv0TiiPMxD8y54JIJ+POXEueXs9jfETnfPup3kQMHTBChnCAOuA4v+VXknA+owPmHs4si
Yo5A/vwuchDHXIDyQegsYxAc7P1d5FA40psgzCBdEpLwf0vk0POjvhQ53w79jz5GU/l8qfoVHQZC
T9BUhSSaxmpbLzEQfzOnYI5ZIGnm6Oe1Ub4or8xUjqqsV6saBlZA4kWsKgbdcm7Eui1rODywai5B
0udvJOnQtjXjHcXu3ShGYKhwlkfx3INUqTDkh+ugTzLSY1GjdS/4gC4SZOpUQwdxW2gs0s6GDw3L
J5U4dxpqHx8a6zqFmwEBxRHJLdcJT8sFeuGjYezINA9bcBqgyFn0JCc3Z6yG4wgCOMHg3XSKpvIK
DrjQlFLjjVoMpKcf4H9uhDKHQiE3oTDsJOv1PVojrGZhLyNUvgE/ZhfyAlqQYyVULJze6Ti8yyvT
ZdoYnVWDKwDNuFU6KsaL1giqWDwhVSNoVsJBlrD1EFMgtyPIjbafUmHbKssx8uBLtOAQ+eYKrGs4
eZNMF0PXAuezTKfzAGbrMEdDujYe/InmQ9NMr3Dnp11P0H3TMRhbVxwij+FhhFx3o0Ynw6N830ER
PDK3yI+2zfNjX+oKTmVM/VZOE9rgx1CPH9cqgsZ/v8SnsXRy37YFkH+KWpBMwsNRhQDI2szcXUJ/
7y3oYfl6Ghl6XCQfd7iE4xIRdNHemtKay4EBfS560WSNL/HWo77LigksONIX9k09yWiD6qnP+qqy
WV7lL3zUz3i2Iu07hi5ZwtfLsksAzwqgGV0oI0UChVamgUNCQefLAQ660JS0QHnAxjp3M6ZLK6cL
LOubRhhocAIFYdLe2jUJ2RDgyEYeAaDOax/fzSie3wlBxQWvKnmk/bojJLmJoSGpeiKiVwLmniWD
BHFRQuPG9mAGd3CEpG5v3ULl0YZyE+XkhFcPzYDcDJnLwZ8rqj61yD30UIoavb7r+vnVRKEyyhY2
d8cfxiqBIydlUqR6yVdluvIBnNy3nmjo4J+PqrS8OE268XBuQb6SBXVwImre5KBRxZKAVPPPIgfu
NRb8Ki/mVyyvjYIWOXRo6/I92HTDfpnLIiOSOwVY9AFa9FvomHdZLrqLJen5DQ0gZOYCi8sYnztF
q3y3+vrB6FnfMIyjbCb+YVrso9HI7Lp5jU9UEJbptngf17ZTkW6r1C6yVcKvcOaH7PVSwQfCL6BL
cf0/3J3XjuRWtm2/iA1yc9O93AeS4SMjvX0hMktZ9N7z6++gdHTKtfpCB+fhdgMSBKFUUZE0e601
55hL/VDrW1EsgVeNKNepaNKt7MfE7xNVcZkfd7iCn0uz4JIhn+BXWM21icDjp2Pf0TDFxUMWV3dt
qSc+MqbmxkHzdZDLXefYX5oeRqUfLLF3mljsyxmsxRgXhpyERzKS9n4UcbkzY7v0ZtWId+aQHGw1
g/EZnK/5VEzXSTJYm3oYxTkdVtGij1+iUd40YUxVjvoPbLnj1NJ4lpKHQGbq5GXSFPxaIvxI6x/G
cr4a6mXTmzj4ZV9liKrKV6Ew1nD+w46lWrNRGosRxu6+Lq1qcmRBTzV2GQND9feFI58mVXu0pfaC
fNV5bTRxNcaMq9xZePZBxQNNzfDmsZrPaaFEb3+/Sj+UOX/9XKLXUNSfyuX/+Xcr5GjtyHQ6cjyE
tlwr6V9rlQ/vH+/Fe/EXdfzXT/pWx4WG52UKJMEVNf2+jjvaSqCaK+tlWqiI3+q4kL8jl8SqNN2w
5A9ipcn748CuolbaK776d8RKJNOf6/gaNpD8zVfgmFwB5+/reB0nzRCjxB0cXtqlSPx8PdkyuQ9a
bSed/FpRBr+wEti7dpdxsISR3Fez4Vs1Y39sncYuOWqT5SvS3kQhvWVQ6KeIASFkUBAMDHlY7m2h
fI5xipqXI5H07SGi8zbH9NbGIOxKlckxPeiMIhYjCQ66q+fGlciXY83IsliRN8nJj6dwkzPSJOhj
ugaHMap3QXATq72nMAABGx7mob+ecuUVcuU+GJRLx8Akl+RslssxZZCKEkQrBiuteamn8lUmyxe4
iU0T44mXfR5vclH5HaNZ1YeextQpjfLKCJr9xAhXMMoxfOw6RrtCAjFGQC9+wOSHmbHVFX0zldH1
ZFFIWueipUGHdaOc5gV2KkUCDWBtaF/sBPuCHp5pEx3MVeLcnZlC63UcrSpxGhfjYZyVfSeWD6SR
c8H82jHHhnLU/E62nhJwxddRtwYniph9IVt8zYnd3LmnHH+EtXqJmZRVJuYg4e5l1Nu5Pohe2yVM
1qOS7lsjPwombl3pXEjoTcQkPlbGMR77D9Op3DDgIJ3jLW0AWI21XfLck0z06tR7gglf68ttaM7e
xOTfDYCyKAFm9TmjC1joAw06gRZlbm4pOwf9YICWyeT0YofhdrGyfays0ynMWTvtR/QHmT+Hkzwp
Q4HIRilCpVhQK2JUixz1IkbFqFEzDFSNsrGQKsRDoPY+ROa1CeKjZ+r1YiGymvsWsGFCr9PQSgSa
iW5r/sIlT3rqHCyga6GutO27hdbSlc0lGuJjjQaTKaMXOtbJEpEfo9EItBrEcPSZ8BPdDvDIPKZo
OhkPq4rGM6H1TGg+3ar9rCLQYtt3iUE7GKEPJcECSLOqRg3NJBUwdWMNklSxxmZbiO6jyMqe+ydN
T3PEozKVji9l13tTkKu7xjJOhmKcct25AyPZlei4U4UoNprbrJ7OZTu6BiqrXlhnHb89NzRf1+q3
CN3UbVUq7BCmWwp/5imDOJlm4PZ6dF0N3cWwtGORRM9ZuFwnQ3xZusnXdfVcQSVXssFKgBRVZ+oY
VpeGDqAlkZvGj91QHJ2pcPsqd3PxLBL1Wh36ixHrXj9jJxfiQUNY601jl7aPi9Wi95QAruWzMOKj
FkqvAZmx0xKnrQdoe7YGuZtClcsmPE1AKRrWZrC7m66eDrKQV41S+yXX2s7AZ3InyoH+Gq8UqKHF
wLDetG4nQc9pGRXe20IJoNLKQx5bW4VmRtESgGIeuuU9MdVNV3e7wVS90viMc8PFV4pd1dB9MQ5+
yXMa2JM/UOfLeeJHhO8TctuKD1QdJvL2UE82LQC0K9OKRL8KBP1c1SB1v2qJ5pkCbcJAxVCMTcpx
4+YjAlDDkC+DjVCEq5nGdcpk5FgzKIfDox97MyZPCIzWtprXt8Z5xhAtFYYB2OdAbzyhaOdmnP2B
/3ZqJi80Gr+PAPHD6boJ0bBzDUcCr7TQ6s2CeI0p7Klmd1AMZ6/Z8y5CNY6m5ble5G7Q2r1u1Rsj
R6dRmg3QomdJdR9Y47EzHhycoxocxekrvx6G2262QedCd6pPCgfILH7LkZ37doBi5Q/EGm3a0Gfg
Og2T4dn66AXOWyd0r2sJ1EUvyVK6y6B6oyYSt5n7wk+0oPGnOQTUGUgNJB2cpsJs4OrRXVuMft5f
ovQtbTkJItfMl33dy1ctN59Cs4BnqIGI5iYSGPW2lw/26MZjdAwVGBA7v9NAxiMNHcjctUp9aJFo
kiB4MGoDqutOdjr6SOXzOmysAvl2vomr0sf29fuSsztT3WTUHutYDjvwBEAElJoJdRIF29PFvLHD
9NwwTpWxeQr5RWtAJF2K63qWr0M2g7oQN5gUUJa5hW5FS3WnnKcsL6ZLKKyDwY0wTdyO4TVulQ+9
uK+LC16CV8vtxA2MohKnriw3WYJUbYrl6e93b/9urRmUiJQSj5cOx6GB+let2em9eS/C9/Yz/4vu
7NcP+9adWWSBhHSIuCCYAGv8qbIY/9AdFaXEIdMuSHZ9352h/RDiVE2pO0JF+/xeZUFesYT6e2z6
b6aAKJ8/92a/fvHvezPDLpq8r03yLks9gcQ45aHL1ad0ssCkhlM65ZuxUrdp/8XRmajSR2VZPNFu
haUeKif1hdlduqz3kR31guwBjD8KqTcAvA0QFbHcWumr2aq342heaD9cQavU2uZBi+P3MESeiJbm
zhDP9YApLdNzOD4FfXvRivmqV9t7gOnfglzxRNd/OjQHfbrsGl17XRI5u3pr3KVivFcK466IzV2l
5pOX07V0SYIAqY1i08e3wbS41hx6zVR4OHzXtomN/VVE3d0UVm8t6L6zaK6Y820qj0PcrNDP6n3n
ezNAth9lt2ucZd9W3b7oREqp0p/A9J/iyNrjJtabbhHg7L1hkiuYYgIK+W1WdAcrDHeVMt+OanhQ
LBIchuo7erUZVXxSTTqPCWhKknwJ6Hei6gpgaZ9xJfEQXSy06wzcf+qmbayNmwphPDXbzVzV16bV
XtIpuusaZcMUCBxz0DIbHx9cnWuyJD2VydxkJfkac/JiOq04sLZzO/sOqEqoB56u9ket6m+ixdpj
3e+d/NTLYau3ypfQWkMaZK1suupaQQ7THprpLdc5a3R+aXiMbfW6tZqLjQDSWdWBSNQ5Mmi05hiK
LHdek0k7LP3wm0XEA8lZQkwbdDDKuNDWaptM03B9o7smlJMblEm8sRP7NggUn6yKn4banuSyp/ft
VtFXDrF+7NT6mKgZliEKjtAI2dkJqZrlU5mXXbpgwSP41QkmNa14VI2fGoUSfs6r5/Kd9CyFxkmw
xuh2kQSnChI0Ho+xljxGS3CdBtG9KIaL0CZ1a1nTTd8HqIYzT7GI2sqP7L6BmrI2pm5flwp6NSDu
JbaiUzdba0SrvGnVQRKFCWJAiInLzENWavLaDsdzJ6qjnQ6eNZnUnWnfjcYmFqd0UPxEXqlYBfHD
VH8GZGlmSVAspFL3D2on74JObsogioEHo4EHuHJ7i1ZVIvQt7aMkuUCA5CNI0pOVtgeJ/FNbCmRR
GGycRd9GTXe25pZIRpx6aoAfF+pp5eph5pVpcLTN6WxFhFDKhm+NgKE8lNGEI057N03YZFhtXacc
NeGQoCLXpAWlWyuQfm12qZ3guYoJ4o2Nflctt5PmXGtR7WaRcxPM064ZEFEK7UEIcIWU/FjUflTF
slmM7JSXgRdkzaZhNYcijuZcu04W743FPoX5o8bdSZAc26hy02rYtlNxV9nB2ZDyCN5yk6gpPqOG
FqWfhhHLu7X8ISm2mIkHYTVoXhoMsLEzCy9tRuI6wymBXtWJAhRxvEl008ejA4tuuXuZn5rTcSij
K6nAppOGkcAHaq15ypj5Vj8fncjy6jy7NhTmnETlLFRnWPugItrzNTTbAyKyJ6E6FCMA5eugOyy3
Mq1jplsXp1F9MwlAbkDlRMKcM7xjVmHPM8vEw65WaSc4L7TKAqRVdiFnp5XaOJujp861r+gv7QBw
rNV8LAmq6FFRTb+hXyRS6K+pu8rKjzyZJzrqLZtV3AVpSrQZaanndAVDIObSCK10HRQ09V4lZSBS
3a/CwY+12VM5jILJqgE8Vjq6f9MqbdMmwVHlSUwzZGpCH6/Eyq5iZ9zOaNFJq5BDSr3B7m/VBbQ9
vnWijCTYa73QawTLRoOTmLTQn/vn3sSxHfVtsoybNsy4L88iHTMvH42drIEimok5HBtx6IByTM+O
I64Rd6uB23RVekW0+MvaZU/Yebk5bZKEIWiU7aWszxrJsWbUvZoe2SKgADC4TZyPSTrYmcpVp68H
EraVqqQXMSQ7NIeDVTU387B0MELVqVLM7WSTTpO5IKYybrPIvu2EkXhlv/hd73hNX12LQccFNLLd
VEc75xjHq/Nv3Gdzf+3YiwDAGX1Ej9r9+/3Uf6IaRtrX1B3bUB0yzqtQ9Ndq2LeNHp+/R7//m9n7
+SO+NVoIYMSapWEYdE8/NFqaRQzblgIuFinu+0bLoPVb48/SMchXr/3RNzsL72tVrti8YAlwQ/Pv
yGBE9n9utX7POpvw0CS8sdbZyvF9q6VDFBfOmnVOrZFcT+eWlLrWdsHUK5QLHmMldtPh3GbWRumy
I+ZPv872fsHZzh6dQyvmnehB1sLPBAtKIF6HUl6DSbltuo8X64Hw8VXb1fgk1XMxrNHFTwrDoUnC
SyrCh6XhzOhJC42YumFbLgT17FMWYHGpzwUZV9eZAUyH3gStMKhL93YGzFYAn872vFUEZJxarRhc
hjHQG+2HlmtnJ3J8Y56pwmJbac9WWG8n5y3N9PvFNu6dwPIKLdiTaPLSVlxJCsuKU6umsh9R7IOm
23KuvQd1eUPmbmCgV+4bOqS8nd2cpjBciHNCmgUQZxbkWQmBtoYRe4g0aY3ezHE5r6jasORH8sfn
XALPwLJVZXWTz0jZeeaHsG7c5w0m0rGGKpx7TDtdBd7In8bQoskqdhPM3DJkzxYMXbvMlwmmziys
08xRmkIVKQCItUMDOKfBrmxKokjOo1zA89KUQbttXnWnPSp1s6p6HwtAX+1wRxRfB/PDbN/k81NR
jYZbYf+TFQQIBAy0nHZTNSBTkKXM0FzuZaUIJ3DCRNSnIKtv8iB9zLqAMXK8rqJ8o9S5F0iKi3Nn
Gs9x+EwV8fpIe+/lS1rVCJ2Wlxbja054X9XeOsIZlkM0yYr8crYMGtTo9bs3878Y4u+3CTgrb/oD
cr8+2z++2d8/29YsDRaILfqhtImHon21wEt99gwO6NXUaaV+S4dHq1FRWjNkkXYDm06mEe3sSyff
yVrujATxcjEuTX401MRL9F3QQnEK5Mys81SgxFj/apTwH/dGQ3skeLyDj3K5HhzGeXErZeiZnP5G
UXiJY7qZiDzDPNvEPMjrhgnRcGBzuxz8VG9pl6/sktxbre8SKU4NPmJMcDWumyP3eF8Gd5MoQEKI
08jXSqXH5BZn9bIvG3GoBoupv9oCPpLomInkSC9FrxH57MUJqtE07Jq2vzYxoYY5JfLSvTlm59dm
eBx4mqy0cNPgY+zI41nXZlFuGxltozY+Z+1jVbWbSfns8vf/rZKykhT/7bD8f4V5c+xiQajG7xPy
d4/kL5j3L+uDfqoZxk+f9K1m6JbGriSIbRXeAZr723AuhKHjXFho078T4N+sEx3HBHsEOoI9GprJ
7/pWM/i6UjKcs/pMSoOFWH/i7v/1Gv3B3rOX75+8Vvo/s07ALWx2APE1NVv8tB9jKSIz7ElxHDhv
lp0eYHZWlbFLep75qJj2mal5Rt08tYqy6wGkupDtEnq8Tr8G9LKGF5yKYFvmpcF5TZghGs37btaJ
DS0K/rM9+3lKY6N0javGAq1LaW8zoVhubodvzQK+GSQnxXzJ2pMNrZQTRx6hsbvuuY+En3Neq0YI
YAt/YSAucswIRNmUgdNZ7hJyNQ1orJO8F9broN2VrXSdbl1Oka/QBsjCQluYeGLszm2KFTBJryJB
WYTjh80LHk/WVlrzJqnFo1QDWCynBCFrdlpXXSltuB+chmR7A966plOWHbsQtrYzb/Uq2NmCFQdf
ujKnAc793lZd8nifXTSTEBv3WgIYlc23SRE/iaDYW0V9mkdi/8vsG6MNV7K4GRnHRl0ObRVcxWFm
kosPtkU/X/B3dk4iC1dZnG2bfszl6GVOfgjYthAlr3omrxSMXJ2UUGsgiZrdiXj0Lu+yG51dIUEO
u2q81117sjp105fhNm+0awUHIwa3l+mxGctjL+aQq0Vlm+3mHh7vytZeyhShM1iOTWl9SUOFpH9Z
UN7IMDfVVenAow8z/kAyeEaGycFIEjJehG11yMfqNJRZ67XSOHWY+pgBRE2mm2iur2e7YjkBNzQs
fJNQZxbuBjEf8iHcVlG7VdX0oNb2TsbWTcgMkOqEOBdzO2flMeN0xh5mL8boNz2PJHFDQxZEspfN
1C9I5d1B6Pj6mWY9EdE+GV3jt2J4lcwEUwnLvmBK4ElsRlFs1EXzUjg2TY0fDdKJZhpdxnQENImf
QWp3ougvQEgER8ttplqkqyvmjRzQWOxK6kXeJ1vkj0s1I71WL0PccXGuOzDiGZzYBCtWCuVEKpEE
ISRi+zUrPzUQ5LyI9tPwWTJVOQDKY2l7Zq/fhuGXXLBIhfcAv5HYv+EmADKdlp8ncGcN7LkGfy4a
cbIo/IFeH6ru1QaSbrLh4ETi1PfGowSiZi0ClLSCiFzvE13flMDWq3zeAl/XMA49MLY2MU1291bf
eBGcdsuwMUOUZ024jeC4e3huGN7bEr4b5tcvC6QcuO+mqS6B+kja6pAz9kwzDhSIeMi9bkabJBoL
BRoeTlDytIoPEQOwqEkjg5orgIstD7YNgp6M6cZcTg1gugZfuQCqxxCvljTcsXrJwdgrBboKrF0d
yIGDuUu+nIkxOK7vuD5vNXB4k3bMAI9v+veGF6TNHsAV3QKEvs+czwFquxD5xlQ/hJSuBnDfUBSJ
Qm0UAp0tQH4CmI82s8kB9c1IbOcouR0B+Jum81uA/jmO7kvjLqPj1PLFk/mDaIp3O2zPBmmAthqv
id95Vqt/CQvWUwiyAzYZgngNE1TyNiZbsI75EVkDZw0dTGv6gBSCXOMIeVdu62aAa1EB2uOVlWew
7z50ixeKRT1LY2/VtUt1aFcD2lYG1u1AG7vQzpq0tTrtbUKbm8Q1SiR5GtrfmTY4oR0enTeT5tgp
nidaZckPYNM6q7TQHa3036/2/46CvFhFebhtyMd/OR3+k/1yP5T8Vdb+8bO+lXwT1kjoDoungF9+
KPnsuZTGH8GuVVn/jpZgqNRYdGljorBobw2EfSv5NpurTFVlqEWuZ/j8OyVfc/ioH1vp3xV5lqMK
XAO6k59KfhpWqRoltNIkH7+mdpHvs5hgZjuWH32qCSZC+zCF4sPOhL6f5u5+4lR3g7ZBD48jyjiK
RLBKE9HAuFA3z1qsUljjHYfYxonzd2sNtydKdwRAfMe1uMoRPsZo2IqYCXBGEmFpGBucitOcMOYV
TXXT82fmZbxDhL3EDoVlIqI5KM7VTMNd9B8TXKONCGOONWFp4U3hxIqTcxjUl3TVbArEG4LYV6FI
PIjvi4a4oxv4XFML8e8g/GgIQAnSdVoxSCIMGQhEgWHu9FUxwu6zbdQ6hKRGl9sBYWnpn7sp8g3O
lgbZSWGjVGgDdsa3LGFh45B9V8jEG8pgMy/FJkG/IjFxJWfjdVH7yA2dp7y+E6V6Jkl1ZAHBbYUG
1tvrCitZb0zSFVkw+P0AQP0bssJtn7FRQxDat/Hi9CdEpbBMT3oR7ep1/dWinw2z8pRVZyRqYses
UGjlDdGqr30svIydM2U1gpnvJH5gp4x4rPIgAcgVNdxMjnrIxW9O0O6sItkN45c2YPcLTZUw7TMc
Gcq3s2kUdZMSVmkEcWzEuK6yyNH1dwYxdYX4hirf1f6lSO9Ve3FD9cYyXhX2itkSGqz7YhNBFgDk
BmO1QH8dTYIBoeF2tF8yMOgZ6LUsei5W53yU9GA2vVhDT0bW7xzxH0Xh4pf0bCoBiop0QUEv12t3
ufU6aW/M1MeCTsWm6aP3A90gSENihJ7QGXLgfhwcObgdPWPbPY9G5/VGhT1gY+WfrPLVSU712my2
Vr3vlmZTZcns2VN5mzvjJRzyuyYo/e8GhH/SXK/LM3950SzbdhwddAo3bX0Rv9uAF0RGErPdTB56
nrki1O9tAdNeJg572FT7vqCUjngHMaLJECjnoG2v0jo4h0N2kw/GUc3LR8MKnwyWCXGmmztbZzGT
jNjOk5vJXZ/Fu5LAXDP8hsC4zbrKtwbIpe5LsDYN5tdZs67jim0LdCyZQjbB1Mj+YOuEgCSvSarB
wQYANpo3TVcMs+6cGaj1J6DTbTssT1pk/SE6/rFa+p9cEf0X4Jqjh6FmFcI46Eiz/nhF9IoSZzat
PJRB7wdKsLWn62klZOePUjUgAIaz6kxeJBAgSpgBMP8dCepjEmeLzzKmvVHaWz0r/UqYV1M6wO60
ydlBsfE0ZSSfZh3LiVVH6UUZQBnM+76jww0BWxSa5WzwnfwcxDj9o9ga4BhV1v8/dgNgq/5619dw
PD+nymjJXPXjz9izd73N7NE4VEbK3h62MSj1JiRJC8e9SkAQM9qOV+wpbS2SKehQsvCdOtsIMMgu
y2+j0tix/etsw5/pLe1CmfoTbFfSzDdjxWqkgT5wJsfjbM3ubQZTzov8pFiBu+hgGap+WtT0pOi6
x0YotwVFGuarxn4Sg+qjf2wa4uHtAoZWfAD6stzOAalqg12VV5t+eDfCaZdrYeAGnBntBPAw7Vu+
SpYXno6uxGouTQ78dOcyz/nNQBz96KfzFaGzQ5qUOy0U+0q3rhqZ34UzDN2IZB+EpuUGk3mRU7cN
jOqrKYaz0i9Po9LfS6O5sBPr3nGW0wyb51J7X42peJEW/ZMsO5wuXpRFq069NV3YwHQBZGdNTV9q
2wiDwFe7OtgmjdwZJYdvEmm3fVI8ailAhcSZJUl4igL1ZspvHPkCkfUohnwv1WhjGSwvWpAsB+Mh
ZjFZD29ROcqJe7sZutk37WxTkFwe6htd496x2W6M5/tItfhn5M9lsZnU6phg0A7LsHPEUZM0y4wn
SfUEO72pUXjK+Sljf0ad4L/kmifbva18hD2tJpsOxKx4BVJm+FyDEUk2mUxLwjpKTKQKihZPt3Fu
5ml0h57E3CJuREaswM529tIch0rbsUbN7fAHl/ljfeodlCadCaiLflurK0iVMaMmcTAWQvFi1q3N
MwHAHCFLWDt7kF5Bhx0Ms5ukyU7Pu8+G3XmdmXiq8RQgojVKj5N3miqCuix2Ghz4yUSQxVHwfR/1
/lXlBRsw953W8ZuAeGcXfxlSHiCLACZf32JNz2q42APE15c04NGzcNgqHK/F8k1RMAr8pjIuF8NH
N7105pcxKw4EyHdOXpwwa1goOB66oj2KDB8pN0/VdGKd2C4uS7/pzAud1LmV0rPYXDUCZaYhCyH1
zi+YoEQF9IfXUgb1iz3Oh77FEzfu++U5dd4cB22VsHrEkZwu1lkL04zYXOUZ04Pa1vsi5KHtJ4KL
yhYE6ZLGuKrsDVsm65gn6oOZFudcm7fkQn1HGQ92ZZ6iEJUkIyNh5Ae4vj+Kyn961ggOhV0KpIEk
Kwq+K6O/6GzHz/wDEub9LygYAjs/fdSfXbf8hwOGDABjgZBb66n7p9C2Zo2gXXRD++N/6/B9172q
aGSJ2D6P2oZ/833XjSmD+cz+XPhmOjD773TddOk/lwWbZgPeGRzHxBLSfyoL+VRFk5nQh6VwZYmS
vPTtew9tpjhv7TR5IwyaUaSnFiatUYjOgFN1sGqi6fZx/mlFUIzLKYBn6+Ha6nG6jVqMV9pcg4OQ
fAlU5tGGhrNT6cmw25hQcgni1Qg110DPcco/rxlsg0hqUih7zO+DredegZK9iGazLp/ppPoaRgEy
FHzeAKcXwevRLBO9YXkBHN/UmmyOGy8QnrSMUfcp5qJkmI5OijE84J45LnsleAETdl0RP7ioSePZ
HGejM50my0yhR4a7shj2Zkfj6DicUsQAJrNibStRWXaEVshoOGYvUcXeCbzkVtP4Gibvd3+vGslL
F2ns9WvPeRN4atdcLXZxr6TmRm3JHMRi/Or0w4bUIevemj1ruHz2+N1woc+53T/UhrqJAGmjiB1d
st7C1F9ntoaDTJzbUb1G/SxDsIxM38z9m1VpnHbZbTiu21rW5IPV8u6H7Rol5mA3r/KWazdDZmTv
YRLTQTnaA0/bIY+wtKX1W6wZX/UlPNuMVabR7Du2svKDd6GCcPKYO8Ehybu9s5S4v8tWT9WrMZj3
MR5+REQjG1aJT+lsNynMTZzOD42xvNop6EKjgJ934SmJk20KJxtr5qsTg5pqWnUYpuVUpeYxDIpH
Z7DeBgxxMGPnDqRj30/EwYYQSnT8kpbLAiaq+/BZpI9V/q2fOJZVZ0ZytbldERETYzXq1RJVVYzx
uan4Us6UnzoVFiNdw7nqthyyw8CT73F3PvoKvlaz891ozu89ARabJb6T5VwlhFoihoVEwZ4oChvk
XmK/h9ukkPdrcDQJiu2SXA+0NNzu/dTbp0SXH0YTy41c6lfymyAXtn1fOVlH8SEv59S5305K6NH0
mr5VgRHM8k5M/d4YJK0vI+AIMjEsrGwjVvQsOuj+UlF4T+LT1LOFsV4jO/oa3lGqco2bhvdZt+zQ
v26K2DjNyKjmSMaaYWOcroRavg3tSWrZxahRYGgjQjIAblORnxbGdbMQVy1AWjKQr3SO8JQydo7p
+2i2rjTw+pTsTJW2bH5ENa3Fif8/jZc3yY0M0l1TE0u2ebT6dpczdNqZcgWCthn7/KvdL7t8po0d
p5atVqTBmkDdKQXOHAIqGh5LAJG9l6doBTCBsZ+nNL2dK1CSiG3b3thpzB8Eu4wsfW6V5LoOizvN
LlmtiUwXaOmxi0nhOT1nh04OENjCIXZfFq85i6eFtmAFFnd24DwOsw1XNQwsX4FwqSuI6lQYHyrb
Bl0z1E+VrHfpNJ5aMsyuwivnjqVBg4h/NWYyOrB/dGR4yz7HtvaWcjzif8Kr0Th7QcWDSd1lmQTb
otPpa0rQma2xbKzu8qk/OKkod1HkjDeakcst0nXp97V2mLT0UNbDxhoGZOGM1R96REqMA3TXqsYW
dh24H1i1bJyTmKLnCclfmVsvcgzL1W1WiVjh2cGOHbt+G9hoxmz4LIFlYJjtWvlNRixtsDPeRBaB
nEBbWDyxqONulnHqZv3S/g+q/H8gnUHZY/E5tKlmIaH/ayDWBYfN4r9oA379oD/bAOMfa5NBjNGQ
Nm4WA+afbYDxD4HRpkkh0dIM+QOjoUloEVXTHWmSZiI+9E17W8FaA/lN/k7Jso7pb9ht8vck0g82
9q/f/HtJQJROZhJX0g/tUlDnUb+VWT4aZXrdo4AYyCWjzrJt5BMnXGjjEc6bNdP5xeHctGA8leKt
VG40BJhmvG/tFw1v29F8E4lmQP9R1vUjc71VanL0znDfIumEaFRKjII3keYkx9xOKP3jFxshKEAQ
Etmn1opDokWbkXM0WidXgoodAlGpVO8RQ3a3KkwoTSgyNxbKU8P6mwSiIIPJamrjHLNthSDGLrSy
U5hd2pSFkpqfoGYFir5uhfEmWNM0Mf255n3BoI7DFw2ObI06Vi3b7ppxGzj2yQF6SPmwDv5MQZ1q
VMbn/lGFTlOh1DpoNSt7tYeG42TigLBPEUybkkX7mYGMs5DfEeG5j7Bv7AFfWbhgek+tdLsuBazJ
VwQwc8bsXNJg2Ib/l7pza0sbi8LwL8rz5Jxw0wsxHASBTqttvcnjWJsjScg5+fV9N1ZHpDogF9O5
VAI7WZC9s9f3rm9FAPVeTumRi4CFeQWsnQ9zV5AhiQWDB6dF+ixxTEHndUGydMH1bLA9r6VYCYxP
eAn1YH0GeF8D5ifn/UXFpOirJY5J7BpVC5wkcCyJfUa2GnjRopIQSnGqzdqFiQVToKRTTDLHYZqO
kJfQSNhDwR4qvepEsIiuHK/QgS9SGEW7z/6SK6ZCwS7CMKqwjHp3paTurG3CySbGyBfiUTLvJX5A
aigNtSKZKRk/AaWiZBk7LVxpgkr7rKnB2LUor/Cllcgnlb203PQfKQMb0Z2AZRO8BFK4aNbLfJ0s
TIuvCjwTH3O0sCgY+54/sxAiMJw6NyL9xtfx8LDNURL3sLCQn7oqXSC/DX2BhEYRpkadwERteNHY
r+eZqY+kEB/TSMCbVeQkfUmywbwc4PSkdPE9U+pVAonqarZjCzJVIKobl1qLMt/8wK1DTNDDotos
mILPMllzkqK59IRkZMsOgNSVZ61SqRh6msnPUl52uv29tcO7dtDPu5TP0q5rt3HqNl7VWT1DC8I4
ykKFStwbN8wWmTdX4hx01KAaCb4naOSrBLdPy85mhtbOo7yf130xJl9wq1jleY0vaKMNrqmqgSpU
kdpANTRRHabw4wvkT4EEBp6Wcxn7j3XPhcCrowqSNjfMcKrSP8A1my+2lE/iEm4wBImSEOMRFn9g
mD6M63YpUwO3AaUtNsnYVNsLs2bhLlW+XTUYujYlOkm6qNUbw8jOG1Va9aqaUXQd3nSKaInA/RTK
7tgDS1bC+BIJHZjTzD/iqnJm0voC/CecB6rwc7easbdmb0IKpnfVC7yfzkiWnJfU6q3zCLwqXugx
24+4/ChT2iJcR9b9OhrqvT0Ns5LKLpPErVKVy00i5gqJsubYnLDfGBeYz2g4GQ2EpVEnXNzxODLw
OjLwPCLfw+RTUO9vkrlvVwbeSFpNrkCWlh6eSWngfk6xaZDSH1T+nCFllvgruX61KCCBDeowQ6/n
XuqdTBgyxTgzkRec61G3KmWyD1HqGMFXC3m3ChoezQAT6i+i8J7ivnisBO6Eh+qrEHnYxnWg0VKn
gljVyWIN8S7CtJj7IO6+xZQ8hX7LVt+9ZqfXUgJYTBukaC/vHJ3cT4REXQfNJEOyXiNdR0jYG0Bt
vviRpS0ijLAp7Bo1wWDVo3oXwXoKwjyqIO4R5aeai9mK/tW1k3Oj1c7NCB6hKpZlu9KEpJ7F3jx0
9VklxHYOmvGgP5VSC/shvLiY4SmsGFao9NyFLAt442RUlybI+LSkYSfT6XcBCn+C0m+x0dJi9ioZ
dkgkV8oi/ORpwZUHIrDBLFI4BeXKUo0kp857xzQ2s8q4Vbn3ej0du1W4ag1iqviLSM9AGlQK5Enn
gid44Tc14NsFWqAai0T/32Fpj2zBNIAujvO+WSjADr6gHuzavqQIaRqBQ2gV1C94hAYm0bGVNMEm
1B7bHno/eOAUIk+E++ikALMwwS3chGQ3+EUBhjGI7uzispdI+uvtaA2qQVZxHIFuqCAcZEqdUkJj
Au0oQDzgR/8/UO0z50znzUZG2349nzHdEV01X+t29NpBj88+Im2zf8xRBpsveKkdTHf70dtze/Mj
d1p7Mq+joB7akY7hnkVs/1L2jUTfd8zr539AO6hDwkC/tucNTsk7KSSs5EMbff33ceBhe0dX/xfv
1UNiwkfuBOXoTqF/YlTMF/TryTcMBLuNNQcUADzhQBVBe94Ll+0SOAKli099N/+8qOzbN50claM7
BP95UWGL+YJMOTkq1rFdIg+NygGT8BPPOvSD+Pt23Qrui9+tXK8d8Lhq7b/+bOph+09JKbrBztGi
t/PDCTxMUuLvDzvtGtXtQvLs1ceFZTvar/f/usz9E9gZ7PHaHv85Ce7z2/zO77YvdL9O9qH15vE6
yXbBF+fzRhvtt0aEpr8XHblfScns34v/xOSdIx5tV3PqJR4NeZ864NmLhtAPIXsqRHrpQn5yRA8v
eTr9yo5L35063jtwvZOHfEfJ/ttj/m6aeHpQ3Z88Hh9Sf/e23flRHHEX39/mH34CAAD//w==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0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40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10.png"/><Relationship Id="rId18" Type="http://schemas.microsoft.com/office/2014/relationships/chartEx" Target="../charts/chartEx1.xml"/><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9.svg"/><Relationship Id="rId17" Type="http://schemas.openxmlformats.org/officeDocument/2006/relationships/chart" Target="../charts/chart3.xml"/><Relationship Id="rId2" Type="http://schemas.openxmlformats.org/officeDocument/2006/relationships/chart" Target="../charts/chart2.xml"/><Relationship Id="rId16"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1.png"/><Relationship Id="rId10" Type="http://schemas.openxmlformats.org/officeDocument/2006/relationships/image" Target="../media/image7.svg"/><Relationship Id="rId19" Type="http://schemas.openxmlformats.org/officeDocument/2006/relationships/chart" Target="../charts/chart4.xml"/><Relationship Id="rId4" Type="http://schemas.openxmlformats.org/officeDocument/2006/relationships/image" Target="../media/image2.svg"/><Relationship Id="rId9" Type="http://schemas.openxmlformats.org/officeDocument/2006/relationships/image" Target="../media/image6.png"/><Relationship Id="rId14" Type="http://schemas.microsoft.com/office/2007/relationships/hdphoto" Target="../media/hdphoto2.wdp"/></Relationships>
</file>

<file path=xl/drawings/_rels/drawing10.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45.xml"/><Relationship Id="rId3" Type="http://schemas.openxmlformats.org/officeDocument/2006/relationships/chart" Target="../charts/chart40.xml"/><Relationship Id="rId7" Type="http://schemas.openxmlformats.org/officeDocument/2006/relationships/chart" Target="../charts/chart44.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5" Type="http://schemas.openxmlformats.org/officeDocument/2006/relationships/chart" Target="../charts/chart42.xml"/><Relationship Id="rId4" Type="http://schemas.openxmlformats.org/officeDocument/2006/relationships/chart" Target="../charts/chart41.xml"/><Relationship Id="rId9" Type="http://schemas.openxmlformats.org/officeDocument/2006/relationships/chart" Target="../charts/chart46.xml"/></Relationships>
</file>

<file path=xl/drawings/_rels/drawing12.xml.rels><?xml version="1.0" encoding="UTF-8" standalone="yes"?>
<Relationships xmlns="http://schemas.openxmlformats.org/package/2006/relationships"><Relationship Id="rId1" Type="http://schemas.microsoft.com/office/2014/relationships/chartEx" Target="../charts/chartEx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14.xml"/><Relationship Id="rId18" Type="http://schemas.openxmlformats.org/officeDocument/2006/relationships/chart" Target="../charts/chart18.xml"/><Relationship Id="rId3" Type="http://schemas.openxmlformats.org/officeDocument/2006/relationships/image" Target="../media/image13.png"/><Relationship Id="rId7" Type="http://schemas.microsoft.com/office/2007/relationships/hdphoto" Target="../media/hdphoto1.wdp"/><Relationship Id="rId12" Type="http://schemas.openxmlformats.org/officeDocument/2006/relationships/chart" Target="../charts/chart13.xml"/><Relationship Id="rId17" Type="http://schemas.openxmlformats.org/officeDocument/2006/relationships/chart" Target="../charts/chart17.xml"/><Relationship Id="rId2" Type="http://schemas.openxmlformats.org/officeDocument/2006/relationships/image" Target="../media/image2.svg"/><Relationship Id="rId16"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6.svg"/><Relationship Id="rId5" Type="http://schemas.openxmlformats.org/officeDocument/2006/relationships/chart" Target="../charts/chart12.xml"/><Relationship Id="rId15" Type="http://schemas.openxmlformats.org/officeDocument/2006/relationships/chart" Target="../charts/chart15.xml"/><Relationship Id="rId10" Type="http://schemas.openxmlformats.org/officeDocument/2006/relationships/image" Target="../media/image15.png"/><Relationship Id="rId4" Type="http://schemas.openxmlformats.org/officeDocument/2006/relationships/image" Target="../media/image14.svg"/><Relationship Id="rId9" Type="http://schemas.openxmlformats.org/officeDocument/2006/relationships/image" Target="../media/image7.svg"/><Relationship Id="rId14" Type="http://schemas.microsoft.com/office/2014/relationships/chartEx" Target="../charts/chartEx2.xml"/></Relationships>
</file>

<file path=xl/drawings/_rels/drawing5.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chart" Target="../charts/chart20.xml"/><Relationship Id="rId7" Type="http://schemas.microsoft.com/office/2007/relationships/hdphoto" Target="../media/hdphoto3.wdp"/><Relationship Id="rId2" Type="http://schemas.openxmlformats.org/officeDocument/2006/relationships/chart" Target="../charts/chart19.xml"/><Relationship Id="rId1" Type="http://schemas.microsoft.com/office/2014/relationships/chartEx" Target="../charts/chartEx3.xml"/><Relationship Id="rId6" Type="http://schemas.openxmlformats.org/officeDocument/2006/relationships/image" Target="../media/image17.png"/><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19.svg"/></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8.xml"/><Relationship Id="rId7" Type="http://schemas.openxmlformats.org/officeDocument/2006/relationships/chart" Target="../charts/chart31.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0.xml"/><Relationship Id="rId5" Type="http://schemas.openxmlformats.org/officeDocument/2006/relationships/chart" Target="../charts/chart29.xml"/><Relationship Id="rId4" Type="http://schemas.microsoft.com/office/2014/relationships/chartEx" Target="../charts/chartEx4.xml"/></Relationships>
</file>

<file path=xl/drawings/_rels/drawing8.xml.rels><?xml version="1.0" encoding="UTF-8" standalone="yes"?>
<Relationships xmlns="http://schemas.openxmlformats.org/package/2006/relationships"><Relationship Id="rId3" Type="http://schemas.microsoft.com/office/2014/relationships/chartEx" Target="../charts/chartEx5.xml"/><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183092</xdr:rowOff>
    </xdr:from>
    <xdr:to>
      <xdr:col>17</xdr:col>
      <xdr:colOff>47624</xdr:colOff>
      <xdr:row>10</xdr:row>
      <xdr:rowOff>171450</xdr:rowOff>
    </xdr:to>
    <xdr:sp macro="" textlink="">
      <xdr:nvSpPr>
        <xdr:cNvPr id="14" name="Rectangle: Rounded Corners 13">
          <a:extLst>
            <a:ext uri="{FF2B5EF4-FFF2-40B4-BE49-F238E27FC236}">
              <a16:creationId xmlns:a16="http://schemas.microsoft.com/office/drawing/2014/main" id="{93B6C55D-7BE4-4356-B96A-C57DA68A2B0A}"/>
            </a:ext>
          </a:extLst>
        </xdr:cNvPr>
        <xdr:cNvSpPr/>
      </xdr:nvSpPr>
      <xdr:spPr>
        <a:xfrm>
          <a:off x="0" y="945092"/>
          <a:ext cx="10410824" cy="1131358"/>
        </a:xfrm>
        <a:prstGeom prst="roundRect">
          <a:avLst>
            <a:gd name="adj" fmla="val 21469"/>
          </a:avLst>
        </a:prstGeom>
        <a:gradFill>
          <a:gsLst>
            <a:gs pos="47000">
              <a:srgbClr val="5496D4"/>
            </a:gs>
            <a:gs pos="0">
              <a:srgbClr val="6CA5DA"/>
            </a:gs>
            <a:gs pos="100000">
              <a:srgbClr val="3B87CD"/>
            </a:gs>
          </a:gsLst>
          <a:lin ang="10800000" scaled="1"/>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609332</xdr:colOff>
      <xdr:row>47</xdr:row>
      <xdr:rowOff>135833</xdr:rowOff>
    </xdr:from>
    <xdr:to>
      <xdr:col>13</xdr:col>
      <xdr:colOff>140879</xdr:colOff>
      <xdr:row>54</xdr:row>
      <xdr:rowOff>138793</xdr:rowOff>
    </xdr:to>
    <xdr:sp macro="" textlink="">
      <xdr:nvSpPr>
        <xdr:cNvPr id="21" name="Oval 20">
          <a:extLst>
            <a:ext uri="{FF2B5EF4-FFF2-40B4-BE49-F238E27FC236}">
              <a16:creationId xmlns:a16="http://schemas.microsoft.com/office/drawing/2014/main" id="{2C96F02B-AD17-42B0-A23E-1C02AF49617B}"/>
            </a:ext>
          </a:extLst>
        </xdr:cNvPr>
        <xdr:cNvSpPr/>
      </xdr:nvSpPr>
      <xdr:spPr>
        <a:xfrm>
          <a:off x="6705332" y="9089333"/>
          <a:ext cx="1360347" cy="1336460"/>
        </a:xfrm>
        <a:prstGeom prst="ellipse">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303101</xdr:colOff>
      <xdr:row>5</xdr:row>
      <xdr:rowOff>123298</xdr:rowOff>
    </xdr:from>
    <xdr:to>
      <xdr:col>17</xdr:col>
      <xdr:colOff>28880</xdr:colOff>
      <xdr:row>11</xdr:row>
      <xdr:rowOff>34396</xdr:rowOff>
    </xdr:to>
    <xdr:grpSp>
      <xdr:nvGrpSpPr>
        <xdr:cNvPr id="25" name="Group 24">
          <a:extLst>
            <a:ext uri="{FF2B5EF4-FFF2-40B4-BE49-F238E27FC236}">
              <a16:creationId xmlns:a16="http://schemas.microsoft.com/office/drawing/2014/main" id="{1EC7D191-3852-4C32-89AD-3543D7B7EF6F}"/>
            </a:ext>
          </a:extLst>
        </xdr:cNvPr>
        <xdr:cNvGrpSpPr/>
      </xdr:nvGrpSpPr>
      <xdr:grpSpPr>
        <a:xfrm>
          <a:off x="8182874" y="1075798"/>
          <a:ext cx="2150324" cy="1054098"/>
          <a:chOff x="1234622" y="687388"/>
          <a:chExt cx="2169206" cy="1054098"/>
        </a:xfrm>
        <a:effectLst>
          <a:outerShdw blurRad="63500" sx="102000" sy="102000" algn="ctr" rotWithShape="0">
            <a:prstClr val="black">
              <a:alpha val="40000"/>
            </a:prstClr>
          </a:outerShdw>
        </a:effectLst>
      </xdr:grpSpPr>
      <xdr:sp macro="" textlink="$F$1048575">
        <xdr:nvSpPr>
          <xdr:cNvPr id="26" name="TextBox 25">
            <a:extLst>
              <a:ext uri="{FF2B5EF4-FFF2-40B4-BE49-F238E27FC236}">
                <a16:creationId xmlns:a16="http://schemas.microsoft.com/office/drawing/2014/main" id="{0309BA5C-B258-44BA-B3AC-9CAC7D6007B6}"/>
              </a:ext>
            </a:extLst>
          </xdr:cNvPr>
          <xdr:cNvSpPr txBox="1"/>
        </xdr:nvSpPr>
        <xdr:spPr>
          <a:xfrm>
            <a:off x="1234622" y="687388"/>
            <a:ext cx="2169206"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E37C8B-10AB-42DA-B321-C38882B98F11}" type="TxLink">
              <a:rPr lang="en-US" sz="6000" b="1" i="0" u="none" strike="noStrike">
                <a:solidFill>
                  <a:schemeClr val="bg1"/>
                </a:solidFill>
                <a:latin typeface="Bodoni MT" panose="02070603080606020203" pitchFamily="18" charset="0"/>
                <a:cs typeface="Calibri"/>
              </a:rPr>
              <a:pPr algn="ctr"/>
              <a:t>68</a:t>
            </a:fld>
            <a:endParaRPr lang="en-US" sz="85700" b="1">
              <a:solidFill>
                <a:schemeClr val="bg1"/>
              </a:solidFill>
              <a:latin typeface="Bodoni MT" panose="02070603080606020203" pitchFamily="18" charset="0"/>
            </a:endParaRPr>
          </a:p>
        </xdr:txBody>
      </xdr:sp>
      <xdr:sp macro="" textlink="">
        <xdr:nvSpPr>
          <xdr:cNvPr id="27" name="TextBox 26">
            <a:extLst>
              <a:ext uri="{FF2B5EF4-FFF2-40B4-BE49-F238E27FC236}">
                <a16:creationId xmlns:a16="http://schemas.microsoft.com/office/drawing/2014/main" id="{ADC60BBB-1C4B-4B7F-9F80-A9A8DEE56E29}"/>
              </a:ext>
            </a:extLst>
          </xdr:cNvPr>
          <xdr:cNvSpPr txBox="1"/>
        </xdr:nvSpPr>
        <xdr:spPr>
          <a:xfrm>
            <a:off x="1448876" y="1147306"/>
            <a:ext cx="1787194"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PARTICIPANTS</a:t>
            </a:r>
          </a:p>
        </xdr:txBody>
      </xdr:sp>
    </xdr:grpSp>
    <xdr:clientData/>
  </xdr:twoCellAnchor>
  <xdr:twoCellAnchor>
    <xdr:from>
      <xdr:col>0</xdr:col>
      <xdr:colOff>0</xdr:colOff>
      <xdr:row>0</xdr:row>
      <xdr:rowOff>161925</xdr:rowOff>
    </xdr:from>
    <xdr:to>
      <xdr:col>32</xdr:col>
      <xdr:colOff>95250</xdr:colOff>
      <xdr:row>4</xdr:row>
      <xdr:rowOff>13607</xdr:rowOff>
    </xdr:to>
    <xdr:sp macro="" textlink="">
      <xdr:nvSpPr>
        <xdr:cNvPr id="30" name="Hexagon 29">
          <a:extLst>
            <a:ext uri="{FF2B5EF4-FFF2-40B4-BE49-F238E27FC236}">
              <a16:creationId xmlns:a16="http://schemas.microsoft.com/office/drawing/2014/main" id="{6CA27650-D98A-4E5E-B625-38192A5AA84B}"/>
            </a:ext>
          </a:extLst>
        </xdr:cNvPr>
        <xdr:cNvSpPr/>
      </xdr:nvSpPr>
      <xdr:spPr>
        <a:xfrm>
          <a:off x="0" y="161925"/>
          <a:ext cx="19602450" cy="613682"/>
        </a:xfrm>
        <a:prstGeom prst="hexagon">
          <a:avLst/>
        </a:prstGeom>
        <a:gradFill>
          <a:gsLst>
            <a:gs pos="47000">
              <a:srgbClr val="5496D4"/>
            </a:gs>
            <a:gs pos="0">
              <a:srgbClr val="6CA5DA"/>
            </a:gs>
            <a:gs pos="100000">
              <a:srgbClr val="3B87CD"/>
            </a:gs>
          </a:gsLst>
          <a:lin ang="108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285750</xdr:colOff>
      <xdr:row>0</xdr:row>
      <xdr:rowOff>74839</xdr:rowOff>
    </xdr:from>
    <xdr:to>
      <xdr:col>31</xdr:col>
      <xdr:colOff>195107</xdr:colOff>
      <xdr:row>4</xdr:row>
      <xdr:rowOff>122464</xdr:rowOff>
    </xdr:to>
    <xdr:sp macro="" textlink="">
      <xdr:nvSpPr>
        <xdr:cNvPr id="31" name="TextBox 30">
          <a:extLst>
            <a:ext uri="{FF2B5EF4-FFF2-40B4-BE49-F238E27FC236}">
              <a16:creationId xmlns:a16="http://schemas.microsoft.com/office/drawing/2014/main" id="{10CD170B-7B2A-4375-AA67-2536493B710F}"/>
            </a:ext>
          </a:extLst>
        </xdr:cNvPr>
        <xdr:cNvSpPr txBox="1"/>
      </xdr:nvSpPr>
      <xdr:spPr>
        <a:xfrm>
          <a:off x="285750" y="74839"/>
          <a:ext cx="18806957" cy="809625"/>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4400" b="1">
              <a:solidFill>
                <a:schemeClr val="bg1"/>
              </a:solidFill>
              <a:latin typeface="Bodoni MT" panose="02070603080606020203" pitchFamily="18" charset="0"/>
            </a:rPr>
            <a:t>DASHBOARD</a:t>
          </a:r>
          <a:r>
            <a:rPr lang="en-ID" sz="4400" b="1" baseline="0">
              <a:solidFill>
                <a:schemeClr val="bg1"/>
              </a:solidFill>
              <a:latin typeface="Bodoni MT" panose="02070603080606020203" pitchFamily="18" charset="0"/>
            </a:rPr>
            <a:t>: COLLECTION</a:t>
          </a:r>
          <a:endParaRPr lang="en-ID" sz="4400" b="1">
            <a:solidFill>
              <a:schemeClr val="bg1"/>
            </a:solidFill>
            <a:latin typeface="Bodoni MT" panose="02070603080606020203" pitchFamily="18" charset="0"/>
          </a:endParaRPr>
        </a:p>
      </xdr:txBody>
    </xdr:sp>
    <xdr:clientData/>
  </xdr:twoCellAnchor>
  <xdr:twoCellAnchor>
    <xdr:from>
      <xdr:col>0</xdr:col>
      <xdr:colOff>0</xdr:colOff>
      <xdr:row>11</xdr:row>
      <xdr:rowOff>152400</xdr:rowOff>
    </xdr:from>
    <xdr:to>
      <xdr:col>5</xdr:col>
      <xdr:colOff>514350</xdr:colOff>
      <xdr:row>26</xdr:row>
      <xdr:rowOff>152400</xdr:rowOff>
    </xdr:to>
    <xdr:sp macro="" textlink="">
      <xdr:nvSpPr>
        <xdr:cNvPr id="32" name="Rectangle: Rounded Corners 31">
          <a:extLst>
            <a:ext uri="{FF2B5EF4-FFF2-40B4-BE49-F238E27FC236}">
              <a16:creationId xmlns:a16="http://schemas.microsoft.com/office/drawing/2014/main" id="{FE36A3B4-9461-4B59-B7A0-C682E60754A2}"/>
            </a:ext>
          </a:extLst>
        </xdr:cNvPr>
        <xdr:cNvSpPr/>
      </xdr:nvSpPr>
      <xdr:spPr>
        <a:xfrm>
          <a:off x="0" y="2247900"/>
          <a:ext cx="3562350" cy="2857500"/>
        </a:xfrm>
        <a:prstGeom prst="roundRect">
          <a:avLst>
            <a:gd name="adj" fmla="val 9776"/>
          </a:avLst>
        </a:prstGeom>
        <a:gradFill>
          <a:gsLst>
            <a:gs pos="47000">
              <a:srgbClr val="5496D4"/>
            </a:gs>
            <a:gs pos="0">
              <a:srgbClr val="6CA5DA"/>
            </a:gs>
            <a:gs pos="100000">
              <a:srgbClr val="3B87CD"/>
            </a:gs>
          </a:gsLst>
          <a:lin ang="10800000" scaled="1"/>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6</xdr:col>
      <xdr:colOff>57150</xdr:colOff>
      <xdr:row>11</xdr:row>
      <xdr:rowOff>171450</xdr:rowOff>
    </xdr:from>
    <xdr:to>
      <xdr:col>17</xdr:col>
      <xdr:colOff>38100</xdr:colOff>
      <xdr:row>26</xdr:row>
      <xdr:rowOff>171450</xdr:rowOff>
    </xdr:to>
    <xdr:sp macro="" textlink="">
      <xdr:nvSpPr>
        <xdr:cNvPr id="33" name="Rectangle: Rounded Corners 32">
          <a:extLst>
            <a:ext uri="{FF2B5EF4-FFF2-40B4-BE49-F238E27FC236}">
              <a16:creationId xmlns:a16="http://schemas.microsoft.com/office/drawing/2014/main" id="{FC401C8B-7F44-46C2-9FB4-BE9B700BDE47}"/>
            </a:ext>
          </a:extLst>
        </xdr:cNvPr>
        <xdr:cNvSpPr/>
      </xdr:nvSpPr>
      <xdr:spPr>
        <a:xfrm>
          <a:off x="3771900" y="2266950"/>
          <a:ext cx="6791325" cy="2857500"/>
        </a:xfrm>
        <a:prstGeom prst="roundRect">
          <a:avLst>
            <a:gd name="adj" fmla="val 9776"/>
          </a:avLst>
        </a:prstGeom>
        <a:gradFill>
          <a:gsLst>
            <a:gs pos="47000">
              <a:srgbClr val="5496D4"/>
            </a:gs>
            <a:gs pos="0">
              <a:srgbClr val="6CA5DA"/>
            </a:gs>
            <a:gs pos="100000">
              <a:srgbClr val="3B87CD"/>
            </a:gs>
          </a:gsLst>
          <a:lin ang="10800000" scaled="1"/>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0</xdr:colOff>
      <xdr:row>27</xdr:row>
      <xdr:rowOff>144992</xdr:rowOff>
    </xdr:from>
    <xdr:to>
      <xdr:col>17</xdr:col>
      <xdr:colOff>19050</xdr:colOff>
      <xdr:row>41</xdr:row>
      <xdr:rowOff>133350</xdr:rowOff>
    </xdr:to>
    <xdr:sp macro="" textlink="">
      <xdr:nvSpPr>
        <xdr:cNvPr id="34" name="Rectangle: Rounded Corners 33">
          <a:extLst>
            <a:ext uri="{FF2B5EF4-FFF2-40B4-BE49-F238E27FC236}">
              <a16:creationId xmlns:a16="http://schemas.microsoft.com/office/drawing/2014/main" id="{D5B74CEC-9EBB-46C6-8AE5-27EF0B8944D4}"/>
            </a:ext>
          </a:extLst>
        </xdr:cNvPr>
        <xdr:cNvSpPr/>
      </xdr:nvSpPr>
      <xdr:spPr>
        <a:xfrm>
          <a:off x="0" y="5288492"/>
          <a:ext cx="10382250" cy="2655358"/>
        </a:xfrm>
        <a:prstGeom prst="roundRect">
          <a:avLst>
            <a:gd name="adj" fmla="val 9776"/>
          </a:avLst>
        </a:prstGeom>
        <a:gradFill>
          <a:gsLst>
            <a:gs pos="47000">
              <a:srgbClr val="5496D4"/>
            </a:gs>
            <a:gs pos="0">
              <a:srgbClr val="6CA5DA"/>
            </a:gs>
            <a:gs pos="100000">
              <a:srgbClr val="3B87CD"/>
            </a:gs>
          </a:gsLst>
          <a:lin ang="10800000" scaled="1"/>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17</xdr:col>
      <xdr:colOff>171450</xdr:colOff>
      <xdr:row>5</xdr:row>
      <xdr:rowOff>0</xdr:rowOff>
    </xdr:from>
    <xdr:to>
      <xdr:col>28</xdr:col>
      <xdr:colOff>152400</xdr:colOff>
      <xdr:row>41</xdr:row>
      <xdr:rowOff>133350</xdr:rowOff>
    </xdr:to>
    <xdr:sp macro="" textlink="">
      <xdr:nvSpPr>
        <xdr:cNvPr id="35" name="Rectangle: Rounded Corners 34">
          <a:extLst>
            <a:ext uri="{FF2B5EF4-FFF2-40B4-BE49-F238E27FC236}">
              <a16:creationId xmlns:a16="http://schemas.microsoft.com/office/drawing/2014/main" id="{B87858D6-385D-48F5-B761-14BA9C210D3B}"/>
            </a:ext>
          </a:extLst>
        </xdr:cNvPr>
        <xdr:cNvSpPr/>
      </xdr:nvSpPr>
      <xdr:spPr>
        <a:xfrm>
          <a:off x="10426700" y="952500"/>
          <a:ext cx="6616700" cy="6991350"/>
        </a:xfrm>
        <a:prstGeom prst="roundRect">
          <a:avLst>
            <a:gd name="adj" fmla="val 3778"/>
          </a:avLst>
        </a:prstGeom>
        <a:gradFill>
          <a:gsLst>
            <a:gs pos="52000">
              <a:srgbClr val="5496D4"/>
            </a:gs>
            <a:gs pos="0">
              <a:srgbClr val="6CA5DA"/>
            </a:gs>
            <a:gs pos="100000">
              <a:srgbClr val="3B87CD"/>
            </a:gs>
          </a:gsLst>
          <a:lin ang="10800000" scaled="1"/>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417100</xdr:colOff>
      <xdr:row>47</xdr:row>
      <xdr:rowOff>135833</xdr:rowOff>
    </xdr:from>
    <xdr:to>
      <xdr:col>18</xdr:col>
      <xdr:colOff>555526</xdr:colOff>
      <xdr:row>54</xdr:row>
      <xdr:rowOff>138793</xdr:rowOff>
    </xdr:to>
    <xdr:sp macro="" textlink="">
      <xdr:nvSpPr>
        <xdr:cNvPr id="52" name="Oval 51">
          <a:extLst>
            <a:ext uri="{FF2B5EF4-FFF2-40B4-BE49-F238E27FC236}">
              <a16:creationId xmlns:a16="http://schemas.microsoft.com/office/drawing/2014/main" id="{416E536A-5C97-4EBE-8881-307AB1DD0746}"/>
            </a:ext>
          </a:extLst>
        </xdr:cNvPr>
        <xdr:cNvSpPr/>
      </xdr:nvSpPr>
      <xdr:spPr>
        <a:xfrm>
          <a:off x="10170700" y="9089333"/>
          <a:ext cx="1357626" cy="1336460"/>
        </a:xfrm>
        <a:prstGeom prst="ellipse">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22</xdr:col>
      <xdr:colOff>211263</xdr:colOff>
      <xdr:row>47</xdr:row>
      <xdr:rowOff>135833</xdr:rowOff>
    </xdr:from>
    <xdr:to>
      <xdr:col>24</xdr:col>
      <xdr:colOff>349854</xdr:colOff>
      <xdr:row>54</xdr:row>
      <xdr:rowOff>138793</xdr:rowOff>
    </xdr:to>
    <xdr:sp macro="" textlink="">
      <xdr:nvSpPr>
        <xdr:cNvPr id="53" name="Oval 52">
          <a:extLst>
            <a:ext uri="{FF2B5EF4-FFF2-40B4-BE49-F238E27FC236}">
              <a16:creationId xmlns:a16="http://schemas.microsoft.com/office/drawing/2014/main" id="{5D24B898-7FDE-4A90-BDB3-49571E1B4488}"/>
            </a:ext>
          </a:extLst>
        </xdr:cNvPr>
        <xdr:cNvSpPr/>
      </xdr:nvSpPr>
      <xdr:spPr>
        <a:xfrm>
          <a:off x="13622463" y="9089333"/>
          <a:ext cx="1357791" cy="1336460"/>
        </a:xfrm>
        <a:prstGeom prst="ellipse">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499951</xdr:colOff>
      <xdr:row>5</xdr:row>
      <xdr:rowOff>128060</xdr:rowOff>
    </xdr:from>
    <xdr:to>
      <xdr:col>4</xdr:col>
      <xdr:colOff>232080</xdr:colOff>
      <xdr:row>11</xdr:row>
      <xdr:rowOff>34396</xdr:rowOff>
    </xdr:to>
    <xdr:grpSp>
      <xdr:nvGrpSpPr>
        <xdr:cNvPr id="70" name="Group 69">
          <a:extLst>
            <a:ext uri="{FF2B5EF4-FFF2-40B4-BE49-F238E27FC236}">
              <a16:creationId xmlns:a16="http://schemas.microsoft.com/office/drawing/2014/main" id="{93840B45-FC5C-4518-8518-B68FAE949E5B}"/>
            </a:ext>
          </a:extLst>
        </xdr:cNvPr>
        <xdr:cNvGrpSpPr/>
      </xdr:nvGrpSpPr>
      <xdr:grpSpPr>
        <a:xfrm>
          <a:off x="499951" y="1080560"/>
          <a:ext cx="2156674" cy="1049336"/>
          <a:chOff x="1234622" y="711200"/>
          <a:chExt cx="2169206" cy="1049336"/>
        </a:xfrm>
        <a:effectLst>
          <a:outerShdw blurRad="63500" sx="102000" sy="102000" algn="ctr" rotWithShape="0">
            <a:prstClr val="black">
              <a:alpha val="40000"/>
            </a:prstClr>
          </a:outerShdw>
        </a:effectLst>
      </xdr:grpSpPr>
      <xdr:sp macro="" textlink="$I$1048575">
        <xdr:nvSpPr>
          <xdr:cNvPr id="71" name="TextBox 70">
            <a:extLst>
              <a:ext uri="{FF2B5EF4-FFF2-40B4-BE49-F238E27FC236}">
                <a16:creationId xmlns:a16="http://schemas.microsoft.com/office/drawing/2014/main" id="{22012D0A-094D-4F3E-B26B-492F484D310C}"/>
              </a:ext>
            </a:extLst>
          </xdr:cNvPr>
          <xdr:cNvSpPr txBox="1"/>
        </xdr:nvSpPr>
        <xdr:spPr>
          <a:xfrm>
            <a:off x="1234622" y="711200"/>
            <a:ext cx="2169206"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23AFE9-BD2A-412D-BA98-64FE5342EB51}" type="TxLink">
              <a:rPr lang="en-US" sz="6000" b="1" i="0" u="none" strike="noStrike">
                <a:solidFill>
                  <a:schemeClr val="bg1"/>
                </a:solidFill>
                <a:latin typeface="Bodoni MT" panose="02070603080606020203" pitchFamily="18" charset="0"/>
                <a:cs typeface="Calibri"/>
              </a:rPr>
              <a:pPr algn="ctr"/>
              <a:t>6</a:t>
            </a:fld>
            <a:endParaRPr lang="en-US" sz="6000" b="1">
              <a:solidFill>
                <a:schemeClr val="bg1"/>
              </a:solidFill>
              <a:latin typeface="Bodoni MT" panose="02070603080606020203" pitchFamily="18" charset="0"/>
            </a:endParaRPr>
          </a:p>
        </xdr:txBody>
      </xdr:sp>
      <xdr:sp macro="" textlink="">
        <xdr:nvSpPr>
          <xdr:cNvPr id="72" name="TextBox 71">
            <a:extLst>
              <a:ext uri="{FF2B5EF4-FFF2-40B4-BE49-F238E27FC236}">
                <a16:creationId xmlns:a16="http://schemas.microsoft.com/office/drawing/2014/main" id="{A2EACD62-95F0-49AA-94E9-7A9424CC6894}"/>
              </a:ext>
            </a:extLst>
          </xdr:cNvPr>
          <xdr:cNvSpPr txBox="1"/>
        </xdr:nvSpPr>
        <xdr:spPr>
          <a:xfrm>
            <a:off x="1448876" y="1166356"/>
            <a:ext cx="1787194"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REGENCY</a:t>
            </a:r>
          </a:p>
        </xdr:txBody>
      </xdr:sp>
    </xdr:grpSp>
    <xdr:clientData/>
  </xdr:twoCellAnchor>
  <xdr:twoCellAnchor>
    <xdr:from>
      <xdr:col>5</xdr:col>
      <xdr:colOff>439624</xdr:colOff>
      <xdr:row>5</xdr:row>
      <xdr:rowOff>155047</xdr:rowOff>
    </xdr:from>
    <xdr:to>
      <xdr:col>9</xdr:col>
      <xdr:colOff>155878</xdr:colOff>
      <xdr:row>11</xdr:row>
      <xdr:rowOff>56621</xdr:rowOff>
    </xdr:to>
    <xdr:grpSp>
      <xdr:nvGrpSpPr>
        <xdr:cNvPr id="73" name="Group 72">
          <a:extLst>
            <a:ext uri="{FF2B5EF4-FFF2-40B4-BE49-F238E27FC236}">
              <a16:creationId xmlns:a16="http://schemas.microsoft.com/office/drawing/2014/main" id="{D2799938-B21C-43E1-845A-DFCBCC7839AC}"/>
            </a:ext>
          </a:extLst>
        </xdr:cNvPr>
        <xdr:cNvGrpSpPr/>
      </xdr:nvGrpSpPr>
      <xdr:grpSpPr>
        <a:xfrm>
          <a:off x="3470306" y="1107547"/>
          <a:ext cx="2140799" cy="1044574"/>
          <a:chOff x="1202420" y="766762"/>
          <a:chExt cx="2169206" cy="1044574"/>
        </a:xfrm>
        <a:effectLst>
          <a:outerShdw blurRad="63500" sx="102000" sy="102000" algn="ctr" rotWithShape="0">
            <a:prstClr val="black">
              <a:alpha val="40000"/>
            </a:prstClr>
          </a:outerShdw>
        </a:effectLst>
      </xdr:grpSpPr>
      <xdr:sp macro="" textlink="$C$1048576">
        <xdr:nvSpPr>
          <xdr:cNvPr id="74" name="TextBox 73">
            <a:extLst>
              <a:ext uri="{FF2B5EF4-FFF2-40B4-BE49-F238E27FC236}">
                <a16:creationId xmlns:a16="http://schemas.microsoft.com/office/drawing/2014/main" id="{B8CC11AF-C2FD-4A02-BF37-53A1B3C2A101}"/>
              </a:ext>
            </a:extLst>
          </xdr:cNvPr>
          <xdr:cNvSpPr txBox="1"/>
        </xdr:nvSpPr>
        <xdr:spPr>
          <a:xfrm>
            <a:off x="1202420" y="766762"/>
            <a:ext cx="2169206"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7C86A7-F85F-4633-903B-499E1832B30E}" type="TxLink">
              <a:rPr lang="en-US" sz="6000" b="1" i="0" u="none" strike="noStrike">
                <a:solidFill>
                  <a:schemeClr val="bg1"/>
                </a:solidFill>
                <a:latin typeface="Bodoni MT" panose="02070603080606020203" pitchFamily="18" charset="0"/>
                <a:cs typeface="Calibri"/>
              </a:rPr>
              <a:pPr algn="ctr"/>
              <a:t>40,6</a:t>
            </a:fld>
            <a:endParaRPr lang="en-US" sz="6000" b="1">
              <a:solidFill>
                <a:schemeClr val="bg1"/>
              </a:solidFill>
              <a:latin typeface="Bodoni MT" panose="02070603080606020203" pitchFamily="18" charset="0"/>
            </a:endParaRPr>
          </a:p>
        </xdr:txBody>
      </xdr:sp>
      <xdr:sp macro="" textlink="">
        <xdr:nvSpPr>
          <xdr:cNvPr id="75" name="TextBox 74">
            <a:extLst>
              <a:ext uri="{FF2B5EF4-FFF2-40B4-BE49-F238E27FC236}">
                <a16:creationId xmlns:a16="http://schemas.microsoft.com/office/drawing/2014/main" id="{E31A095E-7249-4603-8783-0C9266518734}"/>
              </a:ext>
            </a:extLst>
          </xdr:cNvPr>
          <xdr:cNvSpPr txBox="1"/>
        </xdr:nvSpPr>
        <xdr:spPr>
          <a:xfrm>
            <a:off x="1413904" y="1217156"/>
            <a:ext cx="901699"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TON</a:t>
            </a:r>
          </a:p>
        </xdr:txBody>
      </xdr:sp>
    </xdr:grpSp>
    <xdr:clientData/>
  </xdr:twoCellAnchor>
  <xdr:twoCellAnchor>
    <xdr:from>
      <xdr:col>5</xdr:col>
      <xdr:colOff>413656</xdr:colOff>
      <xdr:row>14</xdr:row>
      <xdr:rowOff>159885</xdr:rowOff>
    </xdr:from>
    <xdr:to>
      <xdr:col>11</xdr:col>
      <xdr:colOff>356055</xdr:colOff>
      <xdr:row>26</xdr:row>
      <xdr:rowOff>33885</xdr:rowOff>
    </xdr:to>
    <xdr:graphicFrame macro="">
      <xdr:nvGraphicFramePr>
        <xdr:cNvPr id="50" name="Chart 49">
          <a:extLst>
            <a:ext uri="{FF2B5EF4-FFF2-40B4-BE49-F238E27FC236}">
              <a16:creationId xmlns:a16="http://schemas.microsoft.com/office/drawing/2014/main" id="{D70499E9-B807-4F00-8ED1-EDF7FF785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523875</xdr:colOff>
      <xdr:row>14</xdr:row>
      <xdr:rowOff>188120</xdr:rowOff>
    </xdr:from>
    <xdr:to>
      <xdr:col>17</xdr:col>
      <xdr:colOff>119691</xdr:colOff>
      <xdr:row>26</xdr:row>
      <xdr:rowOff>62120</xdr:rowOff>
    </xdr:to>
    <xdr:graphicFrame macro="">
      <xdr:nvGraphicFramePr>
        <xdr:cNvPr id="54" name="Chart 53">
          <a:extLst>
            <a:ext uri="{FF2B5EF4-FFF2-40B4-BE49-F238E27FC236}">
              <a16:creationId xmlns:a16="http://schemas.microsoft.com/office/drawing/2014/main" id="{D9BA357F-609B-4EE0-B8EF-8C9B96A81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226219</xdr:colOff>
      <xdr:row>4</xdr:row>
      <xdr:rowOff>71436</xdr:rowOff>
    </xdr:from>
    <xdr:to>
      <xdr:col>14</xdr:col>
      <xdr:colOff>190500</xdr:colOff>
      <xdr:row>11</xdr:row>
      <xdr:rowOff>95247</xdr:rowOff>
    </xdr:to>
    <xdr:pic>
      <xdr:nvPicPr>
        <xdr:cNvPr id="5" name="Graphic 4" descr="Truck">
          <a:extLst>
            <a:ext uri="{FF2B5EF4-FFF2-40B4-BE49-F238E27FC236}">
              <a16:creationId xmlns:a16="http://schemas.microsoft.com/office/drawing/2014/main" id="{BE51D893-9D92-41CD-8424-137DAE8658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65219" y="833436"/>
          <a:ext cx="1170781" cy="1357311"/>
        </a:xfrm>
        <a:prstGeom prst="rect">
          <a:avLst/>
        </a:prstGeom>
        <a:effectLst>
          <a:outerShdw blurRad="63500" sx="102000" sy="102000" algn="ctr" rotWithShape="0">
            <a:prstClr val="black">
              <a:alpha val="40000"/>
            </a:prstClr>
          </a:outerShdw>
        </a:effectLst>
      </xdr:spPr>
    </xdr:pic>
    <xdr:clientData/>
  </xdr:twoCellAnchor>
  <xdr:twoCellAnchor editAs="oneCell">
    <xdr:from>
      <xdr:col>0</xdr:col>
      <xdr:colOff>307938</xdr:colOff>
      <xdr:row>5</xdr:row>
      <xdr:rowOff>109500</xdr:rowOff>
    </xdr:from>
    <xdr:to>
      <xdr:col>1</xdr:col>
      <xdr:colOff>587338</xdr:colOff>
      <xdr:row>10</xdr:row>
      <xdr:rowOff>71400</xdr:rowOff>
    </xdr:to>
    <xdr:pic>
      <xdr:nvPicPr>
        <xdr:cNvPr id="9" name="Graphic 8" descr="Flag">
          <a:extLst>
            <a:ext uri="{FF2B5EF4-FFF2-40B4-BE49-F238E27FC236}">
              <a16:creationId xmlns:a16="http://schemas.microsoft.com/office/drawing/2014/main" id="{46A28021-62A2-4D0D-B1D7-ED832886D41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7938" y="1062000"/>
          <a:ext cx="882650" cy="914400"/>
        </a:xfrm>
        <a:prstGeom prst="rect">
          <a:avLst/>
        </a:prstGeom>
        <a:effectLst>
          <a:outerShdw blurRad="63500" sx="102000" sy="102000" algn="ctr" rotWithShape="0">
            <a:prstClr val="black">
              <a:alpha val="40000"/>
            </a:prstClr>
          </a:outerShdw>
        </a:effectLst>
      </xdr:spPr>
    </xdr:pic>
    <xdr:clientData/>
  </xdr:twoCellAnchor>
  <xdr:twoCellAnchor editAs="oneCell">
    <xdr:from>
      <xdr:col>4</xdr:col>
      <xdr:colOff>600076</xdr:colOff>
      <xdr:row>5</xdr:row>
      <xdr:rowOff>66887</xdr:rowOff>
    </xdr:from>
    <xdr:to>
      <xdr:col>6</xdr:col>
      <xdr:colOff>338138</xdr:colOff>
      <xdr:row>10</xdr:row>
      <xdr:rowOff>83342</xdr:rowOff>
    </xdr:to>
    <xdr:pic>
      <xdr:nvPicPr>
        <xdr:cNvPr id="81" name="Picture 80" descr="Milk Icon 2876623">
          <a:extLst>
            <a:ext uri="{FF2B5EF4-FFF2-40B4-BE49-F238E27FC236}">
              <a16:creationId xmlns:a16="http://schemas.microsoft.com/office/drawing/2014/main" id="{5B1E4897-46A5-4C47-919D-03807DF37904}"/>
            </a:ext>
          </a:extLst>
        </xdr:cNvPr>
        <xdr:cNvPicPr>
          <a:picLocks noChangeAspect="1" noChangeArrowheads="1"/>
        </xdr:cNvPicPr>
      </xdr:nvPicPr>
      <xdr:blipFill>
        <a:blip xmlns:r="http://schemas.openxmlformats.org/officeDocument/2006/relationships" r:embed="rId7">
          <a:lum bright="70000" contrast="-70000"/>
          <a:extLst>
            <a:ext uri="{BEBA8EAE-BF5A-486C-A8C5-ECC9F3942E4B}">
              <a14:imgProps xmlns:a14="http://schemas.microsoft.com/office/drawing/2010/main">
                <a14:imgLayer r:embed="rId8">
                  <a14:imgEffect>
                    <a14:artisticPhotocopy/>
                  </a14:imgEffect>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3038476" y="1019387"/>
          <a:ext cx="957262" cy="96895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228786</xdr:colOff>
      <xdr:row>27</xdr:row>
      <xdr:rowOff>2494</xdr:rowOff>
    </xdr:from>
    <xdr:to>
      <xdr:col>11</xdr:col>
      <xdr:colOff>80948</xdr:colOff>
      <xdr:row>30</xdr:row>
      <xdr:rowOff>25174</xdr:rowOff>
    </xdr:to>
    <xdr:grpSp>
      <xdr:nvGrpSpPr>
        <xdr:cNvPr id="10" name="Group 9">
          <a:extLst>
            <a:ext uri="{FF2B5EF4-FFF2-40B4-BE49-F238E27FC236}">
              <a16:creationId xmlns:a16="http://schemas.microsoft.com/office/drawing/2014/main" id="{515B42A5-DE05-4ABF-99E9-0F628715E791}"/>
            </a:ext>
          </a:extLst>
        </xdr:cNvPr>
        <xdr:cNvGrpSpPr/>
      </xdr:nvGrpSpPr>
      <xdr:grpSpPr>
        <a:xfrm>
          <a:off x="3865604" y="5145994"/>
          <a:ext cx="2882844" cy="594180"/>
          <a:chOff x="3736522" y="5896083"/>
          <a:chExt cx="2935966" cy="594180"/>
        </a:xfrm>
      </xdr:grpSpPr>
      <xdr:grpSp>
        <xdr:nvGrpSpPr>
          <xdr:cNvPr id="82" name="Group 81">
            <a:extLst>
              <a:ext uri="{FF2B5EF4-FFF2-40B4-BE49-F238E27FC236}">
                <a16:creationId xmlns:a16="http://schemas.microsoft.com/office/drawing/2014/main" id="{3A80D57C-E651-4AC8-8A99-178516F1D043}"/>
              </a:ext>
            </a:extLst>
          </xdr:cNvPr>
          <xdr:cNvGrpSpPr/>
        </xdr:nvGrpSpPr>
        <xdr:grpSpPr>
          <a:xfrm>
            <a:off x="3736522" y="5896083"/>
            <a:ext cx="2935966" cy="594180"/>
            <a:chOff x="7500255" y="2154121"/>
            <a:chExt cx="2904898" cy="594180"/>
          </a:xfrm>
        </xdr:grpSpPr>
        <xdr:sp macro="" textlink="">
          <xdr:nvSpPr>
            <xdr:cNvPr id="83" name="Hexagon 82">
              <a:extLst>
                <a:ext uri="{FF2B5EF4-FFF2-40B4-BE49-F238E27FC236}">
                  <a16:creationId xmlns:a16="http://schemas.microsoft.com/office/drawing/2014/main" id="{F0CF8271-9BB6-4233-8F1D-D608DA336A96}"/>
                </a:ext>
              </a:extLst>
            </xdr:cNvPr>
            <xdr:cNvSpPr/>
          </xdr:nvSpPr>
          <xdr:spPr>
            <a:xfrm>
              <a:off x="7500255" y="2288721"/>
              <a:ext cx="2544536" cy="340178"/>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84" name="TextBox 83">
              <a:extLst>
                <a:ext uri="{FF2B5EF4-FFF2-40B4-BE49-F238E27FC236}">
                  <a16:creationId xmlns:a16="http://schemas.microsoft.com/office/drawing/2014/main" id="{BBD814C0-981C-4D07-85CF-C75971AD6249}"/>
                </a:ext>
              </a:extLst>
            </xdr:cNvPr>
            <xdr:cNvSpPr txBox="1"/>
          </xdr:nvSpPr>
          <xdr:spPr>
            <a:xfrm>
              <a:off x="7507212" y="2154121"/>
              <a:ext cx="2897941"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Dinamics</a:t>
              </a:r>
            </a:p>
          </xdr:txBody>
        </xdr:sp>
      </xdr:grpSp>
      <xdr:pic>
        <xdr:nvPicPr>
          <xdr:cNvPr id="85" name="Graphic 84" descr="Bar graph with upward trend">
            <a:extLst>
              <a:ext uri="{FF2B5EF4-FFF2-40B4-BE49-F238E27FC236}">
                <a16:creationId xmlns:a16="http://schemas.microsoft.com/office/drawing/2014/main" id="{B343066C-47D9-4F64-BA48-46920ABEFC1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394082" y="6048375"/>
            <a:ext cx="316001" cy="312963"/>
          </a:xfrm>
          <a:prstGeom prst="rect">
            <a:avLst/>
          </a:prstGeom>
        </xdr:spPr>
      </xdr:pic>
    </xdr:grpSp>
    <xdr:clientData/>
  </xdr:twoCellAnchor>
  <xdr:twoCellAnchor>
    <xdr:from>
      <xdr:col>0</xdr:col>
      <xdr:colOff>464331</xdr:colOff>
      <xdr:row>11</xdr:row>
      <xdr:rowOff>2494</xdr:rowOff>
    </xdr:from>
    <xdr:to>
      <xdr:col>5</xdr:col>
      <xdr:colOff>309547</xdr:colOff>
      <xdr:row>14</xdr:row>
      <xdr:rowOff>25174</xdr:rowOff>
    </xdr:to>
    <xdr:grpSp>
      <xdr:nvGrpSpPr>
        <xdr:cNvPr id="11" name="Group 10">
          <a:extLst>
            <a:ext uri="{FF2B5EF4-FFF2-40B4-BE49-F238E27FC236}">
              <a16:creationId xmlns:a16="http://schemas.microsoft.com/office/drawing/2014/main" id="{E0311DA6-6A8A-41A4-AA8A-B499BAF62BAA}"/>
            </a:ext>
          </a:extLst>
        </xdr:cNvPr>
        <xdr:cNvGrpSpPr/>
      </xdr:nvGrpSpPr>
      <xdr:grpSpPr>
        <a:xfrm>
          <a:off x="464331" y="2097994"/>
          <a:ext cx="2875898" cy="594180"/>
          <a:chOff x="5322081" y="5836556"/>
          <a:chExt cx="2893216" cy="594180"/>
        </a:xfrm>
      </xdr:grpSpPr>
      <xdr:grpSp>
        <xdr:nvGrpSpPr>
          <xdr:cNvPr id="88" name="Group 87">
            <a:extLst>
              <a:ext uri="{FF2B5EF4-FFF2-40B4-BE49-F238E27FC236}">
                <a16:creationId xmlns:a16="http://schemas.microsoft.com/office/drawing/2014/main" id="{C14AA253-473A-48F1-93A4-53D98019CA8E}"/>
              </a:ext>
            </a:extLst>
          </xdr:cNvPr>
          <xdr:cNvGrpSpPr/>
        </xdr:nvGrpSpPr>
        <xdr:grpSpPr>
          <a:xfrm>
            <a:off x="5322081" y="5836556"/>
            <a:ext cx="2893216" cy="594180"/>
            <a:chOff x="7449969" y="2158883"/>
            <a:chExt cx="2897941" cy="594180"/>
          </a:xfrm>
        </xdr:grpSpPr>
        <xdr:sp macro="" textlink="">
          <xdr:nvSpPr>
            <xdr:cNvPr id="90" name="Hexagon 89">
              <a:extLst>
                <a:ext uri="{FF2B5EF4-FFF2-40B4-BE49-F238E27FC236}">
                  <a16:creationId xmlns:a16="http://schemas.microsoft.com/office/drawing/2014/main" id="{56490CC1-6C91-4419-9F4D-10DAF2F311C2}"/>
                </a:ext>
              </a:extLst>
            </xdr:cNvPr>
            <xdr:cNvSpPr/>
          </xdr:nvSpPr>
          <xdr:spPr>
            <a:xfrm>
              <a:off x="7500255" y="2288721"/>
              <a:ext cx="2544536" cy="340178"/>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91" name="TextBox 90">
              <a:extLst>
                <a:ext uri="{FF2B5EF4-FFF2-40B4-BE49-F238E27FC236}">
                  <a16:creationId xmlns:a16="http://schemas.microsoft.com/office/drawing/2014/main" id="{06DC42BB-7680-41FE-B7A7-53ECDD04078D}"/>
                </a:ext>
              </a:extLst>
            </xdr:cNvPr>
            <xdr:cNvSpPr txBox="1"/>
          </xdr:nvSpPr>
          <xdr:spPr>
            <a:xfrm>
              <a:off x="7449969" y="2158883"/>
              <a:ext cx="2897941"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Map</a:t>
              </a:r>
            </a:p>
          </xdr:txBody>
        </xdr:sp>
      </xdr:grpSp>
      <xdr:pic>
        <xdr:nvPicPr>
          <xdr:cNvPr id="92" name="Graphic 91" descr="Map with pin">
            <a:extLst>
              <a:ext uri="{FF2B5EF4-FFF2-40B4-BE49-F238E27FC236}">
                <a16:creationId xmlns:a16="http://schemas.microsoft.com/office/drawing/2014/main" id="{D536CE6B-9033-4FB3-8E19-E38797B2760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H="1">
            <a:off x="6153150" y="5986462"/>
            <a:ext cx="304133" cy="304271"/>
          </a:xfrm>
          <a:prstGeom prst="rect">
            <a:avLst/>
          </a:prstGeom>
        </xdr:spPr>
      </xdr:pic>
    </xdr:grpSp>
    <xdr:clientData/>
  </xdr:twoCellAnchor>
  <xdr:twoCellAnchor>
    <xdr:from>
      <xdr:col>11</xdr:col>
      <xdr:colOff>549728</xdr:colOff>
      <xdr:row>11</xdr:row>
      <xdr:rowOff>28988</xdr:rowOff>
    </xdr:from>
    <xdr:to>
      <xdr:col>16</xdr:col>
      <xdr:colOff>289829</xdr:colOff>
      <xdr:row>14</xdr:row>
      <xdr:rowOff>51668</xdr:rowOff>
    </xdr:to>
    <xdr:grpSp>
      <xdr:nvGrpSpPr>
        <xdr:cNvPr id="13" name="Group 12">
          <a:extLst>
            <a:ext uri="{FF2B5EF4-FFF2-40B4-BE49-F238E27FC236}">
              <a16:creationId xmlns:a16="http://schemas.microsoft.com/office/drawing/2014/main" id="{88022A50-457D-4DC6-8982-C150ECB12101}"/>
            </a:ext>
          </a:extLst>
        </xdr:cNvPr>
        <xdr:cNvGrpSpPr/>
      </xdr:nvGrpSpPr>
      <xdr:grpSpPr>
        <a:xfrm>
          <a:off x="7217228" y="2124488"/>
          <a:ext cx="2770783" cy="594180"/>
          <a:chOff x="7566023" y="2122787"/>
          <a:chExt cx="2550583" cy="594180"/>
        </a:xfrm>
      </xdr:grpSpPr>
      <xdr:grpSp>
        <xdr:nvGrpSpPr>
          <xdr:cNvPr id="3" name="Group 2">
            <a:extLst>
              <a:ext uri="{FF2B5EF4-FFF2-40B4-BE49-F238E27FC236}">
                <a16:creationId xmlns:a16="http://schemas.microsoft.com/office/drawing/2014/main" id="{57368967-CD54-4CBB-93F2-DF68CDE8B233}"/>
              </a:ext>
            </a:extLst>
          </xdr:cNvPr>
          <xdr:cNvGrpSpPr/>
        </xdr:nvGrpSpPr>
        <xdr:grpSpPr>
          <a:xfrm>
            <a:off x="7566023" y="2122787"/>
            <a:ext cx="2550583" cy="594180"/>
            <a:chOff x="7500255" y="2155444"/>
            <a:chExt cx="2544536" cy="594180"/>
          </a:xfrm>
        </xdr:grpSpPr>
        <xdr:sp macro="" textlink="">
          <xdr:nvSpPr>
            <xdr:cNvPr id="67" name="Hexagon 66">
              <a:extLst>
                <a:ext uri="{FF2B5EF4-FFF2-40B4-BE49-F238E27FC236}">
                  <a16:creationId xmlns:a16="http://schemas.microsoft.com/office/drawing/2014/main" id="{E7919F7B-0325-4721-BE83-1CB2F552751F}"/>
                </a:ext>
              </a:extLst>
            </xdr:cNvPr>
            <xdr:cNvSpPr/>
          </xdr:nvSpPr>
          <xdr:spPr>
            <a:xfrm>
              <a:off x="7500255" y="2288721"/>
              <a:ext cx="2544536" cy="340178"/>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76" name="TextBox 75">
              <a:extLst>
                <a:ext uri="{FF2B5EF4-FFF2-40B4-BE49-F238E27FC236}">
                  <a16:creationId xmlns:a16="http://schemas.microsoft.com/office/drawing/2014/main" id="{00F0C3C9-916B-4C83-A2BA-5E774D521F5C}"/>
                </a:ext>
              </a:extLst>
            </xdr:cNvPr>
            <xdr:cNvSpPr txBox="1"/>
          </xdr:nvSpPr>
          <xdr:spPr>
            <a:xfrm>
              <a:off x="7813715" y="2155444"/>
              <a:ext cx="2171906"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Contribution</a:t>
              </a:r>
            </a:p>
          </xdr:txBody>
        </xdr:sp>
      </xdr:grpSp>
      <xdr:pic>
        <xdr:nvPicPr>
          <xdr:cNvPr id="93" name="Picture 92" descr="Milk Icon 3320067">
            <a:extLst>
              <a:ext uri="{FF2B5EF4-FFF2-40B4-BE49-F238E27FC236}">
                <a16:creationId xmlns:a16="http://schemas.microsoft.com/office/drawing/2014/main" id="{7A0B09FF-C7B2-4DB3-B0D5-F5F7BA0ACEEC}"/>
              </a:ext>
            </a:extLst>
          </xdr:cNvPr>
          <xdr:cNvPicPr>
            <a:picLocks noChangeAspect="1" noChangeArrowheads="1"/>
          </xdr:cNvPicPr>
        </xdr:nvPicPr>
        <xdr:blipFill>
          <a:blip xmlns:r="http://schemas.openxmlformats.org/officeDocument/2006/relationships" r:embed="rId13" cstate="print">
            <a:lum bright="70000" contrast="-70000"/>
            <a:extLst>
              <a:ext uri="{BEBA8EAE-BF5A-486C-A8C5-ECC9F3942E4B}">
                <a14:imgProps xmlns:a14="http://schemas.microsoft.com/office/drawing/2010/main">
                  <a14:imgLayer r:embed="rId14">
                    <a14:imgEffect>
                      <a14:artisticPhotocopy/>
                    </a14:imgEffect>
                  </a14:imgLayer>
                </a14:imgProps>
              </a:ext>
              <a:ext uri="{28A0092B-C50C-407E-A947-70E740481C1C}">
                <a14:useLocalDpi xmlns:a14="http://schemas.microsoft.com/office/drawing/2010/main" val="0"/>
              </a:ext>
            </a:extLst>
          </a:blip>
          <a:srcRect/>
          <a:stretch>
            <a:fillRect/>
          </a:stretch>
        </xdr:blipFill>
        <xdr:spPr bwMode="auto">
          <a:xfrm>
            <a:off x="7823200" y="2275417"/>
            <a:ext cx="309033" cy="3048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6</xdr:col>
      <xdr:colOff>330992</xdr:colOff>
      <xdr:row>11</xdr:row>
      <xdr:rowOff>32089</xdr:rowOff>
    </xdr:from>
    <xdr:to>
      <xdr:col>11</xdr:col>
      <xdr:colOff>453791</xdr:colOff>
      <xdr:row>14</xdr:row>
      <xdr:rowOff>54769</xdr:rowOff>
    </xdr:to>
    <xdr:grpSp>
      <xdr:nvGrpSpPr>
        <xdr:cNvPr id="17" name="Group 16">
          <a:extLst>
            <a:ext uri="{FF2B5EF4-FFF2-40B4-BE49-F238E27FC236}">
              <a16:creationId xmlns:a16="http://schemas.microsoft.com/office/drawing/2014/main" id="{54CAC4EA-66E5-4EC1-A236-E609782373C4}"/>
            </a:ext>
          </a:extLst>
        </xdr:cNvPr>
        <xdr:cNvGrpSpPr/>
      </xdr:nvGrpSpPr>
      <xdr:grpSpPr>
        <a:xfrm>
          <a:off x="3967810" y="2127589"/>
          <a:ext cx="3153481" cy="594180"/>
          <a:chOff x="3819865" y="2125888"/>
          <a:chExt cx="3184406" cy="594180"/>
        </a:xfrm>
      </xdr:grpSpPr>
      <xdr:grpSp>
        <xdr:nvGrpSpPr>
          <xdr:cNvPr id="77" name="Group 76">
            <a:extLst>
              <a:ext uri="{FF2B5EF4-FFF2-40B4-BE49-F238E27FC236}">
                <a16:creationId xmlns:a16="http://schemas.microsoft.com/office/drawing/2014/main" id="{CD20F877-F463-42D2-AB53-4DF40631B9B8}"/>
              </a:ext>
            </a:extLst>
          </xdr:cNvPr>
          <xdr:cNvGrpSpPr/>
        </xdr:nvGrpSpPr>
        <xdr:grpSpPr>
          <a:xfrm>
            <a:off x="3819865" y="2125888"/>
            <a:ext cx="3184406" cy="594180"/>
            <a:chOff x="7482984" y="2155822"/>
            <a:chExt cx="2897941" cy="594180"/>
          </a:xfrm>
        </xdr:grpSpPr>
        <xdr:sp macro="" textlink="">
          <xdr:nvSpPr>
            <xdr:cNvPr id="78" name="Hexagon 77">
              <a:extLst>
                <a:ext uri="{FF2B5EF4-FFF2-40B4-BE49-F238E27FC236}">
                  <a16:creationId xmlns:a16="http://schemas.microsoft.com/office/drawing/2014/main" id="{B62D38E2-7A30-4974-9F07-356B5E63ACB5}"/>
                </a:ext>
              </a:extLst>
            </xdr:cNvPr>
            <xdr:cNvSpPr/>
          </xdr:nvSpPr>
          <xdr:spPr>
            <a:xfrm>
              <a:off x="7500255" y="2288721"/>
              <a:ext cx="2544536" cy="340178"/>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79" name="TextBox 78">
              <a:extLst>
                <a:ext uri="{FF2B5EF4-FFF2-40B4-BE49-F238E27FC236}">
                  <a16:creationId xmlns:a16="http://schemas.microsoft.com/office/drawing/2014/main" id="{99D63821-4197-46AC-B5AA-6C4BA2C55B7F}"/>
                </a:ext>
              </a:extLst>
            </xdr:cNvPr>
            <xdr:cNvSpPr txBox="1"/>
          </xdr:nvSpPr>
          <xdr:spPr>
            <a:xfrm>
              <a:off x="7482984" y="2155822"/>
              <a:ext cx="2897941"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Number</a:t>
              </a:r>
              <a:r>
                <a:rPr lang="en-US" sz="1600" b="1" i="1" u="none" strike="noStrike" baseline="0">
                  <a:solidFill>
                    <a:schemeClr val="bg1"/>
                  </a:solidFill>
                  <a:latin typeface="Segoe UI" panose="020B0502040204020203" pitchFamily="34" charset="0"/>
                  <a:cs typeface="Segoe UI" panose="020B0502040204020203" pitchFamily="34" charset="0"/>
                </a:rPr>
                <a:t> of Participants</a:t>
              </a:r>
              <a:endParaRPr lang="en-US" sz="1600" b="1" i="1" u="none" strike="noStrike">
                <a:solidFill>
                  <a:schemeClr val="bg1"/>
                </a:solidFill>
                <a:latin typeface="Segoe UI" panose="020B0502040204020203" pitchFamily="34" charset="0"/>
                <a:cs typeface="Segoe UI" panose="020B0502040204020203" pitchFamily="34" charset="0"/>
              </a:endParaRPr>
            </a:p>
          </xdr:txBody>
        </xdr:sp>
      </xdr:grpSp>
      <xdr:pic>
        <xdr:nvPicPr>
          <xdr:cNvPr id="16" name="Graphic 15" descr="Users">
            <a:extLst>
              <a:ext uri="{FF2B5EF4-FFF2-40B4-BE49-F238E27FC236}">
                <a16:creationId xmlns:a16="http://schemas.microsoft.com/office/drawing/2014/main" id="{46DE1FE7-A3B9-43A3-85F2-1FCD2431D05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908585" y="2258786"/>
            <a:ext cx="377663" cy="379484"/>
          </a:xfrm>
          <a:prstGeom prst="rect">
            <a:avLst/>
          </a:prstGeom>
        </xdr:spPr>
      </xdr:pic>
    </xdr:grpSp>
    <xdr:clientData/>
  </xdr:twoCellAnchor>
  <xdr:twoCellAnchor editAs="oneCell">
    <xdr:from>
      <xdr:col>28</xdr:col>
      <xdr:colOff>417512</xdr:colOff>
      <xdr:row>5</xdr:row>
      <xdr:rowOff>76201</xdr:rowOff>
    </xdr:from>
    <xdr:to>
      <xdr:col>32</xdr:col>
      <xdr:colOff>139112</xdr:colOff>
      <xdr:row>12</xdr:row>
      <xdr:rowOff>171450</xdr:rowOff>
    </xdr:to>
    <mc:AlternateContent xmlns:mc="http://schemas.openxmlformats.org/markup-compatibility/2006" xmlns:a14="http://schemas.microsoft.com/office/drawing/2010/main">
      <mc:Choice Requires="a14">
        <xdr:graphicFrame macro="">
          <xdr:nvGraphicFramePr>
            <xdr:cNvPr id="94" name="Month">
              <a:extLst>
                <a:ext uri="{FF2B5EF4-FFF2-40B4-BE49-F238E27FC236}">
                  <a16:creationId xmlns:a16="http://schemas.microsoft.com/office/drawing/2014/main" id="{66457DE9-CD86-494D-ACDB-3DC9B99FA70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486312" y="1028701"/>
              <a:ext cx="2160000" cy="14287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29</xdr:row>
      <xdr:rowOff>127000</xdr:rowOff>
    </xdr:from>
    <xdr:to>
      <xdr:col>17</xdr:col>
      <xdr:colOff>40823</xdr:colOff>
      <xdr:row>41</xdr:row>
      <xdr:rowOff>63500</xdr:rowOff>
    </xdr:to>
    <xdr:graphicFrame macro="">
      <xdr:nvGraphicFramePr>
        <xdr:cNvPr id="49" name="Chart 48">
          <a:extLst>
            <a:ext uri="{FF2B5EF4-FFF2-40B4-BE49-F238E27FC236}">
              <a16:creationId xmlns:a16="http://schemas.microsoft.com/office/drawing/2014/main" id="{95A9E6AC-96FA-4755-B912-ACC5F5A4B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13</xdr:row>
      <xdr:rowOff>95250</xdr:rowOff>
    </xdr:from>
    <xdr:to>
      <xdr:col>5</xdr:col>
      <xdr:colOff>457200</xdr:colOff>
      <xdr:row>26</xdr:row>
      <xdr:rowOff>76200</xdr:rowOff>
    </xdr:to>
    <mc:AlternateContent xmlns:mc="http://schemas.openxmlformats.org/markup-compatibility/2006">
      <mc:Choice xmlns:cx4="http://schemas.microsoft.com/office/drawing/2016/5/10/chartex" Requires="cx4">
        <xdr:graphicFrame macro="">
          <xdr:nvGraphicFramePr>
            <xdr:cNvPr id="56" name="Chart 55">
              <a:extLst>
                <a:ext uri="{FF2B5EF4-FFF2-40B4-BE49-F238E27FC236}">
                  <a16:creationId xmlns:a16="http://schemas.microsoft.com/office/drawing/2014/main" id="{42FD7E5D-AC5F-487A-A153-F271FE8FB0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0" y="2571750"/>
              <a:ext cx="3505200" cy="245745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549728</xdr:colOff>
      <xdr:row>4</xdr:row>
      <xdr:rowOff>48038</xdr:rowOff>
    </xdr:from>
    <xdr:to>
      <xdr:col>25</xdr:col>
      <xdr:colOff>289829</xdr:colOff>
      <xdr:row>7</xdr:row>
      <xdr:rowOff>70718</xdr:rowOff>
    </xdr:to>
    <xdr:grpSp>
      <xdr:nvGrpSpPr>
        <xdr:cNvPr id="58" name="Group 57">
          <a:extLst>
            <a:ext uri="{FF2B5EF4-FFF2-40B4-BE49-F238E27FC236}">
              <a16:creationId xmlns:a16="http://schemas.microsoft.com/office/drawing/2014/main" id="{2304147A-7A25-43D3-BAA8-225E3FB9C340}"/>
            </a:ext>
          </a:extLst>
        </xdr:cNvPr>
        <xdr:cNvGrpSpPr/>
      </xdr:nvGrpSpPr>
      <xdr:grpSpPr>
        <a:xfrm>
          <a:off x="12672455" y="810038"/>
          <a:ext cx="2770783" cy="594180"/>
          <a:chOff x="7566023" y="2122787"/>
          <a:chExt cx="2550583" cy="594180"/>
        </a:xfrm>
      </xdr:grpSpPr>
      <xdr:grpSp>
        <xdr:nvGrpSpPr>
          <xdr:cNvPr id="59" name="Group 58">
            <a:extLst>
              <a:ext uri="{FF2B5EF4-FFF2-40B4-BE49-F238E27FC236}">
                <a16:creationId xmlns:a16="http://schemas.microsoft.com/office/drawing/2014/main" id="{4E6218B2-52DB-4486-BD3E-85D0B20B547D}"/>
              </a:ext>
            </a:extLst>
          </xdr:cNvPr>
          <xdr:cNvGrpSpPr/>
        </xdr:nvGrpSpPr>
        <xdr:grpSpPr>
          <a:xfrm>
            <a:off x="7566023" y="2122787"/>
            <a:ext cx="2550583" cy="594180"/>
            <a:chOff x="7500255" y="2155444"/>
            <a:chExt cx="2544536" cy="594180"/>
          </a:xfrm>
        </xdr:grpSpPr>
        <xdr:sp macro="" textlink="">
          <xdr:nvSpPr>
            <xdr:cNvPr id="61" name="Hexagon 60">
              <a:extLst>
                <a:ext uri="{FF2B5EF4-FFF2-40B4-BE49-F238E27FC236}">
                  <a16:creationId xmlns:a16="http://schemas.microsoft.com/office/drawing/2014/main" id="{75B470CA-EEFA-4621-B4F3-690E180A4D4C}"/>
                </a:ext>
              </a:extLst>
            </xdr:cNvPr>
            <xdr:cNvSpPr/>
          </xdr:nvSpPr>
          <xdr:spPr>
            <a:xfrm>
              <a:off x="7500255" y="2288721"/>
              <a:ext cx="2544536" cy="340178"/>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62" name="TextBox 61">
              <a:extLst>
                <a:ext uri="{FF2B5EF4-FFF2-40B4-BE49-F238E27FC236}">
                  <a16:creationId xmlns:a16="http://schemas.microsoft.com/office/drawing/2014/main" id="{C5223A01-9421-4F5D-8B0D-9625A3347687}"/>
                </a:ext>
              </a:extLst>
            </xdr:cNvPr>
            <xdr:cNvSpPr txBox="1"/>
          </xdr:nvSpPr>
          <xdr:spPr>
            <a:xfrm>
              <a:off x="7796330" y="2155444"/>
              <a:ext cx="2171906"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Total  </a:t>
              </a:r>
            </a:p>
          </xdr:txBody>
        </xdr:sp>
      </xdr:grpSp>
      <xdr:pic>
        <xdr:nvPicPr>
          <xdr:cNvPr id="60" name="Picture 59" descr="Milk Icon 3320067">
            <a:extLst>
              <a:ext uri="{FF2B5EF4-FFF2-40B4-BE49-F238E27FC236}">
                <a16:creationId xmlns:a16="http://schemas.microsoft.com/office/drawing/2014/main" id="{F177E2F2-96B9-4480-ACC6-75F704D8B72E}"/>
              </a:ext>
            </a:extLst>
          </xdr:cNvPr>
          <xdr:cNvPicPr>
            <a:picLocks noChangeAspect="1" noChangeArrowheads="1"/>
          </xdr:cNvPicPr>
        </xdr:nvPicPr>
        <xdr:blipFill>
          <a:blip xmlns:r="http://schemas.openxmlformats.org/officeDocument/2006/relationships" r:embed="rId13" cstate="print">
            <a:lum bright="70000" contrast="-70000"/>
            <a:extLst>
              <a:ext uri="{BEBA8EAE-BF5A-486C-A8C5-ECC9F3942E4B}">
                <a14:imgProps xmlns:a14="http://schemas.microsoft.com/office/drawing/2010/main">
                  <a14:imgLayer r:embed="rId14">
                    <a14:imgEffect>
                      <a14:artisticPhotocopy/>
                    </a14:imgEffect>
                  </a14:imgLayer>
                </a14:imgProps>
              </a:ext>
              <a:ext uri="{28A0092B-C50C-407E-A947-70E740481C1C}">
                <a14:useLocalDpi xmlns:a14="http://schemas.microsoft.com/office/drawing/2010/main" val="0"/>
              </a:ext>
            </a:extLst>
          </a:blip>
          <a:srcRect/>
          <a:stretch>
            <a:fillRect/>
          </a:stretch>
        </xdr:blipFill>
        <xdr:spPr bwMode="auto">
          <a:xfrm>
            <a:off x="8224023" y="2275417"/>
            <a:ext cx="309033" cy="3048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28</xdr:col>
      <xdr:colOff>419100</xdr:colOff>
      <xdr:row>11</xdr:row>
      <xdr:rowOff>114300</xdr:rowOff>
    </xdr:from>
    <xdr:to>
      <xdr:col>32</xdr:col>
      <xdr:colOff>140700</xdr:colOff>
      <xdr:row>32</xdr:row>
      <xdr:rowOff>0</xdr:rowOff>
    </xdr:to>
    <mc:AlternateContent xmlns:mc="http://schemas.openxmlformats.org/markup-compatibility/2006" xmlns:a14="http://schemas.microsoft.com/office/drawing/2010/main">
      <mc:Choice Requires="a14">
        <xdr:graphicFrame macro="">
          <xdr:nvGraphicFramePr>
            <xdr:cNvPr id="63" name="Kategori 1">
              <a:extLst>
                <a:ext uri="{FF2B5EF4-FFF2-40B4-BE49-F238E27FC236}">
                  <a16:creationId xmlns:a16="http://schemas.microsoft.com/office/drawing/2014/main" id="{394FB9B4-A78D-4D0C-9497-6241A25EB0C4}"/>
                </a:ext>
              </a:extLst>
            </xdr:cNvPr>
            <xdr:cNvGraphicFramePr/>
          </xdr:nvGraphicFramePr>
          <xdr:xfrm>
            <a:off x="0" y="0"/>
            <a:ext cx="0" cy="0"/>
          </xdr:xfrm>
          <a:graphic>
            <a:graphicData uri="http://schemas.microsoft.com/office/drawing/2010/slicer">
              <sle:slicer xmlns:sle="http://schemas.microsoft.com/office/drawing/2010/slicer" name="Kategori 1"/>
            </a:graphicData>
          </a:graphic>
        </xdr:graphicFrame>
      </mc:Choice>
      <mc:Fallback xmlns="">
        <xdr:sp macro="" textlink="">
          <xdr:nvSpPr>
            <xdr:cNvPr id="0" name=""/>
            <xdr:cNvSpPr>
              <a:spLocks noTextEdit="1"/>
            </xdr:cNvSpPr>
          </xdr:nvSpPr>
          <xdr:spPr>
            <a:xfrm>
              <a:off x="17487900" y="2209800"/>
              <a:ext cx="2160000" cy="38862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381000</xdr:colOff>
      <xdr:row>30</xdr:row>
      <xdr:rowOff>139700</xdr:rowOff>
    </xdr:from>
    <xdr:to>
      <xdr:col>32</xdr:col>
      <xdr:colOff>102600</xdr:colOff>
      <xdr:row>42</xdr:row>
      <xdr:rowOff>174625</xdr:rowOff>
    </xdr:to>
    <mc:AlternateContent xmlns:mc="http://schemas.openxmlformats.org/markup-compatibility/2006" xmlns:a14="http://schemas.microsoft.com/office/drawing/2010/main">
      <mc:Choice Requires="a14">
        <xdr:graphicFrame macro="">
          <xdr:nvGraphicFramePr>
            <xdr:cNvPr id="64" name="Wilayah">
              <a:extLst>
                <a:ext uri="{FF2B5EF4-FFF2-40B4-BE49-F238E27FC236}">
                  <a16:creationId xmlns:a16="http://schemas.microsoft.com/office/drawing/2014/main" id="{FB4E25B7-9932-48A9-9020-8B7B461D7EAA}"/>
                </a:ext>
              </a:extLst>
            </xdr:cNvPr>
            <xdr:cNvGraphicFramePr/>
          </xdr:nvGraphicFramePr>
          <xdr:xfrm>
            <a:off x="0" y="0"/>
            <a:ext cx="0" cy="0"/>
          </xdr:xfrm>
          <a:graphic>
            <a:graphicData uri="http://schemas.microsoft.com/office/drawing/2010/slicer">
              <sle:slicer xmlns:sle="http://schemas.microsoft.com/office/drawing/2010/slicer" name="Wilayah"/>
            </a:graphicData>
          </a:graphic>
        </xdr:graphicFrame>
      </mc:Choice>
      <mc:Fallback xmlns="">
        <xdr:sp macro="" textlink="">
          <xdr:nvSpPr>
            <xdr:cNvPr id="0" name=""/>
            <xdr:cNvSpPr>
              <a:spLocks noTextEdit="1"/>
            </xdr:cNvSpPr>
          </xdr:nvSpPr>
          <xdr:spPr>
            <a:xfrm>
              <a:off x="17272000" y="5854700"/>
              <a:ext cx="2134600" cy="23209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396372</xdr:colOff>
      <xdr:row>6</xdr:row>
      <xdr:rowOff>59797</xdr:rowOff>
    </xdr:from>
    <xdr:to>
      <xdr:col>12</xdr:col>
      <xdr:colOff>251127</xdr:colOff>
      <xdr:row>11</xdr:row>
      <xdr:rowOff>37571</xdr:rowOff>
    </xdr:to>
    <xdr:grpSp>
      <xdr:nvGrpSpPr>
        <xdr:cNvPr id="80" name="Group 79">
          <a:extLst>
            <a:ext uri="{FF2B5EF4-FFF2-40B4-BE49-F238E27FC236}">
              <a16:creationId xmlns:a16="http://schemas.microsoft.com/office/drawing/2014/main" id="{005B67B5-B22C-452D-A1F0-732517298EB6}"/>
            </a:ext>
          </a:extLst>
        </xdr:cNvPr>
        <xdr:cNvGrpSpPr/>
      </xdr:nvGrpSpPr>
      <xdr:grpSpPr>
        <a:xfrm>
          <a:off x="5245463" y="1202797"/>
          <a:ext cx="2279300" cy="930274"/>
          <a:chOff x="1062984" y="747712"/>
          <a:chExt cx="2308642" cy="930274"/>
        </a:xfrm>
        <a:effectLst>
          <a:outerShdw blurRad="63500" sx="102000" sy="102000" algn="ctr" rotWithShape="0">
            <a:prstClr val="black">
              <a:alpha val="40000"/>
            </a:prstClr>
          </a:outerShdw>
        </a:effectLst>
      </xdr:grpSpPr>
      <xdr:sp macro="" textlink="$C$1048575">
        <xdr:nvSpPr>
          <xdr:cNvPr id="86" name="TextBox 85">
            <a:extLst>
              <a:ext uri="{FF2B5EF4-FFF2-40B4-BE49-F238E27FC236}">
                <a16:creationId xmlns:a16="http://schemas.microsoft.com/office/drawing/2014/main" id="{2BAD34C0-1586-4B48-A2D2-3AD6E25A10A7}"/>
              </a:ext>
            </a:extLst>
          </xdr:cNvPr>
          <xdr:cNvSpPr txBox="1"/>
        </xdr:nvSpPr>
        <xdr:spPr>
          <a:xfrm>
            <a:off x="1202420" y="747712"/>
            <a:ext cx="2169206"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A489CC7-70F6-4733-BADB-A6B8018E7D5F}" type="TxLink">
              <a:rPr lang="en-US" sz="3600" b="0" i="0" u="none" strike="noStrike">
                <a:solidFill>
                  <a:schemeClr val="bg1"/>
                </a:solidFill>
                <a:latin typeface="Bodoni MT" panose="02070603080606020203" pitchFamily="18" charset="0"/>
                <a:cs typeface="Calibri"/>
              </a:rPr>
              <a:pPr algn="l"/>
              <a:t>40.645</a:t>
            </a:fld>
            <a:endParaRPr lang="en-US" sz="19900" b="1">
              <a:solidFill>
                <a:schemeClr val="bg1"/>
              </a:solidFill>
              <a:latin typeface="Bodoni MT" panose="02070603080606020203" pitchFamily="18" charset="0"/>
            </a:endParaRPr>
          </a:p>
        </xdr:txBody>
      </xdr:sp>
      <xdr:sp macro="" textlink="">
        <xdr:nvSpPr>
          <xdr:cNvPr id="87" name="TextBox 86">
            <a:extLst>
              <a:ext uri="{FF2B5EF4-FFF2-40B4-BE49-F238E27FC236}">
                <a16:creationId xmlns:a16="http://schemas.microsoft.com/office/drawing/2014/main" id="{C22AED48-8382-4BD7-8C93-8BB262684166}"/>
              </a:ext>
            </a:extLst>
          </xdr:cNvPr>
          <xdr:cNvSpPr txBox="1"/>
        </xdr:nvSpPr>
        <xdr:spPr>
          <a:xfrm>
            <a:off x="1062984" y="1083806"/>
            <a:ext cx="901699"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KG</a:t>
            </a:r>
          </a:p>
        </xdr:txBody>
      </xdr:sp>
    </xdr:grpSp>
    <xdr:clientData/>
  </xdr:twoCellAnchor>
  <xdr:twoCellAnchor>
    <xdr:from>
      <xdr:col>8</xdr:col>
      <xdr:colOff>402166</xdr:colOff>
      <xdr:row>6</xdr:row>
      <xdr:rowOff>38100</xdr:rowOff>
    </xdr:from>
    <xdr:to>
      <xdr:col>8</xdr:col>
      <xdr:colOff>573616</xdr:colOff>
      <xdr:row>8</xdr:row>
      <xdr:rowOff>171450</xdr:rowOff>
    </xdr:to>
    <xdr:cxnSp macro="">
      <xdr:nvCxnSpPr>
        <xdr:cNvPr id="4" name="Straight Connector 3">
          <a:extLst>
            <a:ext uri="{FF2B5EF4-FFF2-40B4-BE49-F238E27FC236}">
              <a16:creationId xmlns:a16="http://schemas.microsoft.com/office/drawing/2014/main" id="{34F22192-E369-4F5A-9C85-A2779EA55E12}"/>
            </a:ext>
          </a:extLst>
        </xdr:cNvPr>
        <xdr:cNvCxnSpPr/>
      </xdr:nvCxnSpPr>
      <xdr:spPr>
        <a:xfrm flipH="1">
          <a:off x="5312833" y="1181100"/>
          <a:ext cx="171450" cy="514350"/>
        </a:xfrm>
        <a:prstGeom prst="line">
          <a:avLst/>
        </a:prstGeom>
        <a:ln w="53975">
          <a:solidFill>
            <a:schemeClr val="bg1"/>
          </a:solidFill>
        </a:ln>
        <a:effectLst>
          <a:outerShdw blurRad="63500" sx="102000" sy="102000" algn="c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296334</xdr:colOff>
      <xdr:row>4</xdr:row>
      <xdr:rowOff>127000</xdr:rowOff>
    </xdr:from>
    <xdr:to>
      <xdr:col>4</xdr:col>
      <xdr:colOff>455083</xdr:colOff>
      <xdr:row>11</xdr:row>
      <xdr:rowOff>31750</xdr:rowOff>
    </xdr:to>
    <xdr:sp macro="" textlink="">
      <xdr:nvSpPr>
        <xdr:cNvPr id="2" name="Rectangle 1">
          <a:extLst>
            <a:ext uri="{FF2B5EF4-FFF2-40B4-BE49-F238E27FC236}">
              <a16:creationId xmlns:a16="http://schemas.microsoft.com/office/drawing/2014/main" id="{43FE6C82-56AC-4E9F-B9B7-0898AE3083C4}"/>
            </a:ext>
          </a:extLst>
        </xdr:cNvPr>
        <xdr:cNvSpPr/>
      </xdr:nvSpPr>
      <xdr:spPr>
        <a:xfrm>
          <a:off x="2751667" y="889000"/>
          <a:ext cx="158749" cy="12382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353472</xdr:colOff>
      <xdr:row>4</xdr:row>
      <xdr:rowOff>152401</xdr:rowOff>
    </xdr:from>
    <xdr:to>
      <xdr:col>11</xdr:col>
      <xdr:colOff>512221</xdr:colOff>
      <xdr:row>11</xdr:row>
      <xdr:rowOff>57151</xdr:rowOff>
    </xdr:to>
    <xdr:sp macro="" textlink="">
      <xdr:nvSpPr>
        <xdr:cNvPr id="66" name="Rectangle 65">
          <a:extLst>
            <a:ext uri="{FF2B5EF4-FFF2-40B4-BE49-F238E27FC236}">
              <a16:creationId xmlns:a16="http://schemas.microsoft.com/office/drawing/2014/main" id="{85224708-E0D4-42C5-A899-F21B653CF102}"/>
            </a:ext>
          </a:extLst>
        </xdr:cNvPr>
        <xdr:cNvSpPr/>
      </xdr:nvSpPr>
      <xdr:spPr>
        <a:xfrm>
          <a:off x="7105639" y="914401"/>
          <a:ext cx="158749" cy="12382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17</xdr:col>
      <xdr:colOff>152400</xdr:colOff>
      <xdr:row>7</xdr:row>
      <xdr:rowOff>0</xdr:rowOff>
    </xdr:from>
    <xdr:to>
      <xdr:col>28</xdr:col>
      <xdr:colOff>342900</xdr:colOff>
      <xdr:row>41</xdr:row>
      <xdr:rowOff>76200</xdr:rowOff>
    </xdr:to>
    <xdr:graphicFrame macro="">
      <xdr:nvGraphicFramePr>
        <xdr:cNvPr id="68" name="Chart 67">
          <a:extLst>
            <a:ext uri="{FF2B5EF4-FFF2-40B4-BE49-F238E27FC236}">
              <a16:creationId xmlns:a16="http://schemas.microsoft.com/office/drawing/2014/main" id="{87C2C9C9-FA42-4D49-A2A9-35AAD2075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32</xdr:col>
      <xdr:colOff>285750</xdr:colOff>
      <xdr:row>5</xdr:row>
      <xdr:rowOff>76199</xdr:rowOff>
    </xdr:from>
    <xdr:to>
      <xdr:col>37</xdr:col>
      <xdr:colOff>381000</xdr:colOff>
      <xdr:row>21</xdr:row>
      <xdr:rowOff>114300</xdr:rowOff>
    </xdr:to>
    <mc:AlternateContent xmlns:mc="http://schemas.openxmlformats.org/markup-compatibility/2006" xmlns:a14="http://schemas.microsoft.com/office/drawing/2010/main">
      <mc:Choice Requires="a14">
        <xdr:graphicFrame macro="">
          <xdr:nvGraphicFramePr>
            <xdr:cNvPr id="65" name="Tanggal">
              <a:extLst>
                <a:ext uri="{FF2B5EF4-FFF2-40B4-BE49-F238E27FC236}">
                  <a16:creationId xmlns:a16="http://schemas.microsoft.com/office/drawing/2014/main" id="{CCEB7FBD-C198-412B-BFEE-4115CC99555E}"/>
                </a:ext>
              </a:extLst>
            </xdr:cNvPr>
            <xdr:cNvGraphicFramePr/>
          </xdr:nvGraphicFramePr>
          <xdr:xfrm>
            <a:off x="0" y="0"/>
            <a:ext cx="0" cy="0"/>
          </xdr:xfrm>
          <a:graphic>
            <a:graphicData uri="http://schemas.microsoft.com/office/drawing/2010/slicer">
              <sle:slicer xmlns:sle="http://schemas.microsoft.com/office/drawing/2010/slicer" name="Tanggal"/>
            </a:graphicData>
          </a:graphic>
        </xdr:graphicFrame>
      </mc:Choice>
      <mc:Fallback xmlns="">
        <xdr:sp macro="" textlink="">
          <xdr:nvSpPr>
            <xdr:cNvPr id="0" name=""/>
            <xdr:cNvSpPr>
              <a:spLocks noTextEdit="1"/>
            </xdr:cNvSpPr>
          </xdr:nvSpPr>
          <xdr:spPr>
            <a:xfrm>
              <a:off x="19792950" y="1028699"/>
              <a:ext cx="3143250" cy="234315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517071</xdr:colOff>
      <xdr:row>2</xdr:row>
      <xdr:rowOff>9526</xdr:rowOff>
    </xdr:from>
    <xdr:to>
      <xdr:col>14</xdr:col>
      <xdr:colOff>435429</xdr:colOff>
      <xdr:row>16</xdr:row>
      <xdr:rowOff>142876</xdr:rowOff>
    </xdr:to>
    <xdr:graphicFrame macro="">
      <xdr:nvGraphicFramePr>
        <xdr:cNvPr id="3" name="Chart 2">
          <a:extLst>
            <a:ext uri="{FF2B5EF4-FFF2-40B4-BE49-F238E27FC236}">
              <a16:creationId xmlns:a16="http://schemas.microsoft.com/office/drawing/2014/main" id="{68A76D1C-F66A-413F-941D-0536DE46D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380999</xdr:colOff>
      <xdr:row>2</xdr:row>
      <xdr:rowOff>9524</xdr:rowOff>
    </xdr:from>
    <xdr:to>
      <xdr:col>29</xdr:col>
      <xdr:colOff>367393</xdr:colOff>
      <xdr:row>16</xdr:row>
      <xdr:rowOff>223210</xdr:rowOff>
    </xdr:to>
    <xdr:graphicFrame macro="">
      <xdr:nvGraphicFramePr>
        <xdr:cNvPr id="4" name="Chart 3">
          <a:extLst>
            <a:ext uri="{FF2B5EF4-FFF2-40B4-BE49-F238E27FC236}">
              <a16:creationId xmlns:a16="http://schemas.microsoft.com/office/drawing/2014/main" id="{9E5D6158-A647-4578-B3B4-72A7C80FB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349251</xdr:colOff>
      <xdr:row>17</xdr:row>
      <xdr:rowOff>15876</xdr:rowOff>
    </xdr:from>
    <xdr:to>
      <xdr:col>24</xdr:col>
      <xdr:colOff>127001</xdr:colOff>
      <xdr:row>19</xdr:row>
      <xdr:rowOff>79376</xdr:rowOff>
    </xdr:to>
    <xdr:sp macro="" textlink="">
      <xdr:nvSpPr>
        <xdr:cNvPr id="5" name="TextBox 4">
          <a:extLst>
            <a:ext uri="{FF2B5EF4-FFF2-40B4-BE49-F238E27FC236}">
              <a16:creationId xmlns:a16="http://schemas.microsoft.com/office/drawing/2014/main" id="{C859B429-D66F-48ED-AF41-3E70D7312A8A}"/>
            </a:ext>
          </a:extLst>
        </xdr:cNvPr>
        <xdr:cNvSpPr txBox="1"/>
      </xdr:nvSpPr>
      <xdr:spPr>
        <a:xfrm>
          <a:off x="12652376" y="5238751"/>
          <a:ext cx="3397250" cy="6667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a:latin typeface="Bodoni MT" panose="02070603080606020203" pitchFamily="18" charset="0"/>
            </a:rPr>
            <a:t>*Digunakan untuk dashboard 1: </a:t>
          </a:r>
        </a:p>
        <a:p>
          <a:pPr algn="l"/>
          <a:r>
            <a:rPr lang="en-ID" sz="1800">
              <a:latin typeface="Bodoni MT" panose="02070603080606020203" pitchFamily="18" charset="0"/>
            </a:rPr>
            <a:t>Dinamics</a:t>
          </a:r>
        </a:p>
      </xdr:txBody>
    </xdr:sp>
    <xdr:clientData/>
  </xdr:twoCellAnchor>
  <xdr:twoCellAnchor>
    <xdr:from>
      <xdr:col>3</xdr:col>
      <xdr:colOff>492125</xdr:colOff>
      <xdr:row>17</xdr:row>
      <xdr:rowOff>0</xdr:rowOff>
    </xdr:from>
    <xdr:to>
      <xdr:col>9</xdr:col>
      <xdr:colOff>269875</xdr:colOff>
      <xdr:row>19</xdr:row>
      <xdr:rowOff>63500</xdr:rowOff>
    </xdr:to>
    <xdr:sp macro="" textlink="">
      <xdr:nvSpPr>
        <xdr:cNvPr id="6" name="TextBox 5">
          <a:extLst>
            <a:ext uri="{FF2B5EF4-FFF2-40B4-BE49-F238E27FC236}">
              <a16:creationId xmlns:a16="http://schemas.microsoft.com/office/drawing/2014/main" id="{C61ECF31-8B0C-4485-BB8A-F98DA8A29683}"/>
            </a:ext>
          </a:extLst>
        </xdr:cNvPr>
        <xdr:cNvSpPr txBox="1"/>
      </xdr:nvSpPr>
      <xdr:spPr>
        <a:xfrm>
          <a:off x="3175000" y="5222875"/>
          <a:ext cx="3397250" cy="6667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a:latin typeface="Bodoni MT" panose="02070603080606020203" pitchFamily="18" charset="0"/>
            </a:rPr>
            <a:t>*Digunakan untuk dashboard 1: </a:t>
          </a:r>
        </a:p>
        <a:p>
          <a:pPr algn="l"/>
          <a:r>
            <a:rPr lang="en-ID" sz="1800">
              <a:latin typeface="Bodoni MT" panose="02070603080606020203" pitchFamily="18" charset="0"/>
            </a:rPr>
            <a:t>Dinamics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545307</xdr:colOff>
      <xdr:row>1</xdr:row>
      <xdr:rowOff>9524</xdr:rowOff>
    </xdr:from>
    <xdr:to>
      <xdr:col>16</xdr:col>
      <xdr:colOff>547688</xdr:colOff>
      <xdr:row>15</xdr:row>
      <xdr:rowOff>19049</xdr:rowOff>
    </xdr:to>
    <xdr:graphicFrame macro="">
      <xdr:nvGraphicFramePr>
        <xdr:cNvPr id="5" name="Chart 4">
          <a:extLst>
            <a:ext uri="{FF2B5EF4-FFF2-40B4-BE49-F238E27FC236}">
              <a16:creationId xmlns:a16="http://schemas.microsoft.com/office/drawing/2014/main" id="{EDD2F3A9-1CCE-4FBD-B17B-C3BD2FEDE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6</xdr:row>
      <xdr:rowOff>57151</xdr:rowOff>
    </xdr:from>
    <xdr:to>
      <xdr:col>19</xdr:col>
      <xdr:colOff>638175</xdr:colOff>
      <xdr:row>10</xdr:row>
      <xdr:rowOff>238125</xdr:rowOff>
    </xdr:to>
    <mc:AlternateContent xmlns:mc="http://schemas.openxmlformats.org/markup-compatibility/2006" xmlns:a14="http://schemas.microsoft.com/office/drawing/2010/main">
      <mc:Choice Requires="a14">
        <xdr:graphicFrame macro="">
          <xdr:nvGraphicFramePr>
            <xdr:cNvPr id="6" name="Bulan 1">
              <a:extLst>
                <a:ext uri="{FF2B5EF4-FFF2-40B4-BE49-F238E27FC236}">
                  <a16:creationId xmlns:a16="http://schemas.microsoft.com/office/drawing/2014/main" id="{8FA8448B-40A7-4000-BF82-81EB41CB5A23}"/>
                </a:ext>
              </a:extLst>
            </xdr:cNvPr>
            <xdr:cNvGraphicFramePr/>
          </xdr:nvGraphicFramePr>
          <xdr:xfrm>
            <a:off x="0" y="0"/>
            <a:ext cx="0" cy="0"/>
          </xdr:xfrm>
          <a:graphic>
            <a:graphicData uri="http://schemas.microsoft.com/office/drawing/2010/slicer">
              <sle:slicer xmlns:sle="http://schemas.microsoft.com/office/drawing/2010/slicer" name="Bulan 1"/>
            </a:graphicData>
          </a:graphic>
        </xdr:graphicFrame>
      </mc:Choice>
      <mc:Fallback xmlns="">
        <xdr:sp macro="" textlink="">
          <xdr:nvSpPr>
            <xdr:cNvPr id="0" name=""/>
            <xdr:cNvSpPr>
              <a:spLocks noTextEdit="1"/>
            </xdr:cNvSpPr>
          </xdr:nvSpPr>
          <xdr:spPr>
            <a:xfrm>
              <a:off x="15192375" y="1604964"/>
              <a:ext cx="1828800" cy="12287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28575</xdr:colOff>
      <xdr:row>2</xdr:row>
      <xdr:rowOff>0</xdr:rowOff>
    </xdr:from>
    <xdr:to>
      <xdr:col>27</xdr:col>
      <xdr:colOff>0</xdr:colOff>
      <xdr:row>12</xdr:row>
      <xdr:rowOff>76200</xdr:rowOff>
    </xdr:to>
    <xdr:graphicFrame macro="">
      <xdr:nvGraphicFramePr>
        <xdr:cNvPr id="7" name="Chart 6">
          <a:extLst>
            <a:ext uri="{FF2B5EF4-FFF2-40B4-BE49-F238E27FC236}">
              <a16:creationId xmlns:a16="http://schemas.microsoft.com/office/drawing/2014/main" id="{28F21A1D-D5EC-48BE-8141-EE146BCFF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552450</xdr:colOff>
      <xdr:row>5</xdr:row>
      <xdr:rowOff>0</xdr:rowOff>
    </xdr:from>
    <xdr:to>
      <xdr:col>25</xdr:col>
      <xdr:colOff>133350</xdr:colOff>
      <xdr:row>7</xdr:row>
      <xdr:rowOff>19050</xdr:rowOff>
    </xdr:to>
    <xdr:sp macro="" textlink="$U$4">
      <xdr:nvSpPr>
        <xdr:cNvPr id="8" name="TextBox 7">
          <a:extLst>
            <a:ext uri="{FF2B5EF4-FFF2-40B4-BE49-F238E27FC236}">
              <a16:creationId xmlns:a16="http://schemas.microsoft.com/office/drawing/2014/main" id="{E066BBE5-DDF6-4CDC-835A-B92E7411B247}"/>
            </a:ext>
          </a:extLst>
        </xdr:cNvPr>
        <xdr:cNvSpPr txBox="1"/>
      </xdr:nvSpPr>
      <xdr:spPr>
        <a:xfrm>
          <a:off x="18935700" y="1257300"/>
          <a:ext cx="1409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07402AE-2610-4462-9EDA-336E3112F1BC}" type="TxLink">
            <a:rPr lang="en-US" sz="4800" b="1" i="0" u="none" strike="noStrike">
              <a:solidFill>
                <a:schemeClr val="bg1"/>
              </a:solidFill>
              <a:latin typeface="Bodoni MT"/>
            </a:rPr>
            <a:pPr/>
            <a:t>#REF!</a:t>
          </a:fld>
          <a:endParaRPr lang="en-ID" sz="3600">
            <a:solidFill>
              <a:schemeClr val="bg1"/>
            </a:solidFill>
          </a:endParaRPr>
        </a:p>
      </xdr:txBody>
    </xdr:sp>
    <xdr:clientData/>
  </xdr:twoCellAnchor>
  <xdr:twoCellAnchor>
    <xdr:from>
      <xdr:col>22</xdr:col>
      <xdr:colOff>438150</xdr:colOff>
      <xdr:row>7</xdr:row>
      <xdr:rowOff>66675</xdr:rowOff>
    </xdr:from>
    <xdr:to>
      <xdr:col>25</xdr:col>
      <xdr:colOff>190500</xdr:colOff>
      <xdr:row>7</xdr:row>
      <xdr:rowOff>112394</xdr:rowOff>
    </xdr:to>
    <xdr:sp macro="" textlink="">
      <xdr:nvSpPr>
        <xdr:cNvPr id="9" name="Rectangle 8">
          <a:extLst>
            <a:ext uri="{FF2B5EF4-FFF2-40B4-BE49-F238E27FC236}">
              <a16:creationId xmlns:a16="http://schemas.microsoft.com/office/drawing/2014/main" id="{3499312B-68AE-4282-ADB1-751FF2565052}"/>
            </a:ext>
          </a:extLst>
        </xdr:cNvPr>
        <xdr:cNvSpPr/>
      </xdr:nvSpPr>
      <xdr:spPr>
        <a:xfrm>
          <a:off x="18821400" y="1857375"/>
          <a:ext cx="1581150" cy="4571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22</xdr:col>
      <xdr:colOff>561975</xdr:colOff>
      <xdr:row>7</xdr:row>
      <xdr:rowOff>85725</xdr:rowOff>
    </xdr:from>
    <xdr:to>
      <xdr:col>25</xdr:col>
      <xdr:colOff>142875</xdr:colOff>
      <xdr:row>9</xdr:row>
      <xdr:rowOff>104775</xdr:rowOff>
    </xdr:to>
    <xdr:sp macro="" textlink="$T$4">
      <xdr:nvSpPr>
        <xdr:cNvPr id="10" name="TextBox 9">
          <a:extLst>
            <a:ext uri="{FF2B5EF4-FFF2-40B4-BE49-F238E27FC236}">
              <a16:creationId xmlns:a16="http://schemas.microsoft.com/office/drawing/2014/main" id="{51583201-77E7-46EE-B00E-E44C4B245D43}"/>
            </a:ext>
          </a:extLst>
        </xdr:cNvPr>
        <xdr:cNvSpPr txBox="1"/>
      </xdr:nvSpPr>
      <xdr:spPr>
        <a:xfrm>
          <a:off x="18945225" y="1876425"/>
          <a:ext cx="1409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5076A96-356E-40F9-B416-197A9FA9770D}" type="TxLink">
            <a:rPr lang="en-US" sz="3200" b="0" i="0" u="none" strike="noStrike">
              <a:solidFill>
                <a:schemeClr val="bg1"/>
              </a:solidFill>
              <a:latin typeface="Bodoni MT"/>
            </a:rPr>
            <a:pPr/>
            <a:t>#REF!</a:t>
          </a:fld>
          <a:endParaRPr lang="en-ID" sz="6600">
            <a:solidFill>
              <a:schemeClr val="bg1"/>
            </a:solidFill>
          </a:endParaRPr>
        </a:p>
      </xdr:txBody>
    </xdr:sp>
    <xdr:clientData/>
  </xdr:twoCellAnchor>
  <xdr:twoCellAnchor>
    <xdr:from>
      <xdr:col>23</xdr:col>
      <xdr:colOff>381000</xdr:colOff>
      <xdr:row>8</xdr:row>
      <xdr:rowOff>219075</xdr:rowOff>
    </xdr:from>
    <xdr:to>
      <xdr:col>24</xdr:col>
      <xdr:colOff>323850</xdr:colOff>
      <xdr:row>10</xdr:row>
      <xdr:rowOff>0</xdr:rowOff>
    </xdr:to>
    <xdr:sp macro="" textlink="">
      <xdr:nvSpPr>
        <xdr:cNvPr id="11" name="TextBox 10">
          <a:extLst>
            <a:ext uri="{FF2B5EF4-FFF2-40B4-BE49-F238E27FC236}">
              <a16:creationId xmlns:a16="http://schemas.microsoft.com/office/drawing/2014/main" id="{50CB0921-C5D4-46DF-9AE6-70240F46CED8}"/>
            </a:ext>
          </a:extLst>
        </xdr:cNvPr>
        <xdr:cNvSpPr txBox="1"/>
      </xdr:nvSpPr>
      <xdr:spPr>
        <a:xfrm>
          <a:off x="19373850" y="2276475"/>
          <a:ext cx="552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0" i="0" u="none" strike="noStrike">
              <a:solidFill>
                <a:schemeClr val="bg1"/>
              </a:solidFill>
              <a:latin typeface="Bodoni MT"/>
            </a:rPr>
            <a:t>KG</a:t>
          </a:r>
        </a:p>
      </xdr:txBody>
    </xdr:sp>
    <xdr:clientData/>
  </xdr:twoCellAnchor>
  <xdr:twoCellAnchor>
    <xdr:from>
      <xdr:col>34</xdr:col>
      <xdr:colOff>16644</xdr:colOff>
      <xdr:row>2</xdr:row>
      <xdr:rowOff>16669</xdr:rowOff>
    </xdr:from>
    <xdr:to>
      <xdr:col>39</xdr:col>
      <xdr:colOff>595289</xdr:colOff>
      <xdr:row>12</xdr:row>
      <xdr:rowOff>92869</xdr:rowOff>
    </xdr:to>
    <xdr:graphicFrame macro="">
      <xdr:nvGraphicFramePr>
        <xdr:cNvPr id="13" name="Chart 12">
          <a:extLst>
            <a:ext uri="{FF2B5EF4-FFF2-40B4-BE49-F238E27FC236}">
              <a16:creationId xmlns:a16="http://schemas.microsoft.com/office/drawing/2014/main" id="{FA79B13A-589C-40E1-B9C0-35C7A8F4C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540520</xdr:colOff>
      <xdr:row>5</xdr:row>
      <xdr:rowOff>16669</xdr:rowOff>
    </xdr:from>
    <xdr:to>
      <xdr:col>38</xdr:col>
      <xdr:colOff>121419</xdr:colOff>
      <xdr:row>7</xdr:row>
      <xdr:rowOff>35719</xdr:rowOff>
    </xdr:to>
    <xdr:sp macro="" textlink="$AH$4">
      <xdr:nvSpPr>
        <xdr:cNvPr id="14" name="TextBox 13">
          <a:extLst>
            <a:ext uri="{FF2B5EF4-FFF2-40B4-BE49-F238E27FC236}">
              <a16:creationId xmlns:a16="http://schemas.microsoft.com/office/drawing/2014/main" id="{8F3A3E74-D020-4A36-93F5-A2640FF01696}"/>
            </a:ext>
          </a:extLst>
        </xdr:cNvPr>
        <xdr:cNvSpPr txBox="1"/>
      </xdr:nvSpPr>
      <xdr:spPr>
        <a:xfrm>
          <a:off x="26317551" y="1302544"/>
          <a:ext cx="1402556"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1DB105-1FBA-4D1D-9032-4AF446D5A8D5}" type="TxLink">
            <a:rPr lang="en-US" sz="4800" b="1" i="0" u="none" strike="noStrike">
              <a:solidFill>
                <a:schemeClr val="bg1"/>
              </a:solidFill>
              <a:latin typeface="Bodoni MT"/>
            </a:rPr>
            <a:pPr algn="ctr"/>
            <a:t>#REF!</a:t>
          </a:fld>
          <a:endParaRPr lang="en-ID" sz="8800">
            <a:solidFill>
              <a:schemeClr val="bg1"/>
            </a:solidFill>
          </a:endParaRPr>
        </a:p>
      </xdr:txBody>
    </xdr:sp>
    <xdr:clientData/>
  </xdr:twoCellAnchor>
  <xdr:twoCellAnchor>
    <xdr:from>
      <xdr:col>35</xdr:col>
      <xdr:colOff>426220</xdr:colOff>
      <xdr:row>7</xdr:row>
      <xdr:rowOff>83344</xdr:rowOff>
    </xdr:from>
    <xdr:to>
      <xdr:col>38</xdr:col>
      <xdr:colOff>178569</xdr:colOff>
      <xdr:row>7</xdr:row>
      <xdr:rowOff>129063</xdr:rowOff>
    </xdr:to>
    <xdr:sp macro="" textlink="">
      <xdr:nvSpPr>
        <xdr:cNvPr id="15" name="Rectangle 14">
          <a:extLst>
            <a:ext uri="{FF2B5EF4-FFF2-40B4-BE49-F238E27FC236}">
              <a16:creationId xmlns:a16="http://schemas.microsoft.com/office/drawing/2014/main" id="{064DD90F-093D-4661-83E4-4CBE70DB3F02}"/>
            </a:ext>
          </a:extLst>
        </xdr:cNvPr>
        <xdr:cNvSpPr/>
      </xdr:nvSpPr>
      <xdr:spPr>
        <a:xfrm>
          <a:off x="26203251" y="1893094"/>
          <a:ext cx="1574006" cy="4571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35</xdr:col>
      <xdr:colOff>550045</xdr:colOff>
      <xdr:row>7</xdr:row>
      <xdr:rowOff>102394</xdr:rowOff>
    </xdr:from>
    <xdr:to>
      <xdr:col>38</xdr:col>
      <xdr:colOff>130944</xdr:colOff>
      <xdr:row>9</xdr:row>
      <xdr:rowOff>121444</xdr:rowOff>
    </xdr:to>
    <xdr:sp macro="" textlink="$AG$4">
      <xdr:nvSpPr>
        <xdr:cNvPr id="16" name="TextBox 15">
          <a:extLst>
            <a:ext uri="{FF2B5EF4-FFF2-40B4-BE49-F238E27FC236}">
              <a16:creationId xmlns:a16="http://schemas.microsoft.com/office/drawing/2014/main" id="{BFAAA1F0-F950-47D5-AEAF-FD83304CD1D4}"/>
            </a:ext>
          </a:extLst>
        </xdr:cNvPr>
        <xdr:cNvSpPr txBox="1"/>
      </xdr:nvSpPr>
      <xdr:spPr>
        <a:xfrm>
          <a:off x="26327076" y="1912144"/>
          <a:ext cx="1402556"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4BC246-6414-4F1E-A5EF-B68B4FB2277F}" type="TxLink">
            <a:rPr lang="en-US" sz="2800" b="0" i="0" u="none" strike="noStrike">
              <a:solidFill>
                <a:schemeClr val="bg1"/>
              </a:solidFill>
              <a:latin typeface="Bodoni MT"/>
            </a:rPr>
            <a:pPr algn="ctr"/>
            <a:t>#REF!</a:t>
          </a:fld>
          <a:endParaRPr lang="en-ID" sz="11500">
            <a:solidFill>
              <a:schemeClr val="bg1"/>
            </a:solidFill>
          </a:endParaRPr>
        </a:p>
      </xdr:txBody>
    </xdr:sp>
    <xdr:clientData/>
  </xdr:twoCellAnchor>
  <xdr:twoCellAnchor>
    <xdr:from>
      <xdr:col>36</xdr:col>
      <xdr:colOff>369070</xdr:colOff>
      <xdr:row>8</xdr:row>
      <xdr:rowOff>235744</xdr:rowOff>
    </xdr:from>
    <xdr:to>
      <xdr:col>37</xdr:col>
      <xdr:colOff>311920</xdr:colOff>
      <xdr:row>10</xdr:row>
      <xdr:rowOff>16669</xdr:rowOff>
    </xdr:to>
    <xdr:sp macro="" textlink="">
      <xdr:nvSpPr>
        <xdr:cNvPr id="17" name="TextBox 16">
          <a:extLst>
            <a:ext uri="{FF2B5EF4-FFF2-40B4-BE49-F238E27FC236}">
              <a16:creationId xmlns:a16="http://schemas.microsoft.com/office/drawing/2014/main" id="{4CF74A61-9212-4A7E-82C5-4A6131240FFC}"/>
            </a:ext>
          </a:extLst>
        </xdr:cNvPr>
        <xdr:cNvSpPr txBox="1"/>
      </xdr:nvSpPr>
      <xdr:spPr>
        <a:xfrm>
          <a:off x="26753320" y="2307432"/>
          <a:ext cx="55006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0" i="0" u="none" strike="noStrike">
              <a:solidFill>
                <a:schemeClr val="bg1"/>
              </a:solidFill>
              <a:latin typeface="Bodoni MT"/>
            </a:rPr>
            <a:t>KG</a:t>
          </a:r>
        </a:p>
      </xdr:txBody>
    </xdr:sp>
    <xdr:clientData/>
  </xdr:twoCellAnchor>
  <xdr:twoCellAnchor>
    <xdr:from>
      <xdr:col>8</xdr:col>
      <xdr:colOff>547687</xdr:colOff>
      <xdr:row>15</xdr:row>
      <xdr:rowOff>130968</xdr:rowOff>
    </xdr:from>
    <xdr:to>
      <xdr:col>13</xdr:col>
      <xdr:colOff>83343</xdr:colOff>
      <xdr:row>18</xdr:row>
      <xdr:rowOff>130966</xdr:rowOff>
    </xdr:to>
    <xdr:sp macro="" textlink="">
      <xdr:nvSpPr>
        <xdr:cNvPr id="19" name="TextBox 18">
          <a:extLst>
            <a:ext uri="{FF2B5EF4-FFF2-40B4-BE49-F238E27FC236}">
              <a16:creationId xmlns:a16="http://schemas.microsoft.com/office/drawing/2014/main" id="{DA2153A5-BBD9-4B79-894A-D8CF57060804}"/>
            </a:ext>
          </a:extLst>
        </xdr:cNvPr>
        <xdr:cNvSpPr txBox="1"/>
      </xdr:nvSpPr>
      <xdr:spPr>
        <a:xfrm>
          <a:off x="9667875" y="3964781"/>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3: Actual vs Target</a:t>
          </a:r>
        </a:p>
      </xdr:txBody>
    </xdr:sp>
    <xdr:clientData/>
  </xdr:twoCellAnchor>
  <xdr:twoCellAnchor>
    <xdr:from>
      <xdr:col>21</xdr:col>
      <xdr:colOff>69056</xdr:colOff>
      <xdr:row>12</xdr:row>
      <xdr:rowOff>176212</xdr:rowOff>
    </xdr:from>
    <xdr:to>
      <xdr:col>25</xdr:col>
      <xdr:colOff>211930</xdr:colOff>
      <xdr:row>15</xdr:row>
      <xdr:rowOff>33335</xdr:rowOff>
    </xdr:to>
    <xdr:sp macro="" textlink="">
      <xdr:nvSpPr>
        <xdr:cNvPr id="20" name="TextBox 19">
          <a:extLst>
            <a:ext uri="{FF2B5EF4-FFF2-40B4-BE49-F238E27FC236}">
              <a16:creationId xmlns:a16="http://schemas.microsoft.com/office/drawing/2014/main" id="{1368E782-2466-4D7E-A6CB-0B36053E895D}"/>
            </a:ext>
          </a:extLst>
        </xdr:cNvPr>
        <xdr:cNvSpPr txBox="1"/>
      </xdr:nvSpPr>
      <xdr:spPr>
        <a:xfrm>
          <a:off x="18249900" y="3295650"/>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3: Monthly Target Achievement</a:t>
          </a:r>
        </a:p>
      </xdr:txBody>
    </xdr:sp>
    <xdr:clientData/>
  </xdr:twoCellAnchor>
  <xdr:twoCellAnchor>
    <xdr:from>
      <xdr:col>34</xdr:col>
      <xdr:colOff>-1</xdr:colOff>
      <xdr:row>12</xdr:row>
      <xdr:rowOff>238125</xdr:rowOff>
    </xdr:from>
    <xdr:to>
      <xdr:col>38</xdr:col>
      <xdr:colOff>142873</xdr:colOff>
      <xdr:row>15</xdr:row>
      <xdr:rowOff>95248</xdr:rowOff>
    </xdr:to>
    <xdr:sp macro="" textlink="">
      <xdr:nvSpPr>
        <xdr:cNvPr id="21" name="TextBox 20">
          <a:extLst>
            <a:ext uri="{FF2B5EF4-FFF2-40B4-BE49-F238E27FC236}">
              <a16:creationId xmlns:a16="http://schemas.microsoft.com/office/drawing/2014/main" id="{FF8C2819-A397-47C0-A2E0-D5E6DD455E2F}"/>
            </a:ext>
          </a:extLst>
        </xdr:cNvPr>
        <xdr:cNvSpPr txBox="1"/>
      </xdr:nvSpPr>
      <xdr:spPr>
        <a:xfrm>
          <a:off x="28408312" y="3357563"/>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3: Annual Target Achievement</a:t>
          </a:r>
        </a:p>
      </xdr:txBody>
    </xdr:sp>
    <xdr:clientData/>
  </xdr:twoCellAnchor>
  <xdr:twoCellAnchor>
    <xdr:from>
      <xdr:col>43</xdr:col>
      <xdr:colOff>267892</xdr:colOff>
      <xdr:row>6</xdr:row>
      <xdr:rowOff>188118</xdr:rowOff>
    </xdr:from>
    <xdr:to>
      <xdr:col>50</xdr:col>
      <xdr:colOff>107157</xdr:colOff>
      <xdr:row>18</xdr:row>
      <xdr:rowOff>2381</xdr:rowOff>
    </xdr:to>
    <xdr:graphicFrame macro="">
      <xdr:nvGraphicFramePr>
        <xdr:cNvPr id="2" name="Chart 1">
          <a:extLst>
            <a:ext uri="{FF2B5EF4-FFF2-40B4-BE49-F238E27FC236}">
              <a16:creationId xmlns:a16="http://schemas.microsoft.com/office/drawing/2014/main" id="{CDF74748-B884-4118-B181-06E1E3930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54</xdr:col>
      <xdr:colOff>89296</xdr:colOff>
      <xdr:row>10</xdr:row>
      <xdr:rowOff>128587</xdr:rowOff>
    </xdr:from>
    <xdr:to>
      <xdr:col>61</xdr:col>
      <xdr:colOff>410765</xdr:colOff>
      <xdr:row>23</xdr:row>
      <xdr:rowOff>38100</xdr:rowOff>
    </xdr:to>
    <xdr:graphicFrame macro="">
      <xdr:nvGraphicFramePr>
        <xdr:cNvPr id="3" name="Chart 2">
          <a:extLst>
            <a:ext uri="{FF2B5EF4-FFF2-40B4-BE49-F238E27FC236}">
              <a16:creationId xmlns:a16="http://schemas.microsoft.com/office/drawing/2014/main" id="{66778607-8600-4DE5-A3A1-8070280F7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57</xdr:col>
      <xdr:colOff>160734</xdr:colOff>
      <xdr:row>2</xdr:row>
      <xdr:rowOff>9525</xdr:rowOff>
    </xdr:from>
    <xdr:to>
      <xdr:col>61</xdr:col>
      <xdr:colOff>333375</xdr:colOff>
      <xdr:row>10</xdr:row>
      <xdr:rowOff>-1</xdr:rowOff>
    </xdr:to>
    <xdr:graphicFrame macro="">
      <xdr:nvGraphicFramePr>
        <xdr:cNvPr id="4" name="Chart 3">
          <a:extLst>
            <a:ext uri="{FF2B5EF4-FFF2-40B4-BE49-F238E27FC236}">
              <a16:creationId xmlns:a16="http://schemas.microsoft.com/office/drawing/2014/main" id="{4061A61D-7A4D-4F85-A4EB-A71D53B8A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458391</xdr:colOff>
      <xdr:row>9</xdr:row>
      <xdr:rowOff>69056</xdr:rowOff>
    </xdr:from>
    <xdr:to>
      <xdr:col>74</xdr:col>
      <xdr:colOff>172641</xdr:colOff>
      <xdr:row>21</xdr:row>
      <xdr:rowOff>97631</xdr:rowOff>
    </xdr:to>
    <xdr:graphicFrame macro="">
      <xdr:nvGraphicFramePr>
        <xdr:cNvPr id="12" name="Chart 11">
          <a:extLst>
            <a:ext uri="{FF2B5EF4-FFF2-40B4-BE49-F238E27FC236}">
              <a16:creationId xmlns:a16="http://schemas.microsoft.com/office/drawing/2014/main" id="{236B7BFC-8491-45C8-8107-F9FC91907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69</xdr:col>
      <xdr:colOff>125015</xdr:colOff>
      <xdr:row>1</xdr:row>
      <xdr:rowOff>235743</xdr:rowOff>
    </xdr:from>
    <xdr:to>
      <xdr:col>72</xdr:col>
      <xdr:colOff>500062</xdr:colOff>
      <xdr:row>8</xdr:row>
      <xdr:rowOff>261936</xdr:rowOff>
    </xdr:to>
    <xdr:graphicFrame macro="">
      <xdr:nvGraphicFramePr>
        <xdr:cNvPr id="18" name="Chart 17">
          <a:extLst>
            <a:ext uri="{FF2B5EF4-FFF2-40B4-BE49-F238E27FC236}">
              <a16:creationId xmlns:a16="http://schemas.microsoft.com/office/drawing/2014/main" id="{DA92DB35-D860-4B32-BF79-E5757F42D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78</xdr:col>
      <xdr:colOff>279795</xdr:colOff>
      <xdr:row>2</xdr:row>
      <xdr:rowOff>9525</xdr:rowOff>
    </xdr:from>
    <xdr:to>
      <xdr:col>88</xdr:col>
      <xdr:colOff>178593</xdr:colOff>
      <xdr:row>15</xdr:row>
      <xdr:rowOff>35717</xdr:rowOff>
    </xdr:to>
    <xdr:graphicFrame macro="">
      <xdr:nvGraphicFramePr>
        <xdr:cNvPr id="22" name="Chart 21">
          <a:extLst>
            <a:ext uri="{FF2B5EF4-FFF2-40B4-BE49-F238E27FC236}">
              <a16:creationId xmlns:a16="http://schemas.microsoft.com/office/drawing/2014/main" id="{E3472D80-5EE3-407D-BBEC-7EDC10319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58</xdr:col>
      <xdr:colOff>185738</xdr:colOff>
      <xdr:row>3</xdr:row>
      <xdr:rowOff>71439</xdr:rowOff>
    </xdr:from>
    <xdr:to>
      <xdr:col>60</xdr:col>
      <xdr:colOff>373855</xdr:colOff>
      <xdr:row>5</xdr:row>
      <xdr:rowOff>90489</xdr:rowOff>
    </xdr:to>
    <xdr:sp macro="" textlink="$BF$1">
      <xdr:nvSpPr>
        <xdr:cNvPr id="23" name="TextBox 22">
          <a:extLst>
            <a:ext uri="{FF2B5EF4-FFF2-40B4-BE49-F238E27FC236}">
              <a16:creationId xmlns:a16="http://schemas.microsoft.com/office/drawing/2014/main" id="{E3411AEF-0520-4F8B-8A07-3B092A0E0D21}"/>
            </a:ext>
          </a:extLst>
        </xdr:cNvPr>
        <xdr:cNvSpPr txBox="1"/>
      </xdr:nvSpPr>
      <xdr:spPr>
        <a:xfrm>
          <a:off x="46512957" y="1095377"/>
          <a:ext cx="140255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7F5D2D-FC80-4824-AC86-93527BD8EC1B}" type="TxLink">
            <a:rPr lang="en-US" sz="3600" b="1" i="0" u="none" strike="noStrike">
              <a:solidFill>
                <a:schemeClr val="bg1"/>
              </a:solidFill>
              <a:latin typeface="Bodoni MT" panose="02070603080606020203" pitchFamily="18" charset="0"/>
              <a:cs typeface="Calibri"/>
            </a:rPr>
            <a:pPr algn="ctr"/>
            <a:t>39%</a:t>
          </a:fld>
          <a:endParaRPr lang="en-ID" sz="23900">
            <a:solidFill>
              <a:schemeClr val="bg1"/>
            </a:solidFill>
            <a:latin typeface="Bodoni MT" panose="02070603080606020203" pitchFamily="18" charset="0"/>
          </a:endParaRPr>
        </a:p>
      </xdr:txBody>
    </xdr:sp>
    <xdr:clientData/>
  </xdr:twoCellAnchor>
  <xdr:twoCellAnchor>
    <xdr:from>
      <xdr:col>58</xdr:col>
      <xdr:colOff>357189</xdr:colOff>
      <xdr:row>5</xdr:row>
      <xdr:rowOff>54771</xdr:rowOff>
    </xdr:from>
    <xdr:to>
      <xdr:col>60</xdr:col>
      <xdr:colOff>157162</xdr:colOff>
      <xdr:row>5</xdr:row>
      <xdr:rowOff>100490</xdr:rowOff>
    </xdr:to>
    <xdr:sp macro="" textlink="">
      <xdr:nvSpPr>
        <xdr:cNvPr id="24" name="Rectangle 23">
          <a:extLst>
            <a:ext uri="{FF2B5EF4-FFF2-40B4-BE49-F238E27FC236}">
              <a16:creationId xmlns:a16="http://schemas.microsoft.com/office/drawing/2014/main" id="{2E109665-4B4A-45C2-AD41-94420BBA75E4}"/>
            </a:ext>
          </a:extLst>
        </xdr:cNvPr>
        <xdr:cNvSpPr/>
      </xdr:nvSpPr>
      <xdr:spPr>
        <a:xfrm>
          <a:off x="46684408" y="1602584"/>
          <a:ext cx="1014410" cy="4571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58</xdr:col>
      <xdr:colOff>183357</xdr:colOff>
      <xdr:row>4</xdr:row>
      <xdr:rowOff>240506</xdr:rowOff>
    </xdr:from>
    <xdr:to>
      <xdr:col>60</xdr:col>
      <xdr:colOff>371474</xdr:colOff>
      <xdr:row>6</xdr:row>
      <xdr:rowOff>259556</xdr:rowOff>
    </xdr:to>
    <xdr:sp macro="" textlink="$BE$4">
      <xdr:nvSpPr>
        <xdr:cNvPr id="25" name="TextBox 24">
          <a:extLst>
            <a:ext uri="{FF2B5EF4-FFF2-40B4-BE49-F238E27FC236}">
              <a16:creationId xmlns:a16="http://schemas.microsoft.com/office/drawing/2014/main" id="{D8BE6717-3D75-4B19-A644-00589DF90AD5}"/>
            </a:ext>
          </a:extLst>
        </xdr:cNvPr>
        <xdr:cNvSpPr txBox="1"/>
      </xdr:nvSpPr>
      <xdr:spPr>
        <a:xfrm>
          <a:off x="46510576" y="1526381"/>
          <a:ext cx="140255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6582FE-D282-41B7-B2B0-88FAB77E1968}" type="TxLink">
            <a:rPr lang="en-US" sz="2000" b="1" i="0" u="none" strike="noStrike">
              <a:solidFill>
                <a:schemeClr val="bg1"/>
              </a:solidFill>
              <a:latin typeface="Bodoni MT"/>
            </a:rPr>
            <a:pPr algn="ctr"/>
            <a:t>40645,47</a:t>
          </a:fld>
          <a:endParaRPr lang="en-ID" sz="19900" b="1">
            <a:solidFill>
              <a:schemeClr val="bg1"/>
            </a:solidFill>
          </a:endParaRPr>
        </a:p>
      </xdr:txBody>
    </xdr:sp>
    <xdr:clientData/>
  </xdr:twoCellAnchor>
  <xdr:twoCellAnchor>
    <xdr:from>
      <xdr:col>58</xdr:col>
      <xdr:colOff>597694</xdr:colOff>
      <xdr:row>6</xdr:row>
      <xdr:rowOff>52388</xdr:rowOff>
    </xdr:from>
    <xdr:to>
      <xdr:col>59</xdr:col>
      <xdr:colOff>540543</xdr:colOff>
      <xdr:row>7</xdr:row>
      <xdr:rowOff>95250</xdr:rowOff>
    </xdr:to>
    <xdr:sp macro="" textlink="">
      <xdr:nvSpPr>
        <xdr:cNvPr id="26" name="TextBox 25">
          <a:extLst>
            <a:ext uri="{FF2B5EF4-FFF2-40B4-BE49-F238E27FC236}">
              <a16:creationId xmlns:a16="http://schemas.microsoft.com/office/drawing/2014/main" id="{620584C9-ED58-4A0C-8F9A-EDD09AF21344}"/>
            </a:ext>
          </a:extLst>
        </xdr:cNvPr>
        <xdr:cNvSpPr txBox="1"/>
      </xdr:nvSpPr>
      <xdr:spPr>
        <a:xfrm>
          <a:off x="46924913" y="1862138"/>
          <a:ext cx="55006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0" i="0" u="none" strike="noStrike">
              <a:solidFill>
                <a:schemeClr val="bg1"/>
              </a:solidFill>
              <a:latin typeface="Bodoni MT"/>
            </a:rPr>
            <a:t>KG</a:t>
          </a:r>
        </a:p>
      </xdr:txBody>
    </xdr:sp>
    <xdr:clientData/>
  </xdr:twoCellAnchor>
  <xdr:twoCellAnchor>
    <xdr:from>
      <xdr:col>69</xdr:col>
      <xdr:colOff>519113</xdr:colOff>
      <xdr:row>3</xdr:row>
      <xdr:rowOff>2</xdr:rowOff>
    </xdr:from>
    <xdr:to>
      <xdr:col>72</xdr:col>
      <xdr:colOff>100012</xdr:colOff>
      <xdr:row>4</xdr:row>
      <xdr:rowOff>250032</xdr:rowOff>
    </xdr:to>
    <xdr:sp macro="" textlink="$BR$1">
      <xdr:nvSpPr>
        <xdr:cNvPr id="28" name="TextBox 27">
          <a:extLst>
            <a:ext uri="{FF2B5EF4-FFF2-40B4-BE49-F238E27FC236}">
              <a16:creationId xmlns:a16="http://schemas.microsoft.com/office/drawing/2014/main" id="{ADAC7EAA-D6D1-40B7-885C-AFDEFC8F4D17}"/>
            </a:ext>
          </a:extLst>
        </xdr:cNvPr>
        <xdr:cNvSpPr txBox="1"/>
      </xdr:nvSpPr>
      <xdr:spPr>
        <a:xfrm>
          <a:off x="59693176" y="833440"/>
          <a:ext cx="1402555" cy="559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FB579C-2F78-4CA4-A310-C5E0F55B20A8}" type="TxLink">
            <a:rPr lang="en-US" sz="3200" b="1" i="0" u="none" strike="noStrike">
              <a:solidFill>
                <a:schemeClr val="bg1"/>
              </a:solidFill>
              <a:latin typeface="Bodoni MT" panose="02070603080606020203" pitchFamily="18" charset="0"/>
              <a:cs typeface="Calibri"/>
            </a:rPr>
            <a:pPr algn="ctr"/>
            <a:t>16%</a:t>
          </a:fld>
          <a:endParaRPr lang="en-ID" sz="19900" b="1">
            <a:solidFill>
              <a:schemeClr val="bg1"/>
            </a:solidFill>
            <a:latin typeface="Bodoni MT" panose="02070603080606020203" pitchFamily="18" charset="0"/>
          </a:endParaRPr>
        </a:p>
      </xdr:txBody>
    </xdr:sp>
    <xdr:clientData/>
  </xdr:twoCellAnchor>
  <xdr:twoCellAnchor>
    <xdr:from>
      <xdr:col>70</xdr:col>
      <xdr:colOff>226219</xdr:colOff>
      <xdr:row>4</xdr:row>
      <xdr:rowOff>185739</xdr:rowOff>
    </xdr:from>
    <xdr:to>
      <xdr:col>71</xdr:col>
      <xdr:colOff>431005</xdr:colOff>
      <xdr:row>4</xdr:row>
      <xdr:rowOff>279083</xdr:rowOff>
    </xdr:to>
    <xdr:sp macro="" textlink="">
      <xdr:nvSpPr>
        <xdr:cNvPr id="29" name="Rectangle 28">
          <a:extLst>
            <a:ext uri="{FF2B5EF4-FFF2-40B4-BE49-F238E27FC236}">
              <a16:creationId xmlns:a16="http://schemas.microsoft.com/office/drawing/2014/main" id="{43286B3F-F6AA-4BA1-92F0-009496096264}"/>
            </a:ext>
          </a:extLst>
        </xdr:cNvPr>
        <xdr:cNvSpPr/>
      </xdr:nvSpPr>
      <xdr:spPr>
        <a:xfrm>
          <a:off x="60007500" y="1328739"/>
          <a:ext cx="812005" cy="93344"/>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69</xdr:col>
      <xdr:colOff>528637</xdr:colOff>
      <xdr:row>4</xdr:row>
      <xdr:rowOff>109540</xdr:rowOff>
    </xdr:from>
    <xdr:to>
      <xdr:col>72</xdr:col>
      <xdr:colOff>109536</xdr:colOff>
      <xdr:row>6</xdr:row>
      <xdr:rowOff>128590</xdr:rowOff>
    </xdr:to>
    <xdr:sp macro="" textlink="$BQ$4">
      <xdr:nvSpPr>
        <xdr:cNvPr id="30" name="TextBox 29">
          <a:extLst>
            <a:ext uri="{FF2B5EF4-FFF2-40B4-BE49-F238E27FC236}">
              <a16:creationId xmlns:a16="http://schemas.microsoft.com/office/drawing/2014/main" id="{405FDB9E-7C9D-4822-8245-294F20B795AD}"/>
            </a:ext>
          </a:extLst>
        </xdr:cNvPr>
        <xdr:cNvSpPr txBox="1"/>
      </xdr:nvSpPr>
      <xdr:spPr>
        <a:xfrm>
          <a:off x="59702700" y="1252540"/>
          <a:ext cx="1402555"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A56466-207F-4E16-82DB-B48167001A94}" type="TxLink">
            <a:rPr lang="en-US" sz="1600" b="0" i="0" u="none" strike="noStrike">
              <a:solidFill>
                <a:schemeClr val="bg1"/>
              </a:solidFill>
              <a:latin typeface="Bodoni MT"/>
            </a:rPr>
            <a:pPr algn="ctr"/>
            <a:t>40645,47</a:t>
          </a:fld>
          <a:endParaRPr lang="en-ID" sz="8800">
            <a:solidFill>
              <a:schemeClr val="bg1"/>
            </a:solidFill>
          </a:endParaRPr>
        </a:p>
      </xdr:txBody>
    </xdr:sp>
    <xdr:clientData/>
  </xdr:twoCellAnchor>
  <xdr:twoCellAnchor>
    <xdr:from>
      <xdr:col>70</xdr:col>
      <xdr:colOff>347664</xdr:colOff>
      <xdr:row>5</xdr:row>
      <xdr:rowOff>111925</xdr:rowOff>
    </xdr:from>
    <xdr:to>
      <xdr:col>71</xdr:col>
      <xdr:colOff>290513</xdr:colOff>
      <xdr:row>6</xdr:row>
      <xdr:rowOff>154788</xdr:rowOff>
    </xdr:to>
    <xdr:sp macro="" textlink="">
      <xdr:nvSpPr>
        <xdr:cNvPr id="31" name="TextBox 30">
          <a:extLst>
            <a:ext uri="{FF2B5EF4-FFF2-40B4-BE49-F238E27FC236}">
              <a16:creationId xmlns:a16="http://schemas.microsoft.com/office/drawing/2014/main" id="{B522EF41-7B42-4B85-9633-BE0E9708111C}"/>
            </a:ext>
          </a:extLst>
        </xdr:cNvPr>
        <xdr:cNvSpPr txBox="1"/>
      </xdr:nvSpPr>
      <xdr:spPr>
        <a:xfrm>
          <a:off x="60128945" y="1564488"/>
          <a:ext cx="55006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0" i="0" u="none" strike="noStrike">
              <a:solidFill>
                <a:schemeClr val="bg1"/>
              </a:solidFill>
              <a:latin typeface="Bodoni MT"/>
            </a:rPr>
            <a:t>KG</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224516</xdr:colOff>
      <xdr:row>1</xdr:row>
      <xdr:rowOff>149678</xdr:rowOff>
    </xdr:from>
    <xdr:to>
      <xdr:col>21</xdr:col>
      <xdr:colOff>285750</xdr:colOff>
      <xdr:row>14</xdr:row>
      <xdr:rowOff>27214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00439FF-C1D0-48F1-8AEA-E147ACD39B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768816" y="721178"/>
              <a:ext cx="6157234" cy="3363686"/>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27213</xdr:colOff>
      <xdr:row>10</xdr:row>
      <xdr:rowOff>13608</xdr:rowOff>
    </xdr:from>
    <xdr:to>
      <xdr:col>7</xdr:col>
      <xdr:colOff>612321</xdr:colOff>
      <xdr:row>12</xdr:row>
      <xdr:rowOff>68036</xdr:rowOff>
    </xdr:to>
    <xdr:sp macro="" textlink="">
      <xdr:nvSpPr>
        <xdr:cNvPr id="2" name="TextBox 1">
          <a:extLst>
            <a:ext uri="{FF2B5EF4-FFF2-40B4-BE49-F238E27FC236}">
              <a16:creationId xmlns:a16="http://schemas.microsoft.com/office/drawing/2014/main" id="{82596EB9-8982-4067-A1BC-12EBD8856FE7}"/>
            </a:ext>
          </a:extLst>
        </xdr:cNvPr>
        <xdr:cNvSpPr txBox="1"/>
      </xdr:nvSpPr>
      <xdr:spPr>
        <a:xfrm>
          <a:off x="4272642" y="3102429"/>
          <a:ext cx="3524250" cy="503464"/>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200">
              <a:latin typeface="Bodoni MT" panose="02070603080606020203" pitchFamily="18" charset="0"/>
            </a:rPr>
            <a:t>*Digunakan untuk dashboard 1: jumlah kabupaten </a:t>
          </a:r>
          <a:br>
            <a:rPr lang="en-ID" sz="1200">
              <a:latin typeface="Bodoni MT" panose="02070603080606020203" pitchFamily="18" charset="0"/>
            </a:rPr>
          </a:br>
          <a:r>
            <a:rPr lang="en-ID" sz="1200">
              <a:latin typeface="Bodoni MT" panose="02070603080606020203" pitchFamily="18" charset="0"/>
            </a:rPr>
            <a:t>Dicopy pada sheet Dashboard 1 kolom</a:t>
          </a:r>
          <a:r>
            <a:rPr lang="en-ID" sz="1200" baseline="0">
              <a:latin typeface="Bodoni MT" panose="02070603080606020203" pitchFamily="18" charset="0"/>
            </a:rPr>
            <a:t> I 1048575</a:t>
          </a:r>
          <a:endParaRPr lang="en-ID" sz="1200">
            <a:latin typeface="Bodoni MT" panose="02070603080606020203" pitchFamily="18" charset="0"/>
          </a:endParaRPr>
        </a:p>
      </xdr:txBody>
    </xdr:sp>
    <xdr:clientData/>
  </xdr:twoCellAnchor>
  <xdr:twoCellAnchor>
    <xdr:from>
      <xdr:col>11</xdr:col>
      <xdr:colOff>176893</xdr:colOff>
      <xdr:row>15</xdr:row>
      <xdr:rowOff>0</xdr:rowOff>
    </xdr:from>
    <xdr:to>
      <xdr:col>15</xdr:col>
      <xdr:colOff>299356</xdr:colOff>
      <xdr:row>16</xdr:row>
      <xdr:rowOff>231319</xdr:rowOff>
    </xdr:to>
    <xdr:sp macro="" textlink="">
      <xdr:nvSpPr>
        <xdr:cNvPr id="5" name="TextBox 4">
          <a:extLst>
            <a:ext uri="{FF2B5EF4-FFF2-40B4-BE49-F238E27FC236}">
              <a16:creationId xmlns:a16="http://schemas.microsoft.com/office/drawing/2014/main" id="{A65CB4FB-C8D8-42DF-BBEB-CC378B0245E9}"/>
            </a:ext>
          </a:extLst>
        </xdr:cNvPr>
        <xdr:cNvSpPr txBox="1"/>
      </xdr:nvSpPr>
      <xdr:spPr>
        <a:xfrm>
          <a:off x="10980964" y="4109357"/>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1: MAP</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361346</xdr:colOff>
      <xdr:row>17</xdr:row>
      <xdr:rowOff>107797</xdr:rowOff>
    </xdr:from>
    <xdr:to>
      <xdr:col>10</xdr:col>
      <xdr:colOff>149680</xdr:colOff>
      <xdr:row>33</xdr:row>
      <xdr:rowOff>13607</xdr:rowOff>
    </xdr:to>
    <xdr:graphicFrame macro="">
      <xdr:nvGraphicFramePr>
        <xdr:cNvPr id="10" name="Chart 9">
          <a:extLst>
            <a:ext uri="{FF2B5EF4-FFF2-40B4-BE49-F238E27FC236}">
              <a16:creationId xmlns:a16="http://schemas.microsoft.com/office/drawing/2014/main" id="{39ACD6E7-4DAC-4E62-B2BA-C45BBB0D8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1143001</xdr:colOff>
      <xdr:row>18</xdr:row>
      <xdr:rowOff>50346</xdr:rowOff>
    </xdr:from>
    <xdr:to>
      <xdr:col>5</xdr:col>
      <xdr:colOff>68036</xdr:colOff>
      <xdr:row>32</xdr:row>
      <xdr:rowOff>126546</xdr:rowOff>
    </xdr:to>
    <xdr:graphicFrame macro="">
      <xdr:nvGraphicFramePr>
        <xdr:cNvPr id="11" name="Chart 10">
          <a:extLst>
            <a:ext uri="{FF2B5EF4-FFF2-40B4-BE49-F238E27FC236}">
              <a16:creationId xmlns:a16="http://schemas.microsoft.com/office/drawing/2014/main" id="{A0DEC895-9ECD-4391-A964-E29FE3814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149678</xdr:colOff>
      <xdr:row>1</xdr:row>
      <xdr:rowOff>190499</xdr:rowOff>
    </xdr:from>
    <xdr:to>
      <xdr:col>5</xdr:col>
      <xdr:colOff>748393</xdr:colOff>
      <xdr:row>9</xdr:row>
      <xdr:rowOff>163286</xdr:rowOff>
    </xdr:to>
    <xdr:sp macro="" textlink="">
      <xdr:nvSpPr>
        <xdr:cNvPr id="4" name="TextBox 3">
          <a:extLst>
            <a:ext uri="{FF2B5EF4-FFF2-40B4-BE49-F238E27FC236}">
              <a16:creationId xmlns:a16="http://schemas.microsoft.com/office/drawing/2014/main" id="{8CD58F3A-0CDD-43B4-9D46-BEB466C3C255}"/>
            </a:ext>
          </a:extLst>
        </xdr:cNvPr>
        <xdr:cNvSpPr txBox="1"/>
      </xdr:nvSpPr>
      <xdr:spPr>
        <a:xfrm>
          <a:off x="4395107" y="517070"/>
          <a:ext cx="1442357" cy="206828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1: jumlah partisipan</a:t>
          </a:r>
          <a:br>
            <a:rPr lang="en-ID" sz="1400">
              <a:latin typeface="Bodoni MT" panose="02070603080606020203" pitchFamily="18" charset="0"/>
            </a:rPr>
          </a:br>
          <a:r>
            <a:rPr lang="en-ID" sz="1400">
              <a:latin typeface="Bodoni MT" panose="02070603080606020203" pitchFamily="18" charset="0"/>
            </a:rPr>
            <a:t>Dikoneksiakn</a:t>
          </a:r>
          <a:r>
            <a:rPr lang="en-ID" sz="1400" baseline="0">
              <a:latin typeface="Bodoni MT" panose="02070603080606020203" pitchFamily="18" charset="0"/>
            </a:rPr>
            <a:t> F</a:t>
          </a:r>
          <a:r>
            <a:rPr lang="en-ID" sz="1400">
              <a:latin typeface="Bodoni MT" panose="02070603080606020203" pitchFamily="18" charset="0"/>
            </a:rPr>
            <a:t> pada sheet Dashboard 1 kolom</a:t>
          </a:r>
          <a:r>
            <a:rPr lang="en-ID" sz="1400" baseline="0">
              <a:latin typeface="Bodoni MT" panose="02070603080606020203" pitchFamily="18" charset="0"/>
            </a:rPr>
            <a:t> I 1048575</a:t>
          </a:r>
          <a:endParaRPr lang="en-ID" sz="1400">
            <a:latin typeface="Bodoni MT" panose="02070603080606020203" pitchFamily="18" charset="0"/>
          </a:endParaRPr>
        </a:p>
      </xdr:txBody>
    </xdr:sp>
    <xdr:clientData/>
  </xdr:twoCellAnchor>
  <xdr:twoCellAnchor>
    <xdr:from>
      <xdr:col>1</xdr:col>
      <xdr:colOff>4085</xdr:colOff>
      <xdr:row>14</xdr:row>
      <xdr:rowOff>122466</xdr:rowOff>
    </xdr:from>
    <xdr:to>
      <xdr:col>2</xdr:col>
      <xdr:colOff>462644</xdr:colOff>
      <xdr:row>17</xdr:row>
      <xdr:rowOff>13607</xdr:rowOff>
    </xdr:to>
    <xdr:sp macro="" textlink="">
      <xdr:nvSpPr>
        <xdr:cNvPr id="5" name="TextBox 4">
          <a:extLst>
            <a:ext uri="{FF2B5EF4-FFF2-40B4-BE49-F238E27FC236}">
              <a16:creationId xmlns:a16="http://schemas.microsoft.com/office/drawing/2014/main" id="{726234AB-E722-4CF8-8FB7-BC4D9E35B28A}"/>
            </a:ext>
          </a:extLst>
        </xdr:cNvPr>
        <xdr:cNvSpPr txBox="1"/>
      </xdr:nvSpPr>
      <xdr:spPr>
        <a:xfrm>
          <a:off x="616406" y="4259037"/>
          <a:ext cx="2009774" cy="734784"/>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1: Number</a:t>
          </a:r>
          <a:r>
            <a:rPr lang="en-ID" sz="1400" baseline="0">
              <a:latin typeface="Bodoni MT" panose="02070603080606020203" pitchFamily="18" charset="0"/>
            </a:rPr>
            <a:t> of Participants</a:t>
          </a:r>
          <a:endParaRPr lang="en-ID" sz="1400">
            <a:latin typeface="Bodoni MT" panose="02070603080606020203" pitchFamily="18" charset="0"/>
          </a:endParaRPr>
        </a:p>
      </xdr:txBody>
    </xdr:sp>
    <xdr:clientData/>
  </xdr:twoCellAnchor>
  <xdr:twoCellAnchor>
    <xdr:from>
      <xdr:col>5</xdr:col>
      <xdr:colOff>805545</xdr:colOff>
      <xdr:row>14</xdr:row>
      <xdr:rowOff>125187</xdr:rowOff>
    </xdr:from>
    <xdr:to>
      <xdr:col>7</xdr:col>
      <xdr:colOff>1009651</xdr:colOff>
      <xdr:row>17</xdr:row>
      <xdr:rowOff>16328</xdr:rowOff>
    </xdr:to>
    <xdr:sp macro="" textlink="">
      <xdr:nvSpPr>
        <xdr:cNvPr id="6" name="TextBox 5">
          <a:extLst>
            <a:ext uri="{FF2B5EF4-FFF2-40B4-BE49-F238E27FC236}">
              <a16:creationId xmlns:a16="http://schemas.microsoft.com/office/drawing/2014/main" id="{9F6B8254-D324-42A8-A59D-67DEDB6B6839}"/>
            </a:ext>
          </a:extLst>
        </xdr:cNvPr>
        <xdr:cNvSpPr txBox="1"/>
      </xdr:nvSpPr>
      <xdr:spPr>
        <a:xfrm>
          <a:off x="5894616" y="4261758"/>
          <a:ext cx="2571749" cy="734784"/>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1: UBC Contributions</a:t>
          </a:r>
        </a:p>
      </xdr:txBody>
    </xdr:sp>
    <xdr:clientData/>
  </xdr:twoCellAnchor>
  <xdr:twoCellAnchor>
    <xdr:from>
      <xdr:col>11</xdr:col>
      <xdr:colOff>20409</xdr:colOff>
      <xdr:row>17</xdr:row>
      <xdr:rowOff>9524</xdr:rowOff>
    </xdr:from>
    <xdr:to>
      <xdr:col>22</xdr:col>
      <xdr:colOff>517071</xdr:colOff>
      <xdr:row>34</xdr:row>
      <xdr:rowOff>54428</xdr:rowOff>
    </xdr:to>
    <xdr:graphicFrame macro="">
      <xdr:nvGraphicFramePr>
        <xdr:cNvPr id="2" name="Chart 1">
          <a:extLst>
            <a:ext uri="{FF2B5EF4-FFF2-40B4-BE49-F238E27FC236}">
              <a16:creationId xmlns:a16="http://schemas.microsoft.com/office/drawing/2014/main" id="{0AFA177F-807E-4D1B-8E05-30EAC4D52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14</xdr:row>
      <xdr:rowOff>136071</xdr:rowOff>
    </xdr:from>
    <xdr:to>
      <xdr:col>13</xdr:col>
      <xdr:colOff>716643</xdr:colOff>
      <xdr:row>16</xdr:row>
      <xdr:rowOff>149678</xdr:rowOff>
    </xdr:to>
    <xdr:sp macro="" textlink="">
      <xdr:nvSpPr>
        <xdr:cNvPr id="12" name="TextBox 11">
          <a:extLst>
            <a:ext uri="{FF2B5EF4-FFF2-40B4-BE49-F238E27FC236}">
              <a16:creationId xmlns:a16="http://schemas.microsoft.com/office/drawing/2014/main" id="{5DD33527-211D-4169-ACAB-601B6C0D2581}"/>
            </a:ext>
          </a:extLst>
        </xdr:cNvPr>
        <xdr:cNvSpPr txBox="1"/>
      </xdr:nvSpPr>
      <xdr:spPr>
        <a:xfrm>
          <a:off x="10654393" y="4272642"/>
          <a:ext cx="3397250" cy="612322"/>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700">
              <a:latin typeface="Bodoni MT" panose="02070603080606020203" pitchFamily="18" charset="0"/>
            </a:rPr>
            <a:t>*Digunakan untuk dashboard 1: </a:t>
          </a:r>
        </a:p>
        <a:p>
          <a:pPr algn="l"/>
          <a:r>
            <a:rPr lang="en-ID" sz="1700">
              <a:latin typeface="Bodoni MT" panose="02070603080606020203" pitchFamily="18" charset="0"/>
            </a:rPr>
            <a:t>Total</a:t>
          </a:r>
          <a:r>
            <a:rPr lang="en-ID" sz="1700" baseline="0">
              <a:latin typeface="Bodoni MT" panose="02070603080606020203" pitchFamily="18" charset="0"/>
            </a:rPr>
            <a:t> UBC per Category</a:t>
          </a:r>
          <a:endParaRPr lang="en-ID" sz="1700">
            <a:latin typeface="Bodoni MT" panose="02070603080606020203"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25853</xdr:colOff>
      <xdr:row>23</xdr:row>
      <xdr:rowOff>20411</xdr:rowOff>
    </xdr:from>
    <xdr:to>
      <xdr:col>6</xdr:col>
      <xdr:colOff>416378</xdr:colOff>
      <xdr:row>34</xdr:row>
      <xdr:rowOff>39461</xdr:rowOff>
    </xdr:to>
    <xdr:graphicFrame macro="">
      <xdr:nvGraphicFramePr>
        <xdr:cNvPr id="3" name="Chart 2">
          <a:extLst>
            <a:ext uri="{FF2B5EF4-FFF2-40B4-BE49-F238E27FC236}">
              <a16:creationId xmlns:a16="http://schemas.microsoft.com/office/drawing/2014/main" id="{615491CB-717E-427E-8243-B0A5526F0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400050</xdr:colOff>
      <xdr:row>1</xdr:row>
      <xdr:rowOff>0</xdr:rowOff>
    </xdr:from>
    <xdr:to>
      <xdr:col>22</xdr:col>
      <xdr:colOff>219075</xdr:colOff>
      <xdr:row>11</xdr:row>
      <xdr:rowOff>47625</xdr:rowOff>
    </xdr:to>
    <xdr:graphicFrame macro="">
      <xdr:nvGraphicFramePr>
        <xdr:cNvPr id="2" name="Chart 1">
          <a:extLst>
            <a:ext uri="{FF2B5EF4-FFF2-40B4-BE49-F238E27FC236}">
              <a16:creationId xmlns:a16="http://schemas.microsoft.com/office/drawing/2014/main" id="{1CD7B085-5173-4587-A7ED-0A051C804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123825</xdr:rowOff>
    </xdr:from>
    <xdr:to>
      <xdr:col>2</xdr:col>
      <xdr:colOff>4105275</xdr:colOff>
      <xdr:row>13</xdr:row>
      <xdr:rowOff>0</xdr:rowOff>
    </xdr:to>
    <xdr:graphicFrame macro="">
      <xdr:nvGraphicFramePr>
        <xdr:cNvPr id="3" name="Chart 2">
          <a:extLst>
            <a:ext uri="{FF2B5EF4-FFF2-40B4-BE49-F238E27FC236}">
              <a16:creationId xmlns:a16="http://schemas.microsoft.com/office/drawing/2014/main" id="{1272DB7B-0ECB-4812-BDE9-6ACD8C603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45</xdr:col>
      <xdr:colOff>438150</xdr:colOff>
      <xdr:row>53</xdr:row>
      <xdr:rowOff>127000</xdr:rowOff>
    </xdr:to>
    <xdr:sp macro="" textlink="">
      <xdr:nvSpPr>
        <xdr:cNvPr id="9" name="TextBox 8">
          <a:extLst>
            <a:ext uri="{FF2B5EF4-FFF2-40B4-BE49-F238E27FC236}">
              <a16:creationId xmlns:a16="http://schemas.microsoft.com/office/drawing/2014/main" id="{D39EDDFA-B778-42AA-8431-ED8B8BD6FA63}"/>
            </a:ext>
          </a:extLst>
        </xdr:cNvPr>
        <xdr:cNvSpPr txBox="1"/>
      </xdr:nvSpPr>
      <xdr:spPr>
        <a:xfrm>
          <a:off x="0" y="0"/>
          <a:ext cx="28060650" cy="10223500"/>
        </a:xfrm>
        <a:prstGeom prst="rect">
          <a:avLst/>
        </a:prstGeom>
        <a:solidFill>
          <a:srgbClr val="3B87C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D" sz="1100"/>
        </a:p>
      </xdr:txBody>
    </xdr:sp>
    <xdr:clientData/>
  </xdr:twoCellAnchor>
  <xdr:twoCellAnchor>
    <xdr:from>
      <xdr:col>0</xdr:col>
      <xdr:colOff>285750</xdr:colOff>
      <xdr:row>0</xdr:row>
      <xdr:rowOff>0</xdr:rowOff>
    </xdr:from>
    <xdr:to>
      <xdr:col>31</xdr:col>
      <xdr:colOff>195107</xdr:colOff>
      <xdr:row>4</xdr:row>
      <xdr:rowOff>47625</xdr:rowOff>
    </xdr:to>
    <xdr:sp macro="" textlink="">
      <xdr:nvSpPr>
        <xdr:cNvPr id="3" name="TextBox 2">
          <a:extLst>
            <a:ext uri="{FF2B5EF4-FFF2-40B4-BE49-F238E27FC236}">
              <a16:creationId xmlns:a16="http://schemas.microsoft.com/office/drawing/2014/main" id="{46A9E35D-7DCE-42B5-9B9E-802CBE40C44B}"/>
            </a:ext>
          </a:extLst>
        </xdr:cNvPr>
        <xdr:cNvSpPr txBox="1"/>
      </xdr:nvSpPr>
      <xdr:spPr>
        <a:xfrm>
          <a:off x="285750" y="0"/>
          <a:ext cx="18806957" cy="809625"/>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4400" b="1">
              <a:solidFill>
                <a:schemeClr val="bg1"/>
              </a:solidFill>
              <a:latin typeface="Bodoni MT" panose="02070603080606020203" pitchFamily="18" charset="0"/>
            </a:rPr>
            <a:t>DASHBOARD</a:t>
          </a:r>
          <a:r>
            <a:rPr lang="en-ID" sz="4400" b="1" baseline="0">
              <a:solidFill>
                <a:schemeClr val="bg1"/>
              </a:solidFill>
              <a:latin typeface="Bodoni MT" panose="02070603080606020203" pitchFamily="18" charset="0"/>
            </a:rPr>
            <a:t>: COMPARISON</a:t>
          </a:r>
          <a:endParaRPr lang="en-ID" sz="4400" b="1">
            <a:solidFill>
              <a:schemeClr val="bg1"/>
            </a:solidFill>
            <a:latin typeface="Bodoni MT" panose="02070603080606020203" pitchFamily="18" charset="0"/>
          </a:endParaRPr>
        </a:p>
      </xdr:txBody>
    </xdr:sp>
    <xdr:clientData/>
  </xdr:twoCellAnchor>
  <xdr:twoCellAnchor>
    <xdr:from>
      <xdr:col>0</xdr:col>
      <xdr:colOff>0</xdr:colOff>
      <xdr:row>5</xdr:row>
      <xdr:rowOff>0</xdr:rowOff>
    </xdr:from>
    <xdr:to>
      <xdr:col>32</xdr:col>
      <xdr:colOff>63500</xdr:colOff>
      <xdr:row>42</xdr:row>
      <xdr:rowOff>21167</xdr:rowOff>
    </xdr:to>
    <xdr:sp macro="" textlink="">
      <xdr:nvSpPr>
        <xdr:cNvPr id="4" name="Rectangle: Rounded Corners 3">
          <a:extLst>
            <a:ext uri="{FF2B5EF4-FFF2-40B4-BE49-F238E27FC236}">
              <a16:creationId xmlns:a16="http://schemas.microsoft.com/office/drawing/2014/main" id="{121403C4-BC6B-4476-AE1C-07BECC901644}"/>
            </a:ext>
          </a:extLst>
        </xdr:cNvPr>
        <xdr:cNvSpPr/>
      </xdr:nvSpPr>
      <xdr:spPr>
        <a:xfrm>
          <a:off x="0" y="952500"/>
          <a:ext cx="19706167" cy="7069667"/>
        </a:xfrm>
        <a:prstGeom prst="roundRect">
          <a:avLst>
            <a:gd name="adj" fmla="val 1431"/>
          </a:avLst>
        </a:prstGeom>
        <a:solidFill>
          <a:schemeClr val="bg1"/>
        </a:solidFill>
        <a:ln w="63500">
          <a:noFill/>
        </a:ln>
        <a:effectLst>
          <a:glow rad="406400">
            <a:srgbClr val="1D4971">
              <a:alpha val="56863"/>
            </a:srgb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117474</xdr:colOff>
      <xdr:row>5</xdr:row>
      <xdr:rowOff>114300</xdr:rowOff>
    </xdr:from>
    <xdr:to>
      <xdr:col>32</xdr:col>
      <xdr:colOff>0</xdr:colOff>
      <xdr:row>39</xdr:row>
      <xdr:rowOff>63500</xdr:rowOff>
    </xdr:to>
    <xdr:graphicFrame macro="">
      <xdr:nvGraphicFramePr>
        <xdr:cNvPr id="5" name="Chart 4">
          <a:extLst>
            <a:ext uri="{FF2B5EF4-FFF2-40B4-BE49-F238E27FC236}">
              <a16:creationId xmlns:a16="http://schemas.microsoft.com/office/drawing/2014/main" id="{FB1A05CD-14A0-431F-916A-1AE006154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36</xdr:col>
      <xdr:colOff>19050</xdr:colOff>
      <xdr:row>4</xdr:row>
      <xdr:rowOff>142874</xdr:rowOff>
    </xdr:from>
    <xdr:to>
      <xdr:col>45</xdr:col>
      <xdr:colOff>247650</xdr:colOff>
      <xdr:row>44</xdr:row>
      <xdr:rowOff>63499</xdr:rowOff>
    </xdr:to>
    <mc:AlternateContent xmlns:mc="http://schemas.openxmlformats.org/markup-compatibility/2006" xmlns:a14="http://schemas.microsoft.com/office/drawing/2010/main">
      <mc:Choice Requires="a14">
        <xdr:graphicFrame macro="">
          <xdr:nvGraphicFramePr>
            <xdr:cNvPr id="6" name="Partisipan 1">
              <a:extLst>
                <a:ext uri="{FF2B5EF4-FFF2-40B4-BE49-F238E27FC236}">
                  <a16:creationId xmlns:a16="http://schemas.microsoft.com/office/drawing/2014/main" id="{597B0666-6230-44B6-8544-F387CA5F0244}"/>
                </a:ext>
              </a:extLst>
            </xdr:cNvPr>
            <xdr:cNvGraphicFramePr/>
          </xdr:nvGraphicFramePr>
          <xdr:xfrm>
            <a:off x="0" y="0"/>
            <a:ext cx="0" cy="0"/>
          </xdr:xfrm>
          <a:graphic>
            <a:graphicData uri="http://schemas.microsoft.com/office/drawing/2010/slicer">
              <sle:slicer xmlns:sle="http://schemas.microsoft.com/office/drawing/2010/slicer" name="Partisipan 1"/>
            </a:graphicData>
          </a:graphic>
        </xdr:graphicFrame>
      </mc:Choice>
      <mc:Fallback xmlns="">
        <xdr:sp macro="" textlink="">
          <xdr:nvSpPr>
            <xdr:cNvPr id="0" name=""/>
            <xdr:cNvSpPr>
              <a:spLocks noTextEdit="1"/>
            </xdr:cNvSpPr>
          </xdr:nvSpPr>
          <xdr:spPr>
            <a:xfrm>
              <a:off x="22117050" y="904875"/>
              <a:ext cx="5753100" cy="61436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507093</xdr:colOff>
      <xdr:row>24</xdr:row>
      <xdr:rowOff>119605</xdr:rowOff>
    </xdr:from>
    <xdr:to>
      <xdr:col>35</xdr:col>
      <xdr:colOff>481240</xdr:colOff>
      <xdr:row>42</xdr:row>
      <xdr:rowOff>62455</xdr:rowOff>
    </xdr:to>
    <mc:AlternateContent xmlns:mc="http://schemas.openxmlformats.org/markup-compatibility/2006" xmlns:a14="http://schemas.microsoft.com/office/drawing/2010/main">
      <mc:Choice Requires="a14">
        <xdr:graphicFrame macro="">
          <xdr:nvGraphicFramePr>
            <xdr:cNvPr id="7" name="Kategori 3">
              <a:extLst>
                <a:ext uri="{FF2B5EF4-FFF2-40B4-BE49-F238E27FC236}">
                  <a16:creationId xmlns:a16="http://schemas.microsoft.com/office/drawing/2014/main" id="{81CFE041-7E85-4F6D-A1FE-D19AF700C523}"/>
                </a:ext>
              </a:extLst>
            </xdr:cNvPr>
            <xdr:cNvGraphicFramePr/>
          </xdr:nvGraphicFramePr>
          <xdr:xfrm>
            <a:off x="0" y="0"/>
            <a:ext cx="0" cy="0"/>
          </xdr:xfrm>
          <a:graphic>
            <a:graphicData uri="http://schemas.microsoft.com/office/drawing/2010/slicer">
              <sle:slicer xmlns:sle="http://schemas.microsoft.com/office/drawing/2010/slicer" name="Kategori 3"/>
            </a:graphicData>
          </a:graphic>
        </xdr:graphicFrame>
      </mc:Choice>
      <mc:Fallback xmlns="">
        <xdr:sp macro="" textlink="">
          <xdr:nvSpPr>
            <xdr:cNvPr id="0" name=""/>
            <xdr:cNvSpPr>
              <a:spLocks noTextEdit="1"/>
            </xdr:cNvSpPr>
          </xdr:nvSpPr>
          <xdr:spPr>
            <a:xfrm>
              <a:off x="20149760" y="4691605"/>
              <a:ext cx="1815647" cy="33718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427265</xdr:colOff>
      <xdr:row>4</xdr:row>
      <xdr:rowOff>171451</xdr:rowOff>
    </xdr:from>
    <xdr:to>
      <xdr:col>35</xdr:col>
      <xdr:colOff>476250</xdr:colOff>
      <xdr:row>16</xdr:row>
      <xdr:rowOff>105833</xdr:rowOff>
    </xdr:to>
    <mc:AlternateContent xmlns:mc="http://schemas.openxmlformats.org/markup-compatibility/2006" xmlns:a14="http://schemas.microsoft.com/office/drawing/2010/main">
      <mc:Choice Requires="a14">
        <xdr:graphicFrame macro="">
          <xdr:nvGraphicFramePr>
            <xdr:cNvPr id="8" name="Wilayah 2">
              <a:extLst>
                <a:ext uri="{FF2B5EF4-FFF2-40B4-BE49-F238E27FC236}">
                  <a16:creationId xmlns:a16="http://schemas.microsoft.com/office/drawing/2014/main" id="{99A1FBE1-FDB8-4F5A-A8E8-6056B26DFB38}"/>
                </a:ext>
              </a:extLst>
            </xdr:cNvPr>
            <xdr:cNvGraphicFramePr/>
          </xdr:nvGraphicFramePr>
          <xdr:xfrm>
            <a:off x="0" y="0"/>
            <a:ext cx="0" cy="0"/>
          </xdr:xfrm>
          <a:graphic>
            <a:graphicData uri="http://schemas.microsoft.com/office/drawing/2010/slicer">
              <sle:slicer xmlns:sle="http://schemas.microsoft.com/office/drawing/2010/slicer" name="Wilayah 2"/>
            </a:graphicData>
          </a:graphic>
        </xdr:graphicFrame>
      </mc:Choice>
      <mc:Fallback xmlns="">
        <xdr:sp macro="" textlink="">
          <xdr:nvSpPr>
            <xdr:cNvPr id="0" name=""/>
            <xdr:cNvSpPr>
              <a:spLocks noTextEdit="1"/>
            </xdr:cNvSpPr>
          </xdr:nvSpPr>
          <xdr:spPr>
            <a:xfrm>
              <a:off x="20069932" y="933451"/>
              <a:ext cx="1890485" cy="19621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486833</xdr:colOff>
      <xdr:row>16</xdr:row>
      <xdr:rowOff>2120</xdr:rowOff>
    </xdr:from>
    <xdr:to>
      <xdr:col>35</xdr:col>
      <xdr:colOff>474133</xdr:colOff>
      <xdr:row>24</xdr:row>
      <xdr:rowOff>105838</xdr:rowOff>
    </xdr:to>
    <mc:AlternateContent xmlns:mc="http://schemas.openxmlformats.org/markup-compatibility/2006" xmlns:a14="http://schemas.microsoft.com/office/drawing/2010/main">
      <mc:Choice Requires="a14">
        <xdr:graphicFrame macro="">
          <xdr:nvGraphicFramePr>
            <xdr:cNvPr id="10" name="Bulan">
              <a:extLst>
                <a:ext uri="{FF2B5EF4-FFF2-40B4-BE49-F238E27FC236}">
                  <a16:creationId xmlns:a16="http://schemas.microsoft.com/office/drawing/2014/main" id="{E31254AD-7FFA-49AA-A632-EBF230044A72}"/>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20129500" y="3050120"/>
              <a:ext cx="1828800" cy="162771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95251</xdr:rowOff>
    </xdr:from>
    <xdr:to>
      <xdr:col>60</xdr:col>
      <xdr:colOff>108857</xdr:colOff>
      <xdr:row>57</xdr:row>
      <xdr:rowOff>47626</xdr:rowOff>
    </xdr:to>
    <xdr:sp macro="" textlink="">
      <xdr:nvSpPr>
        <xdr:cNvPr id="4" name="Rectangle: Rounded Corners 3">
          <a:extLst>
            <a:ext uri="{FF2B5EF4-FFF2-40B4-BE49-F238E27FC236}">
              <a16:creationId xmlns:a16="http://schemas.microsoft.com/office/drawing/2014/main" id="{0E62D522-D200-4180-8925-44705FC00793}"/>
            </a:ext>
          </a:extLst>
        </xdr:cNvPr>
        <xdr:cNvSpPr/>
      </xdr:nvSpPr>
      <xdr:spPr>
        <a:xfrm>
          <a:off x="0" y="857251"/>
          <a:ext cx="36031714" cy="10157732"/>
        </a:xfrm>
        <a:prstGeom prst="roundRect">
          <a:avLst>
            <a:gd name="adj" fmla="val 4018"/>
          </a:avLst>
        </a:prstGeom>
        <a:gradFill>
          <a:gsLst>
            <a:gs pos="0">
              <a:srgbClr val="6CA5DA"/>
            </a:gs>
            <a:gs pos="100000">
              <a:srgbClr val="3B87CD"/>
            </a:gs>
          </a:gsLst>
          <a:lin ang="18000000" scaled="0"/>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25</xdr:col>
      <xdr:colOff>166687</xdr:colOff>
      <xdr:row>4</xdr:row>
      <xdr:rowOff>3402</xdr:rowOff>
    </xdr:from>
    <xdr:to>
      <xdr:col>25</xdr:col>
      <xdr:colOff>357187</xdr:colOff>
      <xdr:row>58</xdr:row>
      <xdr:rowOff>27215</xdr:rowOff>
    </xdr:to>
    <xdr:sp macro="" textlink="">
      <xdr:nvSpPr>
        <xdr:cNvPr id="12" name="Rectangle 11">
          <a:extLst>
            <a:ext uri="{FF2B5EF4-FFF2-40B4-BE49-F238E27FC236}">
              <a16:creationId xmlns:a16="http://schemas.microsoft.com/office/drawing/2014/main" id="{98CC81C6-2AA3-48AA-A9AA-84BEA133FDC7}"/>
            </a:ext>
          </a:extLst>
        </xdr:cNvPr>
        <xdr:cNvSpPr/>
      </xdr:nvSpPr>
      <xdr:spPr>
        <a:xfrm>
          <a:off x="15134544" y="765402"/>
          <a:ext cx="190500" cy="104196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9</xdr:col>
      <xdr:colOff>71437</xdr:colOff>
      <xdr:row>3</xdr:row>
      <xdr:rowOff>119064</xdr:rowOff>
    </xdr:from>
    <xdr:to>
      <xdr:col>17</xdr:col>
      <xdr:colOff>357187</xdr:colOff>
      <xdr:row>6</xdr:row>
      <xdr:rowOff>141744</xdr:rowOff>
    </xdr:to>
    <xdr:grpSp>
      <xdr:nvGrpSpPr>
        <xdr:cNvPr id="13" name="Group 12">
          <a:extLst>
            <a:ext uri="{FF2B5EF4-FFF2-40B4-BE49-F238E27FC236}">
              <a16:creationId xmlns:a16="http://schemas.microsoft.com/office/drawing/2014/main" id="{82F623CB-7FA0-4BE8-929C-C4D92653BCE7}"/>
            </a:ext>
          </a:extLst>
        </xdr:cNvPr>
        <xdr:cNvGrpSpPr/>
      </xdr:nvGrpSpPr>
      <xdr:grpSpPr>
        <a:xfrm>
          <a:off x="5643562" y="690564"/>
          <a:ext cx="5238750" cy="594180"/>
          <a:chOff x="6700509" y="2122106"/>
          <a:chExt cx="3344282" cy="594180"/>
        </a:xfrm>
      </xdr:grpSpPr>
      <xdr:sp macro="" textlink="">
        <xdr:nvSpPr>
          <xdr:cNvPr id="14" name="Hexagon 13">
            <a:extLst>
              <a:ext uri="{FF2B5EF4-FFF2-40B4-BE49-F238E27FC236}">
                <a16:creationId xmlns:a16="http://schemas.microsoft.com/office/drawing/2014/main" id="{0DF50F50-A0E6-4CD2-8710-1B4F6B09CBBB}"/>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15" name="TextBox 14">
            <a:extLst>
              <a:ext uri="{FF2B5EF4-FFF2-40B4-BE49-F238E27FC236}">
                <a16:creationId xmlns:a16="http://schemas.microsoft.com/office/drawing/2014/main" id="{472ED244-BA61-446D-853F-03D97D725284}"/>
              </a:ext>
            </a:extLst>
          </xdr:cNvPr>
          <xdr:cNvSpPr txBox="1"/>
        </xdr:nvSpPr>
        <xdr:spPr>
          <a:xfrm>
            <a:off x="6891753" y="2122106"/>
            <a:ext cx="2972972"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u="none" strike="noStrike">
                <a:solidFill>
                  <a:schemeClr val="bg1"/>
                </a:solidFill>
                <a:latin typeface="Segoe UI" panose="020B0502040204020203" pitchFamily="34" charset="0"/>
                <a:cs typeface="Segoe UI" panose="020B0502040204020203" pitchFamily="34" charset="0"/>
              </a:rPr>
              <a:t>Actual</a:t>
            </a:r>
            <a:r>
              <a:rPr lang="en-US" sz="1800" b="1" i="1" u="none" strike="noStrike" baseline="0">
                <a:solidFill>
                  <a:schemeClr val="bg1"/>
                </a:solidFill>
                <a:latin typeface="Segoe UI" panose="020B0502040204020203" pitchFamily="34" charset="0"/>
                <a:cs typeface="Segoe UI" panose="020B0502040204020203" pitchFamily="34" charset="0"/>
              </a:rPr>
              <a:t>  Vs Target (ecoBali)</a:t>
            </a:r>
            <a:endParaRPr lang="en-US" sz="1800" b="1" i="1" u="none" strike="noStrike">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43</xdr:col>
      <xdr:colOff>119737</xdr:colOff>
      <xdr:row>3</xdr:row>
      <xdr:rowOff>128589</xdr:rowOff>
    </xdr:from>
    <xdr:to>
      <xdr:col>50</xdr:col>
      <xdr:colOff>434721</xdr:colOff>
      <xdr:row>6</xdr:row>
      <xdr:rowOff>151269</xdr:rowOff>
    </xdr:to>
    <xdr:grpSp>
      <xdr:nvGrpSpPr>
        <xdr:cNvPr id="16" name="Group 15">
          <a:extLst>
            <a:ext uri="{FF2B5EF4-FFF2-40B4-BE49-F238E27FC236}">
              <a16:creationId xmlns:a16="http://schemas.microsoft.com/office/drawing/2014/main" id="{27424B95-AE06-4ABA-88ED-E5DEBF737C2E}"/>
            </a:ext>
          </a:extLst>
        </xdr:cNvPr>
        <xdr:cNvGrpSpPr/>
      </xdr:nvGrpSpPr>
      <xdr:grpSpPr>
        <a:xfrm>
          <a:off x="26742112" y="700089"/>
          <a:ext cx="4648859" cy="594180"/>
          <a:chOff x="6700509" y="2122106"/>
          <a:chExt cx="3344282" cy="594180"/>
        </a:xfrm>
      </xdr:grpSpPr>
      <xdr:sp macro="" textlink="">
        <xdr:nvSpPr>
          <xdr:cNvPr id="17" name="Hexagon 16">
            <a:extLst>
              <a:ext uri="{FF2B5EF4-FFF2-40B4-BE49-F238E27FC236}">
                <a16:creationId xmlns:a16="http://schemas.microsoft.com/office/drawing/2014/main" id="{9EB8FF89-BB71-4FC4-9DCB-56495AD66C40}"/>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18" name="TextBox 17">
            <a:extLst>
              <a:ext uri="{FF2B5EF4-FFF2-40B4-BE49-F238E27FC236}">
                <a16:creationId xmlns:a16="http://schemas.microsoft.com/office/drawing/2014/main" id="{8D7A07E4-607C-4BAB-BDAD-1C90AE42C58D}"/>
              </a:ext>
            </a:extLst>
          </xdr:cNvPr>
          <xdr:cNvSpPr txBox="1"/>
        </xdr:nvSpPr>
        <xdr:spPr>
          <a:xfrm>
            <a:off x="6891753" y="2122106"/>
            <a:ext cx="2972972"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Monthly Target Achievement (ecoBali)</a:t>
            </a:r>
          </a:p>
        </xdr:txBody>
      </xdr:sp>
    </xdr:grpSp>
    <xdr:clientData/>
  </xdr:twoCellAnchor>
  <xdr:twoCellAnchor>
    <xdr:from>
      <xdr:col>44</xdr:col>
      <xdr:colOff>267367</xdr:colOff>
      <xdr:row>23</xdr:row>
      <xdr:rowOff>101393</xdr:rowOff>
    </xdr:from>
    <xdr:to>
      <xdr:col>49</xdr:col>
      <xdr:colOff>334043</xdr:colOff>
      <xdr:row>29</xdr:row>
      <xdr:rowOff>187110</xdr:rowOff>
    </xdr:to>
    <xdr:sp macro="" textlink="">
      <xdr:nvSpPr>
        <xdr:cNvPr id="25" name="TextBox 24">
          <a:extLst>
            <a:ext uri="{FF2B5EF4-FFF2-40B4-BE49-F238E27FC236}">
              <a16:creationId xmlns:a16="http://schemas.microsoft.com/office/drawing/2014/main" id="{BDCF07B2-2093-4202-AD28-F9ED71EDDA90}"/>
            </a:ext>
          </a:extLst>
        </xdr:cNvPr>
        <xdr:cNvSpPr txBox="1"/>
      </xdr:nvSpPr>
      <xdr:spPr>
        <a:xfrm>
          <a:off x="26610796" y="4591750"/>
          <a:ext cx="3060247" cy="1228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sng" strike="noStrike">
              <a:solidFill>
                <a:schemeClr val="bg1"/>
              </a:solidFill>
              <a:latin typeface="Bodoni MT"/>
            </a:rPr>
            <a:t>TARGET</a:t>
          </a:r>
          <a:r>
            <a:rPr lang="en-US" sz="2400" b="1" i="0" u="none" strike="noStrike" baseline="0">
              <a:solidFill>
                <a:schemeClr val="bg1"/>
              </a:solidFill>
              <a:latin typeface="Bodoni MT"/>
            </a:rPr>
            <a:t> </a:t>
          </a:r>
        </a:p>
        <a:p>
          <a:pPr algn="ctr"/>
          <a:r>
            <a:rPr lang="en-US" sz="2400" b="1" i="0" u="none" strike="noStrike" baseline="0">
              <a:solidFill>
                <a:schemeClr val="bg1"/>
              </a:solidFill>
              <a:latin typeface="Bodoni MT"/>
            </a:rPr>
            <a:t>20.800 KG / Month </a:t>
          </a:r>
          <a:endParaRPr lang="en-US" sz="2400" b="1" i="0" u="none" strike="noStrike">
            <a:solidFill>
              <a:schemeClr val="bg1"/>
            </a:solidFill>
            <a:latin typeface="Bodoni MT"/>
          </a:endParaRPr>
        </a:p>
      </xdr:txBody>
    </xdr:sp>
    <xdr:clientData/>
  </xdr:twoCellAnchor>
  <xdr:twoCellAnchor>
    <xdr:from>
      <xdr:col>43</xdr:col>
      <xdr:colOff>92526</xdr:colOff>
      <xdr:row>29</xdr:row>
      <xdr:rowOff>97294</xdr:rowOff>
    </xdr:from>
    <xdr:to>
      <xdr:col>50</xdr:col>
      <xdr:colOff>464662</xdr:colOff>
      <xdr:row>32</xdr:row>
      <xdr:rowOff>119974</xdr:rowOff>
    </xdr:to>
    <xdr:grpSp>
      <xdr:nvGrpSpPr>
        <xdr:cNvPr id="27" name="Group 26">
          <a:extLst>
            <a:ext uri="{FF2B5EF4-FFF2-40B4-BE49-F238E27FC236}">
              <a16:creationId xmlns:a16="http://schemas.microsoft.com/office/drawing/2014/main" id="{59B3AE26-AE71-4DF8-B129-0671AF9B87EE}"/>
            </a:ext>
          </a:extLst>
        </xdr:cNvPr>
        <xdr:cNvGrpSpPr/>
      </xdr:nvGrpSpPr>
      <xdr:grpSpPr>
        <a:xfrm>
          <a:off x="26714901" y="5717044"/>
          <a:ext cx="4706011" cy="594180"/>
          <a:chOff x="6700509" y="2122106"/>
          <a:chExt cx="3344282" cy="594180"/>
        </a:xfrm>
      </xdr:grpSpPr>
      <xdr:sp macro="" textlink="">
        <xdr:nvSpPr>
          <xdr:cNvPr id="28" name="Hexagon 27">
            <a:extLst>
              <a:ext uri="{FF2B5EF4-FFF2-40B4-BE49-F238E27FC236}">
                <a16:creationId xmlns:a16="http://schemas.microsoft.com/office/drawing/2014/main" id="{F170D107-3B0B-4FF5-A894-A06DCD7434DD}"/>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29" name="TextBox 28">
            <a:extLst>
              <a:ext uri="{FF2B5EF4-FFF2-40B4-BE49-F238E27FC236}">
                <a16:creationId xmlns:a16="http://schemas.microsoft.com/office/drawing/2014/main" id="{30B4DF08-0B65-47D2-86E9-A6FA1F5552E8}"/>
              </a:ext>
            </a:extLst>
          </xdr:cNvPr>
          <xdr:cNvSpPr txBox="1"/>
        </xdr:nvSpPr>
        <xdr:spPr>
          <a:xfrm>
            <a:off x="6891753" y="2122106"/>
            <a:ext cx="2972972"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Annual Target Achievement (ecoBali)</a:t>
            </a:r>
          </a:p>
        </xdr:txBody>
      </xdr:sp>
    </xdr:grpSp>
    <xdr:clientData/>
  </xdr:twoCellAnchor>
  <xdr:twoCellAnchor>
    <xdr:from>
      <xdr:col>44</xdr:col>
      <xdr:colOff>321120</xdr:colOff>
      <xdr:row>51</xdr:row>
      <xdr:rowOff>49685</xdr:rowOff>
    </xdr:from>
    <xdr:to>
      <xdr:col>49</xdr:col>
      <xdr:colOff>397321</xdr:colOff>
      <xdr:row>57</xdr:row>
      <xdr:rowOff>135402</xdr:rowOff>
    </xdr:to>
    <xdr:sp macro="" textlink="">
      <xdr:nvSpPr>
        <xdr:cNvPr id="43" name="TextBox 42">
          <a:extLst>
            <a:ext uri="{FF2B5EF4-FFF2-40B4-BE49-F238E27FC236}">
              <a16:creationId xmlns:a16="http://schemas.microsoft.com/office/drawing/2014/main" id="{605868A8-CC63-4C83-9769-F6456F6FC6D3}"/>
            </a:ext>
          </a:extLst>
        </xdr:cNvPr>
        <xdr:cNvSpPr txBox="1"/>
      </xdr:nvSpPr>
      <xdr:spPr>
        <a:xfrm>
          <a:off x="26664549" y="9874042"/>
          <a:ext cx="3069772" cy="1228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sng" strike="noStrike">
              <a:solidFill>
                <a:schemeClr val="bg1"/>
              </a:solidFill>
              <a:latin typeface="Bodoni MT"/>
            </a:rPr>
            <a:t>TARGET</a:t>
          </a:r>
          <a:r>
            <a:rPr lang="en-US" sz="2400" b="1" i="0" u="none" strike="noStrike" baseline="0">
              <a:solidFill>
                <a:schemeClr val="bg1"/>
              </a:solidFill>
              <a:latin typeface="Bodoni MT"/>
            </a:rPr>
            <a:t> </a:t>
          </a:r>
        </a:p>
        <a:p>
          <a:pPr algn="ctr"/>
          <a:r>
            <a:rPr lang="en-US" sz="2400" b="1" i="0" u="none" strike="noStrike" baseline="0">
              <a:solidFill>
                <a:schemeClr val="bg1"/>
              </a:solidFill>
              <a:latin typeface="Bodoni MT"/>
            </a:rPr>
            <a:t>250.000 KG / Year </a:t>
          </a:r>
          <a:endParaRPr lang="en-US" sz="2400" b="1" i="0" u="none" strike="noStrike">
            <a:solidFill>
              <a:schemeClr val="bg1"/>
            </a:solidFill>
            <a:latin typeface="Bodoni MT"/>
          </a:endParaRPr>
        </a:p>
      </xdr:txBody>
    </xdr:sp>
    <xdr:clientData/>
  </xdr:twoCellAnchor>
  <xdr:twoCellAnchor>
    <xdr:from>
      <xdr:col>51</xdr:col>
      <xdr:colOff>411617</xdr:colOff>
      <xdr:row>6</xdr:row>
      <xdr:rowOff>142879</xdr:rowOff>
    </xdr:from>
    <xdr:to>
      <xdr:col>59</xdr:col>
      <xdr:colOff>122462</xdr:colOff>
      <xdr:row>24</xdr:row>
      <xdr:rowOff>23817</xdr:rowOff>
    </xdr:to>
    <xdr:graphicFrame macro="">
      <xdr:nvGraphicFramePr>
        <xdr:cNvPr id="34" name="Chart 33">
          <a:extLst>
            <a:ext uri="{FF2B5EF4-FFF2-40B4-BE49-F238E27FC236}">
              <a16:creationId xmlns:a16="http://schemas.microsoft.com/office/drawing/2014/main" id="{73180833-5839-4527-B711-7B8C932CA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53</xdr:col>
      <xdr:colOff>292551</xdr:colOff>
      <xdr:row>11</xdr:row>
      <xdr:rowOff>6</xdr:rowOff>
    </xdr:from>
    <xdr:to>
      <xdr:col>57</xdr:col>
      <xdr:colOff>234645</xdr:colOff>
      <xdr:row>19</xdr:row>
      <xdr:rowOff>133626</xdr:rowOff>
    </xdr:to>
    <xdr:grpSp>
      <xdr:nvGrpSpPr>
        <xdr:cNvPr id="19" name="Group 18">
          <a:extLst>
            <a:ext uri="{FF2B5EF4-FFF2-40B4-BE49-F238E27FC236}">
              <a16:creationId xmlns:a16="http://schemas.microsoft.com/office/drawing/2014/main" id="{08FA2313-0F62-4726-AAD2-93EA9D2EC4CF}"/>
            </a:ext>
          </a:extLst>
        </xdr:cNvPr>
        <xdr:cNvGrpSpPr/>
      </xdr:nvGrpSpPr>
      <xdr:grpSpPr>
        <a:xfrm>
          <a:off x="33106176" y="2190756"/>
          <a:ext cx="2418594" cy="1657620"/>
          <a:chOff x="24741187" y="2524126"/>
          <a:chExt cx="2398183" cy="1657620"/>
        </a:xfrm>
      </xdr:grpSpPr>
      <xdr:sp macro="" textlink="'JUAL-ECOBALI'!$X$5">
        <xdr:nvSpPr>
          <xdr:cNvPr id="35" name="TextBox 34">
            <a:extLst>
              <a:ext uri="{FF2B5EF4-FFF2-40B4-BE49-F238E27FC236}">
                <a16:creationId xmlns:a16="http://schemas.microsoft.com/office/drawing/2014/main" id="{1B67D908-7086-4BE9-B0B3-2EA1C92AA8AF}"/>
              </a:ext>
            </a:extLst>
          </xdr:cNvPr>
          <xdr:cNvSpPr txBox="1"/>
        </xdr:nvSpPr>
        <xdr:spPr>
          <a:xfrm>
            <a:off x="24947303" y="3268674"/>
            <a:ext cx="19131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E0E1C7-6382-47E6-9D51-9AB6DE3751F4}" type="TxLink">
              <a:rPr lang="en-US" sz="4400" b="1" i="0" u="none" strike="noStrike">
                <a:solidFill>
                  <a:schemeClr val="bg1"/>
                </a:solidFill>
                <a:latin typeface="Bodoni MT"/>
                <a:cs typeface="Calibri"/>
              </a:rPr>
              <a:pPr algn="ctr"/>
              <a:t>38.386</a:t>
            </a:fld>
            <a:endParaRPr lang="en-ID" sz="6000" b="1">
              <a:solidFill>
                <a:schemeClr val="bg1"/>
              </a:solidFill>
            </a:endParaRPr>
          </a:p>
        </xdr:txBody>
      </xdr:sp>
      <xdr:sp macro="" textlink="'JUAL-ECOBALI'!$Y$5">
        <xdr:nvSpPr>
          <xdr:cNvPr id="36" name="TextBox 35">
            <a:extLst>
              <a:ext uri="{FF2B5EF4-FFF2-40B4-BE49-F238E27FC236}">
                <a16:creationId xmlns:a16="http://schemas.microsoft.com/office/drawing/2014/main" id="{738128DE-5129-4174-B8D6-C03ED39ADF5B}"/>
              </a:ext>
            </a:extLst>
          </xdr:cNvPr>
          <xdr:cNvSpPr txBox="1"/>
        </xdr:nvSpPr>
        <xdr:spPr>
          <a:xfrm>
            <a:off x="24741187" y="2524126"/>
            <a:ext cx="239818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3603D4-B108-4950-B4F7-734435D84727}" type="TxLink">
              <a:rPr lang="en-US" sz="4800" b="1" i="0" u="none" strike="noStrike">
                <a:solidFill>
                  <a:schemeClr val="bg1"/>
                </a:solidFill>
                <a:latin typeface="Bodoni MT" panose="02070603080606020203" pitchFamily="18" charset="0"/>
                <a:cs typeface="Calibri"/>
              </a:rPr>
              <a:pPr algn="ctr"/>
              <a:t>46%</a:t>
            </a:fld>
            <a:endParaRPr lang="en-ID" sz="16600">
              <a:solidFill>
                <a:schemeClr val="bg1"/>
              </a:solidFill>
              <a:latin typeface="Bodoni MT" panose="02070603080606020203" pitchFamily="18" charset="0"/>
            </a:endParaRPr>
          </a:p>
        </xdr:txBody>
      </xdr:sp>
      <xdr:sp macro="" textlink="">
        <xdr:nvSpPr>
          <xdr:cNvPr id="37" name="TextBox 36">
            <a:extLst>
              <a:ext uri="{FF2B5EF4-FFF2-40B4-BE49-F238E27FC236}">
                <a16:creationId xmlns:a16="http://schemas.microsoft.com/office/drawing/2014/main" id="{73B52EFC-6D36-4EE9-8C64-CB6FDCE2F108}"/>
              </a:ext>
            </a:extLst>
          </xdr:cNvPr>
          <xdr:cNvSpPr txBox="1"/>
        </xdr:nvSpPr>
        <xdr:spPr>
          <a:xfrm>
            <a:off x="25234638" y="3870597"/>
            <a:ext cx="1370541" cy="311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solidFill>
                <a:latin typeface="Bodoni MT"/>
              </a:rPr>
              <a:t>KG</a:t>
            </a:r>
            <a:endParaRPr lang="en-US" sz="1800" b="1" i="0" u="none" strike="noStrike">
              <a:solidFill>
                <a:schemeClr val="bg1"/>
              </a:solidFill>
              <a:latin typeface="Bodoni MT"/>
            </a:endParaRPr>
          </a:p>
        </xdr:txBody>
      </xdr:sp>
      <xdr:sp macro="" textlink="">
        <xdr:nvSpPr>
          <xdr:cNvPr id="38" name="Rectangle 37">
            <a:extLst>
              <a:ext uri="{FF2B5EF4-FFF2-40B4-BE49-F238E27FC236}">
                <a16:creationId xmlns:a16="http://schemas.microsoft.com/office/drawing/2014/main" id="{1DF966D9-F01D-4573-98DB-EB26E4ECD8B9}"/>
              </a:ext>
            </a:extLst>
          </xdr:cNvPr>
          <xdr:cNvSpPr/>
        </xdr:nvSpPr>
        <xdr:spPr>
          <a:xfrm>
            <a:off x="25124694" y="3271849"/>
            <a:ext cx="1672875" cy="7599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clientData/>
  </xdr:twoCellAnchor>
  <xdr:twoCellAnchor editAs="oneCell">
    <xdr:from>
      <xdr:col>60</xdr:col>
      <xdr:colOff>170090</xdr:colOff>
      <xdr:row>4</xdr:row>
      <xdr:rowOff>183695</xdr:rowOff>
    </xdr:from>
    <xdr:to>
      <xdr:col>63</xdr:col>
      <xdr:colOff>141515</xdr:colOff>
      <xdr:row>20</xdr:row>
      <xdr:rowOff>40821</xdr:rowOff>
    </xdr:to>
    <mc:AlternateContent xmlns:mc="http://schemas.openxmlformats.org/markup-compatibility/2006" xmlns:a14="http://schemas.microsoft.com/office/drawing/2010/main">
      <mc:Choice Requires="a14">
        <xdr:graphicFrame macro="">
          <xdr:nvGraphicFramePr>
            <xdr:cNvPr id="39" name="Month 3">
              <a:extLst>
                <a:ext uri="{FF2B5EF4-FFF2-40B4-BE49-F238E27FC236}">
                  <a16:creationId xmlns:a16="http://schemas.microsoft.com/office/drawing/2014/main" id="{B4E93692-C2F8-4A0F-9B8F-EF13A567FFEB}"/>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6365090" y="945695"/>
              <a:ext cx="1781175" cy="301625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51</xdr:col>
      <xdr:colOff>299357</xdr:colOff>
      <xdr:row>3</xdr:row>
      <xdr:rowOff>127909</xdr:rowOff>
    </xdr:from>
    <xdr:to>
      <xdr:col>59</xdr:col>
      <xdr:colOff>493257</xdr:colOff>
      <xdr:row>6</xdr:row>
      <xdr:rowOff>150589</xdr:rowOff>
    </xdr:to>
    <xdr:grpSp>
      <xdr:nvGrpSpPr>
        <xdr:cNvPr id="41" name="Group 40">
          <a:extLst>
            <a:ext uri="{FF2B5EF4-FFF2-40B4-BE49-F238E27FC236}">
              <a16:creationId xmlns:a16="http://schemas.microsoft.com/office/drawing/2014/main" id="{8CB1AF61-806F-4985-9FD0-BCFECAAB3F96}"/>
            </a:ext>
          </a:extLst>
        </xdr:cNvPr>
        <xdr:cNvGrpSpPr/>
      </xdr:nvGrpSpPr>
      <xdr:grpSpPr>
        <a:xfrm>
          <a:off x="31874732" y="699409"/>
          <a:ext cx="5146900" cy="594180"/>
          <a:chOff x="6700509" y="2122106"/>
          <a:chExt cx="3344282" cy="594180"/>
        </a:xfrm>
      </xdr:grpSpPr>
      <xdr:sp macro="" textlink="">
        <xdr:nvSpPr>
          <xdr:cNvPr id="48" name="Hexagon 47">
            <a:extLst>
              <a:ext uri="{FF2B5EF4-FFF2-40B4-BE49-F238E27FC236}">
                <a16:creationId xmlns:a16="http://schemas.microsoft.com/office/drawing/2014/main" id="{8FDA440D-8E9F-44F9-8DD1-6F86526A1D17}"/>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49" name="TextBox 48">
            <a:extLst>
              <a:ext uri="{FF2B5EF4-FFF2-40B4-BE49-F238E27FC236}">
                <a16:creationId xmlns:a16="http://schemas.microsoft.com/office/drawing/2014/main" id="{E07EFB1F-4D03-4988-8F4C-3F020FD9FE2B}"/>
              </a:ext>
            </a:extLst>
          </xdr:cNvPr>
          <xdr:cNvSpPr txBox="1"/>
        </xdr:nvSpPr>
        <xdr:spPr>
          <a:xfrm>
            <a:off x="6731332" y="2122106"/>
            <a:ext cx="3251814"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Monthly Target Achievement (Sent to Papermill)</a:t>
            </a:r>
          </a:p>
        </xdr:txBody>
      </xdr:sp>
    </xdr:grpSp>
    <xdr:clientData/>
  </xdr:twoCellAnchor>
  <xdr:twoCellAnchor>
    <xdr:from>
      <xdr:col>52</xdr:col>
      <xdr:colOff>525899</xdr:colOff>
      <xdr:row>22</xdr:row>
      <xdr:rowOff>128606</xdr:rowOff>
    </xdr:from>
    <xdr:to>
      <xdr:col>57</xdr:col>
      <xdr:colOff>592576</xdr:colOff>
      <xdr:row>29</xdr:row>
      <xdr:rowOff>23823</xdr:rowOff>
    </xdr:to>
    <xdr:sp macro="" textlink="">
      <xdr:nvSpPr>
        <xdr:cNvPr id="53" name="TextBox 52">
          <a:extLst>
            <a:ext uri="{FF2B5EF4-FFF2-40B4-BE49-F238E27FC236}">
              <a16:creationId xmlns:a16="http://schemas.microsoft.com/office/drawing/2014/main" id="{A40EF082-F0E8-4515-B5F9-246538C9EE97}"/>
            </a:ext>
          </a:extLst>
        </xdr:cNvPr>
        <xdr:cNvSpPr txBox="1"/>
      </xdr:nvSpPr>
      <xdr:spPr>
        <a:xfrm>
          <a:off x="31659042" y="4428463"/>
          <a:ext cx="3060248" cy="1228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sng" strike="noStrike">
              <a:solidFill>
                <a:schemeClr val="bg1"/>
              </a:solidFill>
              <a:latin typeface="Bodoni MT"/>
            </a:rPr>
            <a:t>TARGET</a:t>
          </a:r>
          <a:r>
            <a:rPr lang="en-US" sz="2400" b="1" i="0" u="none" strike="noStrike" baseline="0">
              <a:solidFill>
                <a:schemeClr val="bg1"/>
              </a:solidFill>
              <a:latin typeface="Bodoni MT"/>
            </a:rPr>
            <a:t> </a:t>
          </a:r>
        </a:p>
        <a:p>
          <a:pPr algn="ctr"/>
          <a:r>
            <a:rPr lang="en-US" sz="2400" b="1" i="0" u="none" strike="noStrike" baseline="0">
              <a:solidFill>
                <a:schemeClr val="bg1"/>
              </a:solidFill>
              <a:latin typeface="Bodoni MT"/>
            </a:rPr>
            <a:t>20.800 KG / Month </a:t>
          </a:r>
          <a:endParaRPr lang="en-US" sz="2400" b="1" i="0" u="none" strike="noStrike">
            <a:solidFill>
              <a:schemeClr val="bg1"/>
            </a:solidFill>
            <a:latin typeface="Bodoni MT"/>
          </a:endParaRPr>
        </a:p>
      </xdr:txBody>
    </xdr:sp>
    <xdr:clientData/>
  </xdr:twoCellAnchor>
  <xdr:twoCellAnchor>
    <xdr:from>
      <xdr:col>42</xdr:col>
      <xdr:colOff>391206</xdr:colOff>
      <xdr:row>29</xdr:row>
      <xdr:rowOff>51023</xdr:rowOff>
    </xdr:from>
    <xdr:to>
      <xdr:col>63</xdr:col>
      <xdr:colOff>557897</xdr:colOff>
      <xdr:row>30</xdr:row>
      <xdr:rowOff>51021</xdr:rowOff>
    </xdr:to>
    <xdr:sp macro="" textlink="">
      <xdr:nvSpPr>
        <xdr:cNvPr id="54" name="Rectangle 53">
          <a:extLst>
            <a:ext uri="{FF2B5EF4-FFF2-40B4-BE49-F238E27FC236}">
              <a16:creationId xmlns:a16="http://schemas.microsoft.com/office/drawing/2014/main" id="{4F8351AA-AAE6-40FC-AEF3-D8096E02D7FB}"/>
            </a:ext>
          </a:extLst>
        </xdr:cNvPr>
        <xdr:cNvSpPr/>
      </xdr:nvSpPr>
      <xdr:spPr>
        <a:xfrm rot="16200000">
          <a:off x="31811803" y="-590217"/>
          <a:ext cx="190498" cy="1273969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52</xdr:col>
      <xdr:colOff>559234</xdr:colOff>
      <xdr:row>47</xdr:row>
      <xdr:rowOff>185756</xdr:rowOff>
    </xdr:from>
    <xdr:to>
      <xdr:col>58</xdr:col>
      <xdr:colOff>36721</xdr:colOff>
      <xdr:row>54</xdr:row>
      <xdr:rowOff>80973</xdr:rowOff>
    </xdr:to>
    <xdr:sp macro="" textlink="">
      <xdr:nvSpPr>
        <xdr:cNvPr id="57" name="TextBox 56">
          <a:extLst>
            <a:ext uri="{FF2B5EF4-FFF2-40B4-BE49-F238E27FC236}">
              <a16:creationId xmlns:a16="http://schemas.microsoft.com/office/drawing/2014/main" id="{BABD414D-C166-4CC4-A373-F5AA3C6F79E4}"/>
            </a:ext>
          </a:extLst>
        </xdr:cNvPr>
        <xdr:cNvSpPr txBox="1"/>
      </xdr:nvSpPr>
      <xdr:spPr>
        <a:xfrm>
          <a:off x="31692377" y="9248113"/>
          <a:ext cx="3069773" cy="1228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sng" strike="noStrike">
              <a:solidFill>
                <a:schemeClr val="bg1"/>
              </a:solidFill>
              <a:latin typeface="Bodoni MT"/>
            </a:rPr>
            <a:t>TARGET</a:t>
          </a:r>
          <a:r>
            <a:rPr lang="en-US" sz="2400" b="1" i="0" u="none" strike="noStrike" baseline="0">
              <a:solidFill>
                <a:schemeClr val="bg1"/>
              </a:solidFill>
              <a:latin typeface="Bodoni MT"/>
            </a:rPr>
            <a:t> </a:t>
          </a:r>
        </a:p>
        <a:p>
          <a:pPr algn="ctr"/>
          <a:r>
            <a:rPr lang="en-US" sz="2400" b="1" i="0" u="none" strike="noStrike" baseline="0">
              <a:solidFill>
                <a:schemeClr val="bg1"/>
              </a:solidFill>
              <a:latin typeface="Bodoni MT"/>
            </a:rPr>
            <a:t>250.000 KG / Year </a:t>
          </a:r>
          <a:endParaRPr lang="en-US" sz="2400" b="1" i="0" u="none" strike="noStrike">
            <a:solidFill>
              <a:schemeClr val="bg1"/>
            </a:solidFill>
            <a:latin typeface="Bodoni MT"/>
          </a:endParaRPr>
        </a:p>
      </xdr:txBody>
    </xdr:sp>
    <xdr:clientData/>
  </xdr:twoCellAnchor>
  <xdr:twoCellAnchor>
    <xdr:from>
      <xdr:col>51</xdr:col>
      <xdr:colOff>411616</xdr:colOff>
      <xdr:row>31</xdr:row>
      <xdr:rowOff>142875</xdr:rowOff>
    </xdr:from>
    <xdr:to>
      <xdr:col>59</xdr:col>
      <xdr:colOff>146276</xdr:colOff>
      <xdr:row>49</xdr:row>
      <xdr:rowOff>23813</xdr:rowOff>
    </xdr:to>
    <xdr:graphicFrame macro="">
      <xdr:nvGraphicFramePr>
        <xdr:cNvPr id="58" name="Chart 57">
          <a:extLst>
            <a:ext uri="{FF2B5EF4-FFF2-40B4-BE49-F238E27FC236}">
              <a16:creationId xmlns:a16="http://schemas.microsoft.com/office/drawing/2014/main" id="{40A4BFB3-4F3C-4591-A11D-184E7DD17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53</xdr:col>
      <xdr:colOff>325887</xdr:colOff>
      <xdr:row>36</xdr:row>
      <xdr:rowOff>128594</xdr:rowOff>
    </xdr:from>
    <xdr:to>
      <xdr:col>57</xdr:col>
      <xdr:colOff>247571</xdr:colOff>
      <xdr:row>45</xdr:row>
      <xdr:rowOff>278</xdr:rowOff>
    </xdr:to>
    <xdr:grpSp>
      <xdr:nvGrpSpPr>
        <xdr:cNvPr id="59" name="Group 58">
          <a:extLst>
            <a:ext uri="{FF2B5EF4-FFF2-40B4-BE49-F238E27FC236}">
              <a16:creationId xmlns:a16="http://schemas.microsoft.com/office/drawing/2014/main" id="{DB43807A-5E5A-4E84-942F-64A9A91ADFC0}"/>
            </a:ext>
          </a:extLst>
        </xdr:cNvPr>
        <xdr:cNvGrpSpPr/>
      </xdr:nvGrpSpPr>
      <xdr:grpSpPr>
        <a:xfrm>
          <a:off x="33139512" y="7081844"/>
          <a:ext cx="2398184" cy="1586184"/>
          <a:chOff x="24741187" y="2595562"/>
          <a:chExt cx="2398183" cy="1586184"/>
        </a:xfrm>
      </xdr:grpSpPr>
      <xdr:sp macro="" textlink="'JUAL-ECOBALI'!$AF$5">
        <xdr:nvSpPr>
          <xdr:cNvPr id="60" name="TextBox 59">
            <a:extLst>
              <a:ext uri="{FF2B5EF4-FFF2-40B4-BE49-F238E27FC236}">
                <a16:creationId xmlns:a16="http://schemas.microsoft.com/office/drawing/2014/main" id="{8BBA84FD-991D-4FA7-BB58-DCCD2C168905}"/>
              </a:ext>
            </a:extLst>
          </xdr:cNvPr>
          <xdr:cNvSpPr txBox="1"/>
        </xdr:nvSpPr>
        <xdr:spPr>
          <a:xfrm>
            <a:off x="24947303" y="3268674"/>
            <a:ext cx="19131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4EBAD8-598F-4192-8CA6-709CB2FC9551}" type="TxLink">
              <a:rPr lang="en-US" sz="4000" b="1" i="0" u="none" strike="noStrike">
                <a:solidFill>
                  <a:schemeClr val="bg1"/>
                </a:solidFill>
                <a:latin typeface="Bodoni MT"/>
                <a:cs typeface="Calibri"/>
              </a:rPr>
              <a:pPr algn="ctr"/>
              <a:t>38.386</a:t>
            </a:fld>
            <a:endParaRPr lang="en-ID" sz="9600" b="1">
              <a:solidFill>
                <a:schemeClr val="bg1"/>
              </a:solidFill>
            </a:endParaRPr>
          </a:p>
        </xdr:txBody>
      </xdr:sp>
      <xdr:sp macro="" textlink="'JUAL-ECOBALI'!$AG$5">
        <xdr:nvSpPr>
          <xdr:cNvPr id="61" name="TextBox 60">
            <a:extLst>
              <a:ext uri="{FF2B5EF4-FFF2-40B4-BE49-F238E27FC236}">
                <a16:creationId xmlns:a16="http://schemas.microsoft.com/office/drawing/2014/main" id="{6C476326-1F9E-47DE-997F-D74D4530312D}"/>
              </a:ext>
            </a:extLst>
          </xdr:cNvPr>
          <xdr:cNvSpPr txBox="1"/>
        </xdr:nvSpPr>
        <xdr:spPr>
          <a:xfrm>
            <a:off x="24741187" y="2595562"/>
            <a:ext cx="239818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9D5371-4FD5-455B-B578-2C8C840EC3DC}" type="TxLink">
              <a:rPr lang="en-US" sz="4800" b="1" i="0" u="none" strike="noStrike">
                <a:solidFill>
                  <a:schemeClr val="bg1"/>
                </a:solidFill>
                <a:latin typeface="Bodoni MT"/>
                <a:cs typeface="Calibri"/>
              </a:rPr>
              <a:pPr algn="ctr"/>
              <a:t>15%</a:t>
            </a:fld>
            <a:endParaRPr lang="en-ID" sz="59500">
              <a:solidFill>
                <a:schemeClr val="bg1"/>
              </a:solidFill>
              <a:latin typeface="Bodoni MT" panose="02070603080606020203" pitchFamily="18" charset="0"/>
            </a:endParaRPr>
          </a:p>
        </xdr:txBody>
      </xdr:sp>
      <xdr:sp macro="" textlink="">
        <xdr:nvSpPr>
          <xdr:cNvPr id="62" name="TextBox 61">
            <a:extLst>
              <a:ext uri="{FF2B5EF4-FFF2-40B4-BE49-F238E27FC236}">
                <a16:creationId xmlns:a16="http://schemas.microsoft.com/office/drawing/2014/main" id="{B95AE116-280B-4C19-A96E-5506B2169B0F}"/>
              </a:ext>
            </a:extLst>
          </xdr:cNvPr>
          <xdr:cNvSpPr txBox="1"/>
        </xdr:nvSpPr>
        <xdr:spPr>
          <a:xfrm>
            <a:off x="25234638" y="3870597"/>
            <a:ext cx="1370541" cy="311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solidFill>
                <a:latin typeface="Bodoni MT"/>
              </a:rPr>
              <a:t>KG</a:t>
            </a:r>
            <a:endParaRPr lang="en-US" sz="1800" b="1" i="0" u="none" strike="noStrike">
              <a:solidFill>
                <a:schemeClr val="bg1"/>
              </a:solidFill>
              <a:latin typeface="Bodoni MT"/>
            </a:endParaRPr>
          </a:p>
        </xdr:txBody>
      </xdr:sp>
      <xdr:sp macro="" textlink="">
        <xdr:nvSpPr>
          <xdr:cNvPr id="63" name="Rectangle 62">
            <a:extLst>
              <a:ext uri="{FF2B5EF4-FFF2-40B4-BE49-F238E27FC236}">
                <a16:creationId xmlns:a16="http://schemas.microsoft.com/office/drawing/2014/main" id="{261E00CC-4254-4FEA-920B-606F13C567D9}"/>
              </a:ext>
            </a:extLst>
          </xdr:cNvPr>
          <xdr:cNvSpPr/>
        </xdr:nvSpPr>
        <xdr:spPr>
          <a:xfrm>
            <a:off x="25124694" y="3271849"/>
            <a:ext cx="1672875" cy="7599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clientData/>
  </xdr:twoCellAnchor>
  <xdr:twoCellAnchor>
    <xdr:from>
      <xdr:col>51</xdr:col>
      <xdr:colOff>366715</xdr:colOff>
      <xdr:row>29</xdr:row>
      <xdr:rowOff>52388</xdr:rowOff>
    </xdr:from>
    <xdr:to>
      <xdr:col>59</xdr:col>
      <xdr:colOff>560615</xdr:colOff>
      <xdr:row>32</xdr:row>
      <xdr:rowOff>75068</xdr:rowOff>
    </xdr:to>
    <xdr:grpSp>
      <xdr:nvGrpSpPr>
        <xdr:cNvPr id="68" name="Group 67">
          <a:extLst>
            <a:ext uri="{FF2B5EF4-FFF2-40B4-BE49-F238E27FC236}">
              <a16:creationId xmlns:a16="http://schemas.microsoft.com/office/drawing/2014/main" id="{9E9ED08B-7C7D-4235-83D0-3D6176D8B4DB}"/>
            </a:ext>
          </a:extLst>
        </xdr:cNvPr>
        <xdr:cNvGrpSpPr/>
      </xdr:nvGrpSpPr>
      <xdr:grpSpPr>
        <a:xfrm>
          <a:off x="31942090" y="5672138"/>
          <a:ext cx="5146900" cy="594180"/>
          <a:chOff x="6700509" y="2122106"/>
          <a:chExt cx="3344282" cy="594180"/>
        </a:xfrm>
      </xdr:grpSpPr>
      <xdr:sp macro="" textlink="">
        <xdr:nvSpPr>
          <xdr:cNvPr id="69" name="Hexagon 68">
            <a:extLst>
              <a:ext uri="{FF2B5EF4-FFF2-40B4-BE49-F238E27FC236}">
                <a16:creationId xmlns:a16="http://schemas.microsoft.com/office/drawing/2014/main" id="{E1728E84-0A5D-46C6-B102-72853CAFDA34}"/>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70" name="TextBox 69">
            <a:extLst>
              <a:ext uri="{FF2B5EF4-FFF2-40B4-BE49-F238E27FC236}">
                <a16:creationId xmlns:a16="http://schemas.microsoft.com/office/drawing/2014/main" id="{1CB8FA20-16B1-4F4F-9B61-32C0F9A77851}"/>
              </a:ext>
            </a:extLst>
          </xdr:cNvPr>
          <xdr:cNvSpPr txBox="1"/>
        </xdr:nvSpPr>
        <xdr:spPr>
          <a:xfrm>
            <a:off x="6731332" y="2122106"/>
            <a:ext cx="3251814"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Annual Target Achievement (Sent to Papermill)</a:t>
            </a:r>
          </a:p>
        </xdr:txBody>
      </xdr:sp>
    </xdr:grpSp>
    <xdr:clientData/>
  </xdr:twoCellAnchor>
  <xdr:twoCellAnchor>
    <xdr:from>
      <xdr:col>0</xdr:col>
      <xdr:colOff>326571</xdr:colOff>
      <xdr:row>7</xdr:row>
      <xdr:rowOff>210910</xdr:rowOff>
    </xdr:from>
    <xdr:to>
      <xdr:col>24</xdr:col>
      <xdr:colOff>421821</xdr:colOff>
      <xdr:row>56</xdr:row>
      <xdr:rowOff>139472</xdr:rowOff>
    </xdr:to>
    <xdr:graphicFrame macro="">
      <xdr:nvGraphicFramePr>
        <xdr:cNvPr id="55" name="Chart 54">
          <a:extLst>
            <a:ext uri="{FF2B5EF4-FFF2-40B4-BE49-F238E27FC236}">
              <a16:creationId xmlns:a16="http://schemas.microsoft.com/office/drawing/2014/main" id="{F1D9118B-E84F-4386-895C-DBDDAE584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136071</xdr:colOff>
      <xdr:row>7</xdr:row>
      <xdr:rowOff>217715</xdr:rowOff>
    </xdr:from>
    <xdr:to>
      <xdr:col>42</xdr:col>
      <xdr:colOff>163285</xdr:colOff>
      <xdr:row>57</xdr:row>
      <xdr:rowOff>136072</xdr:rowOff>
    </xdr:to>
    <xdr:graphicFrame macro="">
      <xdr:nvGraphicFramePr>
        <xdr:cNvPr id="56" name="Chart 55">
          <a:extLst>
            <a:ext uri="{FF2B5EF4-FFF2-40B4-BE49-F238E27FC236}">
              <a16:creationId xmlns:a16="http://schemas.microsoft.com/office/drawing/2014/main" id="{1E3700AB-6B7F-4E82-9631-B22F89C84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60552</xdr:colOff>
      <xdr:row>3</xdr:row>
      <xdr:rowOff>135393</xdr:rowOff>
    </xdr:from>
    <xdr:to>
      <xdr:col>38</xdr:col>
      <xdr:colOff>346302</xdr:colOff>
      <xdr:row>6</xdr:row>
      <xdr:rowOff>158073</xdr:rowOff>
    </xdr:to>
    <xdr:grpSp>
      <xdr:nvGrpSpPr>
        <xdr:cNvPr id="64" name="Group 63">
          <a:extLst>
            <a:ext uri="{FF2B5EF4-FFF2-40B4-BE49-F238E27FC236}">
              <a16:creationId xmlns:a16="http://schemas.microsoft.com/office/drawing/2014/main" id="{274E8E52-154E-4B00-A5A5-E538520447E8}"/>
            </a:ext>
          </a:extLst>
        </xdr:cNvPr>
        <xdr:cNvGrpSpPr/>
      </xdr:nvGrpSpPr>
      <xdr:grpSpPr>
        <a:xfrm>
          <a:off x="18634302" y="706893"/>
          <a:ext cx="5238750" cy="594180"/>
          <a:chOff x="6700509" y="2122106"/>
          <a:chExt cx="3344282" cy="594180"/>
        </a:xfrm>
      </xdr:grpSpPr>
      <xdr:sp macro="" textlink="">
        <xdr:nvSpPr>
          <xdr:cNvPr id="65" name="Hexagon 64">
            <a:extLst>
              <a:ext uri="{FF2B5EF4-FFF2-40B4-BE49-F238E27FC236}">
                <a16:creationId xmlns:a16="http://schemas.microsoft.com/office/drawing/2014/main" id="{7EC465C6-6108-4F3D-9B32-2A2C5FA51FAC}"/>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66" name="TextBox 65">
            <a:extLst>
              <a:ext uri="{FF2B5EF4-FFF2-40B4-BE49-F238E27FC236}">
                <a16:creationId xmlns:a16="http://schemas.microsoft.com/office/drawing/2014/main" id="{77972743-925F-4515-8B20-958A96718DFF}"/>
              </a:ext>
            </a:extLst>
          </xdr:cNvPr>
          <xdr:cNvSpPr txBox="1"/>
        </xdr:nvSpPr>
        <xdr:spPr>
          <a:xfrm>
            <a:off x="6891753" y="2122106"/>
            <a:ext cx="2972972"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u="none" strike="noStrike">
                <a:solidFill>
                  <a:schemeClr val="bg1"/>
                </a:solidFill>
                <a:latin typeface="Segoe UI" panose="020B0502040204020203" pitchFamily="34" charset="0"/>
                <a:cs typeface="Segoe UI" panose="020B0502040204020203" pitchFamily="34" charset="0"/>
              </a:rPr>
              <a:t>Dinamics of</a:t>
            </a:r>
            <a:r>
              <a:rPr lang="en-US" sz="1800" b="1" i="1" u="none" strike="noStrike" baseline="0">
                <a:solidFill>
                  <a:schemeClr val="bg1"/>
                </a:solidFill>
                <a:latin typeface="Segoe UI" panose="020B0502040204020203" pitchFamily="34" charset="0"/>
                <a:cs typeface="Segoe UI" panose="020B0502040204020203" pitchFamily="34" charset="0"/>
              </a:rPr>
              <a:t> </a:t>
            </a:r>
            <a:r>
              <a:rPr lang="en-US" sz="1800" b="1" i="1" u="none" strike="noStrike">
                <a:solidFill>
                  <a:schemeClr val="bg1"/>
                </a:solidFill>
                <a:latin typeface="Segoe UI" panose="020B0502040204020203" pitchFamily="34" charset="0"/>
                <a:cs typeface="Segoe UI" panose="020B0502040204020203" pitchFamily="34" charset="0"/>
              </a:rPr>
              <a:t>Actual</a:t>
            </a:r>
            <a:r>
              <a:rPr lang="en-US" sz="1800" b="1" i="1" u="none" strike="noStrike" baseline="0">
                <a:solidFill>
                  <a:schemeClr val="bg1"/>
                </a:solidFill>
                <a:latin typeface="Segoe UI" panose="020B0502040204020203" pitchFamily="34" charset="0"/>
                <a:cs typeface="Segoe UI" panose="020B0502040204020203" pitchFamily="34" charset="0"/>
              </a:rPr>
              <a:t>  Vs Target (ecoBali)</a:t>
            </a:r>
            <a:endParaRPr lang="en-US" sz="1800" b="1" i="1" u="none" strike="noStrike">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42</xdr:col>
      <xdr:colOff>319086</xdr:colOff>
      <xdr:row>4</xdr:row>
      <xdr:rowOff>46945</xdr:rowOff>
    </xdr:from>
    <xdr:to>
      <xdr:col>42</xdr:col>
      <xdr:colOff>509586</xdr:colOff>
      <xdr:row>58</xdr:row>
      <xdr:rowOff>70758</xdr:rowOff>
    </xdr:to>
    <xdr:sp macro="" textlink="">
      <xdr:nvSpPr>
        <xdr:cNvPr id="72" name="Rectangle 71">
          <a:extLst>
            <a:ext uri="{FF2B5EF4-FFF2-40B4-BE49-F238E27FC236}">
              <a16:creationId xmlns:a16="http://schemas.microsoft.com/office/drawing/2014/main" id="{B0F95061-0D3C-41BF-BC1B-0D504957ECF8}"/>
            </a:ext>
          </a:extLst>
        </xdr:cNvPr>
        <xdr:cNvSpPr/>
      </xdr:nvSpPr>
      <xdr:spPr>
        <a:xfrm>
          <a:off x="25465086" y="808945"/>
          <a:ext cx="190500" cy="104196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51</xdr:col>
      <xdr:colOff>36056</xdr:colOff>
      <xdr:row>3</xdr:row>
      <xdr:rowOff>63273</xdr:rowOff>
    </xdr:from>
    <xdr:to>
      <xdr:col>51</xdr:col>
      <xdr:colOff>226556</xdr:colOff>
      <xdr:row>57</xdr:row>
      <xdr:rowOff>87086</xdr:rowOff>
    </xdr:to>
    <xdr:sp macro="" textlink="">
      <xdr:nvSpPr>
        <xdr:cNvPr id="73" name="Rectangle 72">
          <a:extLst>
            <a:ext uri="{FF2B5EF4-FFF2-40B4-BE49-F238E27FC236}">
              <a16:creationId xmlns:a16="http://schemas.microsoft.com/office/drawing/2014/main" id="{F3899F81-C1E1-4CB9-9D16-1FCF816A42E1}"/>
            </a:ext>
          </a:extLst>
        </xdr:cNvPr>
        <xdr:cNvSpPr/>
      </xdr:nvSpPr>
      <xdr:spPr>
        <a:xfrm>
          <a:off x="30570485" y="634773"/>
          <a:ext cx="190500" cy="104196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43</xdr:col>
      <xdr:colOff>517072</xdr:colOff>
      <xdr:row>6</xdr:row>
      <xdr:rowOff>136074</xdr:rowOff>
    </xdr:from>
    <xdr:to>
      <xdr:col>50</xdr:col>
      <xdr:colOff>136073</xdr:colOff>
      <xdr:row>24</xdr:row>
      <xdr:rowOff>163287</xdr:rowOff>
    </xdr:to>
    <xdr:graphicFrame macro="">
      <xdr:nvGraphicFramePr>
        <xdr:cNvPr id="74" name="Chart 73">
          <a:extLst>
            <a:ext uri="{FF2B5EF4-FFF2-40B4-BE49-F238E27FC236}">
              <a16:creationId xmlns:a16="http://schemas.microsoft.com/office/drawing/2014/main" id="{970ABA1F-BEBC-46D7-A4E1-448C87E64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571502</xdr:colOff>
      <xdr:row>33</xdr:row>
      <xdr:rowOff>-1</xdr:rowOff>
    </xdr:from>
    <xdr:to>
      <xdr:col>50</xdr:col>
      <xdr:colOff>27215</xdr:colOff>
      <xdr:row>51</xdr:row>
      <xdr:rowOff>163284</xdr:rowOff>
    </xdr:to>
    <xdr:graphicFrame macro="">
      <xdr:nvGraphicFramePr>
        <xdr:cNvPr id="75" name="Chart 74">
          <a:extLst>
            <a:ext uri="{FF2B5EF4-FFF2-40B4-BE49-F238E27FC236}">
              <a16:creationId xmlns:a16="http://schemas.microsoft.com/office/drawing/2014/main" id="{3EB06A42-A6CB-44E9-8261-112BFF9BE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63950</xdr:colOff>
      <xdr:row>11</xdr:row>
      <xdr:rowOff>70763</xdr:rowOff>
    </xdr:from>
    <xdr:to>
      <xdr:col>49</xdr:col>
      <xdr:colOff>6044</xdr:colOff>
      <xdr:row>20</xdr:row>
      <xdr:rowOff>13883</xdr:rowOff>
    </xdr:to>
    <xdr:grpSp>
      <xdr:nvGrpSpPr>
        <xdr:cNvPr id="76" name="Group 75">
          <a:extLst>
            <a:ext uri="{FF2B5EF4-FFF2-40B4-BE49-F238E27FC236}">
              <a16:creationId xmlns:a16="http://schemas.microsoft.com/office/drawing/2014/main" id="{E8CF57E3-8285-4EA9-B4CC-CDB12BBC1637}"/>
            </a:ext>
          </a:extLst>
        </xdr:cNvPr>
        <xdr:cNvGrpSpPr/>
      </xdr:nvGrpSpPr>
      <xdr:grpSpPr>
        <a:xfrm>
          <a:off x="27924575" y="2261513"/>
          <a:ext cx="2418594" cy="1657620"/>
          <a:chOff x="24741187" y="2524126"/>
          <a:chExt cx="2398183" cy="1657620"/>
        </a:xfrm>
      </xdr:grpSpPr>
      <xdr:sp macro="" textlink="'MASUK-TARGET'!BE4">
        <xdr:nvSpPr>
          <xdr:cNvPr id="77" name="TextBox 76">
            <a:extLst>
              <a:ext uri="{FF2B5EF4-FFF2-40B4-BE49-F238E27FC236}">
                <a16:creationId xmlns:a16="http://schemas.microsoft.com/office/drawing/2014/main" id="{9733ED50-A12F-43FD-929C-E90DD30ACD23}"/>
              </a:ext>
            </a:extLst>
          </xdr:cNvPr>
          <xdr:cNvSpPr txBox="1"/>
        </xdr:nvSpPr>
        <xdr:spPr>
          <a:xfrm>
            <a:off x="24947303" y="3268674"/>
            <a:ext cx="19131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1F447A-7640-4924-AFC1-8254BCA701DC}" type="TxLink">
              <a:rPr lang="en-US" sz="3200" b="0" i="0" u="none" strike="noStrike">
                <a:solidFill>
                  <a:schemeClr val="bg1"/>
                </a:solidFill>
                <a:latin typeface="Bodoni MT"/>
                <a:cs typeface="Calibri"/>
              </a:rPr>
              <a:pPr algn="ctr"/>
              <a:t>40645,47</a:t>
            </a:fld>
            <a:endParaRPr lang="en-ID" sz="11500" b="1">
              <a:solidFill>
                <a:schemeClr val="bg1"/>
              </a:solidFill>
            </a:endParaRPr>
          </a:p>
        </xdr:txBody>
      </xdr:sp>
      <xdr:sp macro="" textlink="'MASUK-TARGET'!BF1">
        <xdr:nvSpPr>
          <xdr:cNvPr id="78" name="TextBox 77">
            <a:extLst>
              <a:ext uri="{FF2B5EF4-FFF2-40B4-BE49-F238E27FC236}">
                <a16:creationId xmlns:a16="http://schemas.microsoft.com/office/drawing/2014/main" id="{856AD753-7FAC-41EE-9A92-9283EE11D6DC}"/>
              </a:ext>
            </a:extLst>
          </xdr:cNvPr>
          <xdr:cNvSpPr txBox="1"/>
        </xdr:nvSpPr>
        <xdr:spPr>
          <a:xfrm>
            <a:off x="24741187" y="2524126"/>
            <a:ext cx="239818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53CCAC-B345-4977-BFE5-3D32AC630934}" type="TxLink">
              <a:rPr lang="en-US" sz="5400" b="1" i="0" u="none" strike="noStrike">
                <a:solidFill>
                  <a:schemeClr val="bg1"/>
                </a:solidFill>
                <a:latin typeface="Bodoni MT" panose="02070603080606020203" pitchFamily="18" charset="0"/>
                <a:cs typeface="Calibri"/>
              </a:rPr>
              <a:pPr algn="ctr"/>
              <a:t>39%</a:t>
            </a:fld>
            <a:endParaRPr lang="en-ID" sz="102800">
              <a:solidFill>
                <a:schemeClr val="bg1"/>
              </a:solidFill>
              <a:latin typeface="Bodoni MT" panose="02070603080606020203" pitchFamily="18" charset="0"/>
            </a:endParaRPr>
          </a:p>
        </xdr:txBody>
      </xdr:sp>
      <xdr:sp macro="" textlink="">
        <xdr:nvSpPr>
          <xdr:cNvPr id="79" name="TextBox 78">
            <a:extLst>
              <a:ext uri="{FF2B5EF4-FFF2-40B4-BE49-F238E27FC236}">
                <a16:creationId xmlns:a16="http://schemas.microsoft.com/office/drawing/2014/main" id="{6EAC0FDE-EE97-4D66-871A-DCDC34905E8A}"/>
              </a:ext>
            </a:extLst>
          </xdr:cNvPr>
          <xdr:cNvSpPr txBox="1"/>
        </xdr:nvSpPr>
        <xdr:spPr>
          <a:xfrm>
            <a:off x="25234638" y="3870597"/>
            <a:ext cx="1370541" cy="311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solidFill>
                <a:latin typeface="Bodoni MT"/>
              </a:rPr>
              <a:t>KG</a:t>
            </a:r>
            <a:endParaRPr lang="en-US" sz="1800" b="1" i="0" u="none" strike="noStrike">
              <a:solidFill>
                <a:schemeClr val="bg1"/>
              </a:solidFill>
              <a:latin typeface="Bodoni MT"/>
            </a:endParaRPr>
          </a:p>
        </xdr:txBody>
      </xdr:sp>
      <xdr:sp macro="" textlink="">
        <xdr:nvSpPr>
          <xdr:cNvPr id="80" name="Rectangle 79">
            <a:extLst>
              <a:ext uri="{FF2B5EF4-FFF2-40B4-BE49-F238E27FC236}">
                <a16:creationId xmlns:a16="http://schemas.microsoft.com/office/drawing/2014/main" id="{F51E87D4-0F4C-4F91-A532-0554320C52EF}"/>
              </a:ext>
            </a:extLst>
          </xdr:cNvPr>
          <xdr:cNvSpPr/>
        </xdr:nvSpPr>
        <xdr:spPr>
          <a:xfrm>
            <a:off x="25124694" y="3271849"/>
            <a:ext cx="1672875" cy="7599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clientData/>
  </xdr:twoCellAnchor>
  <xdr:twoCellAnchor>
    <xdr:from>
      <xdr:col>45</xdr:col>
      <xdr:colOff>27214</xdr:colOff>
      <xdr:row>38</xdr:row>
      <xdr:rowOff>81643</xdr:rowOff>
    </xdr:from>
    <xdr:to>
      <xdr:col>48</xdr:col>
      <xdr:colOff>568022</xdr:colOff>
      <xdr:row>47</xdr:row>
      <xdr:rowOff>24763</xdr:rowOff>
    </xdr:to>
    <xdr:grpSp>
      <xdr:nvGrpSpPr>
        <xdr:cNvPr id="81" name="Group 80">
          <a:extLst>
            <a:ext uri="{FF2B5EF4-FFF2-40B4-BE49-F238E27FC236}">
              <a16:creationId xmlns:a16="http://schemas.microsoft.com/office/drawing/2014/main" id="{08E1883D-C6B2-4D09-8E65-8163DAC62EF4}"/>
            </a:ext>
          </a:extLst>
        </xdr:cNvPr>
        <xdr:cNvGrpSpPr/>
      </xdr:nvGrpSpPr>
      <xdr:grpSpPr>
        <a:xfrm>
          <a:off x="27887839" y="7415893"/>
          <a:ext cx="2398183" cy="1657620"/>
          <a:chOff x="24741187" y="2524126"/>
          <a:chExt cx="2398183" cy="1657620"/>
        </a:xfrm>
      </xdr:grpSpPr>
      <xdr:sp macro="" textlink="'MASUK-TARGET'!BQ4">
        <xdr:nvSpPr>
          <xdr:cNvPr id="82" name="TextBox 81">
            <a:extLst>
              <a:ext uri="{FF2B5EF4-FFF2-40B4-BE49-F238E27FC236}">
                <a16:creationId xmlns:a16="http://schemas.microsoft.com/office/drawing/2014/main" id="{274D36EA-3220-4DBD-B0D7-06968DB147F9}"/>
              </a:ext>
            </a:extLst>
          </xdr:cNvPr>
          <xdr:cNvSpPr txBox="1"/>
        </xdr:nvSpPr>
        <xdr:spPr>
          <a:xfrm>
            <a:off x="24947303" y="3268674"/>
            <a:ext cx="191319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72E8B4-50C2-4B60-9256-A9A29F136ED3}" type="TxLink">
              <a:rPr lang="en-US" sz="3200" b="1" i="0" u="none" strike="noStrike">
                <a:solidFill>
                  <a:schemeClr val="bg1"/>
                </a:solidFill>
                <a:latin typeface="Bodoni MT"/>
                <a:cs typeface="Calibri"/>
              </a:rPr>
              <a:pPr algn="ctr"/>
              <a:t>40645,47</a:t>
            </a:fld>
            <a:endParaRPr lang="en-ID" sz="34400" b="1">
              <a:solidFill>
                <a:schemeClr val="bg1"/>
              </a:solidFill>
            </a:endParaRPr>
          </a:p>
        </xdr:txBody>
      </xdr:sp>
      <xdr:sp macro="" textlink="'MASUK-TARGET'!BR1">
        <xdr:nvSpPr>
          <xdr:cNvPr id="83" name="TextBox 82">
            <a:extLst>
              <a:ext uri="{FF2B5EF4-FFF2-40B4-BE49-F238E27FC236}">
                <a16:creationId xmlns:a16="http://schemas.microsoft.com/office/drawing/2014/main" id="{14240B37-9DA7-4614-9CF9-4A9973504EAF}"/>
              </a:ext>
            </a:extLst>
          </xdr:cNvPr>
          <xdr:cNvSpPr txBox="1"/>
        </xdr:nvSpPr>
        <xdr:spPr>
          <a:xfrm>
            <a:off x="24741187" y="2524126"/>
            <a:ext cx="239818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31DC84-574C-4C2D-B335-6A734442BB4A}" type="TxLink">
              <a:rPr lang="en-US" sz="5400" b="1" i="0" u="none" strike="noStrike">
                <a:solidFill>
                  <a:schemeClr val="bg1"/>
                </a:solidFill>
                <a:latin typeface="Bodoni MT" panose="02070603080606020203" pitchFamily="18" charset="0"/>
                <a:cs typeface="Calibri"/>
              </a:rPr>
              <a:pPr algn="ctr"/>
              <a:t>16%</a:t>
            </a:fld>
            <a:endParaRPr lang="en-ID" sz="400000" b="1">
              <a:solidFill>
                <a:schemeClr val="bg1"/>
              </a:solidFill>
              <a:latin typeface="Bodoni MT" panose="02070603080606020203" pitchFamily="18" charset="0"/>
            </a:endParaRPr>
          </a:p>
        </xdr:txBody>
      </xdr:sp>
      <xdr:sp macro="" textlink="">
        <xdr:nvSpPr>
          <xdr:cNvPr id="84" name="TextBox 83">
            <a:extLst>
              <a:ext uri="{FF2B5EF4-FFF2-40B4-BE49-F238E27FC236}">
                <a16:creationId xmlns:a16="http://schemas.microsoft.com/office/drawing/2014/main" id="{88D4EF2A-4F4B-45EC-A1BF-8856FA648592}"/>
              </a:ext>
            </a:extLst>
          </xdr:cNvPr>
          <xdr:cNvSpPr txBox="1"/>
        </xdr:nvSpPr>
        <xdr:spPr>
          <a:xfrm>
            <a:off x="25234638" y="3870597"/>
            <a:ext cx="1370541" cy="311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bg1"/>
                </a:solidFill>
                <a:latin typeface="Bodoni MT"/>
              </a:rPr>
              <a:t>KG</a:t>
            </a:r>
            <a:endParaRPr lang="en-US" sz="1800" b="1" i="0" u="none" strike="noStrike">
              <a:solidFill>
                <a:schemeClr val="bg1"/>
              </a:solidFill>
              <a:latin typeface="Bodoni MT"/>
            </a:endParaRPr>
          </a:p>
        </xdr:txBody>
      </xdr:sp>
      <xdr:sp macro="" textlink="">
        <xdr:nvSpPr>
          <xdr:cNvPr id="85" name="Rectangle 84">
            <a:extLst>
              <a:ext uri="{FF2B5EF4-FFF2-40B4-BE49-F238E27FC236}">
                <a16:creationId xmlns:a16="http://schemas.microsoft.com/office/drawing/2014/main" id="{A4769EAD-F363-4ADC-A4E6-CA6A370F0868}"/>
              </a:ext>
            </a:extLst>
          </xdr:cNvPr>
          <xdr:cNvSpPr/>
        </xdr:nvSpPr>
        <xdr:spPr>
          <a:xfrm>
            <a:off x="25124694" y="3271849"/>
            <a:ext cx="1672875" cy="7599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clientData/>
  </xdr:twoCellAnchor>
  <xdr:twoCellAnchor editAs="oneCell">
    <xdr:from>
      <xdr:col>22</xdr:col>
      <xdr:colOff>136074</xdr:colOff>
      <xdr:row>4</xdr:row>
      <xdr:rowOff>81643</xdr:rowOff>
    </xdr:from>
    <xdr:to>
      <xdr:col>25</xdr:col>
      <xdr:colOff>168731</xdr:colOff>
      <xdr:row>12</xdr:row>
      <xdr:rowOff>163286</xdr:rowOff>
    </xdr:to>
    <mc:AlternateContent xmlns:mc="http://schemas.openxmlformats.org/markup-compatibility/2006" xmlns:a14="http://schemas.microsoft.com/office/drawing/2010/main">
      <mc:Choice Requires="a14">
        <xdr:graphicFrame macro="">
          <xdr:nvGraphicFramePr>
            <xdr:cNvPr id="86" name="Bulan 3">
              <a:extLst>
                <a:ext uri="{FF2B5EF4-FFF2-40B4-BE49-F238E27FC236}">
                  <a16:creationId xmlns:a16="http://schemas.microsoft.com/office/drawing/2014/main" id="{505C751C-0B4A-4BA5-ADE4-BDD4DFDAE63E}"/>
                </a:ext>
              </a:extLst>
            </xdr:cNvPr>
            <xdr:cNvGraphicFramePr/>
          </xdr:nvGraphicFramePr>
          <xdr:xfrm>
            <a:off x="0" y="0"/>
            <a:ext cx="0" cy="0"/>
          </xdr:xfrm>
          <a:graphic>
            <a:graphicData uri="http://schemas.microsoft.com/office/drawing/2010/slicer">
              <sle:slicer xmlns:sle="http://schemas.microsoft.com/office/drawing/2010/slicer" name="Bulan 3"/>
            </a:graphicData>
          </a:graphic>
        </xdr:graphicFrame>
      </mc:Choice>
      <mc:Fallback xmlns="">
        <xdr:sp macro="" textlink="">
          <xdr:nvSpPr>
            <xdr:cNvPr id="0" name=""/>
            <xdr:cNvSpPr>
              <a:spLocks noTextEdit="1"/>
            </xdr:cNvSpPr>
          </xdr:nvSpPr>
          <xdr:spPr>
            <a:xfrm>
              <a:off x="13307788" y="843643"/>
              <a:ext cx="1828800" cy="17145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87086</xdr:rowOff>
    </xdr:from>
    <xdr:to>
      <xdr:col>60</xdr:col>
      <xdr:colOff>54429</xdr:colOff>
      <xdr:row>4</xdr:row>
      <xdr:rowOff>0</xdr:rowOff>
    </xdr:to>
    <xdr:sp macro="" textlink="">
      <xdr:nvSpPr>
        <xdr:cNvPr id="2" name="Hexagon 1">
          <a:extLst>
            <a:ext uri="{FF2B5EF4-FFF2-40B4-BE49-F238E27FC236}">
              <a16:creationId xmlns:a16="http://schemas.microsoft.com/office/drawing/2014/main" id="{DE540B6F-D94F-4370-8EE1-E3C7788201E8}"/>
            </a:ext>
          </a:extLst>
        </xdr:cNvPr>
        <xdr:cNvSpPr/>
      </xdr:nvSpPr>
      <xdr:spPr>
        <a:xfrm>
          <a:off x="0" y="87086"/>
          <a:ext cx="35977286" cy="674914"/>
        </a:xfrm>
        <a:prstGeom prst="hexagon">
          <a:avLst/>
        </a:prstGeom>
        <a:gradFill>
          <a:gsLst>
            <a:gs pos="47000">
              <a:srgbClr val="5496D4"/>
            </a:gs>
            <a:gs pos="0">
              <a:srgbClr val="6CA5DA"/>
            </a:gs>
            <a:gs pos="100000">
              <a:srgbClr val="3B87CD"/>
            </a:gs>
          </a:gsLst>
          <a:lin ang="108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285750</xdr:colOff>
      <xdr:row>0</xdr:row>
      <xdr:rowOff>0</xdr:rowOff>
    </xdr:from>
    <xdr:to>
      <xdr:col>59</xdr:col>
      <xdr:colOff>462642</xdr:colOff>
      <xdr:row>4</xdr:row>
      <xdr:rowOff>128408</xdr:rowOff>
    </xdr:to>
    <xdr:sp macro="" textlink="">
      <xdr:nvSpPr>
        <xdr:cNvPr id="3" name="TextBox 2">
          <a:extLst>
            <a:ext uri="{FF2B5EF4-FFF2-40B4-BE49-F238E27FC236}">
              <a16:creationId xmlns:a16="http://schemas.microsoft.com/office/drawing/2014/main" id="{D76AA192-C6ED-4437-A069-CF2E664D2929}"/>
            </a:ext>
          </a:extLst>
        </xdr:cNvPr>
        <xdr:cNvSpPr txBox="1"/>
      </xdr:nvSpPr>
      <xdr:spPr>
        <a:xfrm>
          <a:off x="285750" y="0"/>
          <a:ext cx="35501035" cy="890408"/>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4400" b="1">
              <a:solidFill>
                <a:schemeClr val="bg1"/>
              </a:solidFill>
              <a:latin typeface="Bodoni MT" panose="02070603080606020203" pitchFamily="18" charset="0"/>
            </a:rPr>
            <a:t>DASHBOARD</a:t>
          </a:r>
          <a:r>
            <a:rPr lang="en-ID" sz="4400" b="1" baseline="0">
              <a:solidFill>
                <a:schemeClr val="bg1"/>
              </a:solidFill>
              <a:latin typeface="Bodoni MT" panose="02070603080606020203" pitchFamily="18" charset="0"/>
            </a:rPr>
            <a:t>: ACTUAL VS TARGET</a:t>
          </a:r>
          <a:endParaRPr lang="en-ID" sz="4400" b="1">
            <a:solidFill>
              <a:schemeClr val="bg1"/>
            </a:solidFill>
            <a:latin typeface="Bodoni MT" panose="02070603080606020203"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36</xdr:row>
      <xdr:rowOff>57145</xdr:rowOff>
    </xdr:from>
    <xdr:to>
      <xdr:col>42</xdr:col>
      <xdr:colOff>381000</xdr:colOff>
      <xdr:row>53</xdr:row>
      <xdr:rowOff>52912</xdr:rowOff>
    </xdr:to>
    <xdr:sp macro="" textlink="">
      <xdr:nvSpPr>
        <xdr:cNvPr id="29" name="Rectangle: Rounded Corners 28">
          <a:extLst>
            <a:ext uri="{FF2B5EF4-FFF2-40B4-BE49-F238E27FC236}">
              <a16:creationId xmlns:a16="http://schemas.microsoft.com/office/drawing/2014/main" id="{77DDB752-3F16-4D98-8D3E-A6B5468AA42A}"/>
            </a:ext>
          </a:extLst>
        </xdr:cNvPr>
        <xdr:cNvSpPr/>
      </xdr:nvSpPr>
      <xdr:spPr>
        <a:xfrm>
          <a:off x="0" y="6915145"/>
          <a:ext cx="26384250" cy="3234267"/>
        </a:xfrm>
        <a:prstGeom prst="roundRect">
          <a:avLst>
            <a:gd name="adj" fmla="val 9553"/>
          </a:avLst>
        </a:prstGeom>
        <a:gradFill>
          <a:gsLst>
            <a:gs pos="0">
              <a:srgbClr val="6CA5DA"/>
            </a:gs>
            <a:gs pos="100000">
              <a:srgbClr val="3B87CD"/>
            </a:gs>
          </a:gsLst>
          <a:lin ang="18000000" scaled="0"/>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0</xdr:colOff>
      <xdr:row>14</xdr:row>
      <xdr:rowOff>142874</xdr:rowOff>
    </xdr:from>
    <xdr:to>
      <xdr:col>42</xdr:col>
      <xdr:colOff>357186</xdr:colOff>
      <xdr:row>35</xdr:row>
      <xdr:rowOff>-1</xdr:rowOff>
    </xdr:to>
    <xdr:sp macro="" textlink="">
      <xdr:nvSpPr>
        <xdr:cNvPr id="26" name="Rectangle: Rounded Corners 25">
          <a:extLst>
            <a:ext uri="{FF2B5EF4-FFF2-40B4-BE49-F238E27FC236}">
              <a16:creationId xmlns:a16="http://schemas.microsoft.com/office/drawing/2014/main" id="{BC34CBC1-9B38-449E-A741-B68D36CE0314}"/>
            </a:ext>
          </a:extLst>
        </xdr:cNvPr>
        <xdr:cNvSpPr/>
      </xdr:nvSpPr>
      <xdr:spPr>
        <a:xfrm>
          <a:off x="0" y="2809874"/>
          <a:ext cx="26360436" cy="3857625"/>
        </a:xfrm>
        <a:prstGeom prst="roundRect">
          <a:avLst>
            <a:gd name="adj" fmla="val 8415"/>
          </a:avLst>
        </a:prstGeom>
        <a:gradFill>
          <a:gsLst>
            <a:gs pos="47000">
              <a:srgbClr val="5496D4"/>
            </a:gs>
            <a:gs pos="0">
              <a:srgbClr val="6CA5DA"/>
            </a:gs>
            <a:gs pos="100000">
              <a:srgbClr val="3B87CD"/>
            </a:gs>
          </a:gsLst>
          <a:lin ang="10800000" scaled="1"/>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0</xdr:colOff>
      <xdr:row>0</xdr:row>
      <xdr:rowOff>87086</xdr:rowOff>
    </xdr:from>
    <xdr:to>
      <xdr:col>42</xdr:col>
      <xdr:colOff>428624</xdr:colOff>
      <xdr:row>3</xdr:row>
      <xdr:rowOff>129268</xdr:rowOff>
    </xdr:to>
    <xdr:sp macro="" textlink="">
      <xdr:nvSpPr>
        <xdr:cNvPr id="2" name="Hexagon 1">
          <a:extLst>
            <a:ext uri="{FF2B5EF4-FFF2-40B4-BE49-F238E27FC236}">
              <a16:creationId xmlns:a16="http://schemas.microsoft.com/office/drawing/2014/main" id="{9C892E1F-3F34-4DF7-9E03-DA9D3B35D77B}"/>
            </a:ext>
          </a:extLst>
        </xdr:cNvPr>
        <xdr:cNvSpPr/>
      </xdr:nvSpPr>
      <xdr:spPr>
        <a:xfrm>
          <a:off x="0" y="87086"/>
          <a:ext cx="26431874" cy="613682"/>
        </a:xfrm>
        <a:prstGeom prst="hexagon">
          <a:avLst/>
        </a:prstGeom>
        <a:gradFill>
          <a:gsLst>
            <a:gs pos="47000">
              <a:srgbClr val="5496D4"/>
            </a:gs>
            <a:gs pos="0">
              <a:srgbClr val="6CA5DA"/>
            </a:gs>
            <a:gs pos="100000">
              <a:srgbClr val="3B87CD"/>
            </a:gs>
          </a:gsLst>
          <a:lin ang="108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285749</xdr:colOff>
      <xdr:row>0</xdr:row>
      <xdr:rowOff>0</xdr:rowOff>
    </xdr:from>
    <xdr:to>
      <xdr:col>41</xdr:col>
      <xdr:colOff>264635</xdr:colOff>
      <xdr:row>4</xdr:row>
      <xdr:rowOff>47625</xdr:rowOff>
    </xdr:to>
    <xdr:sp macro="" textlink="">
      <xdr:nvSpPr>
        <xdr:cNvPr id="3" name="TextBox 2">
          <a:extLst>
            <a:ext uri="{FF2B5EF4-FFF2-40B4-BE49-F238E27FC236}">
              <a16:creationId xmlns:a16="http://schemas.microsoft.com/office/drawing/2014/main" id="{0F83CF59-F723-475D-8477-B52C9AFF22D7}"/>
            </a:ext>
          </a:extLst>
        </xdr:cNvPr>
        <xdr:cNvSpPr txBox="1"/>
      </xdr:nvSpPr>
      <xdr:spPr>
        <a:xfrm>
          <a:off x="285749" y="0"/>
          <a:ext cx="25363011" cy="809625"/>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4400" b="1">
              <a:solidFill>
                <a:schemeClr val="bg1"/>
              </a:solidFill>
              <a:latin typeface="Bodoni MT" panose="02070603080606020203" pitchFamily="18" charset="0"/>
            </a:rPr>
            <a:t>DASHBOARD</a:t>
          </a:r>
          <a:r>
            <a:rPr lang="en-ID" sz="4400" b="1" baseline="0">
              <a:solidFill>
                <a:schemeClr val="bg1"/>
              </a:solidFill>
              <a:latin typeface="Bodoni MT" panose="02070603080606020203" pitchFamily="18" charset="0"/>
            </a:rPr>
            <a:t>: SHIPMENT</a:t>
          </a:r>
          <a:endParaRPr lang="en-ID" sz="4400" b="1">
            <a:solidFill>
              <a:schemeClr val="bg1"/>
            </a:solidFill>
            <a:latin typeface="Bodoni MT" panose="02070603080606020203" pitchFamily="18" charset="0"/>
          </a:endParaRPr>
        </a:p>
      </xdr:txBody>
    </xdr:sp>
    <xdr:clientData/>
  </xdr:twoCellAnchor>
  <xdr:twoCellAnchor>
    <xdr:from>
      <xdr:col>0</xdr:col>
      <xdr:colOff>0</xdr:colOff>
      <xdr:row>4</xdr:row>
      <xdr:rowOff>95249</xdr:rowOff>
    </xdr:from>
    <xdr:to>
      <xdr:col>42</xdr:col>
      <xdr:colOff>357186</xdr:colOff>
      <xdr:row>13</xdr:row>
      <xdr:rowOff>95250</xdr:rowOff>
    </xdr:to>
    <xdr:sp macro="" textlink="">
      <xdr:nvSpPr>
        <xdr:cNvPr id="4" name="Rectangle: Rounded Corners 3">
          <a:extLst>
            <a:ext uri="{FF2B5EF4-FFF2-40B4-BE49-F238E27FC236}">
              <a16:creationId xmlns:a16="http://schemas.microsoft.com/office/drawing/2014/main" id="{00D366FA-2F5E-4E8B-B685-4F37CE598D84}"/>
            </a:ext>
          </a:extLst>
        </xdr:cNvPr>
        <xdr:cNvSpPr/>
      </xdr:nvSpPr>
      <xdr:spPr>
        <a:xfrm>
          <a:off x="0" y="857249"/>
          <a:ext cx="26360436" cy="1714501"/>
        </a:xfrm>
        <a:prstGeom prst="roundRect">
          <a:avLst>
            <a:gd name="adj" fmla="val 13971"/>
          </a:avLst>
        </a:prstGeom>
        <a:gradFill>
          <a:gsLst>
            <a:gs pos="47000">
              <a:srgbClr val="5496D4"/>
            </a:gs>
            <a:gs pos="0">
              <a:srgbClr val="6CA5DA"/>
            </a:gs>
            <a:gs pos="100000">
              <a:srgbClr val="3B87CD"/>
            </a:gs>
          </a:gsLst>
          <a:lin ang="10800000" scaled="1"/>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440525</xdr:colOff>
      <xdr:row>4</xdr:row>
      <xdr:rowOff>119591</xdr:rowOff>
    </xdr:from>
    <xdr:to>
      <xdr:col>5</xdr:col>
      <xdr:colOff>209543</xdr:colOff>
      <xdr:row>14</xdr:row>
      <xdr:rowOff>47097</xdr:rowOff>
    </xdr:to>
    <xdr:grpSp>
      <xdr:nvGrpSpPr>
        <xdr:cNvPr id="11" name="Group 10">
          <a:extLst>
            <a:ext uri="{FF2B5EF4-FFF2-40B4-BE49-F238E27FC236}">
              <a16:creationId xmlns:a16="http://schemas.microsoft.com/office/drawing/2014/main" id="{1DEA91C6-CFF9-4AC5-94B8-97CAA88F7711}"/>
            </a:ext>
          </a:extLst>
        </xdr:cNvPr>
        <xdr:cNvGrpSpPr/>
      </xdr:nvGrpSpPr>
      <xdr:grpSpPr>
        <a:xfrm>
          <a:off x="1678775" y="881591"/>
          <a:ext cx="1626393" cy="1832506"/>
          <a:chOff x="1314450" y="2381250"/>
          <a:chExt cx="1183481" cy="1357311"/>
        </a:xfrm>
      </xdr:grpSpPr>
      <xdr:pic>
        <xdr:nvPicPr>
          <xdr:cNvPr id="9" name="Graphic 8" descr="Truck">
            <a:extLst>
              <a:ext uri="{FF2B5EF4-FFF2-40B4-BE49-F238E27FC236}">
                <a16:creationId xmlns:a16="http://schemas.microsoft.com/office/drawing/2014/main" id="{7E31997C-005D-4534-92D3-3561FDDC70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14450" y="2381250"/>
            <a:ext cx="1183481" cy="1357311"/>
          </a:xfrm>
          <a:prstGeom prst="rect">
            <a:avLst/>
          </a:prstGeom>
          <a:effectLst>
            <a:outerShdw blurRad="63500" sx="102000" sy="102000" algn="ctr" rotWithShape="0">
              <a:prstClr val="black">
                <a:alpha val="40000"/>
              </a:prstClr>
            </a:outerShdw>
          </a:effectLst>
        </xdr:spPr>
      </xdr:pic>
      <xdr:pic>
        <xdr:nvPicPr>
          <xdr:cNvPr id="10" name="Graphic 9" descr="Arrow Clockwise curve">
            <a:extLst>
              <a:ext uri="{FF2B5EF4-FFF2-40B4-BE49-F238E27FC236}">
                <a16:creationId xmlns:a16="http://schemas.microsoft.com/office/drawing/2014/main" id="{94A04963-D31F-4260-87D1-F1174223650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28750" y="2743200"/>
            <a:ext cx="647700" cy="647700"/>
          </a:xfrm>
          <a:prstGeom prst="rect">
            <a:avLst/>
          </a:prstGeom>
        </xdr:spPr>
      </xdr:pic>
    </xdr:grpSp>
    <xdr:clientData/>
  </xdr:twoCellAnchor>
  <xdr:twoCellAnchor>
    <xdr:from>
      <xdr:col>18</xdr:col>
      <xdr:colOff>581013</xdr:colOff>
      <xdr:row>7</xdr:row>
      <xdr:rowOff>57150</xdr:rowOff>
    </xdr:from>
    <xdr:to>
      <xdr:col>26</xdr:col>
      <xdr:colOff>523863</xdr:colOff>
      <xdr:row>13</xdr:row>
      <xdr:rowOff>3630</xdr:rowOff>
    </xdr:to>
    <xdr:grpSp>
      <xdr:nvGrpSpPr>
        <xdr:cNvPr id="23" name="Group 22">
          <a:extLst>
            <a:ext uri="{FF2B5EF4-FFF2-40B4-BE49-F238E27FC236}">
              <a16:creationId xmlns:a16="http://schemas.microsoft.com/office/drawing/2014/main" id="{CF83A981-61EC-4167-9E8B-95F462116208}"/>
            </a:ext>
          </a:extLst>
        </xdr:cNvPr>
        <xdr:cNvGrpSpPr/>
      </xdr:nvGrpSpPr>
      <xdr:grpSpPr>
        <a:xfrm>
          <a:off x="11725263" y="1390650"/>
          <a:ext cx="4895850" cy="1089480"/>
          <a:chOff x="1524000" y="1447800"/>
          <a:chExt cx="4819650" cy="1089480"/>
        </a:xfrm>
        <a:effectLst>
          <a:outerShdw blurRad="63500" sx="102000" sy="102000" algn="ctr" rotWithShape="0">
            <a:prstClr val="black">
              <a:alpha val="40000"/>
            </a:prstClr>
          </a:outerShdw>
        </a:effectLst>
      </xdr:grpSpPr>
      <xdr:sp macro="" textlink="'JUAL-PABRIK'!E1">
        <xdr:nvSpPr>
          <xdr:cNvPr id="5" name="TextBox 4">
            <a:extLst>
              <a:ext uri="{FF2B5EF4-FFF2-40B4-BE49-F238E27FC236}">
                <a16:creationId xmlns:a16="http://schemas.microsoft.com/office/drawing/2014/main" id="{62EC9961-5F84-49BF-BE04-2EDD94FC2FCA}"/>
              </a:ext>
            </a:extLst>
          </xdr:cNvPr>
          <xdr:cNvSpPr txBox="1"/>
        </xdr:nvSpPr>
        <xdr:spPr>
          <a:xfrm>
            <a:off x="3276600" y="1543050"/>
            <a:ext cx="30670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8E46499-ECA9-4201-AE46-4B2C8114DDC5}" type="TxLink">
              <a:rPr lang="en-US" sz="3600" b="1" i="0" u="none" strike="noStrike">
                <a:solidFill>
                  <a:srgbClr val="FFFFFF"/>
                </a:solidFill>
                <a:latin typeface="Bodoni MT"/>
              </a:rPr>
              <a:pPr algn="l"/>
              <a:t>38.370</a:t>
            </a:fld>
            <a:endParaRPr lang="en-ID" sz="6000">
              <a:solidFill>
                <a:schemeClr val="bg1"/>
              </a:solidFill>
            </a:endParaRPr>
          </a:p>
        </xdr:txBody>
      </xdr:sp>
      <xdr:sp macro="" textlink="'JUAL-PABRIK'!F1">
        <xdr:nvSpPr>
          <xdr:cNvPr id="6" name="TextBox 5">
            <a:extLst>
              <a:ext uri="{FF2B5EF4-FFF2-40B4-BE49-F238E27FC236}">
                <a16:creationId xmlns:a16="http://schemas.microsoft.com/office/drawing/2014/main" id="{64DECF66-CA83-4157-81F4-F5B7B634052F}"/>
              </a:ext>
            </a:extLst>
          </xdr:cNvPr>
          <xdr:cNvSpPr txBox="1"/>
        </xdr:nvSpPr>
        <xdr:spPr>
          <a:xfrm>
            <a:off x="1676400" y="1447800"/>
            <a:ext cx="16573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2CAC5B3-EDE9-4ECA-BBBF-ED47C42E8F0F}" type="TxLink">
              <a:rPr lang="en-US" sz="6000" b="1" i="0" u="none" strike="noStrike">
                <a:solidFill>
                  <a:srgbClr val="FFFFFF"/>
                </a:solidFill>
                <a:latin typeface="Bodoni MT"/>
              </a:rPr>
              <a:pPr algn="l"/>
              <a:t>38,37</a:t>
            </a:fld>
            <a:endParaRPr lang="en-ID" sz="41300">
              <a:solidFill>
                <a:schemeClr val="bg1"/>
              </a:solidFill>
            </a:endParaRPr>
          </a:p>
        </xdr:txBody>
      </xdr:sp>
      <xdr:cxnSp macro="">
        <xdr:nvCxnSpPr>
          <xdr:cNvPr id="18" name="Straight Connector 17">
            <a:extLst>
              <a:ext uri="{FF2B5EF4-FFF2-40B4-BE49-F238E27FC236}">
                <a16:creationId xmlns:a16="http://schemas.microsoft.com/office/drawing/2014/main" id="{8711D30D-A86C-43BA-9815-04DDEFCE0AE2}"/>
              </a:ext>
            </a:extLst>
          </xdr:cNvPr>
          <xdr:cNvCxnSpPr/>
        </xdr:nvCxnSpPr>
        <xdr:spPr>
          <a:xfrm flipH="1">
            <a:off x="3162300" y="1543050"/>
            <a:ext cx="171450" cy="514350"/>
          </a:xfrm>
          <a:prstGeom prst="line">
            <a:avLst/>
          </a:prstGeom>
          <a:ln w="53975">
            <a:solidFill>
              <a:schemeClr val="bg1"/>
            </a:solidFill>
          </a:ln>
          <a:effectLst>
            <a:outerShdw blurRad="63500" sx="102000" sy="102000" algn="c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sp macro="" textlink="">
        <xdr:nvSpPr>
          <xdr:cNvPr id="19" name="TextBox 18">
            <a:extLst>
              <a:ext uri="{FF2B5EF4-FFF2-40B4-BE49-F238E27FC236}">
                <a16:creationId xmlns:a16="http://schemas.microsoft.com/office/drawing/2014/main" id="{42A1D359-88FE-4075-89DE-35D93699C2C8}"/>
              </a:ext>
            </a:extLst>
          </xdr:cNvPr>
          <xdr:cNvSpPr txBox="1"/>
        </xdr:nvSpPr>
        <xdr:spPr>
          <a:xfrm>
            <a:off x="1524000" y="1943100"/>
            <a:ext cx="895650"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TON</a:t>
            </a:r>
          </a:p>
        </xdr:txBody>
      </xdr:sp>
      <xdr:sp macro="" textlink="">
        <xdr:nvSpPr>
          <xdr:cNvPr id="20" name="TextBox 19">
            <a:extLst>
              <a:ext uri="{FF2B5EF4-FFF2-40B4-BE49-F238E27FC236}">
                <a16:creationId xmlns:a16="http://schemas.microsoft.com/office/drawing/2014/main" id="{630F425B-2DF4-4DCE-A76C-4F27DADFC6B4}"/>
              </a:ext>
            </a:extLst>
          </xdr:cNvPr>
          <xdr:cNvSpPr txBox="1"/>
        </xdr:nvSpPr>
        <xdr:spPr>
          <a:xfrm>
            <a:off x="3067050" y="1943100"/>
            <a:ext cx="895650"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KG</a:t>
            </a:r>
          </a:p>
        </xdr:txBody>
      </xdr:sp>
    </xdr:grpSp>
    <xdr:clientData/>
  </xdr:twoCellAnchor>
  <xdr:twoCellAnchor>
    <xdr:from>
      <xdr:col>5</xdr:col>
      <xdr:colOff>28568</xdr:colOff>
      <xdr:row>7</xdr:row>
      <xdr:rowOff>71438</xdr:rowOff>
    </xdr:from>
    <xdr:to>
      <xdr:col>11</xdr:col>
      <xdr:colOff>609593</xdr:colOff>
      <xdr:row>13</xdr:row>
      <xdr:rowOff>17918</xdr:rowOff>
    </xdr:to>
    <xdr:grpSp>
      <xdr:nvGrpSpPr>
        <xdr:cNvPr id="24" name="Group 23">
          <a:extLst>
            <a:ext uri="{FF2B5EF4-FFF2-40B4-BE49-F238E27FC236}">
              <a16:creationId xmlns:a16="http://schemas.microsoft.com/office/drawing/2014/main" id="{684D2FFA-9F2B-4226-8B5F-BF91D80B7BBC}"/>
            </a:ext>
          </a:extLst>
        </xdr:cNvPr>
        <xdr:cNvGrpSpPr/>
      </xdr:nvGrpSpPr>
      <xdr:grpSpPr>
        <a:xfrm>
          <a:off x="3124193" y="1404938"/>
          <a:ext cx="4295775" cy="1089480"/>
          <a:chOff x="12268200" y="1466850"/>
          <a:chExt cx="4229100" cy="1089480"/>
        </a:xfrm>
        <a:effectLst>
          <a:outerShdw blurRad="63500" sx="102000" sy="102000" algn="ctr" rotWithShape="0">
            <a:prstClr val="black">
              <a:alpha val="40000"/>
            </a:prstClr>
          </a:outerShdw>
        </a:effectLst>
      </xdr:grpSpPr>
      <xdr:sp macro="" textlink="'JUAL-ECOBALI'!N1">
        <xdr:nvSpPr>
          <xdr:cNvPr id="15" name="TextBox 14">
            <a:extLst>
              <a:ext uri="{FF2B5EF4-FFF2-40B4-BE49-F238E27FC236}">
                <a16:creationId xmlns:a16="http://schemas.microsoft.com/office/drawing/2014/main" id="{BECC2982-7016-46A9-BF6A-BC777C58AB48}"/>
              </a:ext>
            </a:extLst>
          </xdr:cNvPr>
          <xdr:cNvSpPr txBox="1"/>
        </xdr:nvSpPr>
        <xdr:spPr>
          <a:xfrm>
            <a:off x="14097000" y="1562100"/>
            <a:ext cx="240030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EE151D-9CD2-4152-BF45-E8C5F7B16732}" type="TxLink">
              <a:rPr lang="en-US" sz="3600" b="1" i="0" u="none" strike="noStrike">
                <a:solidFill>
                  <a:srgbClr val="FFFFFF"/>
                </a:solidFill>
                <a:latin typeface="Bodoni MT"/>
              </a:rPr>
              <a:pPr algn="l"/>
              <a:t>38.386</a:t>
            </a:fld>
            <a:endParaRPr lang="en-ID" sz="3600">
              <a:solidFill>
                <a:schemeClr val="bg1"/>
              </a:solidFill>
            </a:endParaRPr>
          </a:p>
        </xdr:txBody>
      </xdr:sp>
      <xdr:sp macro="" textlink="'JUAL-ECOBALI'!O1">
        <xdr:nvSpPr>
          <xdr:cNvPr id="16" name="TextBox 15">
            <a:extLst>
              <a:ext uri="{FF2B5EF4-FFF2-40B4-BE49-F238E27FC236}">
                <a16:creationId xmlns:a16="http://schemas.microsoft.com/office/drawing/2014/main" id="{9C4F4154-8282-47B6-9935-E0FD9B586B17}"/>
              </a:ext>
            </a:extLst>
          </xdr:cNvPr>
          <xdr:cNvSpPr txBox="1"/>
        </xdr:nvSpPr>
        <xdr:spPr>
          <a:xfrm>
            <a:off x="12382500" y="1466850"/>
            <a:ext cx="16573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9DD83F-5EC0-4727-BEAC-ABE47BEFF3D1}" type="TxLink">
              <a:rPr lang="en-US" sz="6000" b="1" i="0" u="none" strike="noStrike">
                <a:solidFill>
                  <a:srgbClr val="FFFFFF"/>
                </a:solidFill>
                <a:latin typeface="Bodoni MT"/>
              </a:rPr>
              <a:pPr algn="l"/>
              <a:t>38,4</a:t>
            </a:fld>
            <a:endParaRPr lang="en-ID" sz="28700">
              <a:solidFill>
                <a:schemeClr val="bg1"/>
              </a:solidFill>
            </a:endParaRPr>
          </a:p>
        </xdr:txBody>
      </xdr:sp>
      <xdr:cxnSp macro="">
        <xdr:nvCxnSpPr>
          <xdr:cNvPr id="17" name="Straight Connector 16">
            <a:extLst>
              <a:ext uri="{FF2B5EF4-FFF2-40B4-BE49-F238E27FC236}">
                <a16:creationId xmlns:a16="http://schemas.microsoft.com/office/drawing/2014/main" id="{2B880E3E-E402-487F-A317-BE38EEF39038}"/>
              </a:ext>
            </a:extLst>
          </xdr:cNvPr>
          <xdr:cNvCxnSpPr/>
        </xdr:nvCxnSpPr>
        <xdr:spPr>
          <a:xfrm flipH="1">
            <a:off x="13925550" y="1562100"/>
            <a:ext cx="171450" cy="514350"/>
          </a:xfrm>
          <a:prstGeom prst="line">
            <a:avLst/>
          </a:prstGeom>
          <a:ln w="53975">
            <a:solidFill>
              <a:schemeClr val="bg1"/>
            </a:solidFill>
          </a:ln>
          <a:effectLst>
            <a:outerShdw blurRad="63500" sx="102000" sy="102000" algn="c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C58126C9-1287-4F03-93E2-D2EFB8C4D60D}"/>
              </a:ext>
            </a:extLst>
          </xdr:cNvPr>
          <xdr:cNvSpPr txBox="1"/>
        </xdr:nvSpPr>
        <xdr:spPr>
          <a:xfrm>
            <a:off x="12268200" y="1962150"/>
            <a:ext cx="895650"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TON</a:t>
            </a:r>
          </a:p>
        </xdr:txBody>
      </xdr:sp>
      <xdr:sp macro="" textlink="">
        <xdr:nvSpPr>
          <xdr:cNvPr id="22" name="TextBox 21">
            <a:extLst>
              <a:ext uri="{FF2B5EF4-FFF2-40B4-BE49-F238E27FC236}">
                <a16:creationId xmlns:a16="http://schemas.microsoft.com/office/drawing/2014/main" id="{74B38DFC-D21D-4B69-B095-06306ADCB3BD}"/>
              </a:ext>
            </a:extLst>
          </xdr:cNvPr>
          <xdr:cNvSpPr txBox="1"/>
        </xdr:nvSpPr>
        <xdr:spPr>
          <a:xfrm>
            <a:off x="13887450" y="1962150"/>
            <a:ext cx="895650"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KG</a:t>
            </a:r>
          </a:p>
        </xdr:txBody>
      </xdr:sp>
    </xdr:grpSp>
    <xdr:clientData/>
  </xdr:twoCellAnchor>
  <xdr:twoCellAnchor>
    <xdr:from>
      <xdr:col>0</xdr:col>
      <xdr:colOff>69849</xdr:colOff>
      <xdr:row>39</xdr:row>
      <xdr:rowOff>98421</xdr:rowOff>
    </xdr:from>
    <xdr:to>
      <xdr:col>10</xdr:col>
      <xdr:colOff>302683</xdr:colOff>
      <xdr:row>52</xdr:row>
      <xdr:rowOff>117471</xdr:rowOff>
    </xdr:to>
    <xdr:graphicFrame macro="">
      <xdr:nvGraphicFramePr>
        <xdr:cNvPr id="28" name="Chart 27">
          <a:extLst>
            <a:ext uri="{FF2B5EF4-FFF2-40B4-BE49-F238E27FC236}">
              <a16:creationId xmlns:a16="http://schemas.microsoft.com/office/drawing/2014/main" id="{F099DDB5-2864-465E-BD5D-BF90A44AA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189442</xdr:colOff>
      <xdr:row>14</xdr:row>
      <xdr:rowOff>14286</xdr:rowOff>
    </xdr:from>
    <xdr:to>
      <xdr:col>8</xdr:col>
      <xdr:colOff>371480</xdr:colOff>
      <xdr:row>35</xdr:row>
      <xdr:rowOff>119061</xdr:rowOff>
    </xdr:to>
    <xdr:sp macro="" textlink="">
      <xdr:nvSpPr>
        <xdr:cNvPr id="30" name="Rectangle 29">
          <a:extLst>
            <a:ext uri="{FF2B5EF4-FFF2-40B4-BE49-F238E27FC236}">
              <a16:creationId xmlns:a16="http://schemas.microsoft.com/office/drawing/2014/main" id="{643F2068-4549-40BE-B005-A81ADF2FD003}"/>
            </a:ext>
          </a:extLst>
        </xdr:cNvPr>
        <xdr:cNvSpPr/>
      </xdr:nvSpPr>
      <xdr:spPr>
        <a:xfrm>
          <a:off x="5142442" y="2681286"/>
          <a:ext cx="182038" cy="4105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xdr:col>
      <xdr:colOff>266695</xdr:colOff>
      <xdr:row>3</xdr:row>
      <xdr:rowOff>90488</xdr:rowOff>
    </xdr:from>
    <xdr:to>
      <xdr:col>9</xdr:col>
      <xdr:colOff>273495</xdr:colOff>
      <xdr:row>6</xdr:row>
      <xdr:rowOff>113168</xdr:rowOff>
    </xdr:to>
    <xdr:grpSp>
      <xdr:nvGrpSpPr>
        <xdr:cNvPr id="32" name="Group 31">
          <a:extLst>
            <a:ext uri="{FF2B5EF4-FFF2-40B4-BE49-F238E27FC236}">
              <a16:creationId xmlns:a16="http://schemas.microsoft.com/office/drawing/2014/main" id="{8FDD4DF4-CA51-4D13-A963-93139498E9DA}"/>
            </a:ext>
          </a:extLst>
        </xdr:cNvPr>
        <xdr:cNvGrpSpPr/>
      </xdr:nvGrpSpPr>
      <xdr:grpSpPr>
        <a:xfrm>
          <a:off x="2124070" y="661988"/>
          <a:ext cx="3721550" cy="594180"/>
          <a:chOff x="6700509" y="2098294"/>
          <a:chExt cx="3344282" cy="594180"/>
        </a:xfrm>
      </xdr:grpSpPr>
      <xdr:sp macro="" textlink="">
        <xdr:nvSpPr>
          <xdr:cNvPr id="34" name="Hexagon 33">
            <a:extLst>
              <a:ext uri="{FF2B5EF4-FFF2-40B4-BE49-F238E27FC236}">
                <a16:creationId xmlns:a16="http://schemas.microsoft.com/office/drawing/2014/main" id="{9B3C279F-3DB5-418F-8092-3BEEB7E10035}"/>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35" name="TextBox 34">
            <a:extLst>
              <a:ext uri="{FF2B5EF4-FFF2-40B4-BE49-F238E27FC236}">
                <a16:creationId xmlns:a16="http://schemas.microsoft.com/office/drawing/2014/main" id="{7E1E19B8-4834-4CD3-9884-61515A01E5C0}"/>
              </a:ext>
            </a:extLst>
          </xdr:cNvPr>
          <xdr:cNvSpPr txBox="1"/>
        </xdr:nvSpPr>
        <xdr:spPr>
          <a:xfrm>
            <a:off x="7030839" y="2098294"/>
            <a:ext cx="2729573"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baseline="0">
                <a:solidFill>
                  <a:schemeClr val="bg1"/>
                </a:solidFill>
                <a:latin typeface="Segoe UI" panose="020B0502040204020203" pitchFamily="34" charset="0"/>
                <a:cs typeface="Segoe UI" panose="020B0502040204020203" pitchFamily="34" charset="0"/>
              </a:rPr>
              <a:t>Sent to Papermill</a:t>
            </a:r>
            <a:endParaRPr lang="en-US" sz="1600" b="1" i="1" u="none" strike="noStrike">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17</xdr:col>
      <xdr:colOff>561965</xdr:colOff>
      <xdr:row>3</xdr:row>
      <xdr:rowOff>95250</xdr:rowOff>
    </xdr:from>
    <xdr:to>
      <xdr:col>23</xdr:col>
      <xdr:colOff>559240</xdr:colOff>
      <xdr:row>6</xdr:row>
      <xdr:rowOff>117930</xdr:rowOff>
    </xdr:to>
    <xdr:grpSp>
      <xdr:nvGrpSpPr>
        <xdr:cNvPr id="36" name="Group 35">
          <a:extLst>
            <a:ext uri="{FF2B5EF4-FFF2-40B4-BE49-F238E27FC236}">
              <a16:creationId xmlns:a16="http://schemas.microsoft.com/office/drawing/2014/main" id="{511293D2-05D8-4A56-B262-1BB2CD520D23}"/>
            </a:ext>
          </a:extLst>
        </xdr:cNvPr>
        <xdr:cNvGrpSpPr/>
      </xdr:nvGrpSpPr>
      <xdr:grpSpPr>
        <a:xfrm>
          <a:off x="11087090" y="666750"/>
          <a:ext cx="3712025" cy="594180"/>
          <a:chOff x="6700509" y="2098294"/>
          <a:chExt cx="3344282" cy="594180"/>
        </a:xfrm>
      </xdr:grpSpPr>
      <xdr:sp macro="" textlink="">
        <xdr:nvSpPr>
          <xdr:cNvPr id="37" name="Hexagon 36">
            <a:extLst>
              <a:ext uri="{FF2B5EF4-FFF2-40B4-BE49-F238E27FC236}">
                <a16:creationId xmlns:a16="http://schemas.microsoft.com/office/drawing/2014/main" id="{21B35D3E-06ED-4A25-8AED-1D707724CF4B}"/>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38" name="TextBox 37">
            <a:extLst>
              <a:ext uri="{FF2B5EF4-FFF2-40B4-BE49-F238E27FC236}">
                <a16:creationId xmlns:a16="http://schemas.microsoft.com/office/drawing/2014/main" id="{06B753EB-5028-45FC-AD3B-677A6CE255EE}"/>
              </a:ext>
            </a:extLst>
          </xdr:cNvPr>
          <xdr:cNvSpPr txBox="1"/>
        </xdr:nvSpPr>
        <xdr:spPr>
          <a:xfrm>
            <a:off x="7030839" y="2098294"/>
            <a:ext cx="2729573"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baseline="0">
                <a:solidFill>
                  <a:schemeClr val="bg1"/>
                </a:solidFill>
                <a:latin typeface="Segoe UI" panose="020B0502040204020203" pitchFamily="34" charset="0"/>
                <a:cs typeface="Segoe UI" panose="020B0502040204020203" pitchFamily="34" charset="0"/>
              </a:rPr>
              <a:t>Received at Papermill</a:t>
            </a:r>
            <a:endParaRPr lang="en-US" sz="1600" b="1" i="1" u="none" strike="noStrike">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32</xdr:col>
      <xdr:colOff>442902</xdr:colOff>
      <xdr:row>3</xdr:row>
      <xdr:rowOff>95250</xdr:rowOff>
    </xdr:from>
    <xdr:to>
      <xdr:col>38</xdr:col>
      <xdr:colOff>440177</xdr:colOff>
      <xdr:row>6</xdr:row>
      <xdr:rowOff>117930</xdr:rowOff>
    </xdr:to>
    <xdr:grpSp>
      <xdr:nvGrpSpPr>
        <xdr:cNvPr id="39" name="Group 38">
          <a:extLst>
            <a:ext uri="{FF2B5EF4-FFF2-40B4-BE49-F238E27FC236}">
              <a16:creationId xmlns:a16="http://schemas.microsoft.com/office/drawing/2014/main" id="{96D278ED-803B-4AB8-B747-19B760FB3A78}"/>
            </a:ext>
          </a:extLst>
        </xdr:cNvPr>
        <xdr:cNvGrpSpPr/>
      </xdr:nvGrpSpPr>
      <xdr:grpSpPr>
        <a:xfrm>
          <a:off x="20254902" y="666750"/>
          <a:ext cx="3712025" cy="594180"/>
          <a:chOff x="6700509" y="2098294"/>
          <a:chExt cx="3344282" cy="594180"/>
        </a:xfrm>
      </xdr:grpSpPr>
      <xdr:sp macro="" textlink="">
        <xdr:nvSpPr>
          <xdr:cNvPr id="40" name="Hexagon 39">
            <a:extLst>
              <a:ext uri="{FF2B5EF4-FFF2-40B4-BE49-F238E27FC236}">
                <a16:creationId xmlns:a16="http://schemas.microsoft.com/office/drawing/2014/main" id="{E809BB80-93AB-4531-8523-3E44CF81A2D4}"/>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41" name="TextBox 40">
            <a:extLst>
              <a:ext uri="{FF2B5EF4-FFF2-40B4-BE49-F238E27FC236}">
                <a16:creationId xmlns:a16="http://schemas.microsoft.com/office/drawing/2014/main" id="{B028A3DB-7D6D-4C0E-900B-DEE31F7A50CD}"/>
              </a:ext>
            </a:extLst>
          </xdr:cNvPr>
          <xdr:cNvSpPr txBox="1"/>
        </xdr:nvSpPr>
        <xdr:spPr>
          <a:xfrm>
            <a:off x="7030839" y="2098294"/>
            <a:ext cx="2729573"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baseline="0">
                <a:solidFill>
                  <a:schemeClr val="bg1"/>
                </a:solidFill>
                <a:latin typeface="Segoe UI" panose="020B0502040204020203" pitchFamily="34" charset="0"/>
                <a:cs typeface="Segoe UI" panose="020B0502040204020203" pitchFamily="34" charset="0"/>
              </a:rPr>
              <a:t>Accepted to Recycle</a:t>
            </a:r>
            <a:endParaRPr lang="en-US" sz="1600" b="1" i="1" u="none" strike="noStrike">
              <a:solidFill>
                <a:schemeClr val="bg1"/>
              </a:solidFill>
              <a:latin typeface="Segoe UI" panose="020B0502040204020203" pitchFamily="34" charset="0"/>
              <a:cs typeface="Segoe UI" panose="020B0502040204020203" pitchFamily="34" charset="0"/>
            </a:endParaRPr>
          </a:p>
        </xdr:txBody>
      </xdr:sp>
    </xdr:grpSp>
    <xdr:clientData/>
  </xdr:twoCellAnchor>
  <xdr:twoCellAnchor editAs="oneCell">
    <xdr:from>
      <xdr:col>17</xdr:col>
      <xdr:colOff>180963</xdr:colOff>
      <xdr:row>6</xdr:row>
      <xdr:rowOff>152400</xdr:rowOff>
    </xdr:from>
    <xdr:to>
      <xdr:col>19</xdr:col>
      <xdr:colOff>371463</xdr:colOff>
      <xdr:row>11</xdr:row>
      <xdr:rowOff>168855</xdr:rowOff>
    </xdr:to>
    <xdr:pic>
      <xdr:nvPicPr>
        <xdr:cNvPr id="48" name="Picture 47" descr="Milk Icon 2876623">
          <a:extLst>
            <a:ext uri="{FF2B5EF4-FFF2-40B4-BE49-F238E27FC236}">
              <a16:creationId xmlns:a16="http://schemas.microsoft.com/office/drawing/2014/main" id="{768451F9-44F9-4B56-83DD-58E64DFBDE4A}"/>
            </a:ext>
          </a:extLst>
        </xdr:cNvPr>
        <xdr:cNvPicPr>
          <a:picLocks noChangeAspect="1" noChangeArrowheads="1"/>
        </xdr:cNvPicPr>
      </xdr:nvPicPr>
      <xdr:blipFill>
        <a:blip xmlns:r="http://schemas.openxmlformats.org/officeDocument/2006/relationships" r:embed="rId6">
          <a:lum bright="70000" contrast="-70000"/>
          <a:extLst>
            <a:ext uri="{BEBA8EAE-BF5A-486C-A8C5-ECC9F3942E4B}">
              <a14:imgProps xmlns:a14="http://schemas.microsoft.com/office/drawing/2010/main">
                <a14:imgLayer r:embed="rId7">
                  <a14:imgEffect>
                    <a14:artisticPhotocopy/>
                  </a14:imgEffect>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10706088" y="1295400"/>
          <a:ext cx="1428750" cy="96895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220135</xdr:colOff>
      <xdr:row>35</xdr:row>
      <xdr:rowOff>52912</xdr:rowOff>
    </xdr:from>
    <xdr:to>
      <xdr:col>8</xdr:col>
      <xdr:colOff>226935</xdr:colOff>
      <xdr:row>38</xdr:row>
      <xdr:rowOff>75592</xdr:rowOff>
    </xdr:to>
    <xdr:grpSp>
      <xdr:nvGrpSpPr>
        <xdr:cNvPr id="50" name="Group 49">
          <a:extLst>
            <a:ext uri="{FF2B5EF4-FFF2-40B4-BE49-F238E27FC236}">
              <a16:creationId xmlns:a16="http://schemas.microsoft.com/office/drawing/2014/main" id="{CF147301-25B4-4AE0-AD9E-6149877F1495}"/>
            </a:ext>
          </a:extLst>
        </xdr:cNvPr>
        <xdr:cNvGrpSpPr/>
      </xdr:nvGrpSpPr>
      <xdr:grpSpPr>
        <a:xfrm>
          <a:off x="1458385" y="6720412"/>
          <a:ext cx="3721550" cy="594180"/>
          <a:chOff x="2838452" y="2647950"/>
          <a:chExt cx="3664400" cy="594180"/>
        </a:xfrm>
      </xdr:grpSpPr>
      <xdr:grpSp>
        <xdr:nvGrpSpPr>
          <xdr:cNvPr id="45" name="Group 44">
            <a:extLst>
              <a:ext uri="{FF2B5EF4-FFF2-40B4-BE49-F238E27FC236}">
                <a16:creationId xmlns:a16="http://schemas.microsoft.com/office/drawing/2014/main" id="{E531E7FE-1D98-4AC1-B309-BD6125740CFF}"/>
              </a:ext>
            </a:extLst>
          </xdr:cNvPr>
          <xdr:cNvGrpSpPr/>
        </xdr:nvGrpSpPr>
        <xdr:grpSpPr>
          <a:xfrm>
            <a:off x="2838452" y="2647950"/>
            <a:ext cx="3664400" cy="594180"/>
            <a:chOff x="6700509" y="2098294"/>
            <a:chExt cx="3344282" cy="594180"/>
          </a:xfrm>
        </xdr:grpSpPr>
        <xdr:sp macro="" textlink="">
          <xdr:nvSpPr>
            <xdr:cNvPr id="46" name="Hexagon 45">
              <a:extLst>
                <a:ext uri="{FF2B5EF4-FFF2-40B4-BE49-F238E27FC236}">
                  <a16:creationId xmlns:a16="http://schemas.microsoft.com/office/drawing/2014/main" id="{CDB7DA48-12C6-456F-8CE1-DBCECBF00D7B}"/>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47" name="TextBox 46">
              <a:extLst>
                <a:ext uri="{FF2B5EF4-FFF2-40B4-BE49-F238E27FC236}">
                  <a16:creationId xmlns:a16="http://schemas.microsoft.com/office/drawing/2014/main" id="{B9920D78-6025-44C5-8485-FF1632208A07}"/>
                </a:ext>
              </a:extLst>
            </xdr:cNvPr>
            <xdr:cNvSpPr txBox="1"/>
          </xdr:nvSpPr>
          <xdr:spPr>
            <a:xfrm>
              <a:off x="7100383" y="2098294"/>
              <a:ext cx="2729573"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Dinamics of KMK Sent</a:t>
              </a:r>
            </a:p>
          </xdr:txBody>
        </xdr:sp>
      </xdr:grpSp>
      <xdr:pic>
        <xdr:nvPicPr>
          <xdr:cNvPr id="49" name="Graphic 48" descr="Bar graph with upward trend">
            <a:extLst>
              <a:ext uri="{FF2B5EF4-FFF2-40B4-BE49-F238E27FC236}">
                <a16:creationId xmlns:a16="http://schemas.microsoft.com/office/drawing/2014/main" id="{AE0ACF94-94A6-42FE-97AF-3563A3C9C8D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345777" y="2838450"/>
            <a:ext cx="312148" cy="312963"/>
          </a:xfrm>
          <a:prstGeom prst="rect">
            <a:avLst/>
          </a:prstGeom>
        </xdr:spPr>
      </xdr:pic>
    </xdr:grpSp>
    <xdr:clientData/>
  </xdr:twoCellAnchor>
  <xdr:twoCellAnchor>
    <xdr:from>
      <xdr:col>13</xdr:col>
      <xdr:colOff>139702</xdr:colOff>
      <xdr:row>35</xdr:row>
      <xdr:rowOff>31746</xdr:rowOff>
    </xdr:from>
    <xdr:to>
      <xdr:col>19</xdr:col>
      <xdr:colOff>146502</xdr:colOff>
      <xdr:row>38</xdr:row>
      <xdr:rowOff>54426</xdr:rowOff>
    </xdr:to>
    <xdr:grpSp>
      <xdr:nvGrpSpPr>
        <xdr:cNvPr id="68" name="Group 67">
          <a:extLst>
            <a:ext uri="{FF2B5EF4-FFF2-40B4-BE49-F238E27FC236}">
              <a16:creationId xmlns:a16="http://schemas.microsoft.com/office/drawing/2014/main" id="{12AD7FC9-0370-4485-8EF7-BD955410B16E}"/>
            </a:ext>
          </a:extLst>
        </xdr:cNvPr>
        <xdr:cNvGrpSpPr/>
      </xdr:nvGrpSpPr>
      <xdr:grpSpPr>
        <a:xfrm>
          <a:off x="8188327" y="6699246"/>
          <a:ext cx="3721550" cy="594180"/>
          <a:chOff x="13049252" y="2647950"/>
          <a:chExt cx="3664400" cy="594180"/>
        </a:xfrm>
      </xdr:grpSpPr>
      <xdr:grpSp>
        <xdr:nvGrpSpPr>
          <xdr:cNvPr id="42" name="Group 41">
            <a:extLst>
              <a:ext uri="{FF2B5EF4-FFF2-40B4-BE49-F238E27FC236}">
                <a16:creationId xmlns:a16="http://schemas.microsoft.com/office/drawing/2014/main" id="{2A294E18-CC48-4F72-AFA8-57C17C64D016}"/>
              </a:ext>
            </a:extLst>
          </xdr:cNvPr>
          <xdr:cNvGrpSpPr/>
        </xdr:nvGrpSpPr>
        <xdr:grpSpPr>
          <a:xfrm>
            <a:off x="13049252" y="2647950"/>
            <a:ext cx="3664400" cy="594180"/>
            <a:chOff x="6700509" y="2098294"/>
            <a:chExt cx="3344282" cy="594180"/>
          </a:xfrm>
        </xdr:grpSpPr>
        <xdr:sp macro="" textlink="">
          <xdr:nvSpPr>
            <xdr:cNvPr id="43" name="Hexagon 42">
              <a:extLst>
                <a:ext uri="{FF2B5EF4-FFF2-40B4-BE49-F238E27FC236}">
                  <a16:creationId xmlns:a16="http://schemas.microsoft.com/office/drawing/2014/main" id="{99F2FD0E-6D56-4BC5-94B0-E278E5B81F7D}"/>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44" name="TextBox 43">
              <a:extLst>
                <a:ext uri="{FF2B5EF4-FFF2-40B4-BE49-F238E27FC236}">
                  <a16:creationId xmlns:a16="http://schemas.microsoft.com/office/drawing/2014/main" id="{2F1080A8-CA5F-484D-BD9D-65A537FD1E71}"/>
                </a:ext>
              </a:extLst>
            </xdr:cNvPr>
            <xdr:cNvSpPr txBox="1"/>
          </xdr:nvSpPr>
          <xdr:spPr>
            <a:xfrm>
              <a:off x="7152541" y="2098294"/>
              <a:ext cx="2729573"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Dinamics of KMK</a:t>
              </a:r>
              <a:r>
                <a:rPr lang="en-US" sz="1600" b="1" i="1" u="none" strike="noStrike" baseline="0">
                  <a:solidFill>
                    <a:schemeClr val="bg1"/>
                  </a:solidFill>
                  <a:latin typeface="Segoe UI" panose="020B0502040204020203" pitchFamily="34" charset="0"/>
                  <a:cs typeface="Segoe UI" panose="020B0502040204020203" pitchFamily="34" charset="0"/>
                </a:rPr>
                <a:t> </a:t>
              </a:r>
              <a:r>
                <a:rPr lang="en-US" sz="1600" b="1" i="1" u="none" strike="noStrike">
                  <a:solidFill>
                    <a:schemeClr val="bg1"/>
                  </a:solidFill>
                  <a:latin typeface="Segoe UI" panose="020B0502040204020203" pitchFamily="34" charset="0"/>
                  <a:cs typeface="Segoe UI" panose="020B0502040204020203" pitchFamily="34" charset="0"/>
                </a:rPr>
                <a:t>Received</a:t>
              </a:r>
            </a:p>
          </xdr:txBody>
        </xdr:sp>
      </xdr:grpSp>
      <xdr:pic>
        <xdr:nvPicPr>
          <xdr:cNvPr id="51" name="Graphic 50" descr="Bar graph with upward trend">
            <a:extLst>
              <a:ext uri="{FF2B5EF4-FFF2-40B4-BE49-F238E27FC236}">
                <a16:creationId xmlns:a16="http://schemas.microsoft.com/office/drawing/2014/main" id="{3354F45C-3C6E-4777-9485-4B27C3C49E0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468350" y="2819400"/>
            <a:ext cx="312147" cy="312963"/>
          </a:xfrm>
          <a:prstGeom prst="rect">
            <a:avLst/>
          </a:prstGeom>
        </xdr:spPr>
      </xdr:pic>
    </xdr:grpSp>
    <xdr:clientData/>
  </xdr:twoCellAnchor>
  <xdr:twoCellAnchor>
    <xdr:from>
      <xdr:col>12</xdr:col>
      <xdr:colOff>538154</xdr:colOff>
      <xdr:row>4</xdr:row>
      <xdr:rowOff>19050</xdr:rowOff>
    </xdr:from>
    <xdr:to>
      <xdr:col>13</xdr:col>
      <xdr:colOff>142874</xdr:colOff>
      <xdr:row>14</xdr:row>
      <xdr:rowOff>23812</xdr:rowOff>
    </xdr:to>
    <xdr:sp macro="" textlink="">
      <xdr:nvSpPr>
        <xdr:cNvPr id="52" name="Rectangle 51">
          <a:extLst>
            <a:ext uri="{FF2B5EF4-FFF2-40B4-BE49-F238E27FC236}">
              <a16:creationId xmlns:a16="http://schemas.microsoft.com/office/drawing/2014/main" id="{F4D73A72-0687-4E77-A324-DC3262F481E4}"/>
            </a:ext>
          </a:extLst>
        </xdr:cNvPr>
        <xdr:cNvSpPr/>
      </xdr:nvSpPr>
      <xdr:spPr>
        <a:xfrm>
          <a:off x="7967654" y="781050"/>
          <a:ext cx="223845" cy="19097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28</xdr:col>
      <xdr:colOff>561983</xdr:colOff>
      <xdr:row>4</xdr:row>
      <xdr:rowOff>61912</xdr:rowOff>
    </xdr:from>
    <xdr:to>
      <xdr:col>29</xdr:col>
      <xdr:colOff>133358</xdr:colOff>
      <xdr:row>13</xdr:row>
      <xdr:rowOff>176212</xdr:rowOff>
    </xdr:to>
    <xdr:sp macro="" textlink="">
      <xdr:nvSpPr>
        <xdr:cNvPr id="54" name="Rectangle 53">
          <a:extLst>
            <a:ext uri="{FF2B5EF4-FFF2-40B4-BE49-F238E27FC236}">
              <a16:creationId xmlns:a16="http://schemas.microsoft.com/office/drawing/2014/main" id="{2587DE35-59BC-4B23-A2F2-5181B6525563}"/>
            </a:ext>
          </a:extLst>
        </xdr:cNvPr>
        <xdr:cNvSpPr/>
      </xdr:nvSpPr>
      <xdr:spPr>
        <a:xfrm>
          <a:off x="17897483" y="823912"/>
          <a:ext cx="190500" cy="182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31</xdr:col>
      <xdr:colOff>207157</xdr:colOff>
      <xdr:row>5</xdr:row>
      <xdr:rowOff>10053</xdr:rowOff>
    </xdr:from>
    <xdr:to>
      <xdr:col>33</xdr:col>
      <xdr:colOff>595300</xdr:colOff>
      <xdr:row>14</xdr:row>
      <xdr:rowOff>128059</xdr:rowOff>
    </xdr:to>
    <xdr:grpSp>
      <xdr:nvGrpSpPr>
        <xdr:cNvPr id="57" name="Group 56">
          <a:extLst>
            <a:ext uri="{FF2B5EF4-FFF2-40B4-BE49-F238E27FC236}">
              <a16:creationId xmlns:a16="http://schemas.microsoft.com/office/drawing/2014/main" id="{6C697AD0-37DA-489A-A054-57AFACEEB13D}"/>
            </a:ext>
          </a:extLst>
        </xdr:cNvPr>
        <xdr:cNvGrpSpPr/>
      </xdr:nvGrpSpPr>
      <xdr:grpSpPr>
        <a:xfrm>
          <a:off x="19400032" y="962553"/>
          <a:ext cx="1626393" cy="1832506"/>
          <a:chOff x="13718382" y="1057803"/>
          <a:chExt cx="1597818" cy="1832506"/>
        </a:xfrm>
      </xdr:grpSpPr>
      <xdr:pic>
        <xdr:nvPicPr>
          <xdr:cNvPr id="13" name="Graphic 12" descr="Truck">
            <a:extLst>
              <a:ext uri="{FF2B5EF4-FFF2-40B4-BE49-F238E27FC236}">
                <a16:creationId xmlns:a16="http://schemas.microsoft.com/office/drawing/2014/main" id="{21505ED5-96EF-47F0-AB92-586400B39A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13718382" y="1057803"/>
            <a:ext cx="1597818" cy="1832506"/>
          </a:xfrm>
          <a:prstGeom prst="rect">
            <a:avLst/>
          </a:prstGeom>
          <a:effectLst>
            <a:outerShdw blurRad="63500" sx="102000" sy="102000" algn="ctr" rotWithShape="0">
              <a:prstClr val="black">
                <a:alpha val="40000"/>
              </a:prstClr>
            </a:outerShdw>
          </a:effectLst>
        </xdr:spPr>
      </xdr:pic>
      <xdr:pic>
        <xdr:nvPicPr>
          <xdr:cNvPr id="56" name="Graphic 55" descr="Recycle sign">
            <a:extLst>
              <a:ext uri="{FF2B5EF4-FFF2-40B4-BE49-F238E27FC236}">
                <a16:creationId xmlns:a16="http://schemas.microsoft.com/office/drawing/2014/main" id="{D3071D4C-4DEF-4457-AB96-314622DE025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497050" y="1504950"/>
            <a:ext cx="533400" cy="533400"/>
          </a:xfrm>
          <a:prstGeom prst="rect">
            <a:avLst/>
          </a:prstGeom>
        </xdr:spPr>
      </xdr:pic>
    </xdr:grpSp>
    <xdr:clientData/>
  </xdr:twoCellAnchor>
  <xdr:twoCellAnchor>
    <xdr:from>
      <xdr:col>18</xdr:col>
      <xdr:colOff>606940</xdr:colOff>
      <xdr:row>13</xdr:row>
      <xdr:rowOff>189287</xdr:rowOff>
    </xdr:from>
    <xdr:to>
      <xdr:col>24</xdr:col>
      <xdr:colOff>613740</xdr:colOff>
      <xdr:row>17</xdr:row>
      <xdr:rowOff>21467</xdr:rowOff>
    </xdr:to>
    <xdr:grpSp>
      <xdr:nvGrpSpPr>
        <xdr:cNvPr id="58" name="Group 57">
          <a:extLst>
            <a:ext uri="{FF2B5EF4-FFF2-40B4-BE49-F238E27FC236}">
              <a16:creationId xmlns:a16="http://schemas.microsoft.com/office/drawing/2014/main" id="{5CC33343-78A5-45FD-8B4A-DA28F9F66AAE}"/>
            </a:ext>
          </a:extLst>
        </xdr:cNvPr>
        <xdr:cNvGrpSpPr/>
      </xdr:nvGrpSpPr>
      <xdr:grpSpPr>
        <a:xfrm>
          <a:off x="11751190" y="2665787"/>
          <a:ext cx="3721550" cy="594180"/>
          <a:chOff x="6700509" y="2098294"/>
          <a:chExt cx="3344282" cy="594180"/>
        </a:xfrm>
      </xdr:grpSpPr>
      <xdr:sp macro="" textlink="">
        <xdr:nvSpPr>
          <xdr:cNvPr id="59" name="Hexagon 58">
            <a:extLst>
              <a:ext uri="{FF2B5EF4-FFF2-40B4-BE49-F238E27FC236}">
                <a16:creationId xmlns:a16="http://schemas.microsoft.com/office/drawing/2014/main" id="{20D841F3-50EE-41BF-AAE8-A1900DEADA30}"/>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60" name="TextBox 59">
            <a:extLst>
              <a:ext uri="{FF2B5EF4-FFF2-40B4-BE49-F238E27FC236}">
                <a16:creationId xmlns:a16="http://schemas.microsoft.com/office/drawing/2014/main" id="{BE565C72-78E8-4C6A-8D5F-5937E71246B2}"/>
              </a:ext>
            </a:extLst>
          </xdr:cNvPr>
          <xdr:cNvSpPr txBox="1"/>
        </xdr:nvSpPr>
        <xdr:spPr>
          <a:xfrm>
            <a:off x="6891753" y="2098294"/>
            <a:ext cx="2972972"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Sent vs Received</a:t>
            </a:r>
          </a:p>
        </xdr:txBody>
      </xdr:sp>
    </xdr:grpSp>
    <xdr:clientData/>
  </xdr:twoCellAnchor>
  <xdr:twoCellAnchor>
    <xdr:from>
      <xdr:col>33</xdr:col>
      <xdr:colOff>500050</xdr:colOff>
      <xdr:row>7</xdr:row>
      <xdr:rowOff>57150</xdr:rowOff>
    </xdr:from>
    <xdr:to>
      <xdr:col>40</xdr:col>
      <xdr:colOff>461950</xdr:colOff>
      <xdr:row>13</xdr:row>
      <xdr:rowOff>3630</xdr:rowOff>
    </xdr:to>
    <xdr:grpSp>
      <xdr:nvGrpSpPr>
        <xdr:cNvPr id="61" name="Group 60">
          <a:extLst>
            <a:ext uri="{FF2B5EF4-FFF2-40B4-BE49-F238E27FC236}">
              <a16:creationId xmlns:a16="http://schemas.microsoft.com/office/drawing/2014/main" id="{54C73520-F5B1-4412-A245-A68BFB54FC82}"/>
            </a:ext>
          </a:extLst>
        </xdr:cNvPr>
        <xdr:cNvGrpSpPr/>
      </xdr:nvGrpSpPr>
      <xdr:grpSpPr>
        <a:xfrm>
          <a:off x="20931175" y="1390650"/>
          <a:ext cx="4295775" cy="1089480"/>
          <a:chOff x="12268200" y="1466850"/>
          <a:chExt cx="4229100" cy="1089480"/>
        </a:xfrm>
        <a:effectLst>
          <a:outerShdw blurRad="63500" sx="102000" sy="102000" algn="ctr" rotWithShape="0">
            <a:prstClr val="black">
              <a:alpha val="40000"/>
            </a:prstClr>
          </a:outerShdw>
        </a:effectLst>
      </xdr:grpSpPr>
      <xdr:sp macro="" textlink="'JUAL-PABRIK'!AJ1">
        <xdr:nvSpPr>
          <xdr:cNvPr id="62" name="TextBox 61">
            <a:extLst>
              <a:ext uri="{FF2B5EF4-FFF2-40B4-BE49-F238E27FC236}">
                <a16:creationId xmlns:a16="http://schemas.microsoft.com/office/drawing/2014/main" id="{E48347EE-E4F0-40E3-A490-3E94A0FE4668}"/>
              </a:ext>
            </a:extLst>
          </xdr:cNvPr>
          <xdr:cNvSpPr txBox="1"/>
        </xdr:nvSpPr>
        <xdr:spPr>
          <a:xfrm>
            <a:off x="14097000" y="1562100"/>
            <a:ext cx="240030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D17BEF5-235D-433E-873B-DAEDF6986D57}" type="TxLink">
              <a:rPr lang="en-US" sz="3600" b="1" i="0" u="none" strike="noStrike">
                <a:solidFill>
                  <a:srgbClr val="FFFFFF"/>
                </a:solidFill>
                <a:latin typeface="Bodoni MT"/>
              </a:rPr>
              <a:pPr algn="l"/>
              <a:t>35.627,0</a:t>
            </a:fld>
            <a:endParaRPr lang="en-ID" sz="6000">
              <a:solidFill>
                <a:schemeClr val="bg1"/>
              </a:solidFill>
            </a:endParaRPr>
          </a:p>
        </xdr:txBody>
      </xdr:sp>
      <xdr:sp macro="" textlink="'JUAL-PABRIK'!AK1">
        <xdr:nvSpPr>
          <xdr:cNvPr id="63" name="TextBox 62">
            <a:extLst>
              <a:ext uri="{FF2B5EF4-FFF2-40B4-BE49-F238E27FC236}">
                <a16:creationId xmlns:a16="http://schemas.microsoft.com/office/drawing/2014/main" id="{0566D968-6EEE-49F7-92F7-BB2DD871EE0B}"/>
              </a:ext>
            </a:extLst>
          </xdr:cNvPr>
          <xdr:cNvSpPr txBox="1"/>
        </xdr:nvSpPr>
        <xdr:spPr>
          <a:xfrm>
            <a:off x="12382500" y="1466850"/>
            <a:ext cx="16573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E2617BF-3094-417C-ACAD-AF5C5CFB6D92}" type="TxLink">
              <a:rPr lang="en-US" sz="6000" b="1" i="0" u="none" strike="noStrike">
                <a:solidFill>
                  <a:srgbClr val="FFFFFF"/>
                </a:solidFill>
                <a:latin typeface="Bodoni MT"/>
              </a:rPr>
              <a:pPr algn="l"/>
              <a:t>35,6</a:t>
            </a:fld>
            <a:endParaRPr lang="en-ID" sz="255800">
              <a:solidFill>
                <a:schemeClr val="bg1"/>
              </a:solidFill>
            </a:endParaRPr>
          </a:p>
        </xdr:txBody>
      </xdr:sp>
      <xdr:cxnSp macro="">
        <xdr:nvCxnSpPr>
          <xdr:cNvPr id="64" name="Straight Connector 63">
            <a:extLst>
              <a:ext uri="{FF2B5EF4-FFF2-40B4-BE49-F238E27FC236}">
                <a16:creationId xmlns:a16="http://schemas.microsoft.com/office/drawing/2014/main" id="{F276F278-B76A-4921-81BF-5F74A3D48C82}"/>
              </a:ext>
            </a:extLst>
          </xdr:cNvPr>
          <xdr:cNvCxnSpPr/>
        </xdr:nvCxnSpPr>
        <xdr:spPr>
          <a:xfrm flipH="1">
            <a:off x="13925550" y="1562100"/>
            <a:ext cx="171450" cy="514350"/>
          </a:xfrm>
          <a:prstGeom prst="line">
            <a:avLst/>
          </a:prstGeom>
          <a:ln w="53975">
            <a:solidFill>
              <a:schemeClr val="bg1"/>
            </a:solidFill>
          </a:ln>
          <a:effectLst>
            <a:outerShdw blurRad="63500" sx="102000" sy="102000" algn="c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sp macro="" textlink="">
        <xdr:nvSpPr>
          <xdr:cNvPr id="65" name="TextBox 64">
            <a:extLst>
              <a:ext uri="{FF2B5EF4-FFF2-40B4-BE49-F238E27FC236}">
                <a16:creationId xmlns:a16="http://schemas.microsoft.com/office/drawing/2014/main" id="{0B1D45C8-D07B-45DB-9EFE-2AC69AFEC4DE}"/>
              </a:ext>
            </a:extLst>
          </xdr:cNvPr>
          <xdr:cNvSpPr txBox="1"/>
        </xdr:nvSpPr>
        <xdr:spPr>
          <a:xfrm>
            <a:off x="12268200" y="1962150"/>
            <a:ext cx="895650"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TON</a:t>
            </a:r>
          </a:p>
        </xdr:txBody>
      </xdr:sp>
      <xdr:sp macro="" textlink="">
        <xdr:nvSpPr>
          <xdr:cNvPr id="66" name="TextBox 65">
            <a:extLst>
              <a:ext uri="{FF2B5EF4-FFF2-40B4-BE49-F238E27FC236}">
                <a16:creationId xmlns:a16="http://schemas.microsoft.com/office/drawing/2014/main" id="{810DE939-1B24-4A54-903C-17EF42A1CDD3}"/>
              </a:ext>
            </a:extLst>
          </xdr:cNvPr>
          <xdr:cNvSpPr txBox="1"/>
        </xdr:nvSpPr>
        <xdr:spPr>
          <a:xfrm>
            <a:off x="13887450" y="1962150"/>
            <a:ext cx="895650"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KG</a:t>
            </a:r>
          </a:p>
        </xdr:txBody>
      </xdr:sp>
    </xdr:grpSp>
    <xdr:clientData/>
  </xdr:twoCellAnchor>
  <xdr:twoCellAnchor>
    <xdr:from>
      <xdr:col>23</xdr:col>
      <xdr:colOff>486835</xdr:colOff>
      <xdr:row>35</xdr:row>
      <xdr:rowOff>52913</xdr:rowOff>
    </xdr:from>
    <xdr:to>
      <xdr:col>29</xdr:col>
      <xdr:colOff>493635</xdr:colOff>
      <xdr:row>38</xdr:row>
      <xdr:rowOff>75593</xdr:rowOff>
    </xdr:to>
    <xdr:grpSp>
      <xdr:nvGrpSpPr>
        <xdr:cNvPr id="74" name="Group 73">
          <a:extLst>
            <a:ext uri="{FF2B5EF4-FFF2-40B4-BE49-F238E27FC236}">
              <a16:creationId xmlns:a16="http://schemas.microsoft.com/office/drawing/2014/main" id="{3189244E-C12B-4DDE-97D2-4C6E61A57682}"/>
            </a:ext>
          </a:extLst>
        </xdr:cNvPr>
        <xdr:cNvGrpSpPr/>
      </xdr:nvGrpSpPr>
      <xdr:grpSpPr>
        <a:xfrm>
          <a:off x="14726710" y="6720413"/>
          <a:ext cx="3721550" cy="594180"/>
          <a:chOff x="13049252" y="2647950"/>
          <a:chExt cx="3664400" cy="594180"/>
        </a:xfrm>
      </xdr:grpSpPr>
      <xdr:grpSp>
        <xdr:nvGrpSpPr>
          <xdr:cNvPr id="75" name="Group 74">
            <a:extLst>
              <a:ext uri="{FF2B5EF4-FFF2-40B4-BE49-F238E27FC236}">
                <a16:creationId xmlns:a16="http://schemas.microsoft.com/office/drawing/2014/main" id="{46231202-C0BC-4AF8-BCE1-232BF2D11636}"/>
              </a:ext>
            </a:extLst>
          </xdr:cNvPr>
          <xdr:cNvGrpSpPr/>
        </xdr:nvGrpSpPr>
        <xdr:grpSpPr>
          <a:xfrm>
            <a:off x="13049252" y="2647950"/>
            <a:ext cx="3664400" cy="594180"/>
            <a:chOff x="6700509" y="2098294"/>
            <a:chExt cx="3344282" cy="594180"/>
          </a:xfrm>
        </xdr:grpSpPr>
        <xdr:sp macro="" textlink="">
          <xdr:nvSpPr>
            <xdr:cNvPr id="77" name="Hexagon 76">
              <a:extLst>
                <a:ext uri="{FF2B5EF4-FFF2-40B4-BE49-F238E27FC236}">
                  <a16:creationId xmlns:a16="http://schemas.microsoft.com/office/drawing/2014/main" id="{C8C8DCEE-B16A-41FF-A20E-F5FD5A6F2EE0}"/>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78" name="TextBox 77">
              <a:extLst>
                <a:ext uri="{FF2B5EF4-FFF2-40B4-BE49-F238E27FC236}">
                  <a16:creationId xmlns:a16="http://schemas.microsoft.com/office/drawing/2014/main" id="{727B9AA4-1783-4D70-8543-AAAA149A9BAF}"/>
                </a:ext>
              </a:extLst>
            </xdr:cNvPr>
            <xdr:cNvSpPr txBox="1"/>
          </xdr:nvSpPr>
          <xdr:spPr>
            <a:xfrm>
              <a:off x="7152541" y="2098294"/>
              <a:ext cx="2729573"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Dinamics of KMK Accepted</a:t>
              </a:r>
            </a:p>
          </xdr:txBody>
        </xdr:sp>
      </xdr:grpSp>
      <xdr:pic>
        <xdr:nvPicPr>
          <xdr:cNvPr id="76" name="Graphic 75" descr="Bar graph with upward trend">
            <a:extLst>
              <a:ext uri="{FF2B5EF4-FFF2-40B4-BE49-F238E27FC236}">
                <a16:creationId xmlns:a16="http://schemas.microsoft.com/office/drawing/2014/main" id="{F66DEEF1-C102-4CEF-ADDB-CD6CC249655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468350" y="2819400"/>
            <a:ext cx="312147" cy="312963"/>
          </a:xfrm>
          <a:prstGeom prst="rect">
            <a:avLst/>
          </a:prstGeom>
        </xdr:spPr>
      </xdr:pic>
    </xdr:grpSp>
    <xdr:clientData/>
  </xdr:twoCellAnchor>
  <xdr:twoCellAnchor>
    <xdr:from>
      <xdr:col>22</xdr:col>
      <xdr:colOff>8468</xdr:colOff>
      <xdr:row>39</xdr:row>
      <xdr:rowOff>109004</xdr:rowOff>
    </xdr:from>
    <xdr:to>
      <xdr:col>31</xdr:col>
      <xdr:colOff>554568</xdr:colOff>
      <xdr:row>52</xdr:row>
      <xdr:rowOff>51854</xdr:rowOff>
    </xdr:to>
    <xdr:graphicFrame macro="">
      <xdr:nvGraphicFramePr>
        <xdr:cNvPr id="79" name="Chart 78">
          <a:extLst>
            <a:ext uri="{FF2B5EF4-FFF2-40B4-BE49-F238E27FC236}">
              <a16:creationId xmlns:a16="http://schemas.microsoft.com/office/drawing/2014/main" id="{16533747-A516-46A2-BB63-7B12E8B41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71436</xdr:colOff>
      <xdr:row>16</xdr:row>
      <xdr:rowOff>185213</xdr:rowOff>
    </xdr:from>
    <xdr:to>
      <xdr:col>8</xdr:col>
      <xdr:colOff>166686</xdr:colOff>
      <xdr:row>34</xdr:row>
      <xdr:rowOff>-1</xdr:rowOff>
    </xdr:to>
    <xdr:grpSp>
      <xdr:nvGrpSpPr>
        <xdr:cNvPr id="84" name="Group 83">
          <a:extLst>
            <a:ext uri="{FF2B5EF4-FFF2-40B4-BE49-F238E27FC236}">
              <a16:creationId xmlns:a16="http://schemas.microsoft.com/office/drawing/2014/main" id="{E53097FD-FDFE-45A6-A563-4AD1181ADBD8}"/>
            </a:ext>
          </a:extLst>
        </xdr:cNvPr>
        <xdr:cNvGrpSpPr/>
      </xdr:nvGrpSpPr>
      <xdr:grpSpPr>
        <a:xfrm>
          <a:off x="71436" y="3233213"/>
          <a:ext cx="5048250" cy="3243786"/>
          <a:chOff x="1390650" y="6534151"/>
          <a:chExt cx="3524249" cy="1981199"/>
        </a:xfrm>
      </xdr:grpSpPr>
      <xdr:graphicFrame macro="">
        <xdr:nvGraphicFramePr>
          <xdr:cNvPr id="27" name="Chart 26">
            <a:extLst>
              <a:ext uri="{FF2B5EF4-FFF2-40B4-BE49-F238E27FC236}">
                <a16:creationId xmlns:a16="http://schemas.microsoft.com/office/drawing/2014/main" id="{4F18DB24-92C9-4EBD-BCAC-A2F5E894434B}"/>
              </a:ext>
            </a:extLst>
          </xdr:cNvPr>
          <xdr:cNvGraphicFramePr>
            <a:graphicFrameLocks/>
          </xdr:cNvGraphicFramePr>
        </xdr:nvGraphicFramePr>
        <xdr:xfrm>
          <a:off x="1390650" y="6534151"/>
          <a:ext cx="3524249" cy="1981199"/>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80" name="Rectangle 79">
            <a:extLst>
              <a:ext uri="{FF2B5EF4-FFF2-40B4-BE49-F238E27FC236}">
                <a16:creationId xmlns:a16="http://schemas.microsoft.com/office/drawing/2014/main" id="{2E9DE90F-75EF-4B71-9A17-9C0B27E115C5}"/>
              </a:ext>
            </a:extLst>
          </xdr:cNvPr>
          <xdr:cNvSpPr/>
        </xdr:nvSpPr>
        <xdr:spPr>
          <a:xfrm>
            <a:off x="2667000" y="7620000"/>
            <a:ext cx="1026582" cy="4571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JUAL-ECOBALI'!$AP$4">
        <xdr:nvSpPr>
          <xdr:cNvPr id="81" name="TextBox 80">
            <a:extLst>
              <a:ext uri="{FF2B5EF4-FFF2-40B4-BE49-F238E27FC236}">
                <a16:creationId xmlns:a16="http://schemas.microsoft.com/office/drawing/2014/main" id="{BC353937-6611-47FF-8E73-6C734A009C53}"/>
              </a:ext>
            </a:extLst>
          </xdr:cNvPr>
          <xdr:cNvSpPr txBox="1"/>
        </xdr:nvSpPr>
        <xdr:spPr>
          <a:xfrm>
            <a:off x="2495550" y="6955651"/>
            <a:ext cx="137160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B274B5-EE10-474E-8855-4887CFDB2E4B}" type="TxLink">
              <a:rPr lang="en-US" sz="6000" b="1" i="0" u="none" strike="noStrike">
                <a:solidFill>
                  <a:schemeClr val="bg1"/>
                </a:solidFill>
                <a:latin typeface="Bodoni MT"/>
              </a:rPr>
              <a:pPr algn="ctr"/>
              <a:t>5,6%</a:t>
            </a:fld>
            <a:endParaRPr lang="en-ID" sz="9600">
              <a:solidFill>
                <a:schemeClr val="bg1"/>
              </a:solidFill>
            </a:endParaRPr>
          </a:p>
        </xdr:txBody>
      </xdr:sp>
      <xdr:sp macro="" textlink="'JUAL-ECOBALI'!$AO$4">
        <xdr:nvSpPr>
          <xdr:cNvPr id="82" name="TextBox 81">
            <a:extLst>
              <a:ext uri="{FF2B5EF4-FFF2-40B4-BE49-F238E27FC236}">
                <a16:creationId xmlns:a16="http://schemas.microsoft.com/office/drawing/2014/main" id="{E3E4FC09-723E-4EDE-A056-4C7B32BAD7A6}"/>
              </a:ext>
            </a:extLst>
          </xdr:cNvPr>
          <xdr:cNvSpPr txBox="1"/>
        </xdr:nvSpPr>
        <xdr:spPr>
          <a:xfrm>
            <a:off x="2476500" y="7448550"/>
            <a:ext cx="137160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2420C0-A09C-4D99-9639-2CD933316116}" type="TxLink">
              <a:rPr lang="en-US" sz="2800" b="1" i="0" u="none" strike="noStrike">
                <a:solidFill>
                  <a:schemeClr val="bg1"/>
                </a:solidFill>
                <a:latin typeface="Bodoni MT"/>
              </a:rPr>
              <a:pPr algn="ctr"/>
              <a:t>2.270,7</a:t>
            </a:fld>
            <a:endParaRPr lang="en-ID" sz="8000">
              <a:solidFill>
                <a:schemeClr val="bg1"/>
              </a:solidFill>
            </a:endParaRPr>
          </a:p>
        </xdr:txBody>
      </xdr:sp>
      <xdr:sp macro="" textlink="">
        <xdr:nvSpPr>
          <xdr:cNvPr id="83" name="TextBox 82">
            <a:extLst>
              <a:ext uri="{FF2B5EF4-FFF2-40B4-BE49-F238E27FC236}">
                <a16:creationId xmlns:a16="http://schemas.microsoft.com/office/drawing/2014/main" id="{99BFA64D-FF6B-4456-B214-BBEC2FBF8026}"/>
              </a:ext>
            </a:extLst>
          </xdr:cNvPr>
          <xdr:cNvSpPr txBox="1"/>
        </xdr:nvSpPr>
        <xdr:spPr>
          <a:xfrm>
            <a:off x="2690902" y="7744334"/>
            <a:ext cx="895650"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Bodoni MT" panose="02070603080606020203" pitchFamily="18" charset="0"/>
                <a:cs typeface="Calibri"/>
              </a:rPr>
              <a:t>KG</a:t>
            </a:r>
          </a:p>
        </xdr:txBody>
      </xdr:sp>
    </xdr:grpSp>
    <xdr:clientData/>
  </xdr:twoCellAnchor>
  <xdr:twoCellAnchor>
    <xdr:from>
      <xdr:col>34</xdr:col>
      <xdr:colOff>321195</xdr:colOff>
      <xdr:row>16</xdr:row>
      <xdr:rowOff>95250</xdr:rowOff>
    </xdr:from>
    <xdr:to>
      <xdr:col>42</xdr:col>
      <xdr:colOff>66139</xdr:colOff>
      <xdr:row>34</xdr:row>
      <xdr:rowOff>-1</xdr:rowOff>
    </xdr:to>
    <mc:AlternateContent xmlns:mc="http://schemas.openxmlformats.org/markup-compatibility/2006">
      <mc:Choice xmlns:cx1="http://schemas.microsoft.com/office/drawing/2015/9/8/chartex" Requires="cx1">
        <xdr:graphicFrame macro="">
          <xdr:nvGraphicFramePr>
            <xdr:cNvPr id="85" name="Chart 84">
              <a:extLst>
                <a:ext uri="{FF2B5EF4-FFF2-40B4-BE49-F238E27FC236}">
                  <a16:creationId xmlns:a16="http://schemas.microsoft.com/office/drawing/2014/main" id="{C806156A-6419-4215-AF0E-93C48A96B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21047595" y="3143250"/>
              <a:ext cx="4621744" cy="3333749"/>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251732</xdr:colOff>
      <xdr:row>13</xdr:row>
      <xdr:rowOff>160640</xdr:rowOff>
    </xdr:from>
    <xdr:to>
      <xdr:col>7</xdr:col>
      <xdr:colOff>258531</xdr:colOff>
      <xdr:row>16</xdr:row>
      <xdr:rowOff>183320</xdr:rowOff>
    </xdr:to>
    <xdr:grpSp>
      <xdr:nvGrpSpPr>
        <xdr:cNvPr id="86" name="Group 85">
          <a:extLst>
            <a:ext uri="{FF2B5EF4-FFF2-40B4-BE49-F238E27FC236}">
              <a16:creationId xmlns:a16="http://schemas.microsoft.com/office/drawing/2014/main" id="{C100C615-3B15-4CEF-B7A3-FC808DD686B3}"/>
            </a:ext>
          </a:extLst>
        </xdr:cNvPr>
        <xdr:cNvGrpSpPr/>
      </xdr:nvGrpSpPr>
      <xdr:grpSpPr>
        <a:xfrm>
          <a:off x="870857" y="2637140"/>
          <a:ext cx="3721549" cy="594180"/>
          <a:chOff x="6700509" y="2098294"/>
          <a:chExt cx="3344282" cy="594180"/>
        </a:xfrm>
      </xdr:grpSpPr>
      <xdr:sp macro="" textlink="">
        <xdr:nvSpPr>
          <xdr:cNvPr id="87" name="Hexagon 86">
            <a:extLst>
              <a:ext uri="{FF2B5EF4-FFF2-40B4-BE49-F238E27FC236}">
                <a16:creationId xmlns:a16="http://schemas.microsoft.com/office/drawing/2014/main" id="{6162A88B-51A7-4AB7-83D4-BB955F44274F}"/>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88" name="TextBox 87">
            <a:extLst>
              <a:ext uri="{FF2B5EF4-FFF2-40B4-BE49-F238E27FC236}">
                <a16:creationId xmlns:a16="http://schemas.microsoft.com/office/drawing/2014/main" id="{43971E7C-DAC6-4D6A-ACB8-8612C06AB903}"/>
              </a:ext>
            </a:extLst>
          </xdr:cNvPr>
          <xdr:cNvSpPr txBox="1"/>
        </xdr:nvSpPr>
        <xdr:spPr>
          <a:xfrm>
            <a:off x="6891753" y="2098294"/>
            <a:ext cx="2972972"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Weight Reduction at ecoBali</a:t>
            </a:r>
          </a:p>
        </xdr:txBody>
      </xdr:sp>
    </xdr:grpSp>
    <xdr:clientData/>
  </xdr:twoCellAnchor>
  <xdr:twoCellAnchor>
    <xdr:from>
      <xdr:col>8</xdr:col>
      <xdr:colOff>592667</xdr:colOff>
      <xdr:row>17</xdr:row>
      <xdr:rowOff>119060</xdr:rowOff>
    </xdr:from>
    <xdr:to>
      <xdr:col>33</xdr:col>
      <xdr:colOff>523875</xdr:colOff>
      <xdr:row>34</xdr:row>
      <xdr:rowOff>71435</xdr:rowOff>
    </xdr:to>
    <xdr:graphicFrame macro="">
      <xdr:nvGraphicFramePr>
        <xdr:cNvPr id="89" name="Chart 88">
          <a:extLst>
            <a:ext uri="{FF2B5EF4-FFF2-40B4-BE49-F238E27FC236}">
              <a16:creationId xmlns:a16="http://schemas.microsoft.com/office/drawing/2014/main" id="{351A4A0B-42C6-43E8-914E-355C4BDA3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228601</xdr:colOff>
      <xdr:row>36</xdr:row>
      <xdr:rowOff>46563</xdr:rowOff>
    </xdr:from>
    <xdr:to>
      <xdr:col>21</xdr:col>
      <xdr:colOff>400051</xdr:colOff>
      <xdr:row>53</xdr:row>
      <xdr:rowOff>84663</xdr:rowOff>
    </xdr:to>
    <xdr:sp macro="" textlink="">
      <xdr:nvSpPr>
        <xdr:cNvPr id="90" name="Rectangle 89">
          <a:extLst>
            <a:ext uri="{FF2B5EF4-FFF2-40B4-BE49-F238E27FC236}">
              <a16:creationId xmlns:a16="http://schemas.microsoft.com/office/drawing/2014/main" id="{42AF2E92-BFEC-466B-AF6C-43E5141EF2FD}"/>
            </a:ext>
          </a:extLst>
        </xdr:cNvPr>
        <xdr:cNvSpPr/>
      </xdr:nvSpPr>
      <xdr:spPr>
        <a:xfrm>
          <a:off x="13230226" y="6904563"/>
          <a:ext cx="171450" cy="3276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342901</xdr:colOff>
      <xdr:row>35</xdr:row>
      <xdr:rowOff>71435</xdr:rowOff>
    </xdr:from>
    <xdr:to>
      <xdr:col>10</xdr:col>
      <xdr:colOff>523875</xdr:colOff>
      <xdr:row>54</xdr:row>
      <xdr:rowOff>58735</xdr:rowOff>
    </xdr:to>
    <xdr:sp macro="" textlink="">
      <xdr:nvSpPr>
        <xdr:cNvPr id="91" name="Rectangle 90">
          <a:extLst>
            <a:ext uri="{FF2B5EF4-FFF2-40B4-BE49-F238E27FC236}">
              <a16:creationId xmlns:a16="http://schemas.microsoft.com/office/drawing/2014/main" id="{96D1B6B2-C52D-4046-A0BE-1D3DD12C0122}"/>
            </a:ext>
          </a:extLst>
        </xdr:cNvPr>
        <xdr:cNvSpPr/>
      </xdr:nvSpPr>
      <xdr:spPr>
        <a:xfrm>
          <a:off x="6534151" y="6738935"/>
          <a:ext cx="180974" cy="3606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42</xdr:col>
      <xdr:colOff>518582</xdr:colOff>
      <xdr:row>4</xdr:row>
      <xdr:rowOff>108480</xdr:rowOff>
    </xdr:from>
    <xdr:to>
      <xdr:col>46</xdr:col>
      <xdr:colOff>357187</xdr:colOff>
      <xdr:row>13</xdr:row>
      <xdr:rowOff>100012</xdr:rowOff>
    </xdr:to>
    <mc:AlternateContent xmlns:mc="http://schemas.openxmlformats.org/markup-compatibility/2006" xmlns:a14="http://schemas.microsoft.com/office/drawing/2010/main">
      <mc:Choice Requires="a14">
        <xdr:graphicFrame macro="">
          <xdr:nvGraphicFramePr>
            <xdr:cNvPr id="92" name="Month 1">
              <a:extLst>
                <a:ext uri="{FF2B5EF4-FFF2-40B4-BE49-F238E27FC236}">
                  <a16:creationId xmlns:a16="http://schemas.microsoft.com/office/drawing/2014/main" id="{BE0AD62D-4596-44FA-A789-CB70F8E527D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6521832" y="870480"/>
              <a:ext cx="1844675" cy="17060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275682</xdr:colOff>
      <xdr:row>20</xdr:row>
      <xdr:rowOff>65614</xdr:rowOff>
    </xdr:from>
    <xdr:to>
      <xdr:col>38</xdr:col>
      <xdr:colOff>157151</xdr:colOff>
      <xdr:row>28</xdr:row>
      <xdr:rowOff>95244</xdr:rowOff>
    </xdr:to>
    <xdr:graphicFrame macro="">
      <xdr:nvGraphicFramePr>
        <xdr:cNvPr id="93" name="Chart 92">
          <a:extLst>
            <a:ext uri="{FF2B5EF4-FFF2-40B4-BE49-F238E27FC236}">
              <a16:creationId xmlns:a16="http://schemas.microsoft.com/office/drawing/2014/main" id="{661E80A6-8767-4C6A-9DB7-E9141FD2B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34</xdr:col>
      <xdr:colOff>428623</xdr:colOff>
      <xdr:row>17</xdr:row>
      <xdr:rowOff>11108</xdr:rowOff>
    </xdr:from>
    <xdr:to>
      <xdr:col>37</xdr:col>
      <xdr:colOff>23811</xdr:colOff>
      <xdr:row>20</xdr:row>
      <xdr:rowOff>23812</xdr:rowOff>
    </xdr:to>
    <xdr:sp macro="" textlink="'JUAL-PABRIK'!AC4">
      <xdr:nvSpPr>
        <xdr:cNvPr id="94" name="TextBox 93">
          <a:extLst>
            <a:ext uri="{FF2B5EF4-FFF2-40B4-BE49-F238E27FC236}">
              <a16:creationId xmlns:a16="http://schemas.microsoft.com/office/drawing/2014/main" id="{C9E85A6F-4A33-4B4B-B884-AAF9F70E3F49}"/>
            </a:ext>
          </a:extLst>
        </xdr:cNvPr>
        <xdr:cNvSpPr txBox="1"/>
      </xdr:nvSpPr>
      <xdr:spPr>
        <a:xfrm>
          <a:off x="21478873" y="3249608"/>
          <a:ext cx="1452563" cy="584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6649DB-7971-4DD3-ADF5-34891644A54D}" type="TxLink">
            <a:rPr lang="en-US" sz="3600" b="1" i="0" u="none" strike="noStrike">
              <a:solidFill>
                <a:schemeClr val="bg1"/>
              </a:solidFill>
              <a:latin typeface="Bodoni MT"/>
            </a:rPr>
            <a:pPr algn="ctr"/>
            <a:t>7%</a:t>
          </a:fld>
          <a:endParaRPr lang="en-ID" sz="9600">
            <a:solidFill>
              <a:schemeClr val="bg1"/>
            </a:solidFill>
          </a:endParaRPr>
        </a:p>
      </xdr:txBody>
    </xdr:sp>
    <xdr:clientData/>
  </xdr:twoCellAnchor>
  <xdr:twoCellAnchor>
    <xdr:from>
      <xdr:col>34</xdr:col>
      <xdr:colOff>431257</xdr:colOff>
      <xdr:row>18</xdr:row>
      <xdr:rowOff>82539</xdr:rowOff>
    </xdr:from>
    <xdr:to>
      <xdr:col>36</xdr:col>
      <xdr:colOff>611175</xdr:colOff>
      <xdr:row>21</xdr:row>
      <xdr:rowOff>105219</xdr:rowOff>
    </xdr:to>
    <xdr:sp macro="" textlink="">
      <xdr:nvSpPr>
        <xdr:cNvPr id="95" name="TextBox 94">
          <a:extLst>
            <a:ext uri="{FF2B5EF4-FFF2-40B4-BE49-F238E27FC236}">
              <a16:creationId xmlns:a16="http://schemas.microsoft.com/office/drawing/2014/main" id="{9FDBB3F6-8E87-454B-990F-EFC17171E9A4}"/>
            </a:ext>
          </a:extLst>
        </xdr:cNvPr>
        <xdr:cNvSpPr txBox="1"/>
      </xdr:nvSpPr>
      <xdr:spPr>
        <a:xfrm>
          <a:off x="21481507" y="3511539"/>
          <a:ext cx="1418168"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Kontaminan</a:t>
          </a:r>
        </a:p>
      </xdr:txBody>
    </xdr:sp>
    <xdr:clientData/>
  </xdr:twoCellAnchor>
  <xdr:twoCellAnchor>
    <xdr:from>
      <xdr:col>10</xdr:col>
      <xdr:colOff>591625</xdr:colOff>
      <xdr:row>37</xdr:row>
      <xdr:rowOff>155171</xdr:rowOff>
    </xdr:from>
    <xdr:to>
      <xdr:col>21</xdr:col>
      <xdr:colOff>120741</xdr:colOff>
      <xdr:row>52</xdr:row>
      <xdr:rowOff>95248</xdr:rowOff>
    </xdr:to>
    <xdr:graphicFrame macro="">
      <xdr:nvGraphicFramePr>
        <xdr:cNvPr id="97" name="Chart 96">
          <a:extLst>
            <a:ext uri="{FF2B5EF4-FFF2-40B4-BE49-F238E27FC236}">
              <a16:creationId xmlns:a16="http://schemas.microsoft.com/office/drawing/2014/main" id="{3A4C37C5-7B39-468D-A774-D9173283E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32</xdr:col>
      <xdr:colOff>357188</xdr:colOff>
      <xdr:row>38</xdr:row>
      <xdr:rowOff>142875</xdr:rowOff>
    </xdr:from>
    <xdr:to>
      <xdr:col>42</xdr:col>
      <xdr:colOff>119062</xdr:colOff>
      <xdr:row>53</xdr:row>
      <xdr:rowOff>71437</xdr:rowOff>
    </xdr:to>
    <xdr:graphicFrame macro="">
      <xdr:nvGraphicFramePr>
        <xdr:cNvPr id="98" name="Chart 97">
          <a:extLst>
            <a:ext uri="{FF2B5EF4-FFF2-40B4-BE49-F238E27FC236}">
              <a16:creationId xmlns:a16="http://schemas.microsoft.com/office/drawing/2014/main" id="{5E47B457-FF7E-4B1F-AB63-140D9FBC6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32</xdr:col>
      <xdr:colOff>90488</xdr:colOff>
      <xdr:row>35</xdr:row>
      <xdr:rowOff>104770</xdr:rowOff>
    </xdr:from>
    <xdr:to>
      <xdr:col>32</xdr:col>
      <xdr:colOff>271462</xdr:colOff>
      <xdr:row>54</xdr:row>
      <xdr:rowOff>92070</xdr:rowOff>
    </xdr:to>
    <xdr:sp macro="" textlink="">
      <xdr:nvSpPr>
        <xdr:cNvPr id="100" name="Rectangle 99">
          <a:extLst>
            <a:ext uri="{FF2B5EF4-FFF2-40B4-BE49-F238E27FC236}">
              <a16:creationId xmlns:a16="http://schemas.microsoft.com/office/drawing/2014/main" id="{B1DF2DCD-1AFD-4C44-A852-2A1A46B5DF3B}"/>
            </a:ext>
          </a:extLst>
        </xdr:cNvPr>
        <xdr:cNvSpPr/>
      </xdr:nvSpPr>
      <xdr:spPr>
        <a:xfrm>
          <a:off x="19902488" y="6772270"/>
          <a:ext cx="180974" cy="3606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34</xdr:col>
      <xdr:colOff>103712</xdr:colOff>
      <xdr:row>14</xdr:row>
      <xdr:rowOff>23811</xdr:rowOff>
    </xdr:from>
    <xdr:to>
      <xdr:col>34</xdr:col>
      <xdr:colOff>285750</xdr:colOff>
      <xdr:row>35</xdr:row>
      <xdr:rowOff>128586</xdr:rowOff>
    </xdr:to>
    <xdr:sp macro="" textlink="">
      <xdr:nvSpPr>
        <xdr:cNvPr id="101" name="Rectangle 100">
          <a:extLst>
            <a:ext uri="{FF2B5EF4-FFF2-40B4-BE49-F238E27FC236}">
              <a16:creationId xmlns:a16="http://schemas.microsoft.com/office/drawing/2014/main" id="{5009F034-0F89-45E2-AF54-DB6ACB2EF586}"/>
            </a:ext>
          </a:extLst>
        </xdr:cNvPr>
        <xdr:cNvSpPr/>
      </xdr:nvSpPr>
      <xdr:spPr>
        <a:xfrm>
          <a:off x="21153962" y="2690811"/>
          <a:ext cx="182038" cy="41052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35</xdr:col>
      <xdr:colOff>261257</xdr:colOff>
      <xdr:row>13</xdr:row>
      <xdr:rowOff>146352</xdr:rowOff>
    </xdr:from>
    <xdr:to>
      <xdr:col>41</xdr:col>
      <xdr:colOff>268056</xdr:colOff>
      <xdr:row>16</xdr:row>
      <xdr:rowOff>169032</xdr:rowOff>
    </xdr:to>
    <xdr:grpSp>
      <xdr:nvGrpSpPr>
        <xdr:cNvPr id="102" name="Group 101">
          <a:extLst>
            <a:ext uri="{FF2B5EF4-FFF2-40B4-BE49-F238E27FC236}">
              <a16:creationId xmlns:a16="http://schemas.microsoft.com/office/drawing/2014/main" id="{10826521-20C1-46EF-84C1-3F6461B1E72C}"/>
            </a:ext>
          </a:extLst>
        </xdr:cNvPr>
        <xdr:cNvGrpSpPr/>
      </xdr:nvGrpSpPr>
      <xdr:grpSpPr>
        <a:xfrm>
          <a:off x="21930632" y="2622852"/>
          <a:ext cx="3721549" cy="594180"/>
          <a:chOff x="6700509" y="2098294"/>
          <a:chExt cx="3344282" cy="594180"/>
        </a:xfrm>
      </xdr:grpSpPr>
      <xdr:sp macro="" textlink="">
        <xdr:nvSpPr>
          <xdr:cNvPr id="103" name="Hexagon 102">
            <a:extLst>
              <a:ext uri="{FF2B5EF4-FFF2-40B4-BE49-F238E27FC236}">
                <a16:creationId xmlns:a16="http://schemas.microsoft.com/office/drawing/2014/main" id="{A389B017-CD93-461C-8DCF-F09313E3D42A}"/>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104" name="TextBox 103">
            <a:extLst>
              <a:ext uri="{FF2B5EF4-FFF2-40B4-BE49-F238E27FC236}">
                <a16:creationId xmlns:a16="http://schemas.microsoft.com/office/drawing/2014/main" id="{CB04B196-C124-4FDC-8E7A-9DA169E59C46}"/>
              </a:ext>
            </a:extLst>
          </xdr:cNvPr>
          <xdr:cNvSpPr txBox="1"/>
        </xdr:nvSpPr>
        <xdr:spPr>
          <a:xfrm>
            <a:off x="6891753" y="2098294"/>
            <a:ext cx="2972972"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Moiisture Content</a:t>
            </a:r>
            <a:r>
              <a:rPr lang="en-US" sz="1600" b="1" i="1" u="none" strike="noStrike" baseline="0">
                <a:solidFill>
                  <a:schemeClr val="bg1"/>
                </a:solidFill>
                <a:latin typeface="Segoe UI" panose="020B0502040204020203" pitchFamily="34" charset="0"/>
                <a:cs typeface="Segoe UI" panose="020B0502040204020203" pitchFamily="34" charset="0"/>
              </a:rPr>
              <a:t>, </a:t>
            </a:r>
            <a:r>
              <a:rPr lang="en-US" sz="1600" b="1" i="1" u="none" strike="noStrike">
                <a:solidFill>
                  <a:schemeClr val="bg1"/>
                </a:solidFill>
                <a:latin typeface="Segoe UI" panose="020B0502040204020203" pitchFamily="34" charset="0"/>
                <a:cs typeface="Segoe UI" panose="020B0502040204020203" pitchFamily="34" charset="0"/>
              </a:rPr>
              <a:t>Contaminant </a:t>
            </a:r>
          </a:p>
        </xdr:txBody>
      </xdr:sp>
    </xdr:grpSp>
    <xdr:clientData/>
  </xdr:twoCellAnchor>
  <xdr:twoCellAnchor>
    <xdr:from>
      <xdr:col>34</xdr:col>
      <xdr:colOff>305860</xdr:colOff>
      <xdr:row>35</xdr:row>
      <xdr:rowOff>38625</xdr:rowOff>
    </xdr:from>
    <xdr:to>
      <xdr:col>40</xdr:col>
      <xdr:colOff>312660</xdr:colOff>
      <xdr:row>38</xdr:row>
      <xdr:rowOff>61305</xdr:rowOff>
    </xdr:to>
    <xdr:grpSp>
      <xdr:nvGrpSpPr>
        <xdr:cNvPr id="105" name="Group 104">
          <a:extLst>
            <a:ext uri="{FF2B5EF4-FFF2-40B4-BE49-F238E27FC236}">
              <a16:creationId xmlns:a16="http://schemas.microsoft.com/office/drawing/2014/main" id="{9ECF4B05-E63F-43A9-971B-46B43BAF5729}"/>
            </a:ext>
          </a:extLst>
        </xdr:cNvPr>
        <xdr:cNvGrpSpPr/>
      </xdr:nvGrpSpPr>
      <xdr:grpSpPr>
        <a:xfrm>
          <a:off x="21356110" y="6706125"/>
          <a:ext cx="3721550" cy="594180"/>
          <a:chOff x="13049252" y="2647950"/>
          <a:chExt cx="3664400" cy="594180"/>
        </a:xfrm>
      </xdr:grpSpPr>
      <xdr:grpSp>
        <xdr:nvGrpSpPr>
          <xdr:cNvPr id="106" name="Group 105">
            <a:extLst>
              <a:ext uri="{FF2B5EF4-FFF2-40B4-BE49-F238E27FC236}">
                <a16:creationId xmlns:a16="http://schemas.microsoft.com/office/drawing/2014/main" id="{273CC172-F082-441D-8223-FDEB77E4C5C7}"/>
              </a:ext>
            </a:extLst>
          </xdr:cNvPr>
          <xdr:cNvGrpSpPr/>
        </xdr:nvGrpSpPr>
        <xdr:grpSpPr>
          <a:xfrm>
            <a:off x="13049252" y="2647950"/>
            <a:ext cx="3664400" cy="594180"/>
            <a:chOff x="6700509" y="2098294"/>
            <a:chExt cx="3344282" cy="594180"/>
          </a:xfrm>
        </xdr:grpSpPr>
        <xdr:sp macro="" textlink="">
          <xdr:nvSpPr>
            <xdr:cNvPr id="108" name="Hexagon 107">
              <a:extLst>
                <a:ext uri="{FF2B5EF4-FFF2-40B4-BE49-F238E27FC236}">
                  <a16:creationId xmlns:a16="http://schemas.microsoft.com/office/drawing/2014/main" id="{312984EF-2775-4AD0-96DD-D7B82F3860B1}"/>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109" name="TextBox 108">
              <a:extLst>
                <a:ext uri="{FF2B5EF4-FFF2-40B4-BE49-F238E27FC236}">
                  <a16:creationId xmlns:a16="http://schemas.microsoft.com/office/drawing/2014/main" id="{98348140-D22D-4E9F-9AE3-9B1D84E8FAFC}"/>
                </a:ext>
              </a:extLst>
            </xdr:cNvPr>
            <xdr:cNvSpPr txBox="1"/>
          </xdr:nvSpPr>
          <xdr:spPr>
            <a:xfrm>
              <a:off x="7152541" y="2098294"/>
              <a:ext cx="2729573"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Dinamics of MCC</a:t>
              </a:r>
            </a:p>
          </xdr:txBody>
        </xdr:sp>
      </xdr:grpSp>
      <xdr:pic>
        <xdr:nvPicPr>
          <xdr:cNvPr id="107" name="Graphic 106" descr="Bar graph with upward trend">
            <a:extLst>
              <a:ext uri="{FF2B5EF4-FFF2-40B4-BE49-F238E27FC236}">
                <a16:creationId xmlns:a16="http://schemas.microsoft.com/office/drawing/2014/main" id="{A2B60C5B-AA7D-4FD7-910E-11055DD0564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796600" y="2819400"/>
            <a:ext cx="312147" cy="312963"/>
          </a:xfrm>
          <a:prstGeom prst="rect">
            <a:avLst/>
          </a:prstGeom>
        </xdr:spPr>
      </xdr:pic>
    </xdr:grpSp>
    <xdr:clientData/>
  </xdr:twoCellAnchor>
  <xdr:twoCellAnchor editAs="oneCell">
    <xdr:from>
      <xdr:col>42</xdr:col>
      <xdr:colOff>547687</xdr:colOff>
      <xdr:row>15</xdr:row>
      <xdr:rowOff>71438</xdr:rowOff>
    </xdr:from>
    <xdr:to>
      <xdr:col>46</xdr:col>
      <xdr:colOff>357187</xdr:colOff>
      <xdr:row>28</xdr:row>
      <xdr:rowOff>119063</xdr:rowOff>
    </xdr:to>
    <mc:AlternateContent xmlns:mc="http://schemas.openxmlformats.org/markup-compatibility/2006" xmlns:a14="http://schemas.microsoft.com/office/drawing/2010/main">
      <mc:Choice Requires="a14">
        <xdr:graphicFrame macro="">
          <xdr:nvGraphicFramePr>
            <xdr:cNvPr id="96" name="Papermill">
              <a:extLst>
                <a:ext uri="{FF2B5EF4-FFF2-40B4-BE49-F238E27FC236}">
                  <a16:creationId xmlns:a16="http://schemas.microsoft.com/office/drawing/2014/main" id="{033C5882-5805-4B24-96D5-437051A49900}"/>
                </a:ext>
              </a:extLst>
            </xdr:cNvPr>
            <xdr:cNvGraphicFramePr/>
          </xdr:nvGraphicFramePr>
          <xdr:xfrm>
            <a:off x="0" y="0"/>
            <a:ext cx="0" cy="0"/>
          </xdr:xfrm>
          <a:graphic>
            <a:graphicData uri="http://schemas.microsoft.com/office/drawing/2010/slicer">
              <sle:slicer xmlns:sle="http://schemas.microsoft.com/office/drawing/2010/slicer" name="Papermill"/>
            </a:graphicData>
          </a:graphic>
        </xdr:graphicFrame>
      </mc:Choice>
      <mc:Fallback xmlns="">
        <xdr:sp macro="" textlink="">
          <xdr:nvSpPr>
            <xdr:cNvPr id="0" name=""/>
            <xdr:cNvSpPr>
              <a:spLocks noTextEdit="1"/>
            </xdr:cNvSpPr>
          </xdr:nvSpPr>
          <xdr:spPr>
            <a:xfrm>
              <a:off x="26550937" y="2928938"/>
              <a:ext cx="22860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171450</xdr:colOff>
      <xdr:row>5</xdr:row>
      <xdr:rowOff>166687</xdr:rowOff>
    </xdr:from>
    <xdr:to>
      <xdr:col>28</xdr:col>
      <xdr:colOff>481013</xdr:colOff>
      <xdr:row>13</xdr:row>
      <xdr:rowOff>42863</xdr:rowOff>
    </xdr:to>
    <xdr:grpSp>
      <xdr:nvGrpSpPr>
        <xdr:cNvPr id="8" name="Group 7">
          <a:extLst>
            <a:ext uri="{FF2B5EF4-FFF2-40B4-BE49-F238E27FC236}">
              <a16:creationId xmlns:a16="http://schemas.microsoft.com/office/drawing/2014/main" id="{DB540E44-A1B1-480D-A2AE-374396B17485}"/>
            </a:ext>
          </a:extLst>
        </xdr:cNvPr>
        <xdr:cNvGrpSpPr/>
      </xdr:nvGrpSpPr>
      <xdr:grpSpPr>
        <a:xfrm>
          <a:off x="15030450" y="1119187"/>
          <a:ext cx="2786063" cy="1400176"/>
          <a:chOff x="14978062" y="1142999"/>
          <a:chExt cx="2786063" cy="1400176"/>
        </a:xfrm>
      </xdr:grpSpPr>
      <xdr:sp macro="" textlink="'JUAL-ECOBALI'!$AX$6">
        <xdr:nvSpPr>
          <xdr:cNvPr id="114" name="TextBox 113">
            <a:extLst>
              <a:ext uri="{FF2B5EF4-FFF2-40B4-BE49-F238E27FC236}">
                <a16:creationId xmlns:a16="http://schemas.microsoft.com/office/drawing/2014/main" id="{12B4E4BB-8C0D-4FEF-B9A0-0B89C3EA2604}"/>
              </a:ext>
            </a:extLst>
          </xdr:cNvPr>
          <xdr:cNvSpPr txBox="1"/>
        </xdr:nvSpPr>
        <xdr:spPr>
          <a:xfrm>
            <a:off x="14978062" y="1142999"/>
            <a:ext cx="2786063"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91D916-8240-41DA-ABAD-D4828DD484B6}" type="TxLink">
              <a:rPr lang="en-US" sz="3600" b="1" i="0" u="none" strike="noStrike">
                <a:solidFill>
                  <a:schemeClr val="bg1"/>
                </a:solidFill>
                <a:latin typeface="Bodoni MT" panose="02070603080606020203" pitchFamily="18" charset="0"/>
                <a:cs typeface="Calibri"/>
              </a:rPr>
              <a:pPr algn="ctr"/>
              <a:t>-16</a:t>
            </a:fld>
            <a:endParaRPr lang="en-ID" sz="19900" b="1">
              <a:solidFill>
                <a:schemeClr val="bg1"/>
              </a:solidFill>
              <a:latin typeface="Bodoni MT" panose="02070603080606020203" pitchFamily="18" charset="0"/>
            </a:endParaRPr>
          </a:p>
        </xdr:txBody>
      </xdr:sp>
      <xdr:grpSp>
        <xdr:nvGrpSpPr>
          <xdr:cNvPr id="115" name="Group 114">
            <a:extLst>
              <a:ext uri="{FF2B5EF4-FFF2-40B4-BE49-F238E27FC236}">
                <a16:creationId xmlns:a16="http://schemas.microsoft.com/office/drawing/2014/main" id="{8D148F15-F734-4ED9-B862-6D761ADE50C1}"/>
              </a:ext>
            </a:extLst>
          </xdr:cNvPr>
          <xdr:cNvGrpSpPr/>
        </xdr:nvGrpSpPr>
        <xdr:grpSpPr>
          <a:xfrm>
            <a:off x="15549561" y="1785939"/>
            <a:ext cx="2090736" cy="757236"/>
            <a:chOff x="15859124" y="1766890"/>
            <a:chExt cx="2090736" cy="757236"/>
          </a:xfrm>
        </xdr:grpSpPr>
        <xdr:sp macro="" textlink="'JUAL-ECOBALI'!$AY$7">
          <xdr:nvSpPr>
            <xdr:cNvPr id="116" name="TextBox 115">
              <a:extLst>
                <a:ext uri="{FF2B5EF4-FFF2-40B4-BE49-F238E27FC236}">
                  <a16:creationId xmlns:a16="http://schemas.microsoft.com/office/drawing/2014/main" id="{9C991F53-2B6E-4D1B-916D-0B152F03AD1B}"/>
                </a:ext>
              </a:extLst>
            </xdr:cNvPr>
            <xdr:cNvSpPr txBox="1"/>
          </xdr:nvSpPr>
          <xdr:spPr>
            <a:xfrm>
              <a:off x="15859124" y="1781176"/>
              <a:ext cx="165259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A74D1C-4F5F-49F3-91C6-E131B0A19976}" type="TxLink">
                <a:rPr lang="en-US" sz="3600" b="0" i="0" u="none" strike="noStrike">
                  <a:solidFill>
                    <a:schemeClr val="bg1"/>
                  </a:solidFill>
                  <a:latin typeface="Calibri"/>
                  <a:cs typeface="Calibri"/>
                </a:rPr>
                <a:pPr algn="l"/>
                <a:t>▼</a:t>
              </a:fld>
              <a:endParaRPr lang="en-ID" sz="49600" b="1">
                <a:solidFill>
                  <a:schemeClr val="bg1"/>
                </a:solidFill>
                <a:latin typeface="Bodoni MT" panose="02070603080606020203" pitchFamily="18" charset="0"/>
              </a:endParaRPr>
            </a:p>
          </xdr:txBody>
        </xdr:sp>
        <xdr:sp macro="" textlink="'JUAL-ECOBALI'!$AX$7">
          <xdr:nvSpPr>
            <xdr:cNvPr id="117" name="TextBox 116">
              <a:extLst>
                <a:ext uri="{FF2B5EF4-FFF2-40B4-BE49-F238E27FC236}">
                  <a16:creationId xmlns:a16="http://schemas.microsoft.com/office/drawing/2014/main" id="{A6F7D6F3-B7B9-4EC1-8E1B-10994AF4FDAA}"/>
                </a:ext>
              </a:extLst>
            </xdr:cNvPr>
            <xdr:cNvSpPr txBox="1"/>
          </xdr:nvSpPr>
          <xdr:spPr>
            <a:xfrm>
              <a:off x="16297270" y="1766890"/>
              <a:ext cx="165259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0EF43F6-E89B-4095-9479-DF35536B6F42}" type="TxLink">
                <a:rPr lang="en-US" sz="3200" b="1" i="0" u="none" strike="noStrike">
                  <a:solidFill>
                    <a:schemeClr val="bg1"/>
                  </a:solidFill>
                  <a:latin typeface="Bodoni MT" panose="02070603080606020203" pitchFamily="18" charset="0"/>
                  <a:cs typeface="Calibri"/>
                </a:rPr>
                <a:pPr algn="l"/>
                <a:t>0,0%</a:t>
              </a:fld>
              <a:endParaRPr lang="en-ID" sz="177700" b="1">
                <a:solidFill>
                  <a:schemeClr val="bg1"/>
                </a:solidFill>
                <a:latin typeface="Bodoni MT" panose="02070603080606020203" pitchFamily="18" charset="0"/>
              </a:endParaRPr>
            </a:p>
          </xdr:txBody>
        </xdr:sp>
      </xdr:grpSp>
      <xdr:sp macro="" textlink="">
        <xdr:nvSpPr>
          <xdr:cNvPr id="118" name="Rectangle 117">
            <a:extLst>
              <a:ext uri="{FF2B5EF4-FFF2-40B4-BE49-F238E27FC236}">
                <a16:creationId xmlns:a16="http://schemas.microsoft.com/office/drawing/2014/main" id="{40C98B40-02B4-4BBF-8F5E-343D5D591ABE}"/>
              </a:ext>
            </a:extLst>
          </xdr:cNvPr>
          <xdr:cNvSpPr/>
        </xdr:nvSpPr>
        <xdr:spPr>
          <a:xfrm>
            <a:off x="15597188" y="1785937"/>
            <a:ext cx="1672875" cy="7599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125186</xdr:rowOff>
    </xdr:from>
    <xdr:to>
      <xdr:col>34</xdr:col>
      <xdr:colOff>57150</xdr:colOff>
      <xdr:row>3</xdr:row>
      <xdr:rowOff>167368</xdr:rowOff>
    </xdr:to>
    <xdr:sp macro="" textlink="">
      <xdr:nvSpPr>
        <xdr:cNvPr id="2" name="Hexagon 1">
          <a:extLst>
            <a:ext uri="{FF2B5EF4-FFF2-40B4-BE49-F238E27FC236}">
              <a16:creationId xmlns:a16="http://schemas.microsoft.com/office/drawing/2014/main" id="{8CEAD5BF-A302-4FF3-A11E-131D4AF53A23}"/>
            </a:ext>
          </a:extLst>
        </xdr:cNvPr>
        <xdr:cNvSpPr/>
      </xdr:nvSpPr>
      <xdr:spPr>
        <a:xfrm>
          <a:off x="0" y="125186"/>
          <a:ext cx="20783550" cy="613682"/>
        </a:xfrm>
        <a:prstGeom prst="hexagon">
          <a:avLst/>
        </a:prstGeom>
        <a:gradFill>
          <a:gsLst>
            <a:gs pos="47000">
              <a:srgbClr val="5496D4"/>
            </a:gs>
            <a:gs pos="0">
              <a:srgbClr val="6CA5DA"/>
            </a:gs>
            <a:gs pos="100000">
              <a:srgbClr val="3B87CD"/>
            </a:gs>
          </a:gsLst>
          <a:lin ang="10800000" scaled="1"/>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285750</xdr:colOff>
      <xdr:row>0</xdr:row>
      <xdr:rowOff>38100</xdr:rowOff>
    </xdr:from>
    <xdr:to>
      <xdr:col>33</xdr:col>
      <xdr:colOff>107045</xdr:colOff>
      <xdr:row>4</xdr:row>
      <xdr:rowOff>85725</xdr:rowOff>
    </xdr:to>
    <xdr:sp macro="" textlink="">
      <xdr:nvSpPr>
        <xdr:cNvPr id="3" name="TextBox 2">
          <a:extLst>
            <a:ext uri="{FF2B5EF4-FFF2-40B4-BE49-F238E27FC236}">
              <a16:creationId xmlns:a16="http://schemas.microsoft.com/office/drawing/2014/main" id="{D6CD4DB6-A521-4652-91FD-359B911BF968}"/>
            </a:ext>
          </a:extLst>
        </xdr:cNvPr>
        <xdr:cNvSpPr txBox="1"/>
      </xdr:nvSpPr>
      <xdr:spPr>
        <a:xfrm>
          <a:off x="285750" y="38100"/>
          <a:ext cx="19938095" cy="809625"/>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4400" b="1">
              <a:solidFill>
                <a:schemeClr val="bg1"/>
              </a:solidFill>
              <a:latin typeface="Bodoni MT" panose="02070603080606020203" pitchFamily="18" charset="0"/>
            </a:rPr>
            <a:t>DASHBOARD</a:t>
          </a:r>
          <a:r>
            <a:rPr lang="en-ID" sz="4400" b="1" baseline="0">
              <a:solidFill>
                <a:schemeClr val="bg1"/>
              </a:solidFill>
              <a:latin typeface="Bodoni MT" panose="02070603080606020203" pitchFamily="18" charset="0"/>
            </a:rPr>
            <a:t>: ACTIVITIES</a:t>
          </a:r>
          <a:endParaRPr lang="en-ID" sz="4400" b="1">
            <a:solidFill>
              <a:schemeClr val="bg1"/>
            </a:solidFill>
            <a:latin typeface="Bodoni MT" panose="02070603080606020203" pitchFamily="18" charset="0"/>
          </a:endParaRPr>
        </a:p>
      </xdr:txBody>
    </xdr:sp>
    <xdr:clientData/>
  </xdr:twoCellAnchor>
  <xdr:twoCellAnchor>
    <xdr:from>
      <xdr:col>0</xdr:col>
      <xdr:colOff>0</xdr:colOff>
      <xdr:row>5</xdr:row>
      <xdr:rowOff>0</xdr:rowOff>
    </xdr:from>
    <xdr:to>
      <xdr:col>24</xdr:col>
      <xdr:colOff>57150</xdr:colOff>
      <xdr:row>41</xdr:row>
      <xdr:rowOff>133350</xdr:rowOff>
    </xdr:to>
    <xdr:sp macro="" textlink="">
      <xdr:nvSpPr>
        <xdr:cNvPr id="4" name="Rectangle: Rounded Corners 3">
          <a:extLst>
            <a:ext uri="{FF2B5EF4-FFF2-40B4-BE49-F238E27FC236}">
              <a16:creationId xmlns:a16="http://schemas.microsoft.com/office/drawing/2014/main" id="{62FA7D4F-7A51-40E3-B0C5-608DDB779BA7}"/>
            </a:ext>
          </a:extLst>
        </xdr:cNvPr>
        <xdr:cNvSpPr/>
      </xdr:nvSpPr>
      <xdr:spPr>
        <a:xfrm>
          <a:off x="0" y="952500"/>
          <a:ext cx="14687550" cy="6991350"/>
        </a:xfrm>
        <a:prstGeom prst="roundRect">
          <a:avLst>
            <a:gd name="adj" fmla="val 3778"/>
          </a:avLst>
        </a:prstGeom>
        <a:gradFill>
          <a:gsLst>
            <a:gs pos="52000">
              <a:srgbClr val="5496D4"/>
            </a:gs>
            <a:gs pos="0">
              <a:srgbClr val="6CA5DA"/>
            </a:gs>
            <a:gs pos="100000">
              <a:srgbClr val="3B87CD"/>
            </a:gs>
          </a:gsLst>
          <a:lin ang="10800000" scaled="1"/>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266700</xdr:colOff>
      <xdr:row>6</xdr:row>
      <xdr:rowOff>57150</xdr:rowOff>
    </xdr:from>
    <xdr:to>
      <xdr:col>5</xdr:col>
      <xdr:colOff>583029</xdr:colOff>
      <xdr:row>11</xdr:row>
      <xdr:rowOff>153986</xdr:rowOff>
    </xdr:to>
    <xdr:grpSp>
      <xdr:nvGrpSpPr>
        <xdr:cNvPr id="5" name="Group 4">
          <a:extLst>
            <a:ext uri="{FF2B5EF4-FFF2-40B4-BE49-F238E27FC236}">
              <a16:creationId xmlns:a16="http://schemas.microsoft.com/office/drawing/2014/main" id="{A4183168-E947-4B8E-8601-877419543726}"/>
            </a:ext>
          </a:extLst>
        </xdr:cNvPr>
        <xdr:cNvGrpSpPr/>
      </xdr:nvGrpSpPr>
      <xdr:grpSpPr>
        <a:xfrm>
          <a:off x="1485900" y="1200150"/>
          <a:ext cx="2145129" cy="1049336"/>
          <a:chOff x="1234622" y="711200"/>
          <a:chExt cx="2169206" cy="1049336"/>
        </a:xfrm>
        <a:effectLst>
          <a:outerShdw blurRad="63500" sx="102000" sy="102000" algn="ctr" rotWithShape="0">
            <a:prstClr val="black">
              <a:alpha val="40000"/>
            </a:prstClr>
          </a:outerShdw>
        </a:effectLst>
      </xdr:grpSpPr>
      <xdr:sp macro="" textlink="'AKTIVITAS-ECOBALI'!$E$5">
        <xdr:nvSpPr>
          <xdr:cNvPr id="6" name="TextBox 5">
            <a:extLst>
              <a:ext uri="{FF2B5EF4-FFF2-40B4-BE49-F238E27FC236}">
                <a16:creationId xmlns:a16="http://schemas.microsoft.com/office/drawing/2014/main" id="{89FC280B-29E9-4137-9CF8-6DCE100EDA83}"/>
              </a:ext>
            </a:extLst>
          </xdr:cNvPr>
          <xdr:cNvSpPr txBox="1"/>
        </xdr:nvSpPr>
        <xdr:spPr>
          <a:xfrm>
            <a:off x="1234622" y="711200"/>
            <a:ext cx="2169206"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492EB6-09B7-4621-A105-14724CCF9C09}" type="TxLink">
              <a:rPr lang="en-US" sz="5400" b="1" i="0" u="none" strike="noStrike">
                <a:solidFill>
                  <a:schemeClr val="bg1"/>
                </a:solidFill>
                <a:latin typeface="Bodoni MT"/>
                <a:cs typeface="Calibri"/>
              </a:rPr>
              <a:pPr algn="ctr"/>
              <a:t>5</a:t>
            </a:fld>
            <a:endParaRPr lang="en-US" sz="23900" b="1">
              <a:solidFill>
                <a:schemeClr val="bg1"/>
              </a:solidFill>
              <a:latin typeface="Bodoni MT" panose="02070603080606020203" pitchFamily="18" charset="0"/>
            </a:endParaRPr>
          </a:p>
        </xdr:txBody>
      </xdr:sp>
      <xdr:sp macro="" textlink="">
        <xdr:nvSpPr>
          <xdr:cNvPr id="7" name="TextBox 6">
            <a:extLst>
              <a:ext uri="{FF2B5EF4-FFF2-40B4-BE49-F238E27FC236}">
                <a16:creationId xmlns:a16="http://schemas.microsoft.com/office/drawing/2014/main" id="{DA2D6915-DF9C-4A81-8E99-99A756807525}"/>
              </a:ext>
            </a:extLst>
          </xdr:cNvPr>
          <xdr:cNvSpPr txBox="1"/>
        </xdr:nvSpPr>
        <xdr:spPr>
          <a:xfrm>
            <a:off x="1448876" y="1166356"/>
            <a:ext cx="1787194"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REGENCY</a:t>
            </a:r>
          </a:p>
        </xdr:txBody>
      </xdr:sp>
    </xdr:grpSp>
    <xdr:clientData/>
  </xdr:twoCellAnchor>
  <xdr:twoCellAnchor>
    <xdr:from>
      <xdr:col>11</xdr:col>
      <xdr:colOff>0</xdr:colOff>
      <xdr:row>6</xdr:row>
      <xdr:rowOff>57150</xdr:rowOff>
    </xdr:from>
    <xdr:to>
      <xdr:col>14</xdr:col>
      <xdr:colOff>316329</xdr:colOff>
      <xdr:row>11</xdr:row>
      <xdr:rowOff>153986</xdr:rowOff>
    </xdr:to>
    <xdr:grpSp>
      <xdr:nvGrpSpPr>
        <xdr:cNvPr id="8" name="Group 7">
          <a:extLst>
            <a:ext uri="{FF2B5EF4-FFF2-40B4-BE49-F238E27FC236}">
              <a16:creationId xmlns:a16="http://schemas.microsoft.com/office/drawing/2014/main" id="{CBC1D838-AC03-46D6-8721-145BE93BD6F3}"/>
            </a:ext>
          </a:extLst>
        </xdr:cNvPr>
        <xdr:cNvGrpSpPr/>
      </xdr:nvGrpSpPr>
      <xdr:grpSpPr>
        <a:xfrm>
          <a:off x="6705600" y="1200150"/>
          <a:ext cx="2145129" cy="1049336"/>
          <a:chOff x="1234622" y="711200"/>
          <a:chExt cx="2169206" cy="1049336"/>
        </a:xfrm>
        <a:effectLst>
          <a:outerShdw blurRad="63500" sx="102000" sy="102000" algn="ctr" rotWithShape="0">
            <a:prstClr val="black">
              <a:alpha val="40000"/>
            </a:prstClr>
          </a:outerShdw>
        </a:effectLst>
      </xdr:grpSpPr>
      <xdr:sp macro="" textlink="'AKTIVITAS-ECOBALI'!$E$4">
        <xdr:nvSpPr>
          <xdr:cNvPr id="9" name="TextBox 8">
            <a:extLst>
              <a:ext uri="{FF2B5EF4-FFF2-40B4-BE49-F238E27FC236}">
                <a16:creationId xmlns:a16="http://schemas.microsoft.com/office/drawing/2014/main" id="{39238871-707E-4CE6-8F5E-82C51525EACF}"/>
              </a:ext>
            </a:extLst>
          </xdr:cNvPr>
          <xdr:cNvSpPr txBox="1"/>
        </xdr:nvSpPr>
        <xdr:spPr>
          <a:xfrm>
            <a:off x="1234622" y="711200"/>
            <a:ext cx="2169206"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37869C-C38A-4947-9D75-45B69C0D5FCF}" type="TxLink">
              <a:rPr lang="en-US" sz="5400" b="1" i="0" u="none" strike="noStrike">
                <a:solidFill>
                  <a:schemeClr val="bg1"/>
                </a:solidFill>
                <a:latin typeface="Bodoni MT"/>
                <a:cs typeface="Calibri"/>
              </a:rPr>
              <a:pPr algn="ctr"/>
              <a:t>10</a:t>
            </a:fld>
            <a:endParaRPr lang="en-US" sz="148100" b="1">
              <a:solidFill>
                <a:schemeClr val="bg1"/>
              </a:solidFill>
              <a:latin typeface="Bodoni MT" panose="02070603080606020203" pitchFamily="18" charset="0"/>
            </a:endParaRPr>
          </a:p>
        </xdr:txBody>
      </xdr:sp>
      <xdr:sp macro="" textlink="">
        <xdr:nvSpPr>
          <xdr:cNvPr id="10" name="TextBox 9">
            <a:extLst>
              <a:ext uri="{FF2B5EF4-FFF2-40B4-BE49-F238E27FC236}">
                <a16:creationId xmlns:a16="http://schemas.microsoft.com/office/drawing/2014/main" id="{44A16D02-A801-4F20-B0F8-D4011C68C103}"/>
              </a:ext>
            </a:extLst>
          </xdr:cNvPr>
          <xdr:cNvSpPr txBox="1"/>
        </xdr:nvSpPr>
        <xdr:spPr>
          <a:xfrm>
            <a:off x="1448876" y="1166356"/>
            <a:ext cx="1787194"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LOCATION</a:t>
            </a:r>
          </a:p>
        </xdr:txBody>
      </xdr:sp>
    </xdr:grpSp>
    <xdr:clientData/>
  </xdr:twoCellAnchor>
  <xdr:twoCellAnchor>
    <xdr:from>
      <xdr:col>19</xdr:col>
      <xdr:colOff>209550</xdr:colOff>
      <xdr:row>6</xdr:row>
      <xdr:rowOff>57150</xdr:rowOff>
    </xdr:from>
    <xdr:to>
      <xdr:col>22</xdr:col>
      <xdr:colOff>525879</xdr:colOff>
      <xdr:row>11</xdr:row>
      <xdr:rowOff>153986</xdr:rowOff>
    </xdr:to>
    <xdr:grpSp>
      <xdr:nvGrpSpPr>
        <xdr:cNvPr id="11" name="Group 10">
          <a:extLst>
            <a:ext uri="{FF2B5EF4-FFF2-40B4-BE49-F238E27FC236}">
              <a16:creationId xmlns:a16="http://schemas.microsoft.com/office/drawing/2014/main" id="{494A2F72-8E30-49F2-85AD-5F0A2FD24B84}"/>
            </a:ext>
          </a:extLst>
        </xdr:cNvPr>
        <xdr:cNvGrpSpPr/>
      </xdr:nvGrpSpPr>
      <xdr:grpSpPr>
        <a:xfrm>
          <a:off x="11791950" y="1200150"/>
          <a:ext cx="2145129" cy="1049336"/>
          <a:chOff x="1234622" y="711200"/>
          <a:chExt cx="2169206" cy="1049336"/>
        </a:xfrm>
        <a:effectLst>
          <a:outerShdw blurRad="63500" sx="102000" sy="102000" algn="ctr" rotWithShape="0">
            <a:prstClr val="black">
              <a:alpha val="40000"/>
            </a:prstClr>
          </a:outerShdw>
        </a:effectLst>
      </xdr:grpSpPr>
      <xdr:sp macro="" textlink="'AKTIVITAS-ECOBALI'!$E$6">
        <xdr:nvSpPr>
          <xdr:cNvPr id="12" name="TextBox 11">
            <a:extLst>
              <a:ext uri="{FF2B5EF4-FFF2-40B4-BE49-F238E27FC236}">
                <a16:creationId xmlns:a16="http://schemas.microsoft.com/office/drawing/2014/main" id="{179381AF-FC44-41AE-BFB3-2448F232D3C2}"/>
              </a:ext>
            </a:extLst>
          </xdr:cNvPr>
          <xdr:cNvSpPr txBox="1"/>
        </xdr:nvSpPr>
        <xdr:spPr>
          <a:xfrm>
            <a:off x="1234622" y="711200"/>
            <a:ext cx="2169206"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A81B9E-A655-4CEF-AC05-66BB90CDB7B8}" type="TxLink">
              <a:rPr lang="en-US" sz="5400" b="1" i="0" u="none" strike="noStrike">
                <a:solidFill>
                  <a:schemeClr val="bg1"/>
                </a:solidFill>
                <a:latin typeface="Bodoni MT"/>
                <a:cs typeface="Calibri"/>
              </a:rPr>
              <a:pPr algn="ctr"/>
              <a:t>593</a:t>
            </a:fld>
            <a:endParaRPr lang="en-US" sz="400000" b="1">
              <a:solidFill>
                <a:schemeClr val="bg1"/>
              </a:solidFill>
              <a:latin typeface="Bodoni MT" panose="02070603080606020203" pitchFamily="18" charset="0"/>
            </a:endParaRPr>
          </a:p>
        </xdr:txBody>
      </xdr:sp>
      <xdr:sp macro="" textlink="">
        <xdr:nvSpPr>
          <xdr:cNvPr id="13" name="TextBox 12">
            <a:extLst>
              <a:ext uri="{FF2B5EF4-FFF2-40B4-BE49-F238E27FC236}">
                <a16:creationId xmlns:a16="http://schemas.microsoft.com/office/drawing/2014/main" id="{1B6102E2-C384-468F-AFC7-89F703F762BF}"/>
              </a:ext>
            </a:extLst>
          </xdr:cNvPr>
          <xdr:cNvSpPr txBox="1"/>
        </xdr:nvSpPr>
        <xdr:spPr>
          <a:xfrm>
            <a:off x="1448876" y="1166356"/>
            <a:ext cx="1787194"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bg1"/>
                </a:solidFill>
                <a:latin typeface="Bodoni MT" panose="02070603080606020203" pitchFamily="18" charset="0"/>
                <a:cs typeface="Calibri"/>
              </a:rPr>
              <a:t>PARTICIPANTS</a:t>
            </a:r>
          </a:p>
        </xdr:txBody>
      </xdr:sp>
    </xdr:grpSp>
    <xdr:clientData/>
  </xdr:twoCellAnchor>
  <xdr:twoCellAnchor>
    <xdr:from>
      <xdr:col>0</xdr:col>
      <xdr:colOff>285750</xdr:colOff>
      <xdr:row>19</xdr:row>
      <xdr:rowOff>19050</xdr:rowOff>
    </xdr:from>
    <xdr:to>
      <xdr:col>11</xdr:col>
      <xdr:colOff>95250</xdr:colOff>
      <xdr:row>39</xdr:row>
      <xdr:rowOff>90487</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4FD546F5-91D3-442F-9502-68094824F2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5750" y="3638550"/>
              <a:ext cx="6515100" cy="3881437"/>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285750</xdr:colOff>
      <xdr:row>15</xdr:row>
      <xdr:rowOff>114300</xdr:rowOff>
    </xdr:from>
    <xdr:to>
      <xdr:col>23</xdr:col>
      <xdr:colOff>342900</xdr:colOff>
      <xdr:row>40</xdr:row>
      <xdr:rowOff>133350</xdr:rowOff>
    </xdr:to>
    <xdr:graphicFrame macro="">
      <xdr:nvGraphicFramePr>
        <xdr:cNvPr id="15" name="Chart 14">
          <a:extLst>
            <a:ext uri="{FF2B5EF4-FFF2-40B4-BE49-F238E27FC236}">
              <a16:creationId xmlns:a16="http://schemas.microsoft.com/office/drawing/2014/main" id="{CF8FF6E8-BE91-482E-A85D-605592716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285750</xdr:colOff>
      <xdr:row>5</xdr:row>
      <xdr:rowOff>19050</xdr:rowOff>
    </xdr:from>
    <xdr:to>
      <xdr:col>34</xdr:col>
      <xdr:colOff>19050</xdr:colOff>
      <xdr:row>41</xdr:row>
      <xdr:rowOff>152400</xdr:rowOff>
    </xdr:to>
    <xdr:sp macro="" textlink="">
      <xdr:nvSpPr>
        <xdr:cNvPr id="16" name="Rectangle: Rounded Corners 15">
          <a:extLst>
            <a:ext uri="{FF2B5EF4-FFF2-40B4-BE49-F238E27FC236}">
              <a16:creationId xmlns:a16="http://schemas.microsoft.com/office/drawing/2014/main" id="{25BC4EBC-5EC5-47A5-8E9B-B6AC11CA0B00}"/>
            </a:ext>
          </a:extLst>
        </xdr:cNvPr>
        <xdr:cNvSpPr/>
      </xdr:nvSpPr>
      <xdr:spPr>
        <a:xfrm>
          <a:off x="14916150" y="971550"/>
          <a:ext cx="5829300" cy="6991350"/>
        </a:xfrm>
        <a:prstGeom prst="roundRect">
          <a:avLst>
            <a:gd name="adj" fmla="val 3778"/>
          </a:avLst>
        </a:prstGeom>
        <a:gradFill>
          <a:gsLst>
            <a:gs pos="52000">
              <a:srgbClr val="5496D4"/>
            </a:gs>
            <a:gs pos="0">
              <a:srgbClr val="6CA5DA"/>
            </a:gs>
            <a:gs pos="100000">
              <a:srgbClr val="3B87CD"/>
            </a:gs>
          </a:gsLst>
          <a:lin ang="10800000" scaled="1"/>
        </a:gradFill>
        <a:ln w="63500">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24</xdr:col>
      <xdr:colOff>381000</xdr:colOff>
      <xdr:row>9</xdr:row>
      <xdr:rowOff>76200</xdr:rowOff>
    </xdr:from>
    <xdr:to>
      <xdr:col>33</xdr:col>
      <xdr:colOff>552450</xdr:colOff>
      <xdr:row>40</xdr:row>
      <xdr:rowOff>133350</xdr:rowOff>
    </xdr:to>
    <xdr:graphicFrame macro="">
      <xdr:nvGraphicFramePr>
        <xdr:cNvPr id="17" name="Chart 16">
          <a:extLst>
            <a:ext uri="{FF2B5EF4-FFF2-40B4-BE49-F238E27FC236}">
              <a16:creationId xmlns:a16="http://schemas.microsoft.com/office/drawing/2014/main" id="{60533072-A9AE-4C5A-B7EB-A856CDDBA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342899</xdr:colOff>
      <xdr:row>4</xdr:row>
      <xdr:rowOff>152400</xdr:rowOff>
    </xdr:from>
    <xdr:to>
      <xdr:col>7</xdr:col>
      <xdr:colOff>552449</xdr:colOff>
      <xdr:row>12</xdr:row>
      <xdr:rowOff>76200</xdr:rowOff>
    </xdr:to>
    <xdr:sp macro="" textlink="">
      <xdr:nvSpPr>
        <xdr:cNvPr id="18" name="Rectangle 17">
          <a:extLst>
            <a:ext uri="{FF2B5EF4-FFF2-40B4-BE49-F238E27FC236}">
              <a16:creationId xmlns:a16="http://schemas.microsoft.com/office/drawing/2014/main" id="{3B2E3B61-130D-4A04-8F81-9A982A01A5F3}"/>
            </a:ext>
          </a:extLst>
        </xdr:cNvPr>
        <xdr:cNvSpPr/>
      </xdr:nvSpPr>
      <xdr:spPr>
        <a:xfrm flipH="1">
          <a:off x="4610099" y="914400"/>
          <a:ext cx="209550" cy="1447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0</xdr:colOff>
      <xdr:row>12</xdr:row>
      <xdr:rowOff>0</xdr:rowOff>
    </xdr:from>
    <xdr:to>
      <xdr:col>24</xdr:col>
      <xdr:colOff>171450</xdr:colOff>
      <xdr:row>13</xdr:row>
      <xdr:rowOff>19050</xdr:rowOff>
    </xdr:to>
    <xdr:sp macro="" textlink="">
      <xdr:nvSpPr>
        <xdr:cNvPr id="19" name="Rectangle 18">
          <a:extLst>
            <a:ext uri="{FF2B5EF4-FFF2-40B4-BE49-F238E27FC236}">
              <a16:creationId xmlns:a16="http://schemas.microsoft.com/office/drawing/2014/main" id="{9C846E8A-FB23-4EB0-A548-FD16E1629268}"/>
            </a:ext>
          </a:extLst>
        </xdr:cNvPr>
        <xdr:cNvSpPr/>
      </xdr:nvSpPr>
      <xdr:spPr>
        <a:xfrm>
          <a:off x="0" y="2286000"/>
          <a:ext cx="14801850" cy="209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380999</xdr:colOff>
      <xdr:row>4</xdr:row>
      <xdr:rowOff>133350</xdr:rowOff>
    </xdr:from>
    <xdr:to>
      <xdr:col>16</xdr:col>
      <xdr:colOff>590549</xdr:colOff>
      <xdr:row>12</xdr:row>
      <xdr:rowOff>57150</xdr:rowOff>
    </xdr:to>
    <xdr:sp macro="" textlink="">
      <xdr:nvSpPr>
        <xdr:cNvPr id="20" name="Rectangle 19">
          <a:extLst>
            <a:ext uri="{FF2B5EF4-FFF2-40B4-BE49-F238E27FC236}">
              <a16:creationId xmlns:a16="http://schemas.microsoft.com/office/drawing/2014/main" id="{57DFC70C-3268-4769-A115-5FFE3F725E12}"/>
            </a:ext>
          </a:extLst>
        </xdr:cNvPr>
        <xdr:cNvSpPr/>
      </xdr:nvSpPr>
      <xdr:spPr>
        <a:xfrm flipH="1">
          <a:off x="10134599" y="895350"/>
          <a:ext cx="209550" cy="1447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590549</xdr:colOff>
      <xdr:row>12</xdr:row>
      <xdr:rowOff>38100</xdr:rowOff>
    </xdr:from>
    <xdr:to>
      <xdr:col>12</xdr:col>
      <xdr:colOff>190500</xdr:colOff>
      <xdr:row>42</xdr:row>
      <xdr:rowOff>38100</xdr:rowOff>
    </xdr:to>
    <xdr:sp macro="" textlink="">
      <xdr:nvSpPr>
        <xdr:cNvPr id="21" name="Rectangle 20">
          <a:extLst>
            <a:ext uri="{FF2B5EF4-FFF2-40B4-BE49-F238E27FC236}">
              <a16:creationId xmlns:a16="http://schemas.microsoft.com/office/drawing/2014/main" id="{B4029A05-2382-4BAE-B624-A0CB356D9B50}"/>
            </a:ext>
          </a:extLst>
        </xdr:cNvPr>
        <xdr:cNvSpPr/>
      </xdr:nvSpPr>
      <xdr:spPr>
        <a:xfrm flipH="1">
          <a:off x="7296149" y="2324100"/>
          <a:ext cx="209551" cy="5715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2</xdr:col>
      <xdr:colOff>190500</xdr:colOff>
      <xdr:row>6</xdr:row>
      <xdr:rowOff>38100</xdr:rowOff>
    </xdr:from>
    <xdr:to>
      <xdr:col>3</xdr:col>
      <xdr:colOff>463550</xdr:colOff>
      <xdr:row>11</xdr:row>
      <xdr:rowOff>0</xdr:rowOff>
    </xdr:to>
    <xdr:pic>
      <xdr:nvPicPr>
        <xdr:cNvPr id="22" name="Graphic 21" descr="Flag">
          <a:extLst>
            <a:ext uri="{FF2B5EF4-FFF2-40B4-BE49-F238E27FC236}">
              <a16:creationId xmlns:a16="http://schemas.microsoft.com/office/drawing/2014/main" id="{574966AC-B18E-4608-A72E-CA42C48FC12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409700" y="1181100"/>
          <a:ext cx="882650" cy="914400"/>
        </a:xfrm>
        <a:prstGeom prst="rect">
          <a:avLst/>
        </a:prstGeom>
        <a:effectLst>
          <a:outerShdw blurRad="63500" sx="102000" sy="102000" algn="ctr" rotWithShape="0">
            <a:prstClr val="black">
              <a:alpha val="40000"/>
            </a:prstClr>
          </a:outerShdw>
        </a:effectLst>
      </xdr:spPr>
    </xdr:pic>
    <xdr:clientData/>
  </xdr:twoCellAnchor>
  <xdr:twoCellAnchor editAs="oneCell">
    <xdr:from>
      <xdr:col>10</xdr:col>
      <xdr:colOff>419100</xdr:colOff>
      <xdr:row>6</xdr:row>
      <xdr:rowOff>0</xdr:rowOff>
    </xdr:from>
    <xdr:to>
      <xdr:col>12</xdr:col>
      <xdr:colOff>114300</xdr:colOff>
      <xdr:row>10</xdr:row>
      <xdr:rowOff>152400</xdr:rowOff>
    </xdr:to>
    <xdr:pic>
      <xdr:nvPicPr>
        <xdr:cNvPr id="23" name="Picture 22" descr="Location Icon 3851111">
          <a:extLst>
            <a:ext uri="{FF2B5EF4-FFF2-40B4-BE49-F238E27FC236}">
              <a16:creationId xmlns:a16="http://schemas.microsoft.com/office/drawing/2014/main" id="{79A03A4E-E78D-41C7-8568-72B817855D01}"/>
            </a:ext>
          </a:extLst>
        </xdr:cNvPr>
        <xdr:cNvPicPr>
          <a:picLocks noChangeAspect="1" noChangeArrowheads="1"/>
        </xdr:cNvPicPr>
      </xdr:nvPicPr>
      <xdr:blipFill>
        <a:blip xmlns:r="http://schemas.openxmlformats.org/officeDocument/2006/relationships" r:embed="rId6">
          <a:extLst>
            <a:ext uri="{BEBA8EAE-BF5A-486C-A8C5-ECC9F3942E4B}">
              <a14:imgProps xmlns:a14="http://schemas.microsoft.com/office/drawing/2010/main">
                <a14:imgLayer r:embed="rId7">
                  <a14:imgEffect>
                    <a14:brightnessContrast bright="100000"/>
                  </a14:imgEffect>
                </a14:imgLayer>
              </a14:imgProps>
            </a:ext>
            <a:ext uri="{28A0092B-C50C-407E-A947-70E740481C1C}">
              <a14:useLocalDpi xmlns:a14="http://schemas.microsoft.com/office/drawing/2010/main" val="0"/>
            </a:ext>
          </a:extLst>
        </a:blip>
        <a:srcRect/>
        <a:stretch>
          <a:fillRect/>
        </a:stretch>
      </xdr:blipFill>
      <xdr:spPr bwMode="auto">
        <a:xfrm>
          <a:off x="6515100" y="1143000"/>
          <a:ext cx="914400" cy="9144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342900</xdr:colOff>
      <xdr:row>6</xdr:row>
      <xdr:rowOff>19050</xdr:rowOff>
    </xdr:from>
    <xdr:to>
      <xdr:col>20</xdr:col>
      <xdr:colOff>38100</xdr:colOff>
      <xdr:row>10</xdr:row>
      <xdr:rowOff>171450</xdr:rowOff>
    </xdr:to>
    <xdr:pic>
      <xdr:nvPicPr>
        <xdr:cNvPr id="25" name="Graphic 24" descr="User">
          <a:extLst>
            <a:ext uri="{FF2B5EF4-FFF2-40B4-BE49-F238E27FC236}">
              <a16:creationId xmlns:a16="http://schemas.microsoft.com/office/drawing/2014/main" id="{36227FCD-4C5D-49DC-876D-74654C85762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315700" y="1162050"/>
          <a:ext cx="914400" cy="914400"/>
        </a:xfrm>
        <a:prstGeom prst="rect">
          <a:avLst/>
        </a:prstGeom>
        <a:effectLst>
          <a:outerShdw blurRad="63500" sx="102000" sy="102000" algn="ctr" rotWithShape="0">
            <a:prstClr val="black">
              <a:alpha val="40000"/>
            </a:prstClr>
          </a:outerShdw>
        </a:effectLst>
      </xdr:spPr>
    </xdr:pic>
    <xdr:clientData/>
  </xdr:twoCellAnchor>
  <xdr:twoCellAnchor>
    <xdr:from>
      <xdr:col>15</xdr:col>
      <xdr:colOff>304800</xdr:colOff>
      <xdr:row>12</xdr:row>
      <xdr:rowOff>19050</xdr:rowOff>
    </xdr:from>
    <xdr:to>
      <xdr:col>21</xdr:col>
      <xdr:colOff>368750</xdr:colOff>
      <xdr:row>15</xdr:row>
      <xdr:rowOff>41730</xdr:rowOff>
    </xdr:to>
    <xdr:grpSp>
      <xdr:nvGrpSpPr>
        <xdr:cNvPr id="26" name="Group 25">
          <a:extLst>
            <a:ext uri="{FF2B5EF4-FFF2-40B4-BE49-F238E27FC236}">
              <a16:creationId xmlns:a16="http://schemas.microsoft.com/office/drawing/2014/main" id="{E8383CC8-A19B-49B2-8EF9-676EBF5BBF64}"/>
            </a:ext>
          </a:extLst>
        </xdr:cNvPr>
        <xdr:cNvGrpSpPr/>
      </xdr:nvGrpSpPr>
      <xdr:grpSpPr>
        <a:xfrm>
          <a:off x="9448800" y="2305050"/>
          <a:ext cx="3721550" cy="594180"/>
          <a:chOff x="6700509" y="2098294"/>
          <a:chExt cx="3344282" cy="594180"/>
        </a:xfrm>
      </xdr:grpSpPr>
      <xdr:sp macro="" textlink="">
        <xdr:nvSpPr>
          <xdr:cNvPr id="27" name="Hexagon 26">
            <a:extLst>
              <a:ext uri="{FF2B5EF4-FFF2-40B4-BE49-F238E27FC236}">
                <a16:creationId xmlns:a16="http://schemas.microsoft.com/office/drawing/2014/main" id="{F7A5AC75-48F9-4237-B857-3B515DD02D5F}"/>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28" name="TextBox 27">
            <a:extLst>
              <a:ext uri="{FF2B5EF4-FFF2-40B4-BE49-F238E27FC236}">
                <a16:creationId xmlns:a16="http://schemas.microsoft.com/office/drawing/2014/main" id="{9B3B3A74-099C-48A3-9CEB-8E9B48ABE4CB}"/>
              </a:ext>
            </a:extLst>
          </xdr:cNvPr>
          <xdr:cNvSpPr txBox="1"/>
        </xdr:nvSpPr>
        <xdr:spPr>
          <a:xfrm>
            <a:off x="6888816" y="2098294"/>
            <a:ext cx="2940071"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Number of Participants </a:t>
            </a:r>
          </a:p>
        </xdr:txBody>
      </xdr:sp>
    </xdr:grpSp>
    <xdr:clientData/>
  </xdr:twoCellAnchor>
  <xdr:twoCellAnchor>
    <xdr:from>
      <xdr:col>26</xdr:col>
      <xdr:colOff>304800</xdr:colOff>
      <xdr:row>4</xdr:row>
      <xdr:rowOff>19050</xdr:rowOff>
    </xdr:from>
    <xdr:to>
      <xdr:col>32</xdr:col>
      <xdr:colOff>368750</xdr:colOff>
      <xdr:row>7</xdr:row>
      <xdr:rowOff>41730</xdr:rowOff>
    </xdr:to>
    <xdr:grpSp>
      <xdr:nvGrpSpPr>
        <xdr:cNvPr id="29" name="Group 28">
          <a:extLst>
            <a:ext uri="{FF2B5EF4-FFF2-40B4-BE49-F238E27FC236}">
              <a16:creationId xmlns:a16="http://schemas.microsoft.com/office/drawing/2014/main" id="{8EF6C116-8F16-4FDA-9525-EF0721CD1C07}"/>
            </a:ext>
          </a:extLst>
        </xdr:cNvPr>
        <xdr:cNvGrpSpPr/>
      </xdr:nvGrpSpPr>
      <xdr:grpSpPr>
        <a:xfrm>
          <a:off x="16154400" y="781050"/>
          <a:ext cx="3721550" cy="594180"/>
          <a:chOff x="6700509" y="2098294"/>
          <a:chExt cx="3344282" cy="594180"/>
        </a:xfrm>
      </xdr:grpSpPr>
      <xdr:sp macro="" textlink="">
        <xdr:nvSpPr>
          <xdr:cNvPr id="30" name="Hexagon 29">
            <a:extLst>
              <a:ext uri="{FF2B5EF4-FFF2-40B4-BE49-F238E27FC236}">
                <a16:creationId xmlns:a16="http://schemas.microsoft.com/office/drawing/2014/main" id="{0BE7FBA4-D167-4A2C-A9E0-F87C488B0BCF}"/>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31" name="TextBox 30">
            <a:extLst>
              <a:ext uri="{FF2B5EF4-FFF2-40B4-BE49-F238E27FC236}">
                <a16:creationId xmlns:a16="http://schemas.microsoft.com/office/drawing/2014/main" id="{8D9E1C72-F50D-4ECC-8436-96D8DC4F0F40}"/>
              </a:ext>
            </a:extLst>
          </xdr:cNvPr>
          <xdr:cNvSpPr txBox="1"/>
        </xdr:nvSpPr>
        <xdr:spPr>
          <a:xfrm>
            <a:off x="6888816" y="2098294"/>
            <a:ext cx="2940071"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Number of Organization</a:t>
            </a:r>
          </a:p>
        </xdr:txBody>
      </xdr:sp>
    </xdr:grpSp>
    <xdr:clientData/>
  </xdr:twoCellAnchor>
  <xdr:twoCellAnchor>
    <xdr:from>
      <xdr:col>3</xdr:col>
      <xdr:colOff>19050</xdr:colOff>
      <xdr:row>12</xdr:row>
      <xdr:rowOff>19050</xdr:rowOff>
    </xdr:from>
    <xdr:to>
      <xdr:col>9</xdr:col>
      <xdr:colOff>83000</xdr:colOff>
      <xdr:row>15</xdr:row>
      <xdr:rowOff>41730</xdr:rowOff>
    </xdr:to>
    <xdr:grpSp>
      <xdr:nvGrpSpPr>
        <xdr:cNvPr id="32" name="Group 31">
          <a:extLst>
            <a:ext uri="{FF2B5EF4-FFF2-40B4-BE49-F238E27FC236}">
              <a16:creationId xmlns:a16="http://schemas.microsoft.com/office/drawing/2014/main" id="{8907DC9E-9F8E-4DA7-B366-BE812D7AE5EF}"/>
            </a:ext>
          </a:extLst>
        </xdr:cNvPr>
        <xdr:cNvGrpSpPr/>
      </xdr:nvGrpSpPr>
      <xdr:grpSpPr>
        <a:xfrm>
          <a:off x="1847850" y="2305050"/>
          <a:ext cx="3721550" cy="594180"/>
          <a:chOff x="6700509" y="2098294"/>
          <a:chExt cx="3344282" cy="594180"/>
        </a:xfrm>
      </xdr:grpSpPr>
      <xdr:sp macro="" textlink="">
        <xdr:nvSpPr>
          <xdr:cNvPr id="33" name="Hexagon 32">
            <a:extLst>
              <a:ext uri="{FF2B5EF4-FFF2-40B4-BE49-F238E27FC236}">
                <a16:creationId xmlns:a16="http://schemas.microsoft.com/office/drawing/2014/main" id="{5E66E723-20A7-48A4-8877-3A5F80668398}"/>
              </a:ext>
            </a:extLst>
          </xdr:cNvPr>
          <xdr:cNvSpPr/>
        </xdr:nvSpPr>
        <xdr:spPr>
          <a:xfrm>
            <a:off x="6700509" y="2288721"/>
            <a:ext cx="3344282" cy="304874"/>
          </a:xfrm>
          <a:prstGeom prst="hexagon">
            <a:avLst/>
          </a:prstGeom>
          <a:solidFill>
            <a:schemeClr val="accent5">
              <a:lumMod val="20000"/>
              <a:lumOff val="80000"/>
              <a:alpha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34" name="TextBox 33">
            <a:extLst>
              <a:ext uri="{FF2B5EF4-FFF2-40B4-BE49-F238E27FC236}">
                <a16:creationId xmlns:a16="http://schemas.microsoft.com/office/drawing/2014/main" id="{0185C229-6406-4A6C-BF6E-42A0E92F16EA}"/>
              </a:ext>
            </a:extLst>
          </xdr:cNvPr>
          <xdr:cNvSpPr txBox="1"/>
        </xdr:nvSpPr>
        <xdr:spPr>
          <a:xfrm>
            <a:off x="6888816" y="2098294"/>
            <a:ext cx="2940071" cy="5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1" u="none" strike="noStrike">
                <a:solidFill>
                  <a:schemeClr val="bg1"/>
                </a:solidFill>
                <a:latin typeface="Segoe UI" panose="020B0502040204020203" pitchFamily="34" charset="0"/>
                <a:cs typeface="Segoe UI" panose="020B0502040204020203" pitchFamily="34" charset="0"/>
              </a:rPr>
              <a:t>MAP</a:t>
            </a:r>
          </a:p>
        </xdr:txBody>
      </xdr:sp>
    </xdr:grpSp>
    <xdr:clientData/>
  </xdr:twoCellAnchor>
  <xdr:twoCellAnchor editAs="oneCell">
    <xdr:from>
      <xdr:col>34</xdr:col>
      <xdr:colOff>133350</xdr:colOff>
      <xdr:row>5</xdr:row>
      <xdr:rowOff>57151</xdr:rowOff>
    </xdr:from>
    <xdr:to>
      <xdr:col>36</xdr:col>
      <xdr:colOff>552450</xdr:colOff>
      <xdr:row>12</xdr:row>
      <xdr:rowOff>114301</xdr:rowOff>
    </xdr:to>
    <mc:AlternateContent xmlns:mc="http://schemas.openxmlformats.org/markup-compatibility/2006" xmlns:a14="http://schemas.microsoft.com/office/drawing/2010/main">
      <mc:Choice Requires="a14">
        <xdr:graphicFrame macro="">
          <xdr:nvGraphicFramePr>
            <xdr:cNvPr id="35" name="Tahun 1">
              <a:extLst>
                <a:ext uri="{FF2B5EF4-FFF2-40B4-BE49-F238E27FC236}">
                  <a16:creationId xmlns:a16="http://schemas.microsoft.com/office/drawing/2014/main" id="{F4DD9422-463D-4432-B880-FE5FC537F05A}"/>
                </a:ext>
              </a:extLst>
            </xdr:cNvPr>
            <xdr:cNvGraphicFramePr/>
          </xdr:nvGraphicFramePr>
          <xdr:xfrm>
            <a:off x="0" y="0"/>
            <a:ext cx="0" cy="0"/>
          </xdr:xfrm>
          <a:graphic>
            <a:graphicData uri="http://schemas.microsoft.com/office/drawing/2010/slicer">
              <sle:slicer xmlns:sle="http://schemas.microsoft.com/office/drawing/2010/slicer" name="Tahun 1"/>
            </a:graphicData>
          </a:graphic>
        </xdr:graphicFrame>
      </mc:Choice>
      <mc:Fallback xmlns="">
        <xdr:sp macro="" textlink="">
          <xdr:nvSpPr>
            <xdr:cNvPr id="0" name=""/>
            <xdr:cNvSpPr>
              <a:spLocks noTextEdit="1"/>
            </xdr:cNvSpPr>
          </xdr:nvSpPr>
          <xdr:spPr>
            <a:xfrm>
              <a:off x="20859750" y="1009651"/>
              <a:ext cx="1638300" cy="13906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228600</xdr:colOff>
      <xdr:row>13</xdr:row>
      <xdr:rowOff>0</xdr:rowOff>
    </xdr:from>
    <xdr:to>
      <xdr:col>41</xdr:col>
      <xdr:colOff>285750</xdr:colOff>
      <xdr:row>28</xdr:row>
      <xdr:rowOff>38100</xdr:rowOff>
    </xdr:to>
    <mc:AlternateContent xmlns:mc="http://schemas.openxmlformats.org/markup-compatibility/2006" xmlns:a14="http://schemas.microsoft.com/office/drawing/2010/main">
      <mc:Choice Requires="a14">
        <xdr:graphicFrame macro="">
          <xdr:nvGraphicFramePr>
            <xdr:cNvPr id="36" name="Program 1">
              <a:extLst>
                <a:ext uri="{FF2B5EF4-FFF2-40B4-BE49-F238E27FC236}">
                  <a16:creationId xmlns:a16="http://schemas.microsoft.com/office/drawing/2014/main" id="{38DD6BF1-C89C-490B-8875-428351905EEB}"/>
                </a:ext>
              </a:extLst>
            </xdr:cNvPr>
            <xdr:cNvGraphicFramePr/>
          </xdr:nvGraphicFramePr>
          <xdr:xfrm>
            <a:off x="0" y="0"/>
            <a:ext cx="0" cy="0"/>
          </xdr:xfrm>
          <a:graphic>
            <a:graphicData uri="http://schemas.microsoft.com/office/drawing/2010/slicer">
              <sle:slicer xmlns:sle="http://schemas.microsoft.com/office/drawing/2010/slicer" name="Program 1"/>
            </a:graphicData>
          </a:graphic>
        </xdr:graphicFrame>
      </mc:Choice>
      <mc:Fallback xmlns="">
        <xdr:sp macro="" textlink="">
          <xdr:nvSpPr>
            <xdr:cNvPr id="0" name=""/>
            <xdr:cNvSpPr>
              <a:spLocks noTextEdit="1"/>
            </xdr:cNvSpPr>
          </xdr:nvSpPr>
          <xdr:spPr>
            <a:xfrm>
              <a:off x="20955000" y="2476500"/>
              <a:ext cx="4324350" cy="28956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0</xdr:colOff>
      <xdr:row>5</xdr:row>
      <xdr:rowOff>19050</xdr:rowOff>
    </xdr:from>
    <xdr:to>
      <xdr:col>41</xdr:col>
      <xdr:colOff>371475</xdr:colOff>
      <xdr:row>13</xdr:row>
      <xdr:rowOff>152400</xdr:rowOff>
    </xdr:to>
    <mc:AlternateContent xmlns:mc="http://schemas.openxmlformats.org/markup-compatibility/2006" xmlns:a14="http://schemas.microsoft.com/office/drawing/2010/main">
      <mc:Choice Requires="a14">
        <xdr:graphicFrame macro="">
          <xdr:nvGraphicFramePr>
            <xdr:cNvPr id="37" name="Kabupaten 1">
              <a:extLst>
                <a:ext uri="{FF2B5EF4-FFF2-40B4-BE49-F238E27FC236}">
                  <a16:creationId xmlns:a16="http://schemas.microsoft.com/office/drawing/2014/main" id="{18454F75-7413-4959-BCAF-EB3263F4E206}"/>
                </a:ext>
              </a:extLst>
            </xdr:cNvPr>
            <xdr:cNvGraphicFramePr/>
          </xdr:nvGraphicFramePr>
          <xdr:xfrm>
            <a:off x="0" y="0"/>
            <a:ext cx="0" cy="0"/>
          </xdr:xfrm>
          <a:graphic>
            <a:graphicData uri="http://schemas.microsoft.com/office/drawing/2010/slicer">
              <sle:slicer xmlns:sle="http://schemas.microsoft.com/office/drawing/2010/slicer" name="Kabupaten 1"/>
            </a:graphicData>
          </a:graphic>
        </xdr:graphicFrame>
      </mc:Choice>
      <mc:Fallback xmlns="">
        <xdr:sp macro="" textlink="">
          <xdr:nvSpPr>
            <xdr:cNvPr id="0" name=""/>
            <xdr:cNvSpPr>
              <a:spLocks noTextEdit="1"/>
            </xdr:cNvSpPr>
          </xdr:nvSpPr>
          <xdr:spPr>
            <a:xfrm>
              <a:off x="22555200" y="971550"/>
              <a:ext cx="2809875" cy="16573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247650</xdr:colOff>
      <xdr:row>28</xdr:row>
      <xdr:rowOff>57150</xdr:rowOff>
    </xdr:from>
    <xdr:to>
      <xdr:col>41</xdr:col>
      <xdr:colOff>381000</xdr:colOff>
      <xdr:row>44</xdr:row>
      <xdr:rowOff>152400</xdr:rowOff>
    </xdr:to>
    <mc:AlternateContent xmlns:mc="http://schemas.openxmlformats.org/markup-compatibility/2006" xmlns:a14="http://schemas.microsoft.com/office/drawing/2010/main">
      <mc:Choice Requires="a14">
        <xdr:graphicFrame macro="">
          <xdr:nvGraphicFramePr>
            <xdr:cNvPr id="38" name="Kategori 2">
              <a:extLst>
                <a:ext uri="{FF2B5EF4-FFF2-40B4-BE49-F238E27FC236}">
                  <a16:creationId xmlns:a16="http://schemas.microsoft.com/office/drawing/2014/main" id="{D99963CE-5433-47CD-8C1B-89A8B4A6E3A3}"/>
                </a:ext>
              </a:extLst>
            </xdr:cNvPr>
            <xdr:cNvGraphicFramePr/>
          </xdr:nvGraphicFramePr>
          <xdr:xfrm>
            <a:off x="0" y="0"/>
            <a:ext cx="0" cy="0"/>
          </xdr:xfrm>
          <a:graphic>
            <a:graphicData uri="http://schemas.microsoft.com/office/drawing/2010/slicer">
              <sle:slicer xmlns:sle="http://schemas.microsoft.com/office/drawing/2010/slicer" name="Kategori 2"/>
            </a:graphicData>
          </a:graphic>
        </xdr:graphicFrame>
      </mc:Choice>
      <mc:Fallback xmlns="">
        <xdr:sp macro="" textlink="">
          <xdr:nvSpPr>
            <xdr:cNvPr id="0" name=""/>
            <xdr:cNvSpPr>
              <a:spLocks noTextEdit="1"/>
            </xdr:cNvSpPr>
          </xdr:nvSpPr>
          <xdr:spPr>
            <a:xfrm>
              <a:off x="20974050" y="5391150"/>
              <a:ext cx="4400550" cy="3143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2</xdr:row>
      <xdr:rowOff>9525</xdr:rowOff>
    </xdr:from>
    <xdr:to>
      <xdr:col>8</xdr:col>
      <xdr:colOff>10582</xdr:colOff>
      <xdr:row>7</xdr:row>
      <xdr:rowOff>241714</xdr:rowOff>
    </xdr:to>
    <xdr:graphicFrame macro="">
      <xdr:nvGraphicFramePr>
        <xdr:cNvPr id="2" name="Chart 1">
          <a:extLst>
            <a:ext uri="{FF2B5EF4-FFF2-40B4-BE49-F238E27FC236}">
              <a16:creationId xmlns:a16="http://schemas.microsoft.com/office/drawing/2014/main" id="{3DB2577D-DED0-4C28-95DF-6214D95B8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10582</xdr:colOff>
      <xdr:row>1</xdr:row>
      <xdr:rowOff>189442</xdr:rowOff>
    </xdr:from>
    <xdr:to>
      <xdr:col>17</xdr:col>
      <xdr:colOff>603249</xdr:colOff>
      <xdr:row>7</xdr:row>
      <xdr:rowOff>357187</xdr:rowOff>
    </xdr:to>
    <xdr:graphicFrame macro="">
      <xdr:nvGraphicFramePr>
        <xdr:cNvPr id="4" name="Chart 3">
          <a:extLst>
            <a:ext uri="{FF2B5EF4-FFF2-40B4-BE49-F238E27FC236}">
              <a16:creationId xmlns:a16="http://schemas.microsoft.com/office/drawing/2014/main" id="{28AEB7CE-D97F-416F-9888-A2640540C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10584</xdr:colOff>
      <xdr:row>6</xdr:row>
      <xdr:rowOff>30691</xdr:rowOff>
    </xdr:from>
    <xdr:to>
      <xdr:col>45</xdr:col>
      <xdr:colOff>476250</xdr:colOff>
      <xdr:row>19</xdr:row>
      <xdr:rowOff>149224</xdr:rowOff>
    </xdr:to>
    <xdr:graphicFrame macro="">
      <xdr:nvGraphicFramePr>
        <xdr:cNvPr id="6" name="Chart 5">
          <a:extLst>
            <a:ext uri="{FF2B5EF4-FFF2-40B4-BE49-F238E27FC236}">
              <a16:creationId xmlns:a16="http://schemas.microsoft.com/office/drawing/2014/main" id="{CEE6A916-0E91-48B1-BF38-323D3824F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1341443</xdr:colOff>
      <xdr:row>12</xdr:row>
      <xdr:rowOff>10583</xdr:rowOff>
    </xdr:from>
    <xdr:to>
      <xdr:col>42</xdr:col>
      <xdr:colOff>175952</xdr:colOff>
      <xdr:row>16</xdr:row>
      <xdr:rowOff>10583</xdr:rowOff>
    </xdr:to>
    <xdr:sp macro="" textlink="$AO$4">
      <xdr:nvSpPr>
        <xdr:cNvPr id="9" name="TextBox 8">
          <a:extLst>
            <a:ext uri="{FF2B5EF4-FFF2-40B4-BE49-F238E27FC236}">
              <a16:creationId xmlns:a16="http://schemas.microsoft.com/office/drawing/2014/main" id="{7EEE21CE-81D7-4644-86D0-21A0842085A8}"/>
            </a:ext>
          </a:extLst>
        </xdr:cNvPr>
        <xdr:cNvSpPr txBox="1"/>
      </xdr:nvSpPr>
      <xdr:spPr>
        <a:xfrm>
          <a:off x="32202443" y="3260989"/>
          <a:ext cx="141816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96C73B-910D-4361-8134-E9ABD54EF0DD}" type="TxLink">
            <a:rPr lang="en-US" sz="2400" b="1" i="0" u="none" strike="noStrike">
              <a:solidFill>
                <a:schemeClr val="bg1"/>
              </a:solidFill>
              <a:latin typeface="Bodoni MT"/>
            </a:rPr>
            <a:pPr algn="ctr"/>
            <a:t>2.270,7</a:t>
          </a:fld>
          <a:endParaRPr lang="en-ID" sz="1400">
            <a:solidFill>
              <a:schemeClr val="bg1"/>
            </a:solidFill>
          </a:endParaRPr>
        </a:p>
      </xdr:txBody>
    </xdr:sp>
    <xdr:clientData/>
  </xdr:twoCellAnchor>
  <xdr:twoCellAnchor>
    <xdr:from>
      <xdr:col>40</xdr:col>
      <xdr:colOff>1447274</xdr:colOff>
      <xdr:row>12</xdr:row>
      <xdr:rowOff>169334</xdr:rowOff>
    </xdr:from>
    <xdr:to>
      <xdr:col>42</xdr:col>
      <xdr:colOff>97898</xdr:colOff>
      <xdr:row>13</xdr:row>
      <xdr:rowOff>24553</xdr:rowOff>
    </xdr:to>
    <xdr:sp macro="" textlink="">
      <xdr:nvSpPr>
        <xdr:cNvPr id="10" name="Rectangle 9">
          <a:extLst>
            <a:ext uri="{FF2B5EF4-FFF2-40B4-BE49-F238E27FC236}">
              <a16:creationId xmlns:a16="http://schemas.microsoft.com/office/drawing/2014/main" id="{5BFDD359-F303-4868-8FFD-354F3E45E2A5}"/>
            </a:ext>
          </a:extLst>
        </xdr:cNvPr>
        <xdr:cNvSpPr/>
      </xdr:nvSpPr>
      <xdr:spPr>
        <a:xfrm>
          <a:off x="32308274" y="3419740"/>
          <a:ext cx="1234280" cy="4571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40</xdr:col>
      <xdr:colOff>825768</xdr:colOff>
      <xdr:row>9</xdr:row>
      <xdr:rowOff>75662</xdr:rowOff>
    </xdr:from>
    <xdr:to>
      <xdr:col>43</xdr:col>
      <xdr:colOff>80701</xdr:colOff>
      <xdr:row>13</xdr:row>
      <xdr:rowOff>75662</xdr:rowOff>
    </xdr:to>
    <xdr:sp macro="" textlink="$AP$4">
      <xdr:nvSpPr>
        <xdr:cNvPr id="11" name="TextBox 10">
          <a:extLst>
            <a:ext uri="{FF2B5EF4-FFF2-40B4-BE49-F238E27FC236}">
              <a16:creationId xmlns:a16="http://schemas.microsoft.com/office/drawing/2014/main" id="{0E8C69DF-6F9F-4B59-98ED-0BFF3D01A92B}"/>
            </a:ext>
          </a:extLst>
        </xdr:cNvPr>
        <xdr:cNvSpPr txBox="1"/>
      </xdr:nvSpPr>
      <xdr:spPr>
        <a:xfrm>
          <a:off x="45009862" y="2754568"/>
          <a:ext cx="2445808"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6793A-960B-4F2E-8ED0-F4547F0DF8DE}" type="TxLink">
            <a:rPr lang="en-US" sz="3600" b="1" i="0" u="none" strike="noStrike">
              <a:solidFill>
                <a:schemeClr val="bg1"/>
              </a:solidFill>
              <a:latin typeface="Bodoni MT"/>
            </a:rPr>
            <a:pPr algn="ctr"/>
            <a:t>5,6%</a:t>
          </a:fld>
          <a:endParaRPr lang="en-ID" sz="2800">
            <a:solidFill>
              <a:schemeClr val="bg1"/>
            </a:solidFill>
          </a:endParaRPr>
        </a:p>
      </xdr:txBody>
    </xdr:sp>
    <xdr:clientData/>
  </xdr:twoCellAnchor>
  <xdr:twoCellAnchor>
    <xdr:from>
      <xdr:col>40</xdr:col>
      <xdr:colOff>1366843</xdr:colOff>
      <xdr:row>14</xdr:row>
      <xdr:rowOff>52916</xdr:rowOff>
    </xdr:from>
    <xdr:to>
      <xdr:col>42</xdr:col>
      <xdr:colOff>201352</xdr:colOff>
      <xdr:row>15</xdr:row>
      <xdr:rowOff>173565</xdr:rowOff>
    </xdr:to>
    <xdr:sp macro="" textlink="">
      <xdr:nvSpPr>
        <xdr:cNvPr id="12" name="TextBox 11">
          <a:extLst>
            <a:ext uri="{FF2B5EF4-FFF2-40B4-BE49-F238E27FC236}">
              <a16:creationId xmlns:a16="http://schemas.microsoft.com/office/drawing/2014/main" id="{606E13FF-E0F1-4000-8176-6C39B68AD6B5}"/>
            </a:ext>
          </a:extLst>
        </xdr:cNvPr>
        <xdr:cNvSpPr txBox="1"/>
      </xdr:nvSpPr>
      <xdr:spPr>
        <a:xfrm>
          <a:off x="32227843" y="3684322"/>
          <a:ext cx="1418165" cy="311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Bodoni MT"/>
            </a:rPr>
            <a:t>Kg</a:t>
          </a:r>
        </a:p>
      </xdr:txBody>
    </xdr:sp>
    <xdr:clientData/>
  </xdr:twoCellAnchor>
  <xdr:twoCellAnchor>
    <xdr:from>
      <xdr:col>11</xdr:col>
      <xdr:colOff>2440781</xdr:colOff>
      <xdr:row>8</xdr:row>
      <xdr:rowOff>59531</xdr:rowOff>
    </xdr:from>
    <xdr:to>
      <xdr:col>12</xdr:col>
      <xdr:colOff>2559842</xdr:colOff>
      <xdr:row>11</xdr:row>
      <xdr:rowOff>59529</xdr:rowOff>
    </xdr:to>
    <xdr:sp macro="" textlink="">
      <xdr:nvSpPr>
        <xdr:cNvPr id="13" name="TextBox 12">
          <a:extLst>
            <a:ext uri="{FF2B5EF4-FFF2-40B4-BE49-F238E27FC236}">
              <a16:creationId xmlns:a16="http://schemas.microsoft.com/office/drawing/2014/main" id="{464118B3-555E-43E5-8998-2BB6F560E566}"/>
            </a:ext>
          </a:extLst>
        </xdr:cNvPr>
        <xdr:cNvSpPr txBox="1"/>
      </xdr:nvSpPr>
      <xdr:spPr>
        <a:xfrm>
          <a:off x="15263812" y="2547937"/>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4:</a:t>
          </a:r>
          <a:r>
            <a:rPr lang="en-ID" sz="1400" baseline="0">
              <a:latin typeface="Bodoni MT" panose="02070603080606020203" pitchFamily="18" charset="0"/>
            </a:rPr>
            <a:t> UBC Sent to Papermill</a:t>
          </a:r>
          <a:endParaRPr lang="en-ID" sz="1400">
            <a:latin typeface="Bodoni MT" panose="02070603080606020203" pitchFamily="18" charset="0"/>
          </a:endParaRPr>
        </a:p>
      </xdr:txBody>
    </xdr:sp>
    <xdr:clientData/>
  </xdr:twoCellAnchor>
  <xdr:twoCellAnchor>
    <xdr:from>
      <xdr:col>41</xdr:col>
      <xdr:colOff>45244</xdr:colOff>
      <xdr:row>4</xdr:row>
      <xdr:rowOff>92868</xdr:rowOff>
    </xdr:from>
    <xdr:to>
      <xdr:col>44</xdr:col>
      <xdr:colOff>581024</xdr:colOff>
      <xdr:row>5</xdr:row>
      <xdr:rowOff>330991</xdr:rowOff>
    </xdr:to>
    <xdr:sp macro="" textlink="">
      <xdr:nvSpPr>
        <xdr:cNvPr id="14" name="TextBox 13">
          <a:extLst>
            <a:ext uri="{FF2B5EF4-FFF2-40B4-BE49-F238E27FC236}">
              <a16:creationId xmlns:a16="http://schemas.microsoft.com/office/drawing/2014/main" id="{4D72380A-FD9E-4873-B58A-60CBD0D675F5}"/>
            </a:ext>
          </a:extLst>
        </xdr:cNvPr>
        <xdr:cNvSpPr txBox="1"/>
      </xdr:nvSpPr>
      <xdr:spPr>
        <a:xfrm>
          <a:off x="32668369" y="1319212"/>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4:</a:t>
          </a:r>
          <a:r>
            <a:rPr lang="en-ID" sz="1400" baseline="0">
              <a:latin typeface="Bodoni MT" panose="02070603080606020203" pitchFamily="18" charset="0"/>
            </a:rPr>
            <a:t> Weight Reduction at EcoBali</a:t>
          </a:r>
          <a:endParaRPr lang="en-ID" sz="1400">
            <a:latin typeface="Bodoni MT" panose="02070603080606020203" pitchFamily="18" charset="0"/>
          </a:endParaRPr>
        </a:p>
      </xdr:txBody>
    </xdr:sp>
    <xdr:clientData/>
  </xdr:twoCellAnchor>
  <xdr:twoCellAnchor>
    <xdr:from>
      <xdr:col>19</xdr:col>
      <xdr:colOff>392906</xdr:colOff>
      <xdr:row>7</xdr:row>
      <xdr:rowOff>154781</xdr:rowOff>
    </xdr:from>
    <xdr:to>
      <xdr:col>23</xdr:col>
      <xdr:colOff>392906</xdr:colOff>
      <xdr:row>22</xdr:row>
      <xdr:rowOff>35189</xdr:rowOff>
    </xdr:to>
    <xdr:graphicFrame macro="">
      <xdr:nvGraphicFramePr>
        <xdr:cNvPr id="15" name="Chart 14">
          <a:extLst>
            <a:ext uri="{FF2B5EF4-FFF2-40B4-BE49-F238E27FC236}">
              <a16:creationId xmlns:a16="http://schemas.microsoft.com/office/drawing/2014/main" id="{DE123BA2-AC31-4C08-AE37-3B87B614D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825238</xdr:colOff>
      <xdr:row>13</xdr:row>
      <xdr:rowOff>89703</xdr:rowOff>
    </xdr:from>
    <xdr:to>
      <xdr:col>22</xdr:col>
      <xdr:colOff>195529</xdr:colOff>
      <xdr:row>17</xdr:row>
      <xdr:rowOff>89703</xdr:rowOff>
    </xdr:to>
    <xdr:sp macro="" textlink="$X$5">
      <xdr:nvSpPr>
        <xdr:cNvPr id="16" name="TextBox 15">
          <a:extLst>
            <a:ext uri="{FF2B5EF4-FFF2-40B4-BE49-F238E27FC236}">
              <a16:creationId xmlns:a16="http://schemas.microsoft.com/office/drawing/2014/main" id="{7A1D6D98-0F48-4BA8-84D5-60A01E58F5D7}"/>
            </a:ext>
          </a:extLst>
        </xdr:cNvPr>
        <xdr:cNvSpPr txBox="1"/>
      </xdr:nvSpPr>
      <xdr:spPr>
        <a:xfrm>
          <a:off x="24090051" y="3673484"/>
          <a:ext cx="1418166"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9C25F9-BFA7-4AF2-AF49-B8F557ECD1AA}" type="TxLink">
            <a:rPr lang="en-US" sz="2800" b="0" i="0" u="none" strike="noStrike">
              <a:solidFill>
                <a:schemeClr val="bg1"/>
              </a:solidFill>
              <a:latin typeface="Bodoni MT"/>
            </a:rPr>
            <a:pPr algn="ctr"/>
            <a:t>38.386</a:t>
          </a:fld>
          <a:endParaRPr lang="en-ID" sz="2400">
            <a:solidFill>
              <a:schemeClr val="bg1"/>
            </a:solidFill>
          </a:endParaRPr>
        </a:p>
      </xdr:txBody>
    </xdr:sp>
    <xdr:clientData/>
  </xdr:twoCellAnchor>
  <xdr:twoCellAnchor>
    <xdr:from>
      <xdr:col>20</xdr:col>
      <xdr:colOff>333375</xdr:colOff>
      <xdr:row>11</xdr:row>
      <xdr:rowOff>11906</xdr:rowOff>
    </xdr:from>
    <xdr:to>
      <xdr:col>22</xdr:col>
      <xdr:colOff>731308</xdr:colOff>
      <xdr:row>15</xdr:row>
      <xdr:rowOff>11906</xdr:rowOff>
    </xdr:to>
    <xdr:sp macro="" textlink="$Y$5">
      <xdr:nvSpPr>
        <xdr:cNvPr id="17" name="TextBox 16">
          <a:extLst>
            <a:ext uri="{FF2B5EF4-FFF2-40B4-BE49-F238E27FC236}">
              <a16:creationId xmlns:a16="http://schemas.microsoft.com/office/drawing/2014/main" id="{248390C1-7557-4DEA-BD0D-CC6512CAF6E9}"/>
            </a:ext>
          </a:extLst>
        </xdr:cNvPr>
        <xdr:cNvSpPr txBox="1"/>
      </xdr:nvSpPr>
      <xdr:spPr>
        <a:xfrm>
          <a:off x="23598188" y="3214687"/>
          <a:ext cx="2445808"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39E197-4D78-4362-8219-AE68DFBF0CB7}" type="TxLink">
            <a:rPr lang="en-US" sz="3600" b="1" i="0" u="none" strike="noStrike">
              <a:solidFill>
                <a:schemeClr val="bg1"/>
              </a:solidFill>
              <a:latin typeface="Bodoni MT" panose="02070603080606020203" pitchFamily="18" charset="0"/>
              <a:cs typeface="Calibri"/>
            </a:rPr>
            <a:pPr algn="ctr"/>
            <a:t>46%</a:t>
          </a:fld>
          <a:endParaRPr lang="en-ID" sz="5400">
            <a:solidFill>
              <a:schemeClr val="bg1"/>
            </a:solidFill>
            <a:latin typeface="Bodoni MT" panose="02070603080606020203" pitchFamily="18" charset="0"/>
          </a:endParaRPr>
        </a:p>
      </xdr:txBody>
    </xdr:sp>
    <xdr:clientData/>
  </xdr:twoCellAnchor>
  <xdr:twoCellAnchor>
    <xdr:from>
      <xdr:col>20</xdr:col>
      <xdr:colOff>850638</xdr:colOff>
      <xdr:row>15</xdr:row>
      <xdr:rowOff>167754</xdr:rowOff>
    </xdr:from>
    <xdr:to>
      <xdr:col>22</xdr:col>
      <xdr:colOff>220929</xdr:colOff>
      <xdr:row>17</xdr:row>
      <xdr:rowOff>97903</xdr:rowOff>
    </xdr:to>
    <xdr:sp macro="" textlink="">
      <xdr:nvSpPr>
        <xdr:cNvPr id="18" name="TextBox 17">
          <a:extLst>
            <a:ext uri="{FF2B5EF4-FFF2-40B4-BE49-F238E27FC236}">
              <a16:creationId xmlns:a16="http://schemas.microsoft.com/office/drawing/2014/main" id="{67872F64-0858-41E2-9F67-82AC2B743653}"/>
            </a:ext>
          </a:extLst>
        </xdr:cNvPr>
        <xdr:cNvSpPr txBox="1"/>
      </xdr:nvSpPr>
      <xdr:spPr>
        <a:xfrm>
          <a:off x="24115451" y="4132535"/>
          <a:ext cx="1418166" cy="311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Bodoni MT"/>
            </a:rPr>
            <a:t>Kg</a:t>
          </a:r>
        </a:p>
      </xdr:txBody>
    </xdr:sp>
    <xdr:clientData/>
  </xdr:twoCellAnchor>
  <xdr:twoCellAnchor>
    <xdr:from>
      <xdr:col>20</xdr:col>
      <xdr:colOff>935304</xdr:colOff>
      <xdr:row>14</xdr:row>
      <xdr:rowOff>62177</xdr:rowOff>
    </xdr:from>
    <xdr:to>
      <xdr:col>22</xdr:col>
      <xdr:colOff>121710</xdr:colOff>
      <xdr:row>14</xdr:row>
      <xdr:rowOff>107896</xdr:rowOff>
    </xdr:to>
    <xdr:sp macro="" textlink="">
      <xdr:nvSpPr>
        <xdr:cNvPr id="19" name="Rectangle 18">
          <a:extLst>
            <a:ext uri="{FF2B5EF4-FFF2-40B4-BE49-F238E27FC236}">
              <a16:creationId xmlns:a16="http://schemas.microsoft.com/office/drawing/2014/main" id="{44D6DA85-DA1E-47BB-8260-C728B3249CCE}"/>
            </a:ext>
          </a:extLst>
        </xdr:cNvPr>
        <xdr:cNvSpPr/>
      </xdr:nvSpPr>
      <xdr:spPr>
        <a:xfrm>
          <a:off x="24200117" y="3836458"/>
          <a:ext cx="1234281" cy="4571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27</xdr:col>
      <xdr:colOff>23813</xdr:colOff>
      <xdr:row>7</xdr:row>
      <xdr:rowOff>226218</xdr:rowOff>
    </xdr:from>
    <xdr:to>
      <xdr:col>31</xdr:col>
      <xdr:colOff>380999</xdr:colOff>
      <xdr:row>22</xdr:row>
      <xdr:rowOff>106626</xdr:rowOff>
    </xdr:to>
    <xdr:graphicFrame macro="">
      <xdr:nvGraphicFramePr>
        <xdr:cNvPr id="20" name="Chart 19">
          <a:extLst>
            <a:ext uri="{FF2B5EF4-FFF2-40B4-BE49-F238E27FC236}">
              <a16:creationId xmlns:a16="http://schemas.microsoft.com/office/drawing/2014/main" id="{C1E10042-CA98-4F07-A437-109499BBB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250026</xdr:colOff>
      <xdr:row>13</xdr:row>
      <xdr:rowOff>149234</xdr:rowOff>
    </xdr:from>
    <xdr:to>
      <xdr:col>30</xdr:col>
      <xdr:colOff>147899</xdr:colOff>
      <xdr:row>17</xdr:row>
      <xdr:rowOff>149234</xdr:rowOff>
    </xdr:to>
    <xdr:sp macro="" textlink="$AF$5">
      <xdr:nvSpPr>
        <xdr:cNvPr id="21" name="TextBox 20">
          <a:extLst>
            <a:ext uri="{FF2B5EF4-FFF2-40B4-BE49-F238E27FC236}">
              <a16:creationId xmlns:a16="http://schemas.microsoft.com/office/drawing/2014/main" id="{F2E8BE0C-2AB6-4150-9B86-05DB686386FF}"/>
            </a:ext>
          </a:extLst>
        </xdr:cNvPr>
        <xdr:cNvSpPr txBox="1"/>
      </xdr:nvSpPr>
      <xdr:spPr>
        <a:xfrm>
          <a:off x="30789557" y="3733015"/>
          <a:ext cx="1826686"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9FEC9B-7184-4D93-9DE9-B03835974E18}" type="TxLink">
            <a:rPr lang="en-US" sz="2800" b="1" i="0" u="none" strike="noStrike">
              <a:solidFill>
                <a:schemeClr val="bg1"/>
              </a:solidFill>
              <a:latin typeface="Bodoni MT"/>
            </a:rPr>
            <a:pPr algn="ctr"/>
            <a:t>38.386</a:t>
          </a:fld>
          <a:endParaRPr lang="en-ID" sz="3200">
            <a:solidFill>
              <a:schemeClr val="bg1"/>
            </a:solidFill>
          </a:endParaRPr>
        </a:p>
      </xdr:txBody>
    </xdr:sp>
    <xdr:clientData/>
  </xdr:twoCellAnchor>
  <xdr:twoCellAnchor>
    <xdr:from>
      <xdr:col>28</xdr:col>
      <xdr:colOff>226221</xdr:colOff>
      <xdr:row>11</xdr:row>
      <xdr:rowOff>71437</xdr:rowOff>
    </xdr:from>
    <xdr:to>
      <xdr:col>30</xdr:col>
      <xdr:colOff>195529</xdr:colOff>
      <xdr:row>15</xdr:row>
      <xdr:rowOff>71437</xdr:rowOff>
    </xdr:to>
    <xdr:sp macro="" textlink="$AG$5">
      <xdr:nvSpPr>
        <xdr:cNvPr id="22" name="TextBox 21">
          <a:extLst>
            <a:ext uri="{FF2B5EF4-FFF2-40B4-BE49-F238E27FC236}">
              <a16:creationId xmlns:a16="http://schemas.microsoft.com/office/drawing/2014/main" id="{1142EACC-DB96-435B-906D-9485D707B0E8}"/>
            </a:ext>
          </a:extLst>
        </xdr:cNvPr>
        <xdr:cNvSpPr txBox="1"/>
      </xdr:nvSpPr>
      <xdr:spPr>
        <a:xfrm>
          <a:off x="30765752" y="3274218"/>
          <a:ext cx="189812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C58550-231E-4CD6-88E3-37AD0AB237EB}" type="TxLink">
            <a:rPr lang="en-US" sz="3600" b="1" i="0" u="none" strike="noStrike">
              <a:solidFill>
                <a:schemeClr val="bg1"/>
              </a:solidFill>
              <a:latin typeface="Bodoni MT"/>
              <a:cs typeface="Calibri"/>
            </a:rPr>
            <a:pPr algn="ctr"/>
            <a:t>15%</a:t>
          </a:fld>
          <a:endParaRPr lang="en-ID" sz="8000">
            <a:solidFill>
              <a:schemeClr val="bg1"/>
            </a:solidFill>
            <a:latin typeface="Bodoni MT" panose="02070603080606020203" pitchFamily="18" charset="0"/>
          </a:endParaRPr>
        </a:p>
      </xdr:txBody>
    </xdr:sp>
    <xdr:clientData/>
  </xdr:twoCellAnchor>
  <xdr:twoCellAnchor>
    <xdr:from>
      <xdr:col>28</xdr:col>
      <xdr:colOff>719671</xdr:colOff>
      <xdr:row>16</xdr:row>
      <xdr:rowOff>48691</xdr:rowOff>
    </xdr:from>
    <xdr:to>
      <xdr:col>29</xdr:col>
      <xdr:colOff>268556</xdr:colOff>
      <xdr:row>17</xdr:row>
      <xdr:rowOff>169340</xdr:rowOff>
    </xdr:to>
    <xdr:sp macro="" textlink="">
      <xdr:nvSpPr>
        <xdr:cNvPr id="23" name="TextBox 22">
          <a:extLst>
            <a:ext uri="{FF2B5EF4-FFF2-40B4-BE49-F238E27FC236}">
              <a16:creationId xmlns:a16="http://schemas.microsoft.com/office/drawing/2014/main" id="{F7457A27-1694-4EF5-B17A-D99AC0F43C69}"/>
            </a:ext>
          </a:extLst>
        </xdr:cNvPr>
        <xdr:cNvSpPr txBox="1"/>
      </xdr:nvSpPr>
      <xdr:spPr>
        <a:xfrm>
          <a:off x="31259202" y="4203972"/>
          <a:ext cx="870479" cy="311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bg1"/>
              </a:solidFill>
              <a:latin typeface="Bodoni MT"/>
            </a:rPr>
            <a:t>Kg</a:t>
          </a:r>
        </a:p>
      </xdr:txBody>
    </xdr:sp>
    <xdr:clientData/>
  </xdr:twoCellAnchor>
  <xdr:twoCellAnchor>
    <xdr:from>
      <xdr:col>28</xdr:col>
      <xdr:colOff>583405</xdr:colOff>
      <xdr:row>14</xdr:row>
      <xdr:rowOff>121708</xdr:rowOff>
    </xdr:from>
    <xdr:to>
      <xdr:col>29</xdr:col>
      <xdr:colOff>371740</xdr:colOff>
      <xdr:row>14</xdr:row>
      <xdr:rowOff>167427</xdr:rowOff>
    </xdr:to>
    <xdr:sp macro="" textlink="">
      <xdr:nvSpPr>
        <xdr:cNvPr id="24" name="Rectangle 23">
          <a:extLst>
            <a:ext uri="{FF2B5EF4-FFF2-40B4-BE49-F238E27FC236}">
              <a16:creationId xmlns:a16="http://schemas.microsoft.com/office/drawing/2014/main" id="{A6DD9692-1590-4660-8D67-7C325FA1DBCA}"/>
            </a:ext>
          </a:extLst>
        </xdr:cNvPr>
        <xdr:cNvSpPr/>
      </xdr:nvSpPr>
      <xdr:spPr>
        <a:xfrm>
          <a:off x="31122936" y="3895989"/>
          <a:ext cx="1109929" cy="4571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31</xdr:col>
      <xdr:colOff>550069</xdr:colOff>
      <xdr:row>7</xdr:row>
      <xdr:rowOff>235743</xdr:rowOff>
    </xdr:from>
    <xdr:to>
      <xdr:col>34</xdr:col>
      <xdr:colOff>128587</xdr:colOff>
      <xdr:row>20</xdr:row>
      <xdr:rowOff>140493</xdr:rowOff>
    </xdr:to>
    <mc:AlternateContent xmlns:mc="http://schemas.openxmlformats.org/markup-compatibility/2006" xmlns:a14="http://schemas.microsoft.com/office/drawing/2010/main">
      <mc:Choice Requires="a14">
        <xdr:graphicFrame macro="">
          <xdr:nvGraphicFramePr>
            <xdr:cNvPr id="8" name="Month 2">
              <a:extLst>
                <a:ext uri="{FF2B5EF4-FFF2-40B4-BE49-F238E27FC236}">
                  <a16:creationId xmlns:a16="http://schemas.microsoft.com/office/drawing/2014/main" id="{7D7219B2-8A90-4501-995B-A96802938387}"/>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3947100" y="2462212"/>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1159669</xdr:colOff>
      <xdr:row>8</xdr:row>
      <xdr:rowOff>16668</xdr:rowOff>
    </xdr:from>
    <xdr:to>
      <xdr:col>50</xdr:col>
      <xdr:colOff>1583532</xdr:colOff>
      <xdr:row>21</xdr:row>
      <xdr:rowOff>64293</xdr:rowOff>
    </xdr:to>
    <mc:AlternateContent xmlns:mc="http://schemas.openxmlformats.org/markup-compatibility/2006" xmlns:a14="http://schemas.microsoft.com/office/drawing/2010/main">
      <mc:Choice Requires="a14">
        <xdr:graphicFrame macro="">
          <xdr:nvGraphicFramePr>
            <xdr:cNvPr id="26" name="Month 5">
              <a:extLst>
                <a:ext uri="{FF2B5EF4-FFF2-40B4-BE49-F238E27FC236}">
                  <a16:creationId xmlns:a16="http://schemas.microsoft.com/office/drawing/2014/main" id="{B117A597-B696-4B8D-8ADC-9D78B15D278F}"/>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mlns="">
        <xdr:sp macro="" textlink="">
          <xdr:nvSpPr>
            <xdr:cNvPr id="0" name=""/>
            <xdr:cNvSpPr>
              <a:spLocks noTextEdit="1"/>
            </xdr:cNvSpPr>
          </xdr:nvSpPr>
          <xdr:spPr>
            <a:xfrm>
              <a:off x="53309044" y="3457574"/>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47</xdr:col>
      <xdr:colOff>666749</xdr:colOff>
      <xdr:row>8</xdr:row>
      <xdr:rowOff>59531</xdr:rowOff>
    </xdr:from>
    <xdr:to>
      <xdr:col>47</xdr:col>
      <xdr:colOff>2124338</xdr:colOff>
      <xdr:row>12</xdr:row>
      <xdr:rowOff>59531</xdr:rowOff>
    </xdr:to>
    <xdr:sp macro="" textlink="$AX$1">
      <xdr:nvSpPr>
        <xdr:cNvPr id="28" name="TextBox 27">
          <a:extLst>
            <a:ext uri="{FF2B5EF4-FFF2-40B4-BE49-F238E27FC236}">
              <a16:creationId xmlns:a16="http://schemas.microsoft.com/office/drawing/2014/main" id="{5852EF09-DC7D-4E13-905B-4CF2428A5717}"/>
            </a:ext>
          </a:extLst>
        </xdr:cNvPr>
        <xdr:cNvSpPr txBox="1"/>
      </xdr:nvSpPr>
      <xdr:spPr>
        <a:xfrm>
          <a:off x="50470593" y="2547937"/>
          <a:ext cx="145758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AF1EBC-04E1-4C4E-BCCA-FB2FB89D2A43}" type="TxLink">
            <a:rPr lang="en-US" sz="1800" b="0" i="0" u="none" strike="noStrike">
              <a:solidFill>
                <a:srgbClr val="000000"/>
              </a:solidFill>
              <a:latin typeface="Calibri"/>
              <a:cs typeface="Calibri"/>
            </a:rPr>
            <a:pPr algn="ctr"/>
            <a:t>▼(0%)</a:t>
          </a:fld>
          <a:endParaRPr lang="en-ID" sz="2800">
            <a:solidFill>
              <a:schemeClr val="tx1"/>
            </a:solidFill>
          </a:endParaRPr>
        </a:p>
      </xdr:txBody>
    </xdr:sp>
    <xdr:clientData/>
  </xdr:twoCellAnchor>
  <xdr:twoCellAnchor>
    <xdr:from>
      <xdr:col>47</xdr:col>
      <xdr:colOff>1878806</xdr:colOff>
      <xdr:row>10</xdr:row>
      <xdr:rowOff>45243</xdr:rowOff>
    </xdr:from>
    <xdr:to>
      <xdr:col>49</xdr:col>
      <xdr:colOff>574145</xdr:colOff>
      <xdr:row>14</xdr:row>
      <xdr:rowOff>45243</xdr:rowOff>
    </xdr:to>
    <xdr:sp macro="" textlink="$AY$1">
      <xdr:nvSpPr>
        <xdr:cNvPr id="29" name="TextBox 28">
          <a:extLst>
            <a:ext uri="{FF2B5EF4-FFF2-40B4-BE49-F238E27FC236}">
              <a16:creationId xmlns:a16="http://schemas.microsoft.com/office/drawing/2014/main" id="{30A94A33-BD15-4BFA-AA1C-8E04F24BCDF7}"/>
            </a:ext>
          </a:extLst>
        </xdr:cNvPr>
        <xdr:cNvSpPr txBox="1"/>
      </xdr:nvSpPr>
      <xdr:spPr>
        <a:xfrm>
          <a:off x="51682650" y="2914649"/>
          <a:ext cx="145758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ACC21A-67DA-4A45-AFE6-3619761D3478}" type="TxLink">
            <a:rPr lang="en-US" sz="1800" b="0" i="0" u="none" strike="noStrike">
              <a:solidFill>
                <a:srgbClr val="000000"/>
              </a:solidFill>
              <a:latin typeface="Calibri"/>
              <a:cs typeface="Calibri"/>
            </a:rPr>
            <a:pPr algn="ctr"/>
            <a:t>▼(16)</a:t>
          </a:fld>
          <a:endParaRPr lang="en-US" sz="1800" b="0" i="0" u="none" strike="noStrike">
            <a:solidFill>
              <a:srgbClr val="000000"/>
            </a:solidFill>
            <a:latin typeface="Calibri"/>
            <a:cs typeface="Calibri"/>
          </a:endParaRPr>
        </a:p>
      </xdr:txBody>
    </xdr:sp>
    <xdr:clientData/>
  </xdr:twoCellAnchor>
  <xdr:twoCellAnchor>
    <xdr:from>
      <xdr:col>47</xdr:col>
      <xdr:colOff>2102643</xdr:colOff>
      <xdr:row>14</xdr:row>
      <xdr:rowOff>66675</xdr:rowOff>
    </xdr:from>
    <xdr:to>
      <xdr:col>49</xdr:col>
      <xdr:colOff>797982</xdr:colOff>
      <xdr:row>18</xdr:row>
      <xdr:rowOff>66675</xdr:rowOff>
    </xdr:to>
    <xdr:sp macro="" textlink="$AX$6">
      <xdr:nvSpPr>
        <xdr:cNvPr id="30" name="TextBox 29">
          <a:extLst>
            <a:ext uri="{FF2B5EF4-FFF2-40B4-BE49-F238E27FC236}">
              <a16:creationId xmlns:a16="http://schemas.microsoft.com/office/drawing/2014/main" id="{C0B37F84-5730-4D0B-A98C-6BBF13CA4F07}"/>
            </a:ext>
          </a:extLst>
        </xdr:cNvPr>
        <xdr:cNvSpPr txBox="1"/>
      </xdr:nvSpPr>
      <xdr:spPr>
        <a:xfrm>
          <a:off x="51906487" y="3698081"/>
          <a:ext cx="154093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F5C9E6-1D1A-46D7-ACF6-C554EF297248}" type="TxLink">
            <a:rPr lang="en-US" sz="1100" b="0" i="0" u="none" strike="noStrike">
              <a:solidFill>
                <a:srgbClr val="000000"/>
              </a:solidFill>
              <a:latin typeface="Calibri"/>
              <a:cs typeface="Calibri"/>
            </a:rPr>
            <a:pPr algn="ctr"/>
            <a:t>-16</a:t>
          </a:fld>
          <a:endParaRPr lang="en-US" sz="2800" b="1" i="0" u="none" strike="noStrike">
            <a:solidFill>
              <a:schemeClr val="tx1"/>
            </a:solidFill>
            <a:latin typeface="Calibri"/>
            <a:cs typeface="Calibri"/>
          </a:endParaRPr>
        </a:p>
      </xdr:txBody>
    </xdr:sp>
    <xdr:clientData/>
  </xdr:twoCellAnchor>
  <xdr:twoCellAnchor>
    <xdr:from>
      <xdr:col>46</xdr:col>
      <xdr:colOff>483393</xdr:colOff>
      <xdr:row>14</xdr:row>
      <xdr:rowOff>161924</xdr:rowOff>
    </xdr:from>
    <xdr:to>
      <xdr:col>47</xdr:col>
      <xdr:colOff>1333763</xdr:colOff>
      <xdr:row>18</xdr:row>
      <xdr:rowOff>161924</xdr:rowOff>
    </xdr:to>
    <xdr:sp macro="" textlink="$AX$1">
      <xdr:nvSpPr>
        <xdr:cNvPr id="31" name="TextBox 30">
          <a:extLst>
            <a:ext uri="{FF2B5EF4-FFF2-40B4-BE49-F238E27FC236}">
              <a16:creationId xmlns:a16="http://schemas.microsoft.com/office/drawing/2014/main" id="{7742A861-7FA8-4FBD-ABC3-0448AA76A341}"/>
            </a:ext>
          </a:extLst>
        </xdr:cNvPr>
        <xdr:cNvSpPr txBox="1"/>
      </xdr:nvSpPr>
      <xdr:spPr>
        <a:xfrm>
          <a:off x="49680018" y="3793330"/>
          <a:ext cx="1457589"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CFC6D4-C73F-4182-85E3-52FC7275B06C}" type="TxLink">
            <a:rPr lang="en-US" sz="1800" b="0" i="0" u="none" strike="noStrike">
              <a:solidFill>
                <a:srgbClr val="000000"/>
              </a:solidFill>
              <a:latin typeface="Calibri"/>
              <a:cs typeface="Calibri"/>
            </a:rPr>
            <a:pPr algn="ctr"/>
            <a:t>▼(0%)</a:t>
          </a:fld>
          <a:endParaRPr lang="en-US" sz="1800" b="0" i="0" u="none" strike="noStrike">
            <a:solidFill>
              <a:srgbClr val="000000"/>
            </a:solidFill>
            <a:latin typeface="Calibri"/>
            <a:cs typeface="Calibri"/>
          </a:endParaRPr>
        </a:p>
      </xdr:txBody>
    </xdr:sp>
    <xdr:clientData/>
  </xdr:twoCellAnchor>
  <xdr:twoCellAnchor>
    <xdr:from>
      <xdr:col>47</xdr:col>
      <xdr:colOff>11907</xdr:colOff>
      <xdr:row>0</xdr:row>
      <xdr:rowOff>0</xdr:rowOff>
    </xdr:from>
    <xdr:to>
      <xdr:col>49</xdr:col>
      <xdr:colOff>23812</xdr:colOff>
      <xdr:row>2</xdr:row>
      <xdr:rowOff>83342</xdr:rowOff>
    </xdr:to>
    <xdr:sp macro="" textlink="">
      <xdr:nvSpPr>
        <xdr:cNvPr id="27" name="TextBox 26">
          <a:extLst>
            <a:ext uri="{FF2B5EF4-FFF2-40B4-BE49-F238E27FC236}">
              <a16:creationId xmlns:a16="http://schemas.microsoft.com/office/drawing/2014/main" id="{FC99544B-868E-42AA-AFE7-D39BB07925A9}"/>
            </a:ext>
          </a:extLst>
        </xdr:cNvPr>
        <xdr:cNvSpPr txBox="1"/>
      </xdr:nvSpPr>
      <xdr:spPr>
        <a:xfrm>
          <a:off x="49315688" y="0"/>
          <a:ext cx="2857499" cy="83343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4:</a:t>
          </a:r>
          <a:r>
            <a:rPr lang="en-ID" sz="1400" baseline="0">
              <a:latin typeface="Bodoni MT" panose="02070603080606020203" pitchFamily="18" charset="0"/>
            </a:rPr>
            <a:t> Received at Papermill (pengurangan komulatif)</a:t>
          </a:r>
          <a:endParaRPr lang="en-ID" sz="1400">
            <a:latin typeface="Bodoni MT" panose="02070603080606020203"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65484</xdr:colOff>
      <xdr:row>1</xdr:row>
      <xdr:rowOff>176211</xdr:rowOff>
    </xdr:from>
    <xdr:to>
      <xdr:col>9</xdr:col>
      <xdr:colOff>11906</xdr:colOff>
      <xdr:row>16</xdr:row>
      <xdr:rowOff>61911</xdr:rowOff>
    </xdr:to>
    <xdr:graphicFrame macro="">
      <xdr:nvGraphicFramePr>
        <xdr:cNvPr id="12" name="Chart 11">
          <a:extLst>
            <a:ext uri="{FF2B5EF4-FFF2-40B4-BE49-F238E27FC236}">
              <a16:creationId xmlns:a16="http://schemas.microsoft.com/office/drawing/2014/main" id="{899BC1BD-32E1-4C24-B4E7-9A5AD39CA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587657</xdr:colOff>
      <xdr:row>6</xdr:row>
      <xdr:rowOff>69056</xdr:rowOff>
    </xdr:from>
    <xdr:to>
      <xdr:col>20</xdr:col>
      <xdr:colOff>285749</xdr:colOff>
      <xdr:row>20</xdr:row>
      <xdr:rowOff>176893</xdr:rowOff>
    </xdr:to>
    <xdr:graphicFrame macro="">
      <xdr:nvGraphicFramePr>
        <xdr:cNvPr id="14" name="Chart 13">
          <a:extLst>
            <a:ext uri="{FF2B5EF4-FFF2-40B4-BE49-F238E27FC236}">
              <a16:creationId xmlns:a16="http://schemas.microsoft.com/office/drawing/2014/main" id="{1A735F51-8E6A-472A-8524-751D9DDAD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762000</xdr:colOff>
      <xdr:row>12</xdr:row>
      <xdr:rowOff>142876</xdr:rowOff>
    </xdr:from>
    <xdr:to>
      <xdr:col>17</xdr:col>
      <xdr:colOff>488156</xdr:colOff>
      <xdr:row>16</xdr:row>
      <xdr:rowOff>142876</xdr:rowOff>
    </xdr:to>
    <xdr:sp macro="" textlink="$P$4">
      <xdr:nvSpPr>
        <xdr:cNvPr id="15" name="TextBox 14">
          <a:extLst>
            <a:ext uri="{FF2B5EF4-FFF2-40B4-BE49-F238E27FC236}">
              <a16:creationId xmlns:a16="http://schemas.microsoft.com/office/drawing/2014/main" id="{FDF415C8-5152-48CF-AE31-84BFC9C9A6C4}"/>
            </a:ext>
          </a:extLst>
        </xdr:cNvPr>
        <xdr:cNvSpPr txBox="1"/>
      </xdr:nvSpPr>
      <xdr:spPr>
        <a:xfrm>
          <a:off x="17133094" y="3583782"/>
          <a:ext cx="1345406"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5C9881-B7D0-4010-AB85-F2636AC0773A}" type="TxLink">
            <a:rPr lang="en-US" sz="2000" b="1" i="0" u="none" strike="noStrike">
              <a:solidFill>
                <a:schemeClr val="bg1"/>
              </a:solidFill>
              <a:latin typeface="Bodoni MT"/>
              <a:cs typeface="Calibri"/>
            </a:rPr>
            <a:pPr algn="ctr"/>
            <a:t>16,0</a:t>
          </a:fld>
          <a:endParaRPr lang="en-ID" sz="1600">
            <a:solidFill>
              <a:schemeClr val="bg1"/>
            </a:solidFill>
          </a:endParaRPr>
        </a:p>
      </xdr:txBody>
    </xdr:sp>
    <xdr:clientData/>
  </xdr:twoCellAnchor>
  <xdr:twoCellAnchor>
    <xdr:from>
      <xdr:col>15</xdr:col>
      <xdr:colOff>928687</xdr:colOff>
      <xdr:row>13</xdr:row>
      <xdr:rowOff>107157</xdr:rowOff>
    </xdr:from>
    <xdr:to>
      <xdr:col>17</xdr:col>
      <xdr:colOff>336020</xdr:colOff>
      <xdr:row>13</xdr:row>
      <xdr:rowOff>152876</xdr:rowOff>
    </xdr:to>
    <xdr:sp macro="" textlink="">
      <xdr:nvSpPr>
        <xdr:cNvPr id="16" name="Rectangle 15">
          <a:extLst>
            <a:ext uri="{FF2B5EF4-FFF2-40B4-BE49-F238E27FC236}">
              <a16:creationId xmlns:a16="http://schemas.microsoft.com/office/drawing/2014/main" id="{112F71BF-4604-4C43-9015-609E7FDA5DCF}"/>
            </a:ext>
          </a:extLst>
        </xdr:cNvPr>
        <xdr:cNvSpPr/>
      </xdr:nvSpPr>
      <xdr:spPr>
        <a:xfrm>
          <a:off x="17299781" y="3738563"/>
          <a:ext cx="1026583" cy="4571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15</xdr:col>
      <xdr:colOff>583405</xdr:colOff>
      <xdr:row>10</xdr:row>
      <xdr:rowOff>23814</xdr:rowOff>
    </xdr:from>
    <xdr:to>
      <xdr:col>18</xdr:col>
      <xdr:colOff>107156</xdr:colOff>
      <xdr:row>14</xdr:row>
      <xdr:rowOff>23814</xdr:rowOff>
    </xdr:to>
    <xdr:sp macro="" textlink="$Q$4">
      <xdr:nvSpPr>
        <xdr:cNvPr id="17" name="TextBox 16">
          <a:extLst>
            <a:ext uri="{FF2B5EF4-FFF2-40B4-BE49-F238E27FC236}">
              <a16:creationId xmlns:a16="http://schemas.microsoft.com/office/drawing/2014/main" id="{5842CC2F-2EBC-449B-9A54-F1421BCD4EFC}"/>
            </a:ext>
          </a:extLst>
        </xdr:cNvPr>
        <xdr:cNvSpPr txBox="1"/>
      </xdr:nvSpPr>
      <xdr:spPr>
        <a:xfrm>
          <a:off x="16954499" y="3083720"/>
          <a:ext cx="175022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9B8D48-9B64-4C12-89DB-CC8B20850338}" type="TxLink">
            <a:rPr lang="en-US" sz="4000" b="1" i="0" u="none" strike="noStrike">
              <a:solidFill>
                <a:schemeClr val="bg1"/>
              </a:solidFill>
              <a:latin typeface="Bodoni MT"/>
              <a:cs typeface="Calibri"/>
            </a:rPr>
            <a:pPr algn="ctr"/>
            <a:t>#REF!</a:t>
          </a:fld>
          <a:endParaRPr lang="en-ID" sz="5400">
            <a:solidFill>
              <a:schemeClr val="bg1"/>
            </a:solidFill>
          </a:endParaRPr>
        </a:p>
      </xdr:txBody>
    </xdr:sp>
    <xdr:clientData/>
  </xdr:twoCellAnchor>
  <xdr:twoCellAnchor>
    <xdr:from>
      <xdr:col>34</xdr:col>
      <xdr:colOff>222250</xdr:colOff>
      <xdr:row>1</xdr:row>
      <xdr:rowOff>178858</xdr:rowOff>
    </xdr:from>
    <xdr:to>
      <xdr:col>41</xdr:col>
      <xdr:colOff>497417</xdr:colOff>
      <xdr:row>10</xdr:row>
      <xdr:rowOff>138641</xdr:rowOff>
    </xdr:to>
    <xdr:graphicFrame macro="">
      <xdr:nvGraphicFramePr>
        <xdr:cNvPr id="10" name="Chart 9">
          <a:extLst>
            <a:ext uri="{FF2B5EF4-FFF2-40B4-BE49-F238E27FC236}">
              <a16:creationId xmlns:a16="http://schemas.microsoft.com/office/drawing/2014/main" id="{618BF297-EE80-496C-BE52-79F7921EB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476250</xdr:colOff>
      <xdr:row>6</xdr:row>
      <xdr:rowOff>104773</xdr:rowOff>
    </xdr:from>
    <xdr:to>
      <xdr:col>31</xdr:col>
      <xdr:colOff>391583</xdr:colOff>
      <xdr:row>20</xdr:row>
      <xdr:rowOff>75140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41044646-D45B-48DD-84BF-8A81CC4EB4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7451050" y="2857498"/>
              <a:ext cx="5944658" cy="3008842"/>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423334</xdr:colOff>
      <xdr:row>1</xdr:row>
      <xdr:rowOff>91545</xdr:rowOff>
    </xdr:from>
    <xdr:to>
      <xdr:col>65</xdr:col>
      <xdr:colOff>79376</xdr:colOff>
      <xdr:row>10</xdr:row>
      <xdr:rowOff>51328</xdr:rowOff>
    </xdr:to>
    <xdr:graphicFrame macro="">
      <xdr:nvGraphicFramePr>
        <xdr:cNvPr id="5" name="Chart 4">
          <a:extLst>
            <a:ext uri="{FF2B5EF4-FFF2-40B4-BE49-F238E27FC236}">
              <a16:creationId xmlns:a16="http://schemas.microsoft.com/office/drawing/2014/main" id="{BCA441BC-9669-4BE0-8114-2C6C0C9E9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10583</xdr:colOff>
      <xdr:row>7</xdr:row>
      <xdr:rowOff>189442</xdr:rowOff>
    </xdr:from>
    <xdr:to>
      <xdr:col>24</xdr:col>
      <xdr:colOff>1291167</xdr:colOff>
      <xdr:row>20</xdr:row>
      <xdr:rowOff>74083</xdr:rowOff>
    </xdr:to>
    <xdr:graphicFrame macro="">
      <xdr:nvGraphicFramePr>
        <xdr:cNvPr id="6" name="Chart 5">
          <a:extLst>
            <a:ext uri="{FF2B5EF4-FFF2-40B4-BE49-F238E27FC236}">
              <a16:creationId xmlns:a16="http://schemas.microsoft.com/office/drawing/2014/main" id="{E31EC9FB-456E-4782-99CB-22962F64B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125556</xdr:colOff>
      <xdr:row>2</xdr:row>
      <xdr:rowOff>52820</xdr:rowOff>
    </xdr:from>
    <xdr:to>
      <xdr:col>75</xdr:col>
      <xdr:colOff>454601</xdr:colOff>
      <xdr:row>10</xdr:row>
      <xdr:rowOff>181841</xdr:rowOff>
    </xdr:to>
    <xdr:graphicFrame macro="">
      <xdr:nvGraphicFramePr>
        <xdr:cNvPr id="3" name="Chart 2">
          <a:extLst>
            <a:ext uri="{FF2B5EF4-FFF2-40B4-BE49-F238E27FC236}">
              <a16:creationId xmlns:a16="http://schemas.microsoft.com/office/drawing/2014/main" id="{311C31EB-7CCE-496E-81CB-121BECB74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75</xdr:col>
      <xdr:colOff>476250</xdr:colOff>
      <xdr:row>2</xdr:row>
      <xdr:rowOff>43296</xdr:rowOff>
    </xdr:from>
    <xdr:to>
      <xdr:col>83</xdr:col>
      <xdr:colOff>199158</xdr:colOff>
      <xdr:row>10</xdr:row>
      <xdr:rowOff>172317</xdr:rowOff>
    </xdr:to>
    <xdr:graphicFrame macro="">
      <xdr:nvGraphicFramePr>
        <xdr:cNvPr id="18" name="Chart 17">
          <a:extLst>
            <a:ext uri="{FF2B5EF4-FFF2-40B4-BE49-F238E27FC236}">
              <a16:creationId xmlns:a16="http://schemas.microsoft.com/office/drawing/2014/main" id="{552664AC-1BA0-4323-A052-044F973DE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47625</xdr:colOff>
      <xdr:row>0</xdr:row>
      <xdr:rowOff>47625</xdr:rowOff>
    </xdr:from>
    <xdr:to>
      <xdr:col>8</xdr:col>
      <xdr:colOff>828674</xdr:colOff>
      <xdr:row>0</xdr:row>
      <xdr:rowOff>619123</xdr:rowOff>
    </xdr:to>
    <xdr:sp macro="" textlink="">
      <xdr:nvSpPr>
        <xdr:cNvPr id="19" name="TextBox 18">
          <a:extLst>
            <a:ext uri="{FF2B5EF4-FFF2-40B4-BE49-F238E27FC236}">
              <a16:creationId xmlns:a16="http://schemas.microsoft.com/office/drawing/2014/main" id="{C2D67345-8DDC-4EF2-B23E-2B7A6853F1FB}"/>
            </a:ext>
          </a:extLst>
        </xdr:cNvPr>
        <xdr:cNvSpPr txBox="1"/>
      </xdr:nvSpPr>
      <xdr:spPr>
        <a:xfrm>
          <a:off x="7362825" y="47625"/>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4:</a:t>
          </a:r>
          <a:r>
            <a:rPr lang="en-ID" sz="1400" baseline="0">
              <a:latin typeface="Bodoni MT" panose="02070603080606020203" pitchFamily="18" charset="0"/>
            </a:rPr>
            <a:t> Received at Papermill</a:t>
          </a:r>
          <a:endParaRPr lang="en-ID" sz="1400">
            <a:latin typeface="Bodoni MT" panose="02070603080606020203" pitchFamily="18" charset="0"/>
          </a:endParaRPr>
        </a:p>
      </xdr:txBody>
    </xdr:sp>
    <xdr:clientData/>
  </xdr:twoCellAnchor>
  <xdr:twoCellAnchor>
    <xdr:from>
      <xdr:col>26</xdr:col>
      <xdr:colOff>9525</xdr:colOff>
      <xdr:row>0</xdr:row>
      <xdr:rowOff>200025</xdr:rowOff>
    </xdr:from>
    <xdr:to>
      <xdr:col>27</xdr:col>
      <xdr:colOff>238124</xdr:colOff>
      <xdr:row>1</xdr:row>
      <xdr:rowOff>123823</xdr:rowOff>
    </xdr:to>
    <xdr:sp macro="" textlink="">
      <xdr:nvSpPr>
        <xdr:cNvPr id="20" name="TextBox 19">
          <a:extLst>
            <a:ext uri="{FF2B5EF4-FFF2-40B4-BE49-F238E27FC236}">
              <a16:creationId xmlns:a16="http://schemas.microsoft.com/office/drawing/2014/main" id="{4ABC59FA-54D0-497B-B182-B631C1E3EA8E}"/>
            </a:ext>
          </a:extLst>
        </xdr:cNvPr>
        <xdr:cNvSpPr txBox="1"/>
      </xdr:nvSpPr>
      <xdr:spPr>
        <a:xfrm>
          <a:off x="28489275" y="200025"/>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4:</a:t>
          </a:r>
          <a:r>
            <a:rPr lang="en-ID" sz="1400" baseline="0">
              <a:latin typeface="Bodoni MT" panose="02070603080606020203" pitchFamily="18" charset="0"/>
            </a:rPr>
            <a:t> MCC</a:t>
          </a:r>
          <a:endParaRPr lang="en-ID" sz="1400">
            <a:latin typeface="Bodoni MT" panose="02070603080606020203" pitchFamily="18" charset="0"/>
          </a:endParaRPr>
        </a:p>
      </xdr:txBody>
    </xdr:sp>
    <xdr:clientData/>
  </xdr:twoCellAnchor>
  <xdr:twoCellAnchor>
    <xdr:from>
      <xdr:col>37</xdr:col>
      <xdr:colOff>114300</xdr:colOff>
      <xdr:row>0</xdr:row>
      <xdr:rowOff>95250</xdr:rowOff>
    </xdr:from>
    <xdr:to>
      <xdr:col>41</xdr:col>
      <xdr:colOff>247649</xdr:colOff>
      <xdr:row>1</xdr:row>
      <xdr:rowOff>19048</xdr:rowOff>
    </xdr:to>
    <xdr:sp macro="" textlink="">
      <xdr:nvSpPr>
        <xdr:cNvPr id="21" name="TextBox 20">
          <a:extLst>
            <a:ext uri="{FF2B5EF4-FFF2-40B4-BE49-F238E27FC236}">
              <a16:creationId xmlns:a16="http://schemas.microsoft.com/office/drawing/2014/main" id="{D1D8E89E-E4DA-4E65-86E0-BD68640465FF}"/>
            </a:ext>
          </a:extLst>
        </xdr:cNvPr>
        <xdr:cNvSpPr txBox="1"/>
      </xdr:nvSpPr>
      <xdr:spPr>
        <a:xfrm>
          <a:off x="40928925" y="95250"/>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4:</a:t>
          </a:r>
          <a:r>
            <a:rPr lang="en-ID" sz="1400" baseline="0">
              <a:latin typeface="Bodoni MT" panose="02070603080606020203" pitchFamily="18" charset="0"/>
            </a:rPr>
            <a:t> Total Accepted to Recycle</a:t>
          </a:r>
          <a:endParaRPr lang="en-ID" sz="1400">
            <a:latin typeface="Bodoni MT" panose="02070603080606020203" pitchFamily="18" charset="0"/>
          </a:endParaRPr>
        </a:p>
      </xdr:txBody>
    </xdr:sp>
    <xdr:clientData/>
  </xdr:twoCellAnchor>
  <xdr:twoCellAnchor>
    <xdr:from>
      <xdr:col>57</xdr:col>
      <xdr:colOff>400050</xdr:colOff>
      <xdr:row>0</xdr:row>
      <xdr:rowOff>38100</xdr:rowOff>
    </xdr:from>
    <xdr:to>
      <xdr:col>61</xdr:col>
      <xdr:colOff>533399</xdr:colOff>
      <xdr:row>0</xdr:row>
      <xdr:rowOff>609598</xdr:rowOff>
    </xdr:to>
    <xdr:sp macro="" textlink="">
      <xdr:nvSpPr>
        <xdr:cNvPr id="22" name="TextBox 21">
          <a:extLst>
            <a:ext uri="{FF2B5EF4-FFF2-40B4-BE49-F238E27FC236}">
              <a16:creationId xmlns:a16="http://schemas.microsoft.com/office/drawing/2014/main" id="{107A0FA3-7C17-4AC7-82CB-B6A5AB0B2CF0}"/>
            </a:ext>
          </a:extLst>
        </xdr:cNvPr>
        <xdr:cNvSpPr txBox="1"/>
      </xdr:nvSpPr>
      <xdr:spPr>
        <a:xfrm>
          <a:off x="61893450" y="38100"/>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4:</a:t>
          </a:r>
          <a:r>
            <a:rPr lang="en-ID" sz="1400" baseline="0">
              <a:latin typeface="Bodoni MT" panose="02070603080606020203" pitchFamily="18" charset="0"/>
            </a:rPr>
            <a:t> Sent vs Received</a:t>
          </a:r>
          <a:endParaRPr lang="en-ID" sz="1400">
            <a:latin typeface="Bodoni MT" panose="02070603080606020203" pitchFamily="18" charset="0"/>
          </a:endParaRPr>
        </a:p>
      </xdr:txBody>
    </xdr:sp>
    <xdr:clientData/>
  </xdr:twoCellAnchor>
  <xdr:twoCellAnchor>
    <xdr:from>
      <xdr:col>68</xdr:col>
      <xdr:colOff>123825</xdr:colOff>
      <xdr:row>0</xdr:row>
      <xdr:rowOff>295275</xdr:rowOff>
    </xdr:from>
    <xdr:to>
      <xdr:col>72</xdr:col>
      <xdr:colOff>257174</xdr:colOff>
      <xdr:row>2</xdr:row>
      <xdr:rowOff>28573</xdr:rowOff>
    </xdr:to>
    <xdr:sp macro="" textlink="">
      <xdr:nvSpPr>
        <xdr:cNvPr id="23" name="TextBox 22">
          <a:extLst>
            <a:ext uri="{FF2B5EF4-FFF2-40B4-BE49-F238E27FC236}">
              <a16:creationId xmlns:a16="http://schemas.microsoft.com/office/drawing/2014/main" id="{1BA61027-AE41-4E4B-B6BB-FE1174BF54C1}"/>
            </a:ext>
          </a:extLst>
        </xdr:cNvPr>
        <xdr:cNvSpPr txBox="1"/>
      </xdr:nvSpPr>
      <xdr:spPr>
        <a:xfrm>
          <a:off x="69780150" y="295275"/>
          <a:ext cx="2571749" cy="5714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400">
              <a:latin typeface="Bodoni MT" panose="02070603080606020203" pitchFamily="18" charset="0"/>
            </a:rPr>
            <a:t>*Digunakan untuk dashboard 4:</a:t>
          </a:r>
          <a:r>
            <a:rPr lang="en-ID" sz="1400" baseline="0">
              <a:latin typeface="Bodoni MT" panose="02070603080606020203" pitchFamily="18" charset="0"/>
            </a:rPr>
            <a:t> Dinamics of MCC</a:t>
          </a:r>
          <a:endParaRPr lang="en-ID" sz="1400">
            <a:latin typeface="Bodoni MT" panose="02070603080606020203"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7</xdr:row>
      <xdr:rowOff>123825</xdr:rowOff>
    </xdr:from>
    <xdr:to>
      <xdr:col>3</xdr:col>
      <xdr:colOff>171450</xdr:colOff>
      <xdr:row>19</xdr:row>
      <xdr:rowOff>123825</xdr:rowOff>
    </xdr:to>
    <mc:AlternateContent xmlns:mc="http://schemas.openxmlformats.org/markup-compatibility/2006" xmlns:a14="http://schemas.microsoft.com/office/drawing/2010/main">
      <mc:Choice Requires="a14">
        <xdr:graphicFrame macro="">
          <xdr:nvGraphicFramePr>
            <xdr:cNvPr id="3" name="Tahun">
              <a:extLst>
                <a:ext uri="{FF2B5EF4-FFF2-40B4-BE49-F238E27FC236}">
                  <a16:creationId xmlns:a16="http://schemas.microsoft.com/office/drawing/2014/main" id="{366418E5-82BE-4F06-BCD9-37C791497867}"/>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1276350" y="298132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66675</xdr:colOff>
      <xdr:row>3</xdr:row>
      <xdr:rowOff>9525</xdr:rowOff>
    </xdr:from>
    <xdr:to>
      <xdr:col>28</xdr:col>
      <xdr:colOff>371475</xdr:colOff>
      <xdr:row>15</xdr:row>
      <xdr:rowOff>19050</xdr:rowOff>
    </xdr:to>
    <xdr:graphicFrame macro="">
      <xdr:nvGraphicFramePr>
        <xdr:cNvPr id="7" name="Chart 6">
          <a:extLst>
            <a:ext uri="{FF2B5EF4-FFF2-40B4-BE49-F238E27FC236}">
              <a16:creationId xmlns:a16="http://schemas.microsoft.com/office/drawing/2014/main" id="{4A66EFC8-0B42-4C99-A3A2-4AF6A784C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28575</xdr:colOff>
      <xdr:row>1</xdr:row>
      <xdr:rowOff>171450</xdr:rowOff>
    </xdr:from>
    <xdr:to>
      <xdr:col>41</xdr:col>
      <xdr:colOff>581025</xdr:colOff>
      <xdr:row>12</xdr:row>
      <xdr:rowOff>142875</xdr:rowOff>
    </xdr:to>
    <xdr:graphicFrame macro="">
      <xdr:nvGraphicFramePr>
        <xdr:cNvPr id="9" name="Chart 8">
          <a:extLst>
            <a:ext uri="{FF2B5EF4-FFF2-40B4-BE49-F238E27FC236}">
              <a16:creationId xmlns:a16="http://schemas.microsoft.com/office/drawing/2014/main" id="{BC133EFC-9BF3-4B20-90DD-D998A0462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185737</xdr:colOff>
      <xdr:row>2</xdr:row>
      <xdr:rowOff>676275</xdr:rowOff>
    </xdr:from>
    <xdr:to>
      <xdr:col>18</xdr:col>
      <xdr:colOff>490537</xdr:colOff>
      <xdr:row>12</xdr:row>
      <xdr:rowOff>104775</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857AE168-C3F9-4A3D-A903-C62D703818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77437" y="1238250"/>
              <a:ext cx="4572000" cy="27813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104775</xdr:colOff>
      <xdr:row>0</xdr:row>
      <xdr:rowOff>85725</xdr:rowOff>
    </xdr:from>
    <xdr:to>
      <xdr:col>24</xdr:col>
      <xdr:colOff>104775</xdr:colOff>
      <xdr:row>2</xdr:row>
      <xdr:rowOff>466725</xdr:rowOff>
    </xdr:to>
    <mc:AlternateContent xmlns:mc="http://schemas.openxmlformats.org/markup-compatibility/2006" xmlns:a14="http://schemas.microsoft.com/office/drawing/2010/main">
      <mc:Choice Requires="a14">
        <xdr:graphicFrame macro="">
          <xdr:nvGraphicFramePr>
            <xdr:cNvPr id="12" name="Program">
              <a:extLst>
                <a:ext uri="{FF2B5EF4-FFF2-40B4-BE49-F238E27FC236}">
                  <a16:creationId xmlns:a16="http://schemas.microsoft.com/office/drawing/2014/main" id="{1CFD04E3-CADB-4FF7-8496-1F41F7534157}"/>
                </a:ext>
              </a:extLst>
            </xdr:cNvPr>
            <xdr:cNvGraphicFramePr/>
          </xdr:nvGraphicFramePr>
          <xdr:xfrm>
            <a:off x="0" y="0"/>
            <a:ext cx="0" cy="0"/>
          </xdr:xfrm>
          <a:graphic>
            <a:graphicData uri="http://schemas.microsoft.com/office/drawing/2010/slicer">
              <sle:slicer xmlns:sle="http://schemas.microsoft.com/office/drawing/2010/slicer" name="Program"/>
            </a:graphicData>
          </a:graphic>
        </xdr:graphicFrame>
      </mc:Choice>
      <mc:Fallback xmlns="">
        <xdr:sp macro="" textlink="">
          <xdr:nvSpPr>
            <xdr:cNvPr id="0" name=""/>
            <xdr:cNvSpPr>
              <a:spLocks noTextEdit="1"/>
            </xdr:cNvSpPr>
          </xdr:nvSpPr>
          <xdr:spPr>
            <a:xfrm>
              <a:off x="16906875" y="85725"/>
              <a:ext cx="1828800" cy="10191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180974</xdr:colOff>
      <xdr:row>0</xdr:row>
      <xdr:rowOff>104775</xdr:rowOff>
    </xdr:from>
    <xdr:to>
      <xdr:col>13</xdr:col>
      <xdr:colOff>419099</xdr:colOff>
      <xdr:row>3</xdr:row>
      <xdr:rowOff>38100</xdr:rowOff>
    </xdr:to>
    <mc:AlternateContent xmlns:mc="http://schemas.openxmlformats.org/markup-compatibility/2006" xmlns:a14="http://schemas.microsoft.com/office/drawing/2010/main">
      <mc:Choice Requires="a14">
        <xdr:graphicFrame macro="">
          <xdr:nvGraphicFramePr>
            <xdr:cNvPr id="13" name="Kabupaten">
              <a:extLst>
                <a:ext uri="{FF2B5EF4-FFF2-40B4-BE49-F238E27FC236}">
                  <a16:creationId xmlns:a16="http://schemas.microsoft.com/office/drawing/2014/main" id="{D80824A4-B8A0-4770-ABCC-34668681C30F}"/>
                </a:ext>
              </a:extLst>
            </xdr:cNvPr>
            <xdr:cNvGraphicFramePr/>
          </xdr:nvGraphicFramePr>
          <xdr:xfrm>
            <a:off x="0" y="0"/>
            <a:ext cx="0" cy="0"/>
          </xdr:xfrm>
          <a:graphic>
            <a:graphicData uri="http://schemas.microsoft.com/office/drawing/2010/slicer">
              <sle:slicer xmlns:sle="http://schemas.microsoft.com/office/drawing/2010/slicer" name="Kabupaten"/>
            </a:graphicData>
          </a:graphic>
        </xdr:graphicFrame>
      </mc:Choice>
      <mc:Fallback xmlns="">
        <xdr:sp macro="" textlink="">
          <xdr:nvSpPr>
            <xdr:cNvPr id="0" name=""/>
            <xdr:cNvSpPr>
              <a:spLocks noTextEdit="1"/>
            </xdr:cNvSpPr>
          </xdr:nvSpPr>
          <xdr:spPr>
            <a:xfrm>
              <a:off x="8696324" y="104775"/>
              <a:ext cx="2809875" cy="11715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95250</xdr:colOff>
      <xdr:row>0</xdr:row>
      <xdr:rowOff>314325</xdr:rowOff>
    </xdr:from>
    <xdr:to>
      <xdr:col>41</xdr:col>
      <xdr:colOff>95250</xdr:colOff>
      <xdr:row>7</xdr:row>
      <xdr:rowOff>114300</xdr:rowOff>
    </xdr:to>
    <mc:AlternateContent xmlns:mc="http://schemas.openxmlformats.org/markup-compatibility/2006" xmlns:a14="http://schemas.microsoft.com/office/drawing/2010/main">
      <mc:Choice Requires="a14">
        <xdr:graphicFrame macro="">
          <xdr:nvGraphicFramePr>
            <xdr:cNvPr id="14" name="Kategori">
              <a:extLst>
                <a:ext uri="{FF2B5EF4-FFF2-40B4-BE49-F238E27FC236}">
                  <a16:creationId xmlns:a16="http://schemas.microsoft.com/office/drawing/2014/main" id="{20EEC7ED-CE08-4855-B801-7408FB988102}"/>
                </a:ext>
              </a:extLst>
            </xdr:cNvPr>
            <xdr:cNvGraphicFramePr/>
          </xdr:nvGraphicFramePr>
          <xdr:xfrm>
            <a:off x="0" y="0"/>
            <a:ext cx="0" cy="0"/>
          </xdr:xfrm>
          <a:graphic>
            <a:graphicData uri="http://schemas.microsoft.com/office/drawing/2010/slicer">
              <sle:slicer xmlns:sle="http://schemas.microsoft.com/office/drawing/2010/slicer" name="Kategori"/>
            </a:graphicData>
          </a:graphic>
        </xdr:graphicFrame>
      </mc:Choice>
      <mc:Fallback xmlns="">
        <xdr:sp macro="" textlink="">
          <xdr:nvSpPr>
            <xdr:cNvPr id="0" name=""/>
            <xdr:cNvSpPr>
              <a:spLocks noTextEdit="1"/>
            </xdr:cNvSpPr>
          </xdr:nvSpPr>
          <xdr:spPr>
            <a:xfrm>
              <a:off x="27793950" y="31432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163286</xdr:colOff>
      <xdr:row>2</xdr:row>
      <xdr:rowOff>0</xdr:rowOff>
    </xdr:from>
    <xdr:to>
      <xdr:col>19</xdr:col>
      <xdr:colOff>68035</xdr:colOff>
      <xdr:row>27</xdr:row>
      <xdr:rowOff>157843</xdr:rowOff>
    </xdr:to>
    <xdr:graphicFrame macro="">
      <xdr:nvGraphicFramePr>
        <xdr:cNvPr id="4" name="Chart 3">
          <a:extLst>
            <a:ext uri="{FF2B5EF4-FFF2-40B4-BE49-F238E27FC236}">
              <a16:creationId xmlns:a16="http://schemas.microsoft.com/office/drawing/2014/main" id="{E3B883FB-228F-43FA-A31A-92B8E8E03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190499</xdr:colOff>
      <xdr:row>0</xdr:row>
      <xdr:rowOff>27214</xdr:rowOff>
    </xdr:from>
    <xdr:to>
      <xdr:col>12</xdr:col>
      <xdr:colOff>326570</xdr:colOff>
      <xdr:row>1</xdr:row>
      <xdr:rowOff>190499</xdr:rowOff>
    </xdr:to>
    <xdr:sp macro="" textlink="">
      <xdr:nvSpPr>
        <xdr:cNvPr id="3" name="TextBox 2">
          <a:extLst>
            <a:ext uri="{FF2B5EF4-FFF2-40B4-BE49-F238E27FC236}">
              <a16:creationId xmlns:a16="http://schemas.microsoft.com/office/drawing/2014/main" id="{CB2CABE4-CE9B-46D9-8D9C-710891780294}"/>
            </a:ext>
          </a:extLst>
        </xdr:cNvPr>
        <xdr:cNvSpPr txBox="1"/>
      </xdr:nvSpPr>
      <xdr:spPr>
        <a:xfrm>
          <a:off x="6545035" y="27214"/>
          <a:ext cx="3973285" cy="503464"/>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200">
              <a:latin typeface="Bodoni MT" panose="02070603080606020203" pitchFamily="18" charset="0"/>
            </a:rPr>
            <a:t>*Digunakan untuk dashboard 1: jumlah UBC </a:t>
          </a:r>
          <a:br>
            <a:rPr lang="en-ID" sz="1200">
              <a:latin typeface="Bodoni MT" panose="02070603080606020203" pitchFamily="18" charset="0"/>
            </a:rPr>
          </a:br>
          <a:r>
            <a:rPr lang="en-ID" sz="1200">
              <a:latin typeface="Bodoni MT" panose="02070603080606020203" pitchFamily="18" charset="0"/>
            </a:rPr>
            <a:t>Dikoneksikan pada sheet Dashboard C kolom</a:t>
          </a:r>
          <a:r>
            <a:rPr lang="en-ID" sz="1200" baseline="0">
              <a:latin typeface="Bodoni MT" panose="02070603080606020203" pitchFamily="18" charset="0"/>
            </a:rPr>
            <a:t> I 1048575</a:t>
          </a:r>
          <a:endParaRPr lang="en-ID" sz="1200">
            <a:latin typeface="Bodoni MT" panose="02070603080606020203" pitchFamily="18" charset="0"/>
          </a:endParaRPr>
        </a:p>
      </xdr:txBody>
    </xdr:sp>
    <xdr:clientData/>
  </xdr:twoCellAnchor>
</xdr:wsDr>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6918402778" backgroundQuery="1" createdVersion="6" refreshedVersion="7" minRefreshableVersion="3" recordCount="0" supportSubquery="1" supportAdvancedDrill="1" xr:uid="{A9687556-232A-42E8-9E9D-24276207ADCC}">
  <cacheSource type="external" connectionId="1"/>
  <cacheFields count="5">
    <cacheField name="[UBC_AKTIVITAS].[Kategori].[Kategori]" caption="Kategori" numFmtId="0" hierarchy="6" level="1">
      <sharedItems count="7">
        <s v="Bank Sampah Unit"/>
        <s v="Pemerintah"/>
        <s v="Pengepul"/>
        <s v="Sekolah"/>
        <s v="TPS3R"/>
        <s v="Hotel" u="1"/>
        <s v="Bank Sampah Induk" u="1"/>
      </sharedItems>
    </cacheField>
    <cacheField name="[Measures].[Distinct Count of Lokasi]" caption="Distinct Count of Lokasi" numFmtId="0" hierarchy="37" level="32767"/>
    <cacheField name="[UBC_AKTIVITAS].[Tahun].[Tahun]" caption="Tahun" numFmtId="0" hierarchy="2" level="1">
      <sharedItems containsSemiMixedTypes="0" containsNonDate="0" containsString="0"/>
    </cacheField>
    <cacheField name="[UBC_AKTIVITAS].[Program].[Program]" caption="Program" numFmtId="0" hierarchy="3" level="1">
      <sharedItems containsSemiMixedTypes="0" containsNonDate="0" containsString="0"/>
    </cacheField>
    <cacheField name="[UBC_AKTIVITAS].[Kabupaten].[Kabupaten]" caption="Kabupaten" numFmtId="0" hierarchy="7"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2" memberValueDatatype="20" unbalanced="0">
      <fieldsUsage count="2">
        <fieldUsage x="-1"/>
        <fieldUsage x="2"/>
      </fieldsUsage>
    </cacheHierarchy>
    <cacheHierarchy uniqueName="[UBC_AKTIVITAS].[Program]" caption="Program" attribute="1" defaultMemberUniqueName="[UBC_AKTIVITAS].[Program].[All]" allUniqueName="[UBC_AKTIVITAS].[Program].[All]" dimensionUniqueName="[UBC_AKTIVITAS]" displayFolder="" count="2" memberValueDatatype="130" unbalanced="0">
      <fieldsUsage count="2">
        <fieldUsage x="-1"/>
        <fieldUsage x="3"/>
      </fieldsUsage>
    </cacheHierarchy>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2" memberValueDatatype="130" unbalanced="0">
      <fieldsUsage count="2">
        <fieldUsage x="-1"/>
        <fieldUsage x="0"/>
      </fieldsUsage>
    </cacheHierarchy>
    <cacheHierarchy uniqueName="[UBC_AKTIVITAS].[Kabupaten]" caption="Kabupaten" attribute="1" defaultMemberUniqueName="[UBC_AKTIVITAS].[Kabupaten].[All]" allUniqueName="[UBC_AKTIVITAS].[Kabupaten].[All]" dimensionUniqueName="[UBC_AKTIVITAS]" displayFolder="" count="2" memberValueDatatype="130" unbalanced="0">
      <fieldsUsage count="2">
        <fieldUsage x="-1"/>
        <fieldUsage x="4"/>
      </fieldsUsage>
    </cacheHierarchy>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0" memberValueDatatype="130" unbalanced="0"/>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229398148" backgroundQuery="1" createdVersion="6" refreshedVersion="7" minRefreshableVersion="3" recordCount="0" supportSubquery="1" supportAdvancedDrill="1" xr:uid="{DDDA4EF4-D97D-454A-9520-829E3F330BE0}">
  <cacheSource type="external" connectionId="1"/>
  <cacheFields count="5">
    <cacheField name="[UBC_MASUK].[Partisipan].[Partisipan]" caption="Partisipan" numFmtId="0" hierarchy="15" level="1">
      <sharedItems count="68">
        <s v="Bantas Lestari"/>
        <s v="Tambyak Lestari"/>
        <s v="TPS3R Bayu Suci"/>
        <s v="TPS3R Bindu"/>
        <s v="TPS3R Rumah Hijau"/>
        <s v="Aid hub" u="1"/>
        <s v="Alila ubud" u="1"/>
        <s v="Alila uluwatu" u="1"/>
        <s v="Bali Wastu Lestari" u="1"/>
        <s v="BIS (Bali Island School)" u="1"/>
        <s v="Br Aseman Kangin Tibubeneng" u="1"/>
        <s v="Br Aseman Kawan Tibubeneng" u="1"/>
        <s v="Br Canggu Canggu" u="1"/>
        <s v="Br Dukuh Pandean Munggu" u="1"/>
        <s v="Br Dukuh Sengguan Munggu" u="1"/>
        <s v="Br Gambang Munggu" u="1"/>
        <s v="Br Kaja Kangin Cemagi" u="1"/>
        <s v="Br Kayu Tulang Canggu" u="1"/>
        <s v="Br Keliki Cemagi" u="1"/>
        <s v="Br Krisnantara Tibubeneng" u="1"/>
        <s v="Br Kulibul Kangin Tibubeneng" u="1"/>
        <s v="Br Padang Linjong Canggu" u="1"/>
        <s v="Br Pande Pemaron Munggu" u="1"/>
        <s v="Br Pempatan Munggu" u="1"/>
        <s v="Br Petapan" u="1"/>
        <s v="Br Sangiangan Cemagi" u="1"/>
        <s v="Br Seseh" u="1"/>
        <s v="Br Seseh Cemagi" u="1"/>
        <s v="Br Sogsogan Cemagi" u="1"/>
        <s v="Br Tandeg Tibubeneng" u="1"/>
        <s v="Br Uma Buluh Canggu" u="1"/>
        <s v="Br Umabuluh Munggu" u="1"/>
        <s v="BSI Bali Bersih" u="1"/>
        <s v="BSI E-darling Buleleng" u="1"/>
        <s v="ecoBali" u="1"/>
        <s v="Four season ubud" u="1"/>
        <s v="Gelato factory" u="1"/>
        <s v="Green School" u="1"/>
        <s v="Griya Luhu" u="1"/>
        <s v="Gusto gelato" u="1"/>
        <s v="Ibu Awi" u="1"/>
        <s v="Ibu Nia" u="1"/>
        <s v="LF Bali" u="1"/>
        <s v="Milk up" u="1"/>
        <s v="Mitra Gianyar Bagus" u="1"/>
        <s v="Monsieur spoon" u="1"/>
        <s v="One People" u="1"/>
        <s v="Pak Bob" u="1"/>
        <s v="Pak Jero mangku" u="1"/>
        <s v="Pak Kidul" u="1"/>
        <s v="Pak Komang pemelisan" u="1"/>
        <s v="Pak Legito" u="1"/>
        <s v="Pak Moyo" u="1"/>
        <s v="Pak Rono" u="1"/>
        <s v="Pak Sidik" u="1"/>
        <s v="Pak Sueb" u="1"/>
        <s v="Pak Vina" u="1"/>
        <s v="Pak Yusuf" u="1"/>
        <s v="Paletas wey" u="1"/>
        <s v="PT Berkat Daur Ulang" u="1"/>
        <s v="Role Foundation" u="1"/>
        <s v="Rumah kompos padang tegal" u="1"/>
        <s v="Seminyak Clean" u="1"/>
        <s v="Serenity" u="1"/>
        <s v="Sersan Kopi" u="1"/>
        <s v="sundays coffee" u="1"/>
        <s v="Sungai Watch" u="1"/>
        <s v="The Samaya Ubud" u="1"/>
      </sharedItems>
    </cacheField>
    <cacheField name="[UBC_MASUK].[Minggu].[Minggu]" caption="Minggu" numFmtId="0" hierarchy="10" level="1">
      <sharedItems containsSemiMixedTypes="0" containsNonDate="0" containsString="0" containsNumber="1" containsInteger="1" minValue="1" maxValue="5" count="5">
        <n v="2"/>
        <n v="3"/>
        <n v="4"/>
        <n v="5"/>
        <n v="1"/>
      </sharedItems>
      <extLst>
        <ext xmlns:x15="http://schemas.microsoft.com/office/spreadsheetml/2010/11/main" uri="{4F2E5C28-24EA-4eb8-9CBF-B6C8F9C3D259}">
          <x15:cachedUniqueNames>
            <x15:cachedUniqueName index="0" name="[UBC_MASUK].[Minggu].&amp;[2]"/>
            <x15:cachedUniqueName index="1" name="[UBC_MASUK].[Minggu].&amp;[3]"/>
            <x15:cachedUniqueName index="2" name="[UBC_MASUK].[Minggu].&amp;[4]"/>
            <x15:cachedUniqueName index="3" name="[UBC_MASUK].[Minggu].&amp;[5]"/>
            <x15:cachedUniqueName index="4" name="[UBC_MASUK].[Minggu].&amp;[1]"/>
          </x15:cachedUniqueNames>
        </ext>
      </extLst>
    </cacheField>
    <cacheField name="[UBC_MASUK].[Bulan].[Bulan]" caption="Bulan" numFmtId="0" hierarchy="13" level="1">
      <sharedItems count="5">
        <s v="(01) JAN"/>
        <s v="(02) FEB"/>
        <s v="(03) MAR"/>
        <s v="(04) APR"/>
        <s v="(05) MEI"/>
      </sharedItems>
    </cacheField>
    <cacheField name="[Measures].[Sum of ∑ KMK (Kg)]" caption="Sum of ∑ KMK (Kg)" numFmtId="0" hierarchy="40" level="32767"/>
    <cacheField name="[UBC_MASUK].[Kategori].[Kategori]" caption="Kategori" numFmtId="0" hierarchy="16"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2" memberValueDatatype="20" unbalanced="0">
      <fieldsUsage count="2">
        <fieldUsage x="-1"/>
        <fieldUsage x="1"/>
      </fieldsUsage>
    </cacheHierarchy>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2"/>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2" memberValueDatatype="130" unbalanced="0">
      <fieldsUsage count="2">
        <fieldUsage x="-1"/>
        <fieldUsage x="0"/>
      </fieldsUsage>
    </cacheHierarchy>
    <cacheHierarchy uniqueName="[UBC_MASUK].[Kategori]" caption="Kategori" attribute="1" defaultMemberUniqueName="[UBC_MASUK].[Kategori].[All]" allUniqueName="[UBC_MASUK].[Kategori].[All]" dimensionUniqueName="[UBC_MASUK]" displayFolder="" count="2" memberValueDatatype="130" unbalanced="0">
      <fieldsUsage count="2">
        <fieldUsage x="-1"/>
        <fieldUsage x="4"/>
      </fieldsUsage>
    </cacheHierarchy>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3"/>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28819447" backgroundQuery="1" createdVersion="6" refreshedVersion="7" minRefreshableVersion="3" recordCount="0" supportSubquery="1" supportAdvancedDrill="1" xr:uid="{557C729D-69F7-447E-A2FB-31AC64693C7D}">
  <cacheSource type="external" connectionId="1"/>
  <cacheFields count="3">
    <cacheField name="[UBC_MASUK].[Kategori].[Kategori]" caption="Kategori" numFmtId="0" hierarchy="16" level="1">
      <sharedItems count="11">
        <s v="Bank Sampah Induk"/>
        <s v="Bank Sampah Unit"/>
        <s v="Bisnis"/>
        <s v="EB Residential Service"/>
        <s v="Hotel"/>
        <s v="Jasa sampah"/>
        <s v="Pengepul"/>
        <s v="Sekolah"/>
        <s v="TPA"/>
        <s v="TPS3R"/>
        <s v="TPST3R"/>
      </sharedItems>
    </cacheField>
    <cacheField name="[Measures].[Sum of ∑ KMK (Kg)]" caption="Sum of ∑ KMK (Kg)" numFmtId="0" hierarchy="40" level="32767"/>
    <cacheField name="[UBC_MASUK].[Bulan].[Bulan]" caption="Bulan" numFmtId="0" hierarchy="13"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2"/>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2" memberValueDatatype="130" unbalanced="0">
      <fieldsUsage count="2">
        <fieldUsage x="-1"/>
        <fieldUsage x="0"/>
      </fieldsUsage>
    </cacheHierarchy>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30439818" backgroundQuery="1" createdVersion="6" refreshedVersion="7" minRefreshableVersion="3" recordCount="0" supportSubquery="1" supportAdvancedDrill="1" xr:uid="{B2DF821F-CD45-4C87-A15C-AB2BA725F1CC}">
  <cacheSource type="external" connectionId="1"/>
  <cacheFields count="5">
    <cacheField name="[UBC_MASUK].[Kategori].[Kategori]" caption="Kategori" numFmtId="0" hierarchy="16" level="1">
      <sharedItems count="11">
        <s v="Bank Sampah Induk"/>
        <s v="Bank Sampah Unit"/>
        <s v="Bisnis"/>
        <s v="EB Residential Service"/>
        <s v="Hotel"/>
        <s v="Jasa sampah"/>
        <s v="Pengepul"/>
        <s v="Sekolah"/>
        <s v="TPA"/>
        <s v="TPS3R"/>
        <s v="TPST3R"/>
      </sharedItems>
    </cacheField>
    <cacheField name="[UBC_MASUK].[Partisipan].[Partisipan]" caption="Partisipan" numFmtId="0" hierarchy="15" level="1">
      <sharedItems count="68">
        <s v="Bali Wastu Lestari"/>
        <s v="BSI Bali Bersih"/>
        <s v="BSI E-darling Buleleng"/>
        <s v="Griya Luhu"/>
        <s v="Br Aseman Kangin Tibubeneng"/>
        <s v="Br Aseman Kawan Tibubeneng"/>
        <s v="Br Canggu Canggu"/>
        <s v="Br Dukuh Pandean Munggu"/>
        <s v="Br Dukuh Sengguan Munggu"/>
        <s v="Br Gambang Munggu"/>
        <s v="Br Kaja Kangin Cemagi"/>
        <s v="Br Kayu Tulang Canggu"/>
        <s v="Br Keliki Cemagi"/>
        <s v="Br Krisnantara Tibubeneng"/>
        <s v="Br Kulibul Kangin Tibubeneng"/>
        <s v="Br Padang Linjong Canggu"/>
        <s v="Br Pande Pemaron Munggu"/>
        <s v="Br Pempatan Munggu"/>
        <s v="Br Petapan"/>
        <s v="Br Sangiangan Cemagi"/>
        <s v="Br Seseh"/>
        <s v="Br Seseh Cemagi"/>
        <s v="Br Sogsogan Cemagi"/>
        <s v="Br Tandeg Tibubeneng"/>
        <s v="Br Uma Buluh Canggu"/>
        <s v="Br Umabuluh Munggu"/>
        <s v="Aid hub"/>
        <s v="Gelato factory"/>
        <s v="Gusto gelato"/>
        <s v="Milk up"/>
        <s v="Monsieur spoon"/>
        <s v="One People"/>
        <s v="Paletas wey"/>
        <s v="PT Berkat Daur Ulang"/>
        <s v="Role Foundation"/>
        <s v="Serenity"/>
        <s v="Sersan Kopi"/>
        <s v="sundays coffee"/>
        <s v="Sungai Watch"/>
        <s v="ecoBali"/>
        <s v="Alila ubud"/>
        <s v="Alila uluwatu"/>
        <s v="Four season ubud"/>
        <s v="The Samaya Ubud"/>
        <s v="Ibu Nia"/>
        <s v="Pak Bob"/>
        <s v="Pak Jero mangku"/>
        <s v="Pak Kidul"/>
        <s v="Pak Moyo"/>
        <s v="Pak Rono"/>
        <s v="Pak Vina"/>
        <s v="Ibu Awi"/>
        <s v="Pak Komang pemelisan"/>
        <s v="Pak Legito"/>
        <s v="Pak Sidik"/>
        <s v="Pak Sueb"/>
        <s v="Pak Yusuf"/>
        <s v="BIS (Bali Island School)"/>
        <s v="Green School"/>
        <s v="LF Bali"/>
        <s v="Mitra Gianyar Bagus"/>
        <s v="Bantas Lestari"/>
        <s v="Tambyak Lestari"/>
        <s v="TPS3R Bayu Suci"/>
        <s v="TPS3R Bindu"/>
        <s v="TPS3R Rumah Hijau"/>
        <s v="Rumah kompos padang tegal"/>
        <s v="Seminyak Clean"/>
      </sharedItems>
    </cacheField>
    <cacheField name="[UBC_MASUK].[Bulan].[Bulan]" caption="Bulan" numFmtId="0" hierarchy="13" level="1">
      <sharedItems count="5">
        <s v="(01) JAN"/>
        <s v="(02) FEB"/>
        <s v="(03) MAR"/>
        <s v="(04) APR"/>
        <s v="(05) MEI"/>
      </sharedItems>
    </cacheField>
    <cacheField name="[UBC_MASUK].[Tahun].[Tahun]" caption="Tahun" numFmtId="0" hierarchy="1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UBC_MASUK].[Tahun].&amp;[2021]"/>
          </x15:cachedUniqueNames>
        </ext>
      </extLst>
    </cacheField>
    <cacheField name="[Measures].[Sum of ∑ KMK (Kg)]" caption="Sum of ∑ KMK (Kg)" numFmtId="0" hierarchy="40" level="32767"/>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2"/>
      </fieldsUsage>
    </cacheHierarchy>
    <cacheHierarchy uniqueName="[UBC_MASUK].[Tahun]" caption="Tahun" attribute="1" defaultMemberUniqueName="[UBC_MASUK].[Tahun].[All]" allUniqueName="[UBC_MASUK].[Tahun].[All]" dimensionUniqueName="[UBC_MASUK]" displayFolder="" count="2" memberValueDatatype="20" unbalanced="0">
      <fieldsUsage count="2">
        <fieldUsage x="-1"/>
        <fieldUsage x="3"/>
      </fieldsUsage>
    </cacheHierarchy>
    <cacheHierarchy uniqueName="[UBC_MASUK].[Partisipan]" caption="Partisipan" attribute="1" defaultMemberUniqueName="[UBC_MASUK].[Partisipan].[All]" allUniqueName="[UBC_MASUK].[Partisipan].[All]" dimensionUniqueName="[UBC_MASUK]" displayFolder="" count="2" memberValueDatatype="130" unbalanced="0">
      <fieldsUsage count="2">
        <fieldUsage x="-1"/>
        <fieldUsage x="1"/>
      </fieldsUsage>
    </cacheHierarchy>
    <cacheHierarchy uniqueName="[UBC_MASUK].[Kategori]" caption="Kategori" attribute="1" defaultMemberUniqueName="[UBC_MASUK].[Kategori].[All]" allUniqueName="[UBC_MASUK].[Kategori].[All]" dimensionUniqueName="[UBC_MASUK]" displayFolder="" count="2" memberValueDatatype="130" unbalanced="0">
      <fieldsUsage count="2">
        <fieldUsage x="-1"/>
        <fieldUsage x="0"/>
      </fieldsUsage>
    </cacheHierarchy>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4"/>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3148148" backgroundQuery="1" createdVersion="6" refreshedVersion="7" minRefreshableVersion="3" recordCount="0" supportSubquery="1" supportAdvancedDrill="1" xr:uid="{F784498B-C412-40C2-AE56-59BDAAFDAF40}">
  <cacheSource type="external" connectionId="1"/>
  <cacheFields count="4">
    <cacheField name="[UBC_MASUK].[Kategori].[Kategori]" caption="Kategori" numFmtId="0" hierarchy="16" level="1">
      <sharedItems count="11">
        <s v="Bank Sampah Induk"/>
        <s v="Bank Sampah Unit"/>
        <s v="Bisnis"/>
        <s v="EB Residential Service"/>
        <s v="Hotel"/>
        <s v="Jasa sampah"/>
        <s v="Pengepul"/>
        <s v="Sekolah"/>
        <s v="TPA"/>
        <s v="TPS3R"/>
        <s v="TPST3R"/>
      </sharedItems>
    </cacheField>
    <cacheField name="[Measures].[Distinct Count of Partisipan]" caption="Distinct Count of Partisipan" numFmtId="0" hierarchy="29" level="32767"/>
    <cacheField name="[Measures].[Count of Partisipan]" caption="Count of Partisipan" numFmtId="0" hierarchy="28" level="32767"/>
    <cacheField name="[UBC_MASUK].[Bulan].[Bulan]" caption="Bulan" numFmtId="0" hierarchy="13"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3"/>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2" memberValueDatatype="130" unbalanced="0">
      <fieldsUsage count="2">
        <fieldUsage x="-1"/>
        <fieldUsage x="0"/>
      </fieldsUsage>
    </cacheHierarchy>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oneField="1" hidden="1">
      <fieldsUsage count="1">
        <fieldUsage x="2"/>
      </fieldsUsage>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32638889" backgroundQuery="1" createdVersion="6" refreshedVersion="7" minRefreshableVersion="3" recordCount="0" supportSubquery="1" supportAdvancedDrill="1" xr:uid="{7515F800-D48C-44FB-8590-88D8CC867694}">
  <cacheSource type="external" connectionId="1"/>
  <cacheFields count="3">
    <cacheField name="[UBC_MASUK].[Wilayah].[Wilayah]" caption="Wilayah" numFmtId="0" hierarchy="17" level="1">
      <sharedItems count="6">
        <s v="Badung"/>
        <s v="Buleleng"/>
        <s v="Denpasar"/>
        <s v="Gianyar"/>
        <s v="Klungkung"/>
        <s v="Tabanan"/>
      </sharedItems>
    </cacheField>
    <cacheField name="[Measures].[Distinct Count of Wilayah]" caption="Distinct Count of Wilayah" numFmtId="0" hierarchy="31" level="32767"/>
    <cacheField name="[UBC_MASUK].[Bulan].[Bulan]" caption="Bulan" numFmtId="0" hierarchy="13"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2"/>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2" memberValueDatatype="130" unbalanced="0"/>
    <cacheHierarchy uniqueName="[UBC_MASUK].[Wilayah]" caption="Wilayah" attribute="1" defaultMemberUniqueName="[UBC_MASUK].[Wilayah].[All]" allUniqueName="[UBC_MASUK].[Wilayah].[All]" dimensionUniqueName="[UBC_MASUK]" displayFolder="" count="2" memberValueDatatype="130" unbalanced="0">
      <fieldsUsage count="2">
        <fieldUsage x="-1"/>
        <fieldUsage x="0"/>
      </fieldsUsage>
    </cacheHierarchy>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44212965" backgroundQuery="1" createdVersion="6" refreshedVersion="7" minRefreshableVersion="3" recordCount="0" supportSubquery="1" supportAdvancedDrill="1" xr:uid="{C0618B67-39D8-483E-AD22-58E4BFF71985}">
  <cacheSource type="external" connectionId="1"/>
  <cacheFields count="3">
    <cacheField name="[UBC_MASUK].[Wilayah].[Wilayah]" caption="Wilayah" numFmtId="0" hierarchy="17" level="1">
      <sharedItems count="6">
        <s v="Badung"/>
        <s v="Buleleng"/>
        <s v="Denpasar"/>
        <s v="Gianyar"/>
        <s v="Klungkung"/>
        <s v="Tabanan"/>
      </sharedItems>
    </cacheField>
    <cacheField name="[Measures].[Distinct Count of Partisipan]" caption="Distinct Count of Partisipan" numFmtId="0" hierarchy="29" level="32767"/>
    <cacheField name="[UBC_MASUK].[Bulan].[Bulan]" caption="Bulan" numFmtId="0" hierarchy="13"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2"/>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2" memberValueDatatype="130" unbalanced="0"/>
    <cacheHierarchy uniqueName="[UBC_MASUK].[Wilayah]" caption="Wilayah" attribute="1" defaultMemberUniqueName="[UBC_MASUK].[Wilayah].[All]" allUniqueName="[UBC_MASUK].[Wilayah].[All]" dimensionUniqueName="[UBC_MASUK]" displayFolder="" count="2" memberValueDatatype="130" unbalanced="0">
      <fieldsUsage count="2">
        <fieldUsage x="-1"/>
        <fieldUsage x="0"/>
      </fieldsUsage>
    </cacheHierarchy>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56134258" backgroundQuery="1" createdVersion="6" refreshedVersion="7" minRefreshableVersion="3" recordCount="0" supportSubquery="1" supportAdvancedDrill="1" xr:uid="{6AD517BF-C0F0-4061-81F1-D20E0AB9474B}">
  <cacheSource type="external" connectionId="1"/>
  <cacheFields count="3">
    <cacheField name="[UBC_MASUK].[Bulan].[Bulan]" caption="Bulan" numFmtId="0" hierarchy="13" level="1">
      <sharedItems count="5">
        <s v="(01) JAN"/>
        <s v="(02) FEB"/>
        <s v="(03) MAR"/>
        <s v="(04) APR"/>
        <s v="(05) MEI"/>
      </sharedItems>
    </cacheField>
    <cacheField name="[UBC_MASUK].[Minggu].[Minggu]" caption="Minggu"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UBC_MASUK].[Minggu].&amp;[1]"/>
            <x15:cachedUniqueName index="1" name="[UBC_MASUK].[Minggu].&amp;[2]"/>
            <x15:cachedUniqueName index="2" name="[UBC_MASUK].[Minggu].&amp;[3]"/>
            <x15:cachedUniqueName index="3" name="[UBC_MASUK].[Minggu].&amp;[4]"/>
            <x15:cachedUniqueName index="4" name="[UBC_MASUK].[Minggu].&amp;[5]"/>
          </x15:cachedUniqueNames>
        </ext>
      </extLst>
    </cacheField>
    <cacheField name="[Measures].[Sum of ∑ KMK (Kg)]" caption="Sum of ∑ KMK (Kg)" numFmtId="0" hierarchy="40" level="32767"/>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2" memberValueDatatype="20" unbalanced="0">
      <fieldsUsage count="2">
        <fieldUsage x="-1"/>
        <fieldUsage x="1"/>
      </fieldsUsage>
    </cacheHierarchy>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0"/>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2" memberValueDatatype="130" unbalanced="0"/>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5821759" backgroundQuery="1" createdVersion="6" refreshedVersion="7" minRefreshableVersion="3" recordCount="0" supportSubquery="1" supportAdvancedDrill="1" xr:uid="{B5F440FF-3D16-4845-87A4-587AA3BB0D52}">
  <cacheSource type="external" connectionId="1"/>
  <cacheFields count="6">
    <cacheField name="[UBC_MASUK].[Bulan].[Bulan]" caption="Bulan" numFmtId="0" hierarchy="13" level="1">
      <sharedItems count="5">
        <s v="(01) JAN"/>
        <s v="(02) FEB"/>
        <s v="(03) MAR"/>
        <s v="(04) APR"/>
        <s v="(05) MEI"/>
      </sharedItems>
    </cacheField>
    <cacheField name="[UBC_MASUK].[Minggu].[Minggu]" caption="Minggu"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UBC_MASUK].[Minggu].&amp;[1]"/>
            <x15:cachedUniqueName index="1" name="[UBC_MASUK].[Minggu].&amp;[2]"/>
            <x15:cachedUniqueName index="2" name="[UBC_MASUK].[Minggu].&amp;[3]"/>
            <x15:cachedUniqueName index="3" name="[UBC_MASUK].[Minggu].&amp;[4]"/>
            <x15:cachedUniqueName index="4" name="[UBC_MASUK].[Minggu].&amp;[5]"/>
          </x15:cachedUniqueNames>
        </ext>
      </extLst>
    </cacheField>
    <cacheField name="[UBC_MASUK].[Tahun].[Tahun]" caption="Tahun" numFmtId="0" hierarchy="1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UBC_MASUK].[Tahun].&amp;[2021]"/>
          </x15:cachedUniqueNames>
        </ext>
      </extLst>
    </cacheField>
    <cacheField name="[UBC_MASUK].[Kategori].[Kategori]" caption="Kategori" numFmtId="0" hierarchy="16" level="1">
      <sharedItems count="11">
        <s v="Bank Sampah Induk"/>
        <s v="Bank Sampah Unit"/>
        <s v="Bisnis"/>
        <s v="EB Residential Service"/>
        <s v="Hotel"/>
        <s v="Jasa sampah"/>
        <s v="Pengepul"/>
        <s v="Sekolah"/>
        <s v="TPA"/>
        <s v="TPS3R"/>
        <s v="TPST3R"/>
      </sharedItems>
    </cacheField>
    <cacheField name="[UBC_MASUK].[Partisipan].[Partisipan]" caption="Partisipan" numFmtId="0" hierarchy="15" level="1">
      <sharedItems count="68">
        <s v="Bali Wastu Lestari"/>
        <s v="BSI Bali Bersih"/>
        <s v="BSI E-darling Buleleng"/>
        <s v="Griya Luhu"/>
        <s v="Br Aseman Kangin Tibubeneng"/>
        <s v="Br Aseman Kawan Tibubeneng"/>
        <s v="Br Canggu Canggu"/>
        <s v="Br Dukuh Pandean Munggu"/>
        <s v="Br Dukuh Sengguan Munggu"/>
        <s v="Br Gambang Munggu"/>
        <s v="Br Kaja Kangin Cemagi"/>
        <s v="Br Kayu Tulang Canggu"/>
        <s v="Br Keliki Cemagi"/>
        <s v="Br Krisnantara Tibubeneng"/>
        <s v="Br Kulibul Kangin Tibubeneng"/>
        <s v="Br Padang Linjong Canggu"/>
        <s v="Br Pande Pemaron Munggu"/>
        <s v="Br Pempatan Munggu"/>
        <s v="Br Petapan"/>
        <s v="Br Sangiangan Cemagi"/>
        <s v="Br Seseh"/>
        <s v="Br Seseh Cemagi"/>
        <s v="Br Sogsogan Cemagi"/>
        <s v="Br Tandeg Tibubeneng"/>
        <s v="Br Uma Buluh Canggu"/>
        <s v="Br Umabuluh Munggu"/>
        <s v="Aid hub"/>
        <s v="Gelato factory"/>
        <s v="Gusto gelato"/>
        <s v="Milk up"/>
        <s v="Monsieur spoon"/>
        <s v="One People"/>
        <s v="Paletas wey"/>
        <s v="PT Berkat Daur Ulang"/>
        <s v="Role Foundation"/>
        <s v="Serenity"/>
        <s v="Sersan Kopi"/>
        <s v="sundays coffee"/>
        <s v="Sungai Watch"/>
        <s v="ecoBali"/>
        <s v="Alila ubud"/>
        <s v="Alila uluwatu"/>
        <s v="Four season ubud"/>
        <s v="The Samaya Ubud"/>
        <s v="Ibu Nia"/>
        <s v="Pak Bob"/>
        <s v="Pak Jero mangku"/>
        <s v="Pak Kidul"/>
        <s v="Pak Moyo"/>
        <s v="Pak Rono"/>
        <s v="Pak Vina"/>
        <s v="Ibu Awi"/>
        <s v="Pak Komang pemelisan"/>
        <s v="Pak Legito"/>
        <s v="Pak Sidik"/>
        <s v="Pak Sueb"/>
        <s v="Pak Yusuf"/>
        <s v="BIS (Bali Island School)"/>
        <s v="Green School"/>
        <s v="LF Bali"/>
        <s v="Mitra Gianyar Bagus"/>
        <s v="Bantas Lestari"/>
        <s v="Tambyak Lestari"/>
        <s v="TPS3R Bayu Suci"/>
        <s v="TPS3R Bindu"/>
        <s v="TPS3R Rumah Hijau"/>
        <s v="Rumah kompos padang tegal"/>
        <s v="Seminyak Clean"/>
      </sharedItems>
    </cacheField>
    <cacheField name="[Measures].[Sum of ∑ KMK (Kg)]" caption="Sum of ∑ KMK (Kg)" numFmtId="0" hierarchy="40" level="32767"/>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2" memberValueDatatype="20" unbalanced="0">
      <fieldsUsage count="2">
        <fieldUsage x="-1"/>
        <fieldUsage x="1"/>
      </fieldsUsage>
    </cacheHierarchy>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2"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0"/>
      </fieldsUsage>
    </cacheHierarchy>
    <cacheHierarchy uniqueName="[UBC_MASUK].[Tahun]" caption="Tahun" attribute="1" defaultMemberUniqueName="[UBC_MASUK].[Tahun].[All]" allUniqueName="[UBC_MASUK].[Tahun].[All]" dimensionUniqueName="[UBC_MASUK]" displayFolder="" count="2" memberValueDatatype="20" unbalanced="0">
      <fieldsUsage count="2">
        <fieldUsage x="-1"/>
        <fieldUsage x="2"/>
      </fieldsUsage>
    </cacheHierarchy>
    <cacheHierarchy uniqueName="[UBC_MASUK].[Partisipan]" caption="Partisipan" attribute="1" defaultMemberUniqueName="[UBC_MASUK].[Partisipan].[All]" allUniqueName="[UBC_MASUK].[Partisipan].[All]" dimensionUniqueName="[UBC_MASUK]" displayFolder="" count="2" memberValueDatatype="130" unbalanced="0">
      <fieldsUsage count="2">
        <fieldUsage x="-1"/>
        <fieldUsage x="4"/>
      </fieldsUsage>
    </cacheHierarchy>
    <cacheHierarchy uniqueName="[UBC_MASUK].[Kategori]" caption="Kategori" attribute="1" defaultMemberUniqueName="[UBC_MASUK].[Kategori].[All]" allUniqueName="[UBC_MASUK].[Kategori].[All]" dimensionUniqueName="[UBC_MASUK]" displayFolder="" count="2" memberValueDatatype="130" unbalanced="0">
      <fieldsUsage count="2">
        <fieldUsage x="-1"/>
        <fieldUsage x="3"/>
      </fieldsUsage>
    </cacheHierarchy>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5"/>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59722222" backgroundQuery="1" createdVersion="6" refreshedVersion="7" minRefreshableVersion="3" recordCount="0" supportSubquery="1" supportAdvancedDrill="1" xr:uid="{86706B33-0431-48A2-89BF-F74E4F70D16B}">
  <cacheSource type="external" connectionId="1"/>
  <cacheFields count="3">
    <cacheField name="[UBC_MASUK].[Wilayah].[Wilayah]" caption="Wilayah" numFmtId="0" hierarchy="17" level="1">
      <sharedItems count="6">
        <s v="Badung"/>
        <s v="Buleleng"/>
        <s v="Denpasar"/>
        <s v="Gianyar"/>
        <s v="Klungkung"/>
        <s v="Tabanan"/>
      </sharedItems>
    </cacheField>
    <cacheField name="[Measures].[Sum of ∑ KMK (Kg)]" caption="Sum of ∑ KMK (Kg)" numFmtId="0" hierarchy="40" level="32767"/>
    <cacheField name="[UBC_MASUK].[Bulan].[Bulan]" caption="Bulan" numFmtId="0" hierarchy="13"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2"/>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2" memberValueDatatype="130" unbalanced="0">
      <fieldsUsage count="2">
        <fieldUsage x="-1"/>
        <fieldUsage x="0"/>
      </fieldsUsage>
    </cacheHierarchy>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64004632" backgroundQuery="1" createdVersion="6" refreshedVersion="7" minRefreshableVersion="3" recordCount="0" supportSubquery="1" supportAdvancedDrill="1" xr:uid="{FC3A8E5E-11A3-45E1-B207-EC7AD7324122}">
  <cacheSource type="external" connectionId="1"/>
  <cacheFields count="4">
    <cacheField name="[UBC_MASUK].[Bulan].[Bulan]" caption="Bulan" numFmtId="0" hierarchy="13" level="1">
      <sharedItems count="5">
        <s v="(01) JAN"/>
        <s v="(02) FEB"/>
        <s v="(03) MAR"/>
        <s v="(04) APR"/>
        <s v="(05) MEI"/>
      </sharedItems>
    </cacheField>
    <cacheField name="[UBC_MASUK].[Minggu].[Minggu]" caption="Minggu"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UBC_MASUK].[Minggu].&amp;[1]"/>
            <x15:cachedUniqueName index="1" name="[UBC_MASUK].[Minggu].&amp;[2]"/>
            <x15:cachedUniqueName index="2" name="[UBC_MASUK].[Minggu].&amp;[3]"/>
            <x15:cachedUniqueName index="3" name="[UBC_MASUK].[Minggu].&amp;[4]"/>
            <x15:cachedUniqueName index="4" name="[UBC_MASUK].[Minggu].&amp;[5]"/>
          </x15:cachedUniqueNames>
        </ext>
      </extLst>
    </cacheField>
    <cacheField name="[UBC_MASUK].[Partisipan].[Partisipan]" caption="Partisipan" numFmtId="0" hierarchy="15" level="1">
      <sharedItems containsSemiMixedTypes="0" containsNonDate="0" containsString="0"/>
    </cacheField>
    <cacheField name="[Measures].[Sum of ∑ KMK (Kg)]" caption="Sum of ∑ KMK (Kg)" numFmtId="0" hierarchy="40" level="32767"/>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2" memberValueDatatype="20" unbalanced="0">
      <fieldsUsage count="2">
        <fieldUsage x="-1"/>
        <fieldUsage x="1"/>
      </fieldsUsage>
    </cacheHierarchy>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0"/>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2" memberValueDatatype="130" unbalanced="0">
      <fieldsUsage count="2">
        <fieldUsage x="-1"/>
        <fieldUsage x="2"/>
      </fieldsUsage>
    </cacheHierarchy>
    <cacheHierarchy uniqueName="[UBC_MASUK].[Kategori]" caption="Kategori" attribute="1" defaultMemberUniqueName="[UBC_MASUK].[Kategori].[All]" allUniqueName="[UBC_MASUK].[Kategori].[All]" dimensionUniqueName="[UBC_MASUK]" displayFolder="" count="2" memberValueDatatype="130" unbalanced="0"/>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3"/>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6924189812" backgroundQuery="1" createdVersion="6" refreshedVersion="7" minRefreshableVersion="3" recordCount="0" supportSubquery="1" supportAdvancedDrill="1" xr:uid="{A77A09BB-C8D7-43A1-AD3C-6BA9A4D6D799}">
  <cacheSource type="external" connectionId="1"/>
  <cacheFields count="5">
    <cacheField name="[Measures].[Sum of Jumlah Partisipan]" caption="Sum of Jumlah Partisipan" numFmtId="0" hierarchy="35" level="32767"/>
    <cacheField name="[UBC_AKTIVITAS].[Kabupaten].[Kabupaten]" caption="Kabupaten" numFmtId="0" hierarchy="7" level="1">
      <sharedItems count="5">
        <s v="Badung"/>
        <s v="Buleleng"/>
        <s v="Denpasar"/>
        <s v="Gianyar"/>
        <s v="Tabanan"/>
      </sharedItems>
    </cacheField>
    <cacheField name="[UBC_AKTIVITAS].[Tahun].[Tahun]" caption="Tahun" numFmtId="0" hierarchy="2" level="1">
      <sharedItems containsSemiMixedTypes="0" containsNonDate="0" containsString="0"/>
    </cacheField>
    <cacheField name="[UBC_AKTIVITAS].[Program].[Program]" caption="Program" numFmtId="0" hierarchy="3" level="1">
      <sharedItems containsSemiMixedTypes="0" containsNonDate="0" containsString="0"/>
    </cacheField>
    <cacheField name="[UBC_AKTIVITAS].[Kategori].[Kategori]" caption="Kategori" numFmtId="0" hierarchy="6"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2" memberValueDatatype="20" unbalanced="0">
      <fieldsUsage count="2">
        <fieldUsage x="-1"/>
        <fieldUsage x="2"/>
      </fieldsUsage>
    </cacheHierarchy>
    <cacheHierarchy uniqueName="[UBC_AKTIVITAS].[Program]" caption="Program" attribute="1" defaultMemberUniqueName="[UBC_AKTIVITAS].[Program].[All]" allUniqueName="[UBC_AKTIVITAS].[Program].[All]" dimensionUniqueName="[UBC_AKTIVITAS]" displayFolder="" count="2" memberValueDatatype="130" unbalanced="0">
      <fieldsUsage count="2">
        <fieldUsage x="-1"/>
        <fieldUsage x="3"/>
      </fieldsUsage>
    </cacheHierarchy>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2" memberValueDatatype="130" unbalanced="0">
      <fieldsUsage count="2">
        <fieldUsage x="-1"/>
        <fieldUsage x="4"/>
      </fieldsUsage>
    </cacheHierarchy>
    <cacheHierarchy uniqueName="[UBC_AKTIVITAS].[Kabupaten]" caption="Kabupaten" attribute="1" defaultMemberUniqueName="[UBC_AKTIVITAS].[Kabupaten].[All]" allUniqueName="[UBC_AKTIVITAS].[Kabupaten].[All]" dimensionUniqueName="[UBC_AKTIVITAS]" displayFolder="" count="2" memberValueDatatype="130" unbalanced="0">
      <fieldsUsage count="2">
        <fieldUsage x="-1"/>
        <fieldUsage x="1"/>
      </fieldsUsage>
    </cacheHierarchy>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0" memberValueDatatype="130" unbalanced="0"/>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564699072" backgroundQuery="1" createdVersion="6" refreshedVersion="7" minRefreshableVersion="3" recordCount="0" supportSubquery="1" supportAdvancedDrill="1" xr:uid="{4B23C788-7451-40D9-98FF-3243804B261E}">
  <cacheSource type="external" connectionId="1"/>
  <cacheFields count="4">
    <cacheField name="[UBC_MASUK].[Kategori].[Kategori]" caption="Kategori" numFmtId="0" hierarchy="16" level="1">
      <sharedItems count="11">
        <s v="Bank Sampah Induk"/>
        <s v="Bank Sampah Unit"/>
        <s v="Bisnis"/>
        <s v="EB Residential Service"/>
        <s v="Hotel"/>
        <s v="Jasa sampah"/>
        <s v="Pengepul"/>
        <s v="Sekolah"/>
        <s v="TPA"/>
        <s v="TPS3R"/>
        <s v="TPST3R"/>
      </sharedItems>
    </cacheField>
    <cacheField name="[UBC_MASUK].[Partisipan].[Partisipan]" caption="Partisipan" numFmtId="0" hierarchy="15" level="1">
      <sharedItems containsNonDate="0" count="2">
        <s v="Rumah kompos padang tegal"/>
        <s v="TPS Seminyak Clean"/>
      </sharedItems>
    </cacheField>
    <cacheField name="[Measures].[Sum of ∑ KMK (Kg)]" caption="Sum of ∑ KMK (Kg)" numFmtId="0" hierarchy="40" level="32767"/>
    <cacheField name="[UBC_MASUK].[Bulan].[Bulan]" caption="Bulan" numFmtId="0" hierarchy="13"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3"/>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2" memberValueDatatype="130" unbalanced="0">
      <fieldsUsage count="2">
        <fieldUsage x="-1"/>
        <fieldUsage x="1"/>
      </fieldsUsage>
    </cacheHierarchy>
    <cacheHierarchy uniqueName="[UBC_MASUK].[Kategori]" caption="Kategori" attribute="1" defaultMemberUniqueName="[UBC_MASUK].[Kategori].[All]" allUniqueName="[UBC_MASUK].[Kategori].[All]" dimensionUniqueName="[UBC_MASUK]" displayFolder="" count="2" memberValueDatatype="130" unbalanced="0">
      <fieldsUsage count="2">
        <fieldUsage x="-1"/>
        <fieldUsage x="0"/>
      </fieldsUsage>
    </cacheHierarchy>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785185187" backgroundQuery="1" createdVersion="6" refreshedVersion="7" minRefreshableVersion="3" recordCount="0" supportSubquery="1" supportAdvancedDrill="1" xr:uid="{0641AD89-F96D-438A-933A-02721D1994BF}">
  <cacheSource type="external" connectionId="1"/>
  <cacheFields count="5">
    <cacheField name="[UBC_MASUK].[Date (Month)].[Date (Month)]" caption="Date (Month)" numFmtId="0" hierarchy="23" level="1">
      <sharedItems count="5">
        <s v="Jan"/>
        <s v="Feb"/>
        <s v="Mar"/>
        <s v="Apr"/>
        <s v="May"/>
      </sharedItems>
    </cacheField>
    <cacheField name="[UBC_MASUK].[Kuartal].[Kuartal]" caption="Kuartal" numFmtId="0" hierarchy="11" level="1">
      <sharedItems count="2">
        <s v="Q1"/>
        <s v="Q2"/>
      </sharedItems>
    </cacheField>
    <cacheField name="[Measures].[Sum of Target Bulan]" caption="Sum of Target Bulan" numFmtId="0" hierarchy="38" level="32767"/>
    <cacheField name="[Measures].[Sum of ∑ KMK (Kg)]" caption="Sum of ∑ KMK (Kg)" numFmtId="0" hierarchy="40" level="32767"/>
    <cacheField name="[UBC_MASUK].[Bulan].[Bulan]" caption="Bulan" numFmtId="0" hierarchy="13"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2" memberValueDatatype="130" unbalanced="0">
      <fieldsUsage count="2">
        <fieldUsage x="-1"/>
        <fieldUsage x="1"/>
      </fieldsUsage>
    </cacheHierarchy>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4"/>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2" memberValueDatatype="130" unbalanced="0">
      <fieldsUsage count="2">
        <fieldUsage x="-1"/>
        <fieldUsage x="0"/>
      </fieldsUsage>
    </cacheHierarchy>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3"/>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4.533787384258" backgroundQuery="1" createdVersion="6" refreshedVersion="7" minRefreshableVersion="3" recordCount="0" supportSubquery="1" supportAdvancedDrill="1" xr:uid="{714183A1-6F94-446C-95F2-325879305E59}">
  <cacheSource type="external" connectionId="1"/>
  <cacheFields count="4">
    <cacheField name="[UBC_MASUK].[Kategori].[Kategori]" caption="Kategori" numFmtId="0" hierarchy="16" level="1">
      <sharedItems count="11">
        <s v="Bank Sampah Induk"/>
        <s v="Bank Sampah Unit"/>
        <s v="Bisnis"/>
        <s v="EB Residential Service"/>
        <s v="Hotel"/>
        <s v="Jasa sampah"/>
        <s v="Pengepul"/>
        <s v="Sekolah"/>
        <s v="TPA"/>
        <s v="TPS3R"/>
        <s v="TPST3R"/>
      </sharedItems>
    </cacheField>
    <cacheField name="[Measures].[Sum of Target Bulan]" caption="Sum of Target Bulan" numFmtId="0" hierarchy="38" level="32767"/>
    <cacheField name="[Measures].[Sum of ∑ KMK (Kg)]" caption="Sum of ∑ KMK (Kg)" numFmtId="0" hierarchy="40" level="32767"/>
    <cacheField name="[UBC_MASUK].[Bulan].[Bulan]" caption="Bulan" numFmtId="0" hierarchy="13"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3"/>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2" memberValueDatatype="130" unbalanced="0">
      <fieldsUsage count="2">
        <fieldUsage x="-1"/>
        <fieldUsage x="0"/>
      </fieldsUsage>
    </cacheHierarchy>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6911574073" backgroundQuery="1" createdVersion="3" refreshedVersion="7" minRefreshableVersion="3" recordCount="0" supportSubquery="1" supportAdvancedDrill="1" xr:uid="{DFEA910C-AE0A-4851-A16A-2B9DE3861249}">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2" memberValueDatatype="20" unbalanced="0"/>
    <cacheHierarchy uniqueName="[UBC_AKTIVITAS].[Program]" caption="Program" attribute="1" defaultMemberUniqueName="[UBC_AKTIVITAS].[Program].[All]" allUniqueName="[UBC_AKTIVITAS].[Program].[All]" dimensionUniqueName="[UBC_AKTIVITAS]" displayFolder="" count="2"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2" memberValueDatatype="130" unbalanced="0"/>
    <cacheHierarchy uniqueName="[UBC_AKTIVITAS].[Kabupaten]" caption="Kabupaten" attribute="1" defaultMemberUniqueName="[UBC_AKTIVITAS].[Kabupaten].[All]" allUniqueName="[UBC_AKTIVITAS].[Kabupaten].[All]" dimensionUniqueName="[UBC_AKTIVITAS]" displayFolder="" count="2"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0" memberValueDatatype="130" unbalanced="0"/>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130360182"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6946296296" backgroundQuery="1" createdVersion="3" refreshedVersion="7" minRefreshableVersion="3" recordCount="0" supportSubquery="1" supportAdvancedDrill="1" xr:uid="{ECC7EA72-6DD3-4ED7-8904-604D9BC59F6F}">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2" memberValueDatatype="20" unbalanced="0"/>
    <cacheHierarchy uniqueName="[UBC_MASUK].[Bulan]" caption="Bulan" attribute="1" defaultMemberUniqueName="[UBC_MASUK].[Bulan].[All]" allUniqueName="[UBC_MASUK].[Bulan].[All]" dimensionUniqueName="[UBC_MASUK]" displayFolder="" count="2" memberValueDatatype="130" unbalanced="0"/>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2" memberValueDatatype="130" unbalanced="0"/>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2135236994"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7003472219" backgroundQuery="1" createdVersion="3" refreshedVersion="7" minRefreshableVersion="3" recordCount="0" supportSubquery="1" supportAdvancedDrill="1" xr:uid="{7C8ADB67-E2BC-4EA0-B4CD-E09F9CD09FDC}">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00622306"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70099537" backgroundQuery="1" createdVersion="3" refreshedVersion="7" minRefreshableVersion="3" recordCount="0" supportSubquery="1" supportAdvancedDrill="1" xr:uid="{6D3C828E-3DCD-406F-8990-7340771A3D34}">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359284706"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7018518521" backgroundQuery="1" createdVersion="3" refreshedVersion="7" minRefreshableVersion="3" recordCount="0" supportSubquery="1" supportAdvancedDrill="1" xr:uid="{8899B103-E24A-4F29-B1D4-CCE0E0847AF0}">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2" memberValueDatatype="130" unbalanced="0"/>
    <cacheHierarchy uniqueName="[UBC_MASUK].[Kategori]" caption="Kategori" attribute="1" defaultMemberUniqueName="[UBC_MASUK].[Kategori].[All]" allUniqueName="[UBC_MASUK].[Kategori].[All]" dimensionUniqueName="[UBC_MASUK]" displayFolder="" count="2" memberValueDatatype="130" unbalanced="0"/>
    <cacheHierarchy uniqueName="[UBC_MASUK].[Wilayah]" caption="Wilayah" attribute="1" defaultMemberUniqueName="[UBC_MASUK].[Wilayah].[All]" allUniqueName="[UBC_MASUK].[Wilayah].[All]" dimensionUniqueName="[UBC_MASUK]" displayFolder="" count="2"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11785974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6929166669" backgroundQuery="1" createdVersion="6" refreshedVersion="7" minRefreshableVersion="3" recordCount="0" supportSubquery="1" supportAdvancedDrill="1" xr:uid="{7EBE1331-36A4-4BBA-A410-287206BFCD1E}">
  <cacheSource type="external" connectionId="1"/>
  <cacheFields count="5">
    <cacheField name="[UBC_AKTIVITAS].[Program].[Program]" caption="Program" numFmtId="0" hierarchy="3" level="1">
      <sharedItems count="5">
        <s v="Continous building informal sector"/>
        <s v="Dropbox"/>
        <s v="Roadshow"/>
        <s v="Socialization for School"/>
        <s v="Socialization for waste bank"/>
      </sharedItems>
    </cacheField>
    <cacheField name="[Measures].[Sum of Jumlah Partisipan]" caption="Sum of Jumlah Partisipan" numFmtId="0" hierarchy="35" level="32767"/>
    <cacheField name="[UBC_AKTIVITAS].[Tahun].[Tahun]" caption="Tahun" numFmtId="0" hierarchy="2" level="1">
      <sharedItems containsSemiMixedTypes="0" containsNonDate="0" containsString="0"/>
    </cacheField>
    <cacheField name="[UBC_AKTIVITAS].[Kabupaten].[Kabupaten]" caption="Kabupaten" numFmtId="0" hierarchy="7" level="1">
      <sharedItems containsSemiMixedTypes="0" containsNonDate="0" containsString="0"/>
    </cacheField>
    <cacheField name="[UBC_AKTIVITAS].[Kategori].[Kategori]" caption="Kategori" numFmtId="0" hierarchy="6"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2" memberValueDatatype="20" unbalanced="0">
      <fieldsUsage count="2">
        <fieldUsage x="-1"/>
        <fieldUsage x="2"/>
      </fieldsUsage>
    </cacheHierarchy>
    <cacheHierarchy uniqueName="[UBC_AKTIVITAS].[Program]" caption="Program" attribute="1" defaultMemberUniqueName="[UBC_AKTIVITAS].[Program].[All]" allUniqueName="[UBC_AKTIVITAS].[Program].[All]" dimensionUniqueName="[UBC_AKTIVITAS]" displayFolder="" count="2" memberValueDatatype="130" unbalanced="0">
      <fieldsUsage count="2">
        <fieldUsage x="-1"/>
        <fieldUsage x="0"/>
      </fieldsUsage>
    </cacheHierarchy>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2" memberValueDatatype="130" unbalanced="0">
      <fieldsUsage count="2">
        <fieldUsage x="-1"/>
        <fieldUsage x="4"/>
      </fieldsUsage>
    </cacheHierarchy>
    <cacheHierarchy uniqueName="[UBC_AKTIVITAS].[Kabupaten]" caption="Kabupaten" attribute="1" defaultMemberUniqueName="[UBC_AKTIVITAS].[Kabupaten].[All]" allUniqueName="[UBC_AKTIVITAS].[Kabupaten].[All]" dimensionUniqueName="[UBC_AKTIVITAS]" displayFolder="" count="2" memberValueDatatype="130" unbalanced="0">
      <fieldsUsage count="2">
        <fieldUsage x="-1"/>
        <fieldUsage x="3"/>
      </fieldsUsage>
    </cacheHierarchy>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0" memberValueDatatype="130" unbalanced="0"/>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6933796295" backgroundQuery="1" createdVersion="6" refreshedVersion="7" minRefreshableVersion="3" recordCount="0" supportSubquery="1" supportAdvancedDrill="1" xr:uid="{C56D7EDE-0C73-4534-A314-93A2A83A3C0E}">
  <cacheSource type="external" connectionId="1"/>
  <cacheFields count="7">
    <cacheField name="[Measures].[Distinct Count of Lokasi]" caption="Distinct Count of Lokasi" numFmtId="0" hierarchy="37" level="32767"/>
    <cacheField name="[Measures].[Sum of Jumlah Partisipan]" caption="Sum of Jumlah Partisipan" numFmtId="0" hierarchy="35" level="32767"/>
    <cacheField name="[Measures].[Distinct Count of Kabupaten]" caption="Distinct Count of Kabupaten" numFmtId="0" hierarchy="34" level="32767"/>
    <cacheField name="[UBC_AKTIVITAS].[Tahun].[Tahun]" caption="Tahun" numFmtId="0" hierarchy="2" level="1">
      <sharedItems containsSemiMixedTypes="0" containsNonDate="0" containsString="0"/>
    </cacheField>
    <cacheField name="[UBC_AKTIVITAS].[Program].[Program]" caption="Program" numFmtId="0" hierarchy="3" level="1">
      <sharedItems containsSemiMixedTypes="0" containsNonDate="0" containsString="0"/>
    </cacheField>
    <cacheField name="[UBC_AKTIVITAS].[Kabupaten].[Kabupaten]" caption="Kabupaten" numFmtId="0" hierarchy="7" level="1">
      <sharedItems containsSemiMixedTypes="0" containsNonDate="0" containsString="0"/>
    </cacheField>
    <cacheField name="[UBC_AKTIVITAS].[Kategori].[Kategori]" caption="Kategori" numFmtId="0" hierarchy="6" level="1">
      <sharedItems containsSemiMixedTypes="0" containsNonDate="0" containsString="0"/>
    </cacheField>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2" memberValueDatatype="20" unbalanced="0">
      <fieldsUsage count="2">
        <fieldUsage x="-1"/>
        <fieldUsage x="3"/>
      </fieldsUsage>
    </cacheHierarchy>
    <cacheHierarchy uniqueName="[UBC_AKTIVITAS].[Program]" caption="Program" attribute="1" defaultMemberUniqueName="[UBC_AKTIVITAS].[Program].[All]" allUniqueName="[UBC_AKTIVITAS].[Program].[All]" dimensionUniqueName="[UBC_AKTIVITAS]" displayFolder="" count="2" memberValueDatatype="130" unbalanced="0">
      <fieldsUsage count="2">
        <fieldUsage x="-1"/>
        <fieldUsage x="4"/>
      </fieldsUsage>
    </cacheHierarchy>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2" memberValueDatatype="130" unbalanced="0">
      <fieldsUsage count="2">
        <fieldUsage x="-1"/>
        <fieldUsage x="6"/>
      </fieldsUsage>
    </cacheHierarchy>
    <cacheHierarchy uniqueName="[UBC_AKTIVITAS].[Kabupaten]" caption="Kabupaten" attribute="1" defaultMemberUniqueName="[UBC_AKTIVITAS].[Kabupaten].[All]" allUniqueName="[UBC_AKTIVITAS].[Kabupaten].[All]" dimensionUniqueName="[UBC_AKTIVITAS]" displayFolder="" count="2" memberValueDatatype="130" unbalanced="0">
      <fieldsUsage count="2">
        <fieldUsage x="-1"/>
        <fieldUsage x="5"/>
      </fieldsUsage>
    </cacheHierarchy>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0" memberValueDatatype="130" unbalanced="0"/>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701261574" backgroundQuery="1" createdVersion="6" refreshedVersion="7" minRefreshableVersion="3" recordCount="0" supportSubquery="1" supportAdvancedDrill="1" xr:uid="{5F6AA59B-3003-459B-8F91-3A70AC33E14F}">
  <cacheSource type="external" connectionId="1"/>
  <cacheFields count="3">
    <cacheField name="[UBC_MASUK].[Kategori].[Kategori]" caption="Kategori" numFmtId="0" hierarchy="16" level="1">
      <sharedItems count="11">
        <s v="Bank Sampah Induk"/>
        <s v="Bank Sampah Unit"/>
        <s v="Bisnis"/>
        <s v="EB Residential Service"/>
        <s v="Hotel"/>
        <s v="Jasa sampah"/>
        <s v="Pengepul"/>
        <s v="Sekolah"/>
        <s v="TPA"/>
        <s v="TPS3R"/>
        <s v="TPST3R"/>
      </sharedItems>
    </cacheField>
    <cacheField name="[UBC_MASUK].[Bulan].[Bulan]" caption="Bulan" numFmtId="0" hierarchy="13" level="1">
      <sharedItems containsSemiMixedTypes="0" containsNonDate="0" containsString="0"/>
    </cacheField>
    <cacheField name="[Measures].[Sum of ∑ KMK (Kg)]" caption="Sum of ∑ KMK (Kg)" numFmtId="0" hierarchy="40" level="32767"/>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1"/>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2" memberValueDatatype="130" unbalanced="0">
      <fieldsUsage count="2">
        <fieldUsage x="-1"/>
        <fieldUsage x="0"/>
      </fieldsUsage>
    </cacheHierarchy>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701527778" backgroundQuery="1" createdVersion="6" refreshedVersion="7" minRefreshableVersion="3" recordCount="0" supportSubquery="1" supportAdvancedDrill="1" xr:uid="{21D596DD-9B1A-4570-ACF8-574062D7F119}">
  <cacheSource type="external" connectionId="1"/>
  <cacheFields count="3">
    <cacheField name="[UBC_MASUK].[Tahun].[Tahun]" caption="Tahun" numFmtId="0" hierarchy="1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UBC_MASUK].[Tahun].&amp;[2021]"/>
          </x15:cachedUniqueNames>
        </ext>
      </extLst>
    </cacheField>
    <cacheField name="[Measures].[Sum of Target Tahun]" caption="Sum of Target Tahun" numFmtId="0" hierarchy="39" level="32767"/>
    <cacheField name="[Measures].[Sum of ∑ KMK (Kg)]" caption="Sum of ∑ KMK (Kg)" numFmtId="0" hierarchy="40" level="32767"/>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0" memberValueDatatype="130" unbalanced="0"/>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0" memberValueDatatype="130" unbalanced="0"/>
    <cacheHierarchy uniqueName="[UBC_MASUK].[Tahun]" caption="Tahun" attribute="1" defaultMemberUniqueName="[UBC_MASUK].[Tahun].[All]" allUniqueName="[UBC_MASUK].[Tahun].[All]" dimensionUniqueName="[UBC_MASUK]" displayFolder="" count="2" memberValueDatatype="20" unbalanced="0">
      <fieldsUsage count="2">
        <fieldUsage x="-1"/>
        <fieldUsage x="0"/>
      </fieldsUsage>
    </cacheHierarchy>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ducation EcoBali" refreshedDate="44351.487017245374" backgroundQuery="1" createdVersion="6" refreshedVersion="7" minRefreshableVersion="3" recordCount="0" supportSubquery="1" supportAdvancedDrill="1" xr:uid="{5604F374-064E-4C9C-85B0-767E4E031CE7}">
  <cacheSource type="external" connectionId="1"/>
  <cacheFields count="3">
    <cacheField name="[UBC_MASUK].[Bulan].[Bulan]" caption="Bulan" numFmtId="0" hierarchy="13" level="1">
      <sharedItems count="5">
        <s v="(01) JAN"/>
        <s v="(02) FEB"/>
        <s v="(03) MAR"/>
        <s v="(04) APR"/>
        <s v="(05) MEI"/>
      </sharedItems>
    </cacheField>
    <cacheField name="[UBC_MASUK].[Kuartal].[Kuartal]" caption="Kuartal" numFmtId="0" hierarchy="11" level="1">
      <sharedItems count="2">
        <s v="Q1"/>
        <s v="Q2"/>
      </sharedItems>
    </cacheField>
    <cacheField name="[Measures].[Sum of ∑ KMK (Kg)]" caption="Sum of ∑ KMK (Kg)" numFmtId="0" hierarchy="40" level="32767"/>
  </cacheFields>
  <cacheHierarchies count="41">
    <cacheHierarchy uniqueName="[UBC_AKTIVITAS].[Date]" caption="Date" attribute="1" defaultMemberUniqueName="[UBC_AKTIVITAS].[Date].[All]" allUniqueName="[UBC_AKTIVITAS].[Date].[All]" dimensionUniqueName="[UBC_AKTIVITAS]" displayFolder="" count="0" memberValueDatatype="130" unbalanced="0"/>
    <cacheHierarchy uniqueName="[UBC_AKTIVITAS].[Bulan]" caption="Bulan" attribute="1" defaultMemberUniqueName="[UBC_AKTIVITAS].[Bulan].[All]" allUniqueName="[UBC_AKTIVITAS].[Bulan].[All]" dimensionUniqueName="[UBC_AKTIVITAS]" displayFolder="" count="0" memberValueDatatype="130" unbalanced="0"/>
    <cacheHierarchy uniqueName="[UBC_AKTIVITAS].[Tahun]" caption="Tahun" attribute="1" defaultMemberUniqueName="[UBC_AKTIVITAS].[Tahun].[All]" allUniqueName="[UBC_AKTIVITAS].[Tahun].[All]" dimensionUniqueName="[UBC_AKTIVITAS]" displayFolder="" count="0" memberValueDatatype="20" unbalanced="0"/>
    <cacheHierarchy uniqueName="[UBC_AKTIVITAS].[Program]" caption="Program" attribute="1" defaultMemberUniqueName="[UBC_AKTIVITAS].[Program].[All]" allUniqueName="[UBC_AKTIVITAS].[Program].[All]" dimensionUniqueName="[UBC_AKTIVITAS]" displayFolder="" count="0" memberValueDatatype="130" unbalanced="0"/>
    <cacheHierarchy uniqueName="[UBC_AKTIVITAS].[Kegiatan]" caption="Kegiatan" attribute="1" defaultMemberUniqueName="[UBC_AKTIVITAS].[Kegiatan].[All]" allUniqueName="[UBC_AKTIVITAS].[Kegiatan].[All]" dimensionUniqueName="[UBC_AKTIVITAS]" displayFolder="" count="0" memberValueDatatype="130" unbalanced="0"/>
    <cacheHierarchy uniqueName="[UBC_AKTIVITAS].[Lokasi]" caption="Lokasi" attribute="1" defaultMemberUniqueName="[UBC_AKTIVITAS].[Lokasi].[All]" allUniqueName="[UBC_AKTIVITAS].[Lokasi].[All]" dimensionUniqueName="[UBC_AKTIVITAS]" displayFolder="" count="0" memberValueDatatype="130" unbalanced="0"/>
    <cacheHierarchy uniqueName="[UBC_AKTIVITAS].[Kategori]" caption="Kategori" attribute="1" defaultMemberUniqueName="[UBC_AKTIVITAS].[Kategori].[All]" allUniqueName="[UBC_AKTIVITAS].[Kategori].[All]" dimensionUniqueName="[UBC_AKTIVITAS]" displayFolder="" count="0" memberValueDatatype="130" unbalanced="0"/>
    <cacheHierarchy uniqueName="[UBC_AKTIVITAS].[Kabupaten]" caption="Kabupaten" attribute="1" defaultMemberUniqueName="[UBC_AKTIVITAS].[Kabupaten].[All]" allUniqueName="[UBC_AKTIVITAS].[Kabupaten].[All]" dimensionUniqueName="[UBC_AKTIVITAS]" displayFolder="" count="0" memberValueDatatype="130" unbalanced="0"/>
    <cacheHierarchy uniqueName="[UBC_AKTIVITAS].[Jumlah Partisipan]" caption="Jumlah Partisipan" attribute="1" defaultMemberUniqueName="[UBC_AKTIVITAS].[Jumlah Partisipan].[All]" allUniqueName="[UBC_AKTIVITAS].[Jumlah Partisipan].[All]" dimensionUniqueName="[UBC_AKTIVITAS]" displayFolder="" count="0" memberValueDatatype="20" unbalanced="0"/>
    <cacheHierarchy uniqueName="[UBC_MASUK].[Date]" caption="Date" attribute="1" time="1" defaultMemberUniqueName="[UBC_MASUK].[Date].[All]" allUniqueName="[UBC_MASUK].[Date].[All]" dimensionUniqueName="[UBC_MASUK]" displayFolder="" count="0" memberValueDatatype="7" unbalanced="0"/>
    <cacheHierarchy uniqueName="[UBC_MASUK].[Minggu]" caption="Minggu" attribute="1" defaultMemberUniqueName="[UBC_MASUK].[Minggu].[All]" allUniqueName="[UBC_MASUK].[Minggu].[All]" dimensionUniqueName="[UBC_MASUK]" displayFolder="" count="0" memberValueDatatype="20" unbalanced="0"/>
    <cacheHierarchy uniqueName="[UBC_MASUK].[Kuartal]" caption="Kuartal" attribute="1" defaultMemberUniqueName="[UBC_MASUK].[Kuartal].[All]" allUniqueName="[UBC_MASUK].[Kuartal].[All]" dimensionUniqueName="[UBC_MASUK]" displayFolder="" count="2" memberValueDatatype="130" unbalanced="0">
      <fieldsUsage count="2">
        <fieldUsage x="-1"/>
        <fieldUsage x="1"/>
      </fieldsUsage>
    </cacheHierarchy>
    <cacheHierarchy uniqueName="[UBC_MASUK].[Tanggal]" caption="Tanggal" attribute="1" defaultMemberUniqueName="[UBC_MASUK].[Tanggal].[All]" allUniqueName="[UBC_MASUK].[Tanggal].[All]" dimensionUniqueName="[UBC_MASUK]" displayFolder="" count="0" memberValueDatatype="20" unbalanced="0"/>
    <cacheHierarchy uniqueName="[UBC_MASUK].[Bulan]" caption="Bulan" attribute="1" defaultMemberUniqueName="[UBC_MASUK].[Bulan].[All]" allUniqueName="[UBC_MASUK].[Bulan].[All]" dimensionUniqueName="[UBC_MASUK]" displayFolder="" count="2" memberValueDatatype="130" unbalanced="0">
      <fieldsUsage count="2">
        <fieldUsage x="-1"/>
        <fieldUsage x="0"/>
      </fieldsUsage>
    </cacheHierarchy>
    <cacheHierarchy uniqueName="[UBC_MASUK].[Tahun]" caption="Tahun" attribute="1" defaultMemberUniqueName="[UBC_MASUK].[Tahun].[All]" allUniqueName="[UBC_MASUK].[Tahun].[All]" dimensionUniqueName="[UBC_MASUK]" displayFolder="" count="0" memberValueDatatype="20" unbalanced="0"/>
    <cacheHierarchy uniqueName="[UBC_MASUK].[Partisipan]" caption="Partisipan" attribute="1" defaultMemberUniqueName="[UBC_MASUK].[Partisipan].[All]" allUniqueName="[UBC_MASUK].[Partisipan].[All]" dimensionUniqueName="[UBC_MASUK]" displayFolder="" count="0" memberValueDatatype="130" unbalanced="0"/>
    <cacheHierarchy uniqueName="[UBC_MASUK].[Kategori]" caption="Kategori" attribute="1" defaultMemberUniqueName="[UBC_MASUK].[Kategori].[All]" allUniqueName="[UBC_MASUK].[Kategori].[All]" dimensionUniqueName="[UBC_MASUK]" displayFolder="" count="0" memberValueDatatype="130" unbalanced="0"/>
    <cacheHierarchy uniqueName="[UBC_MASUK].[Wilayah]" caption="Wilayah" attribute="1" defaultMemberUniqueName="[UBC_MASUK].[Wilayah].[All]" allUniqueName="[UBC_MASUK].[Wilayah].[All]" dimensionUniqueName="[UBC_MASUK]" displayFolder="" count="0" memberValueDatatype="130" unbalanced="0"/>
    <cacheHierarchy uniqueName="[UBC_MASUK].[∑ KMK (Kg)]" caption="∑ KMK (Kg)" attribute="1" defaultMemberUniqueName="[UBC_MASUK].[∑ KMK (Kg)].[All]" allUniqueName="[UBC_MASUK].[∑ KMK (Kg)].[All]" dimensionUniqueName="[UBC_MASUK]" displayFolder="" count="0" memberValueDatatype="5" unbalanced="0"/>
    <cacheHierarchy uniqueName="[UBC_MASUK].[Target Bulan]" caption="Target Bulan" attribute="1" defaultMemberUniqueName="[UBC_MASUK].[Target Bulan].[All]" allUniqueName="[UBC_MASUK].[Target Bulan].[All]" dimensionUniqueName="[UBC_MASUK]" displayFolder="" count="0" memberValueDatatype="5" unbalanced="0"/>
    <cacheHierarchy uniqueName="[UBC_MASUK].[Tg Bulan]" caption="Tg Bulan" attribute="1" defaultMemberUniqueName="[UBC_MASUK].[Tg Bulan].[All]" allUniqueName="[UBC_MASUK].[Tg Bulan].[All]" dimensionUniqueName="[UBC_MASUK]" displayFolder="" count="0" memberValueDatatype="130" unbalanced="0"/>
    <cacheHierarchy uniqueName="[UBC_MASUK].[Target Tahun]" caption="Target Tahun" attribute="1" defaultMemberUniqueName="[UBC_MASUK].[Target Tahun].[All]" allUniqueName="[UBC_MASUK].[Target Tahun].[All]" dimensionUniqueName="[UBC_MASUK]" displayFolder="" count="0" memberValueDatatype="5" unbalanced="0"/>
    <cacheHierarchy uniqueName="[UBC_MASUK].[Tg Tahun]" caption="Tg Tahun" attribute="1" defaultMemberUniqueName="[UBC_MASUK].[Tg Tahun].[All]" allUniqueName="[UBC_MASUK].[Tg Tahun].[All]" dimensionUniqueName="[UBC_MASUK]" displayFolder="" count="0" memberValueDatatype="130" unbalanced="0"/>
    <cacheHierarchy uniqueName="[UBC_MASUK].[Date (Month)]" caption="Date (Month)" attribute="1" defaultMemberUniqueName="[UBC_MASUK].[Date (Month)].[All]" allUniqueName="[UBC_MASUK].[Date (Month)].[All]" dimensionUniqueName="[UBC_MASUK]" displayFolder="" count="0" memberValueDatatype="130" unbalanced="0"/>
    <cacheHierarchy uniqueName="[UBC_MASUK].[Date (Month Index)]" caption="Date (Month Index)" attribute="1" defaultMemberUniqueName="[UBC_MASUK].[Date (Month Index)].[All]" allUniqueName="[UBC_MASUK].[Date (Month Index)].[All]" dimensionUniqueName="[UBC_MASUK]" displayFolder="" count="0" memberValueDatatype="20" unbalanced="0" hidden="1"/>
    <cacheHierarchy uniqueName="[Measures].[__XL_Count UBC_MASUK]" caption="__XL_Count UBC_MASUK" measure="1" displayFolder="" measureGroup="UBC_MASUK" count="0" hidden="1"/>
    <cacheHierarchy uniqueName="[Measures].[__XL_Count UBC_AKTIVITAS]" caption="__XL_Count UBC_AKTIVITAS" measure="1" displayFolder="" measureGroup="UBC_AKTIVITAS" count="0" hidden="1"/>
    <cacheHierarchy uniqueName="[Measures].[__No measures defined]" caption="__No measures defined" measure="1" displayFolder="" count="0" hidden="1"/>
    <cacheHierarchy uniqueName="[Measures].[Count of Partisipan]" caption="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Distinct Count of Partisipan]" caption="Distinct Count of Partisipan" measure="1" displayFolder="" measureGroup="UBC_MASUK" count="0" hidden="1">
      <extLst>
        <ext xmlns:x15="http://schemas.microsoft.com/office/spreadsheetml/2010/11/main" uri="{B97F6D7D-B522-45F9-BDA1-12C45D357490}">
          <x15:cacheHierarchy aggregatedColumn="15"/>
        </ext>
      </extLst>
    </cacheHierarchy>
    <cacheHierarchy uniqueName="[Measures].[Count of Wilayah]" caption="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Distinct Count of Wilayah]" caption="Distinct Count of Wilayah" measure="1" displayFolder="" measureGroup="UBC_MASUK" count="0" hidden="1">
      <extLst>
        <ext xmlns:x15="http://schemas.microsoft.com/office/spreadsheetml/2010/11/main" uri="{B97F6D7D-B522-45F9-BDA1-12C45D357490}">
          <x15:cacheHierarchy aggregatedColumn="17"/>
        </ext>
      </extLst>
    </cacheHierarchy>
    <cacheHierarchy uniqueName="[Measures].[Count of Kategori]" caption="Count of Kategori" measure="1" displayFolder="" measureGroup="UBC_MASUK" count="0" hidden="1">
      <extLst>
        <ext xmlns:x15="http://schemas.microsoft.com/office/spreadsheetml/2010/11/main" uri="{B97F6D7D-B522-45F9-BDA1-12C45D357490}">
          <x15:cacheHierarchy aggregatedColumn="16"/>
        </ext>
      </extLst>
    </cacheHierarchy>
    <cacheHierarchy uniqueName="[Measures].[Count of Kabupaten]" caption="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Distinct Count of Kabupaten]" caption="Distinct Count of Kabupaten" measure="1" displayFolder="" measureGroup="UBC_AKTIVITAS" count="0" hidden="1">
      <extLst>
        <ext xmlns:x15="http://schemas.microsoft.com/office/spreadsheetml/2010/11/main" uri="{B97F6D7D-B522-45F9-BDA1-12C45D357490}">
          <x15:cacheHierarchy aggregatedColumn="7"/>
        </ext>
      </extLst>
    </cacheHierarchy>
    <cacheHierarchy uniqueName="[Measures].[Sum of Jumlah Partisipan]" caption="Sum of Jumlah Partisipan" measure="1" displayFolder="" measureGroup="UBC_AKTIVITAS" count="0" hidden="1">
      <extLst>
        <ext xmlns:x15="http://schemas.microsoft.com/office/spreadsheetml/2010/11/main" uri="{B97F6D7D-B522-45F9-BDA1-12C45D357490}">
          <x15:cacheHierarchy aggregatedColumn="8"/>
        </ext>
      </extLst>
    </cacheHierarchy>
    <cacheHierarchy uniqueName="[Measures].[Count of Lokasi]" caption="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Distinct Count of Lokasi]" caption="Distinct Count of Lokasi" measure="1" displayFolder="" measureGroup="UBC_AKTIVITAS" count="0" hidden="1">
      <extLst>
        <ext xmlns:x15="http://schemas.microsoft.com/office/spreadsheetml/2010/11/main" uri="{B97F6D7D-B522-45F9-BDA1-12C45D357490}">
          <x15:cacheHierarchy aggregatedColumn="5"/>
        </ext>
      </extLst>
    </cacheHierarchy>
    <cacheHierarchy uniqueName="[Measures].[Sum of Target Bulan]" caption="Sum of Target Bulan" measure="1" displayFolder="" measureGroup="UBC_MASUK" count="0" hidden="1">
      <extLst>
        <ext xmlns:x15="http://schemas.microsoft.com/office/spreadsheetml/2010/11/main" uri="{B97F6D7D-B522-45F9-BDA1-12C45D357490}">
          <x15:cacheHierarchy aggregatedColumn="19"/>
        </ext>
      </extLst>
    </cacheHierarchy>
    <cacheHierarchy uniqueName="[Measures].[Sum of Target Tahun]" caption="Sum of Target Tahun" measure="1" displayFolder="" measureGroup="UBC_MASUK" count="0" hidden="1">
      <extLst>
        <ext xmlns:x15="http://schemas.microsoft.com/office/spreadsheetml/2010/11/main" uri="{B97F6D7D-B522-45F9-BDA1-12C45D357490}">
          <x15:cacheHierarchy aggregatedColumn="21"/>
        </ext>
      </extLst>
    </cacheHierarchy>
    <cacheHierarchy uniqueName="[Measures].[Sum of ∑ KMK (Kg)]" caption="Sum of ∑ KMK (Kg)" measure="1" displayFolder="" measureGroup="UBC_MASUK"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UBC_AKTIVITAS" uniqueName="[UBC_AKTIVITAS]" caption="UBC_AKTIVITAS"/>
    <dimension name="UBC_MASUK" uniqueName="[UBC_MASUK]" caption="UBC_MASUK"/>
  </dimensions>
  <measureGroups count="2">
    <measureGroup name="UBC_AKTIVITAS" caption="UBC_AKTIVITAS"/>
    <measureGroup name="UBC_MASUK" caption="UBC_MASUK"/>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cation EcoBali" refreshedDate="44351.487027083334" createdVersion="6" refreshedVersion="7" minRefreshableVersion="3" recordCount="389" xr:uid="{7363FE21-9FD6-41FE-9E42-5828FF84C0F3}">
  <cacheSource type="worksheet">
    <worksheetSource name="UBC_MASUK"/>
  </cacheSource>
  <cacheFields count="14">
    <cacheField name="Date" numFmtId="14">
      <sharedItems containsSemiMixedTypes="0" containsNonDate="0" containsDate="1" containsString="0" minDate="2021-01-02T00:00:00" maxDate="2021-06-01T00:00:00"/>
    </cacheField>
    <cacheField name="Minggu" numFmtId="0">
      <sharedItems containsSemiMixedTypes="0" containsString="0" containsNumber="1" containsInteger="1" minValue="1" maxValue="5"/>
    </cacheField>
    <cacheField name="Kuartal" numFmtId="0">
      <sharedItems/>
    </cacheField>
    <cacheField name="Tanggal" numFmtId="0">
      <sharedItems containsSemiMixedTypes="0" containsString="0" containsNumber="1" containsInteger="1" minValue="1" maxValue="31"/>
    </cacheField>
    <cacheField name="Bulan" numFmtId="49">
      <sharedItems/>
    </cacheField>
    <cacheField name="Tahun" numFmtId="0">
      <sharedItems containsSemiMixedTypes="0" containsString="0" containsNumber="1" containsInteger="1" minValue="2021" maxValue="2021"/>
    </cacheField>
    <cacheField name="Partisipan" numFmtId="0">
      <sharedItems/>
    </cacheField>
    <cacheField name="Kategori" numFmtId="0">
      <sharedItems count="14">
        <s v="TPS3R"/>
        <s v="TPST3R"/>
        <s v="TPA"/>
        <s v="Pengepul"/>
        <s v="Jasa sampah"/>
        <s v="Bisnis"/>
        <s v="Hotel"/>
        <s v="Sekolah"/>
        <s v="Bank Sampah Unit"/>
        <s v="EB Residential Service"/>
        <s v="Bank Sampah Induk"/>
        <s v="ecoBali" u="1"/>
        <s v="BSI" u="1"/>
        <s v="Residential Service" u="1"/>
      </sharedItems>
    </cacheField>
    <cacheField name="Wilayah" numFmtId="0">
      <sharedItems/>
    </cacheField>
    <cacheField name="∑ KMK (Kg)" numFmtId="0">
      <sharedItems containsSemiMixedTypes="0" containsString="0" containsNumber="1" minValue="0" maxValue="2460"/>
    </cacheField>
    <cacheField name="Target Bulan" numFmtId="168">
      <sharedItems containsSemiMixedTypes="0" containsString="0" containsNumber="1" minValue="6.1128205130769224" maxValue="3993.7361099999998"/>
    </cacheField>
    <cacheField name="Tg Bulan" numFmtId="41">
      <sharedItems/>
    </cacheField>
    <cacheField name="Target Tahun" numFmtId="168">
      <sharedItems containsSemiMixedTypes="0" containsString="0" containsNumber="1" minValue="24.451282051282053" maxValue="4228.661764705882"/>
    </cacheField>
    <cacheField name="Tg Tahun" numFmtId="0">
      <sharedItems/>
    </cacheField>
  </cacheFields>
  <extLst>
    <ext xmlns:x14="http://schemas.microsoft.com/office/spreadsheetml/2009/9/main" uri="{725AE2AE-9491-48be-B2B4-4EB974FC3084}">
      <x14:pivotCacheDefinition pivotCacheId="1449156445"/>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cation EcoBali" refreshedDate="44351.487027314812" createdVersion="6" refreshedVersion="7" minRefreshableVersion="3" recordCount="4" xr:uid="{936299F6-2366-4F3A-958C-932E171694D4}">
  <cacheSource type="worksheet">
    <worksheetSource name="UBC_KELUAR"/>
  </cacheSource>
  <cacheFields count="32">
    <cacheField name="Date" numFmtId="14">
      <sharedItems containsSemiMixedTypes="0" containsNonDate="0" containsDate="1" containsString="0" minDate="2021-01-18T00:00:00" maxDate="2021-04-29T00:00:00"/>
    </cacheField>
    <cacheField name="Month" numFmtId="0">
      <sharedItems containsBlank="1" count="8">
        <s v="(01) JAN"/>
        <s v="(02) FEB"/>
        <s v="(03) MAR"/>
        <s v="(04) APR"/>
        <m u="1"/>
        <s v="JAN" u="1"/>
        <s v="MAR" u="1"/>
        <s v="FEB" u="1"/>
      </sharedItems>
    </cacheField>
    <cacheField name="Quartal" numFmtId="0">
      <sharedItems containsBlank="1" count="3">
        <s v="Q1"/>
        <s v="Q2"/>
        <m u="1"/>
      </sharedItems>
    </cacheField>
    <cacheField name="Year" numFmtId="0">
      <sharedItems containsSemiMixedTypes="0" containsString="0" containsNumber="1" containsInteger="1" minValue="2021" maxValue="2021"/>
    </cacheField>
    <cacheField name="Collected by ecoBali (Kg)" numFmtId="166">
      <sharedItems containsSemiMixedTypes="0" containsString="0" containsNumber="1" minValue="7967.8" maxValue="10062.870000000001"/>
    </cacheField>
    <cacheField name="Collected H-1 Sell (Kg)" numFmtId="166">
      <sharedItems containsSemiMixedTypes="0" containsString="0" containsNumber="1" minValue="4426.3999999999996" maxValue="9276.6"/>
    </cacheField>
    <cacheField name="Delivered to Papermill (Kg)" numFmtId="166">
      <sharedItems containsSemiMixedTypes="0" containsString="0" containsNumber="1" containsInteger="1" minValue="8373" maxValue="11758"/>
    </cacheField>
    <cacheField name="Weighing scale Gap ecoBali (Kg)" numFmtId="166">
      <sharedItems containsSemiMixedTypes="0" containsString="0" containsNumber="1" minValue="215.96999999999935" maxValue="1102.2000000000007"/>
    </cacheField>
    <cacheField name="% Weighing scale Gap ecoBali" numFmtId="165">
      <sharedItems containsSemiMixedTypes="0" containsString="0" containsNumber="1" minValue="2.5145040674260051E-2" maxValue="8.5706287616055796E-2"/>
    </cacheField>
    <cacheField name="Sisa KMK Bulan Lalu (Kg)" numFmtId="166">
      <sharedItems containsSemiMixedTypes="0" containsString="0" containsNumber="1" minValue="0.3999999999996362" maxValue="5257"/>
    </cacheField>
    <cacheField name="Sisa KMK untuk bulan depan (Kg)" numFmtId="166">
      <sharedItems containsSemiMixedTypes="0" containsString="0" containsNumber="1" minValue="0.3999999999996362" maxValue="5139.8999999999996"/>
    </cacheField>
    <cacheField name="Papermill" numFmtId="166">
      <sharedItems containsBlank="1" count="2">
        <s v="Jayantara Sakti"/>
        <m u="1"/>
      </sharedItems>
    </cacheField>
    <cacheField name="Received at Papermill (Kg)" numFmtId="166">
      <sharedItems containsSemiMixedTypes="0" containsString="0" containsNumber="1" containsInteger="1" minValue="8340" maxValue="11800"/>
    </cacheField>
    <cacheField name="Weighing scale Gap papermill (Kg)" numFmtId="167">
      <sharedItems containsSemiMixedTypes="0" containsString="0" containsNumber="1" containsInteger="1" minValue="-42" maxValue="55"/>
    </cacheField>
    <cacheField name="% Weighing scale Gap papermill" numFmtId="164">
      <sharedItems containsSemiMixedTypes="0" containsString="0" containsNumber="1" minValue="-0.35720360605545159" maxValue="0.6121313299944352"/>
    </cacheField>
    <cacheField name="Moisture Content and Contaminant (Kg)" numFmtId="166">
      <sharedItems containsSemiMixedTypes="0" containsString="0" containsNumber="1" containsInteger="1" minValue="372" maxValue="944"/>
    </cacheField>
    <cacheField name="% Moisture Content and Contaminant " numFmtId="164">
      <sharedItems containsSemiMixedTypes="0" containsString="0" containsNumber="1" minValue="4" maxValue="8.7010078387458005"/>
    </cacheField>
    <cacheField name="Total Gap / Deduction (Kg)" numFmtId="166">
      <sharedItems containsSemiMixedTypes="0" containsString="0" containsNumber="1" containsInteger="1" minValue="342" maxValue="902"/>
    </cacheField>
    <cacheField name="% Total Gap / Deduction" numFmtId="164">
      <sharedItems containsSemiMixedTypes="0" containsString="0" containsNumber="1" minValue="3.6893203883495143" maxValue="9.259877573734002"/>
    </cacheField>
    <cacheField name="Total Weight Accepted" numFmtId="166">
      <sharedItems containsSemiMixedTypes="0" containsString="0" containsNumber="1" containsInteger="1" minValue="7690" maxValue="10856"/>
    </cacheField>
    <cacheField name="Target Bulanan" numFmtId="166">
      <sharedItems containsSemiMixedTypes="0" containsString="0" containsNumber="1" minValue="20833.330000000002" maxValue="20833.330000000002"/>
    </cacheField>
    <cacheField name="Target Tahunan" numFmtId="166">
      <sharedItems containsSemiMixedTypes="0" containsString="0" containsNumber="1" containsInteger="1" minValue="62500" maxValue="62500"/>
    </cacheField>
    <cacheField name="Tg Tahun" numFmtId="166">
      <sharedItems containsSemiMixedTypes="0" containsString="0" containsNumber="1" containsInteger="1" minValue="250000" maxValue="250000"/>
    </cacheField>
    <cacheField name="Tidak Susut" numFmtId="0" formula="#NAME?-'Weighing scale Gap ecoBali (Kg)'" databaseField="0"/>
    <cacheField name="Received-Sent" numFmtId="0" formula="#NAME?-'Delivered to Papermill (Kg)'" databaseField="0"/>
    <cacheField name="Received Vs Sent %" numFmtId="0" formula=" (#NAME?-'Delivered to Papermill (Kg)')/'Delivered to Papermill (Kg)'" databaseField="0"/>
    <cacheField name="Sent Vs Received" numFmtId="0" formula="'Delivered to Papermill (Kg)'-#NAME?" databaseField="0"/>
    <cacheField name="Sent Vs Received %" numFmtId="0" formula=" ('Delivered to Papermill (Kg)'-#NAME?)/'Delivered to Papermill (Kg)'" databaseField="0"/>
    <cacheField name="R-S" numFmtId="0" formula="'Received at Papermill (Kg)'-'Delivered to Papermill (Kg)'" databaseField="0"/>
    <cacheField name="R-S (%)" numFmtId="0" formula="'R-S'/'Delivered to Papermill (Kg)'*100" databaseField="0"/>
    <cacheField name="%R-S" numFmtId="0" formula="'R-S'/'Received at Papermill (Kg)'" databaseField="0"/>
    <cacheField name="Before Delivered" numFmtId="0" formula="'Collected H-1 Sell (Kg)'+'Sisa KMK Bulan Lalu (Kg)'" databaseField="0"/>
  </cacheFields>
  <extLst>
    <ext xmlns:x14="http://schemas.microsoft.com/office/spreadsheetml/2009/9/main" uri="{725AE2AE-9491-48be-B2B4-4EB974FC3084}">
      <x14:pivotCacheDefinition pivotCacheId="1870690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d v="2021-01-08T00:00:00"/>
    <n v="2"/>
    <s v="Q1"/>
    <n v="8"/>
    <s v="(01) JAN"/>
    <n v="2021"/>
    <s v="TPS3R Rumah Hijau"/>
    <x v="0"/>
    <s v="Badung"/>
    <n v="19"/>
    <n v="130.47777777777767"/>
    <s v="391,433333333333"/>
    <n v="418.83636363636361"/>
    <s v="4607,2"/>
  </r>
  <r>
    <d v="2021-01-08T00:00:00"/>
    <n v="2"/>
    <s v="Q1"/>
    <n v="8"/>
    <s v="(01) JAN"/>
    <n v="2021"/>
    <s v="TPS3R Bayu Suci"/>
    <x v="0"/>
    <s v="Tabanan"/>
    <n v="16"/>
    <n v="130.47777777777767"/>
    <s v="391,433333333333"/>
    <n v="418.83636363636361"/>
    <s v="4607,2"/>
  </r>
  <r>
    <d v="2021-01-15T00:00:00"/>
    <n v="3"/>
    <s v="Q1"/>
    <n v="15"/>
    <s v="(01) JAN"/>
    <n v="2021"/>
    <s v="Tambyak Lestari"/>
    <x v="0"/>
    <s v="Badung"/>
    <n v="110"/>
    <n v="130.47777777777767"/>
    <s v="391,433333333333"/>
    <n v="418.83636363636361"/>
    <s v="4607,2"/>
  </r>
  <r>
    <d v="2021-01-09T00:00:00"/>
    <n v="2"/>
    <s v="Q1"/>
    <n v="9"/>
    <s v="(01) JAN"/>
    <n v="2021"/>
    <s v="Seminyak Clean"/>
    <x v="1"/>
    <s v="Badung"/>
    <n v="68"/>
    <n v="407.4083333333333"/>
    <s v="1222,225"/>
    <n v="1333.3363636363638"/>
    <s v="14666,7"/>
  </r>
  <r>
    <d v="2021-01-14T00:00:00"/>
    <n v="2"/>
    <s v="Q1"/>
    <n v="14"/>
    <s v="(01) JAN"/>
    <n v="2021"/>
    <s v="Rumah kompos padang tegal"/>
    <x v="1"/>
    <s v="Gianyar"/>
    <n v="153"/>
    <n v="407.4083333333333"/>
    <s v="1222,225"/>
    <n v="1333.3363636363638"/>
    <s v="14666,7"/>
  </r>
  <r>
    <d v="2021-01-29T00:00:00"/>
    <n v="5"/>
    <s v="Q1"/>
    <n v="29"/>
    <s v="(01) JAN"/>
    <n v="2021"/>
    <s v="Rumah kompos padang tegal"/>
    <x v="1"/>
    <s v="Gianyar"/>
    <n v="157"/>
    <n v="407.4083333333333"/>
    <s v="1222,225"/>
    <n v="1333.3363636363638"/>
    <s v="14666,7"/>
  </r>
  <r>
    <d v="2021-01-08T00:00:00"/>
    <n v="2"/>
    <s v="Q1"/>
    <n v="8"/>
    <s v="(01) JAN"/>
    <n v="2021"/>
    <s v="Mitra Gianyar Bagus"/>
    <x v="2"/>
    <s v="Gianyar"/>
    <n v="548"/>
    <n v="878.97500000000002"/>
    <s v="878,975"/>
    <n v="1757.95"/>
    <s v="10547,7"/>
  </r>
  <r>
    <d v="2021-01-09T00:00:00"/>
    <n v="2"/>
    <s v="Q1"/>
    <n v="9"/>
    <s v="(01) JAN"/>
    <n v="2021"/>
    <s v="Pak Legito"/>
    <x v="3"/>
    <s v="Denpasar"/>
    <n v="339"/>
    <n v="1497.6510412499999"/>
    <s v="11981,20833"/>
    <n v="4228.661764705882"/>
    <s v="143774,5"/>
  </r>
  <r>
    <d v="2021-01-11T00:00:00"/>
    <n v="2"/>
    <s v="Q1"/>
    <n v="11"/>
    <s v="(01) JAN"/>
    <n v="2021"/>
    <s v="Pak Sueb"/>
    <x v="3"/>
    <s v="Denpasar"/>
    <n v="1485"/>
    <n v="1497.6510412499999"/>
    <s v="11981,20833"/>
    <n v="4228.661764705882"/>
    <s v="143774,5"/>
  </r>
  <r>
    <d v="2021-01-20T00:00:00"/>
    <n v="3"/>
    <s v="Q1"/>
    <n v="20"/>
    <s v="(01) JAN"/>
    <n v="2021"/>
    <s v="Pak Komang pemelisan"/>
    <x v="3"/>
    <s v="Denpasar"/>
    <n v="340"/>
    <n v="1497.6510412499999"/>
    <s v="11981,20833"/>
    <n v="4228.661764705882"/>
    <s v="143774,5"/>
  </r>
  <r>
    <d v="2021-01-27T00:00:00"/>
    <n v="4"/>
    <s v="Q1"/>
    <n v="27"/>
    <s v="(01) JAN"/>
    <n v="2021"/>
    <s v="Pak Sueb"/>
    <x v="3"/>
    <s v="Denpasar"/>
    <n v="2460"/>
    <n v="1497.6510412499999"/>
    <s v="11981,20833"/>
    <n v="4228.661764705882"/>
    <s v="143774,5"/>
  </r>
  <r>
    <d v="2021-01-30T00:00:00"/>
    <n v="5"/>
    <s v="Q1"/>
    <n v="30"/>
    <s v="(01) JAN"/>
    <n v="2021"/>
    <s v="Pak Legito"/>
    <x v="3"/>
    <s v="Denpasar"/>
    <n v="608"/>
    <n v="1497.6510412499999"/>
    <s v="11981,20833"/>
    <n v="4228.661764705882"/>
    <s v="143774,5"/>
  </r>
  <r>
    <d v="2021-01-30T00:00:00"/>
    <n v="5"/>
    <s v="Q1"/>
    <n v="30"/>
    <s v="(01) JAN"/>
    <n v="2021"/>
    <s v="Pak Sueb"/>
    <x v="3"/>
    <s v="Denpasar"/>
    <n v="890"/>
    <n v="1497.6510412499999"/>
    <s v="11981,20833"/>
    <n v="4228.661764705882"/>
    <s v="143774,5"/>
  </r>
  <r>
    <d v="2021-01-02T00:00:00"/>
    <n v="1"/>
    <s v="Q1"/>
    <n v="2"/>
    <s v="(01) JAN"/>
    <n v="2021"/>
    <s v="Pak Rono"/>
    <x v="4"/>
    <s v="Denpasar"/>
    <n v="471"/>
    <n v="742.48666660000004"/>
    <s v="3712,433333"/>
    <n v="1856.2166666666665"/>
    <s v="44549,2"/>
  </r>
  <r>
    <d v="2021-01-04T00:00:00"/>
    <n v="1"/>
    <s v="Q1"/>
    <n v="4"/>
    <s v="(01) JAN"/>
    <n v="2021"/>
    <s v="Ibu Awi"/>
    <x v="3"/>
    <s v="Badung"/>
    <n v="429"/>
    <n v="1497.6510412499999"/>
    <s v="11981,20833"/>
    <n v="4228.661764705882"/>
    <s v="143774,5"/>
  </r>
  <r>
    <d v="2021-01-08T00:00:00"/>
    <n v="2"/>
    <s v="Q1"/>
    <n v="8"/>
    <s v="(01) JAN"/>
    <n v="2021"/>
    <s v="Pak Sidik"/>
    <x v="3"/>
    <s v="Badung"/>
    <n v="48"/>
    <n v="1497.6510412499999"/>
    <s v="11981,20833"/>
    <n v="4228.661764705882"/>
    <s v="143774,5"/>
  </r>
  <r>
    <d v="2021-01-11T00:00:00"/>
    <n v="2"/>
    <s v="Q1"/>
    <n v="11"/>
    <s v="(01) JAN"/>
    <n v="2021"/>
    <s v="Pak Jero mangku"/>
    <x v="4"/>
    <s v="Denpasar"/>
    <n v="46"/>
    <n v="742.48666660000004"/>
    <s v="3712,433333"/>
    <n v="1856.2166666666665"/>
    <s v="44549,2"/>
  </r>
  <r>
    <d v="2021-01-11T00:00:00"/>
    <n v="2"/>
    <s v="Q1"/>
    <n v="11"/>
    <s v="(01) JAN"/>
    <n v="2021"/>
    <s v="Pak Rono"/>
    <x v="4"/>
    <s v="Denpasar"/>
    <n v="64"/>
    <n v="742.48666660000004"/>
    <s v="3712,433333"/>
    <n v="1856.2166666666665"/>
    <s v="44549,2"/>
  </r>
  <r>
    <d v="2021-01-25T00:00:00"/>
    <n v="4"/>
    <s v="Q1"/>
    <n v="25"/>
    <s v="(01) JAN"/>
    <n v="2021"/>
    <s v="Pak Jero mangku"/>
    <x v="4"/>
    <s v="Denpasar"/>
    <n v="36"/>
    <n v="742.48666660000004"/>
    <s v="3712,433333"/>
    <n v="1856.2166666666665"/>
    <s v="44549,2"/>
  </r>
  <r>
    <d v="2021-01-25T00:00:00"/>
    <n v="4"/>
    <s v="Q1"/>
    <n v="25"/>
    <s v="(01) JAN"/>
    <n v="2021"/>
    <s v="Pak Rono"/>
    <x v="4"/>
    <s v="Denpasar"/>
    <n v="71"/>
    <n v="742.48666660000004"/>
    <s v="3712,433333"/>
    <n v="1856.2166666666665"/>
    <s v="44549,2"/>
  </r>
  <r>
    <d v="2021-01-02T00:00:00"/>
    <n v="1"/>
    <s v="Q1"/>
    <n v="2"/>
    <s v="(01) JAN"/>
    <n v="2021"/>
    <s v="Gelato factory"/>
    <x v="5"/>
    <s v="Badung"/>
    <n v="22"/>
    <n v="60.957894736842107"/>
    <s v="1158,2"/>
    <n v="111.18719999999999"/>
    <s v="13898,4"/>
  </r>
  <r>
    <d v="2021-01-04T00:00:00"/>
    <n v="1"/>
    <s v="Q1"/>
    <n v="4"/>
    <s v="(01) JAN"/>
    <n v="2021"/>
    <s v="Monsieur spoon"/>
    <x v="5"/>
    <s v="Badung"/>
    <n v="10"/>
    <n v="60.957894736842107"/>
    <s v="1158,2"/>
    <n v="111.18719999999999"/>
    <s v="13898,4"/>
  </r>
  <r>
    <d v="2021-01-06T00:00:00"/>
    <n v="1"/>
    <s v="Q1"/>
    <n v="6"/>
    <s v="(01) JAN"/>
    <n v="2021"/>
    <s v="Milk up"/>
    <x v="5"/>
    <s v="Denpasar"/>
    <n v="72"/>
    <n v="60.957894736842107"/>
    <s v="1158,2"/>
    <n v="111.18719999999999"/>
    <s v="13898,4"/>
  </r>
  <r>
    <d v="2021-01-06T00:00:00"/>
    <n v="1"/>
    <s v="Q1"/>
    <n v="6"/>
    <s v="(01) JAN"/>
    <n v="2021"/>
    <s v="Gusto gelato"/>
    <x v="5"/>
    <s v="Badung"/>
    <n v="114"/>
    <n v="60.957894736842107"/>
    <s v="1158,2"/>
    <n v="111.18719999999999"/>
    <s v="13898,4"/>
  </r>
  <r>
    <d v="2021-01-08T00:00:00"/>
    <n v="2"/>
    <s v="Q1"/>
    <n v="8"/>
    <s v="(01) JAN"/>
    <n v="2021"/>
    <s v="Gelato factory"/>
    <x v="5"/>
    <s v="Badung"/>
    <n v="19"/>
    <n v="60.957894736842107"/>
    <s v="1158,2"/>
    <n v="111.18719999999999"/>
    <s v="13898,4"/>
  </r>
  <r>
    <d v="2021-01-11T00:00:00"/>
    <n v="2"/>
    <s v="Q1"/>
    <n v="11"/>
    <s v="(01) JAN"/>
    <n v="2021"/>
    <s v="Gusto gelato"/>
    <x v="5"/>
    <s v="Badung"/>
    <n v="30"/>
    <n v="60.957894736842107"/>
    <s v="1158,2"/>
    <n v="111.18719999999999"/>
    <s v="13898,4"/>
  </r>
  <r>
    <d v="2021-01-11T00:00:00"/>
    <n v="2"/>
    <s v="Q1"/>
    <n v="11"/>
    <s v="(01) JAN"/>
    <n v="2021"/>
    <s v="Milk up"/>
    <x v="5"/>
    <s v="Denpasar"/>
    <n v="40"/>
    <n v="60.957894736842107"/>
    <s v="1158,2"/>
    <n v="111.18719999999999"/>
    <s v="13898,4"/>
  </r>
  <r>
    <d v="2021-01-14T00:00:00"/>
    <n v="2"/>
    <s v="Q1"/>
    <n v="14"/>
    <s v="(01) JAN"/>
    <n v="2021"/>
    <s v="Gelato factory"/>
    <x v="5"/>
    <s v="Badung"/>
    <n v="4"/>
    <n v="60.957894736842107"/>
    <s v="1158,2"/>
    <n v="111.18719999999999"/>
    <s v="13898,4"/>
  </r>
  <r>
    <d v="2021-01-14T00:00:00"/>
    <n v="2"/>
    <s v="Q1"/>
    <n v="14"/>
    <s v="(01) JAN"/>
    <n v="2021"/>
    <s v="Milk up"/>
    <x v="5"/>
    <s v="Denpasar"/>
    <n v="38"/>
    <n v="60.957894736842107"/>
    <s v="1158,2"/>
    <n v="111.18719999999999"/>
    <s v="13898,4"/>
  </r>
  <r>
    <d v="2021-01-18T00:00:00"/>
    <n v="3"/>
    <s v="Q1"/>
    <n v="18"/>
    <s v="(01) JAN"/>
    <n v="2021"/>
    <s v="Gusto gelato"/>
    <x v="5"/>
    <s v="Badung"/>
    <n v="30"/>
    <n v="60.957894736842107"/>
    <s v="1158,2"/>
    <n v="111.18719999999999"/>
    <s v="13898,4"/>
  </r>
  <r>
    <d v="2021-01-18T00:00:00"/>
    <n v="3"/>
    <s v="Q1"/>
    <n v="18"/>
    <s v="(01) JAN"/>
    <n v="2021"/>
    <s v="Milk up"/>
    <x v="5"/>
    <s v="Denpasar"/>
    <n v="36"/>
    <n v="60.957894736842107"/>
    <s v="1158,2"/>
    <n v="111.18719999999999"/>
    <s v="13898,4"/>
  </r>
  <r>
    <d v="2021-01-22T00:00:00"/>
    <n v="4"/>
    <s v="Q1"/>
    <n v="22"/>
    <s v="(01) JAN"/>
    <n v="2021"/>
    <s v="Paletas wey"/>
    <x v="5"/>
    <s v="Badung"/>
    <n v="50"/>
    <n v="60.957894736842107"/>
    <s v="1158,2"/>
    <n v="111.18719999999999"/>
    <s v="13898,4"/>
  </r>
  <r>
    <d v="2021-01-22T00:00:00"/>
    <n v="4"/>
    <s v="Q1"/>
    <n v="22"/>
    <s v="(01) JAN"/>
    <n v="2021"/>
    <s v="Milk up"/>
    <x v="5"/>
    <s v="Denpasar"/>
    <n v="36"/>
    <n v="60.957894736842107"/>
    <s v="1158,2"/>
    <n v="111.18719999999999"/>
    <s v="13898,4"/>
  </r>
  <r>
    <d v="2021-01-25T00:00:00"/>
    <n v="4"/>
    <s v="Q1"/>
    <n v="25"/>
    <s v="(01) JAN"/>
    <n v="2021"/>
    <s v="Milk up"/>
    <x v="5"/>
    <s v="Denpasar"/>
    <n v="22"/>
    <n v="60.957894736842107"/>
    <s v="1158,2"/>
    <n v="111.18719999999999"/>
    <s v="13898,4"/>
  </r>
  <r>
    <d v="2021-01-27T00:00:00"/>
    <n v="4"/>
    <s v="Q1"/>
    <n v="27"/>
    <s v="(01) JAN"/>
    <n v="2021"/>
    <s v="Monsieur spoon"/>
    <x v="5"/>
    <s v="Badung"/>
    <n v="11"/>
    <n v="60.957894736842107"/>
    <s v="1158,2"/>
    <n v="111.18719999999999"/>
    <s v="13898,4"/>
  </r>
  <r>
    <d v="2021-01-29T00:00:00"/>
    <n v="5"/>
    <s v="Q1"/>
    <n v="29"/>
    <s v="(01) JAN"/>
    <n v="2021"/>
    <s v="Gelato factory"/>
    <x v="5"/>
    <s v="Badung"/>
    <n v="41"/>
    <n v="60.957894736842107"/>
    <s v="1158,2"/>
    <n v="111.18719999999999"/>
    <s v="13898,4"/>
  </r>
  <r>
    <d v="2021-01-29T00:00:00"/>
    <n v="5"/>
    <s v="Q1"/>
    <n v="29"/>
    <s v="(01) JAN"/>
    <n v="2021"/>
    <s v="sundays coffee"/>
    <x v="5"/>
    <s v="Badung"/>
    <n v="1"/>
    <n v="60.957894736842107"/>
    <s v="1158,2"/>
    <n v="111.18719999999999"/>
    <s v="13898,4"/>
  </r>
  <r>
    <d v="2021-01-29T00:00:00"/>
    <n v="5"/>
    <s v="Q1"/>
    <n v="29"/>
    <s v="(01) JAN"/>
    <n v="2021"/>
    <s v="Milk up"/>
    <x v="5"/>
    <s v="Denpasar"/>
    <n v="52"/>
    <n v="60.957894736842107"/>
    <s v="1158,2"/>
    <n v="111.18719999999999"/>
    <s v="13898,4"/>
  </r>
  <r>
    <d v="2021-01-18T00:00:00"/>
    <n v="3"/>
    <s v="Q1"/>
    <n v="18"/>
    <s v="(01) JAN"/>
    <n v="2021"/>
    <s v="Alila uluwatu"/>
    <x v="6"/>
    <s v="Badung"/>
    <n v="1.5"/>
    <n v="201.40833330000001"/>
    <s v="201,4083333"/>
    <n v="345.2714285714286"/>
    <s v="2416,9"/>
  </r>
  <r>
    <d v="2021-01-08T00:00:00"/>
    <n v="2"/>
    <s v="Q1"/>
    <n v="8"/>
    <s v="(01) JAN"/>
    <n v="2021"/>
    <s v="Green School"/>
    <x v="7"/>
    <s v="Badung"/>
    <n v="7"/>
    <n v="21.591666666666669"/>
    <s v="64,775"/>
    <n v="38.864999999999995"/>
    <s v="777,3"/>
  </r>
  <r>
    <d v="2021-01-15T00:00:00"/>
    <n v="3"/>
    <s v="Q1"/>
    <n v="15"/>
    <s v="(01) JAN"/>
    <n v="2021"/>
    <s v="Green School"/>
    <x v="7"/>
    <s v="Badung"/>
    <n v="4"/>
    <n v="21.591666666666669"/>
    <s v="64,775"/>
    <n v="38.864999999999995"/>
    <s v="777,3"/>
  </r>
  <r>
    <d v="2021-01-29T00:00:00"/>
    <n v="5"/>
    <s v="Q1"/>
    <n v="29"/>
    <s v="(01) JAN"/>
    <n v="2021"/>
    <s v="Green School"/>
    <x v="7"/>
    <s v="Badung"/>
    <n v="9"/>
    <n v="21.591666666666669"/>
    <s v="64,775"/>
    <n v="38.864999999999995"/>
    <s v="777,3"/>
  </r>
  <r>
    <d v="2021-01-05T00:00:00"/>
    <n v="1"/>
    <s v="Q1"/>
    <n v="5"/>
    <s v="(01) JAN"/>
    <n v="2021"/>
    <s v="Br Pempatan Munggu"/>
    <x v="8"/>
    <s v="Badung"/>
    <n v="0.9"/>
    <n v="8.8296296299999995"/>
    <s v="79,46666667"/>
    <n v="24.451282051282053"/>
    <s v="953,6"/>
  </r>
  <r>
    <d v="2021-01-05T00:00:00"/>
    <n v="1"/>
    <s v="Q1"/>
    <n v="5"/>
    <s v="(01) JAN"/>
    <n v="2021"/>
    <s v="Br Gambang Munggu"/>
    <x v="8"/>
    <s v="Badung"/>
    <n v="4.5"/>
    <n v="8.8296296299999995"/>
    <s v="79,46666667"/>
    <n v="24.451282051282053"/>
    <s v="953,6"/>
  </r>
  <r>
    <d v="2021-01-18T00:00:00"/>
    <n v="3"/>
    <s v="Q1"/>
    <n v="18"/>
    <s v="(01) JAN"/>
    <n v="2021"/>
    <s v="Br Aseman Kangin Tibubeneng"/>
    <x v="8"/>
    <s v="Badung"/>
    <n v="0.5"/>
    <n v="8.8296296299999995"/>
    <s v="79,46666667"/>
    <n v="24.451282051282053"/>
    <s v="953,6"/>
  </r>
  <r>
    <d v="2021-01-20T00:00:00"/>
    <n v="3"/>
    <s v="Q1"/>
    <n v="20"/>
    <s v="(01) JAN"/>
    <n v="2021"/>
    <s v="Br Sangiangan Cemagi"/>
    <x v="8"/>
    <s v="Badung"/>
    <n v="10"/>
    <n v="8.8296296299999995"/>
    <s v="79,46666667"/>
    <n v="24.451282051282053"/>
    <s v="953,6"/>
  </r>
  <r>
    <d v="2021-01-21T00:00:00"/>
    <n v="3"/>
    <s v="Q1"/>
    <n v="21"/>
    <s v="(01) JAN"/>
    <n v="2021"/>
    <s v="Br Kaja Kangin Cemagi"/>
    <x v="8"/>
    <s v="Badung"/>
    <n v="8.4"/>
    <n v="8.8296296299999995"/>
    <s v="79,46666667"/>
    <n v="24.451282051282053"/>
    <s v="953,6"/>
  </r>
  <r>
    <d v="2021-01-21T00:00:00"/>
    <n v="3"/>
    <s v="Q1"/>
    <n v="21"/>
    <s v="(01) JAN"/>
    <n v="2021"/>
    <s v="Br Krisnantara Tibubeneng"/>
    <x v="8"/>
    <s v="Badung"/>
    <n v="1"/>
    <n v="8.8296296299999995"/>
    <s v="79,46666667"/>
    <n v="24.451282051282053"/>
    <s v="953,6"/>
  </r>
  <r>
    <d v="2021-01-25T00:00:00"/>
    <n v="4"/>
    <s v="Q1"/>
    <n v="25"/>
    <s v="(01) JAN"/>
    <n v="2021"/>
    <s v="Br Uma Buluh Canggu"/>
    <x v="8"/>
    <s v="Badung"/>
    <n v="14.2"/>
    <n v="8.8296296299999995"/>
    <s v="79,46666667"/>
    <n v="24.451282051282053"/>
    <s v="953,6"/>
  </r>
  <r>
    <d v="2021-01-26T00:00:00"/>
    <n v="4"/>
    <s v="Q1"/>
    <n v="26"/>
    <s v="(01) JAN"/>
    <n v="2021"/>
    <s v="Br Dukuh Pandean Munggu"/>
    <x v="8"/>
    <s v="Badung"/>
    <n v="9"/>
    <n v="8.8296296299999995"/>
    <s v="79,46666667"/>
    <n v="24.451282051282053"/>
    <s v="953,6"/>
  </r>
  <r>
    <d v="2021-01-27T00:00:00"/>
    <n v="4"/>
    <s v="Q1"/>
    <n v="27"/>
    <s v="(01) JAN"/>
    <n v="2021"/>
    <s v="Br Pande Pemaron Munggu"/>
    <x v="8"/>
    <s v="Badung"/>
    <n v="5.3"/>
    <n v="8.8296296299999995"/>
    <s v="79,46666667"/>
    <n v="24.451282051282053"/>
    <s v="953,6"/>
  </r>
  <r>
    <d v="2021-01-04T00:00:00"/>
    <n v="1"/>
    <s v="Q1"/>
    <n v="4"/>
    <s v="(01) JAN"/>
    <n v="2021"/>
    <s v="ecoBali"/>
    <x v="9"/>
    <s v="Badung"/>
    <n v="38"/>
    <n v="37.553623186956521"/>
    <s v="863,7333333"/>
    <n v="99.661538461538456"/>
    <s v="10364,8"/>
  </r>
  <r>
    <d v="2021-01-05T00:00:00"/>
    <n v="1"/>
    <s v="Q1"/>
    <n v="5"/>
    <s v="(01) JAN"/>
    <n v="2021"/>
    <s v="ecoBali"/>
    <x v="9"/>
    <s v="Badung"/>
    <n v="5"/>
    <n v="37.553623186956521"/>
    <s v="863,7333333"/>
    <n v="99.661538461538456"/>
    <s v="10364,8"/>
  </r>
  <r>
    <d v="2021-01-07T00:00:00"/>
    <n v="1"/>
    <s v="Q1"/>
    <n v="7"/>
    <s v="(01) JAN"/>
    <n v="2021"/>
    <s v="ecoBali"/>
    <x v="9"/>
    <s v="Badung"/>
    <n v="82"/>
    <n v="37.553623186956521"/>
    <s v="863,7333333"/>
    <n v="99.661538461538456"/>
    <s v="10364,8"/>
  </r>
  <r>
    <d v="2021-01-08T00:00:00"/>
    <n v="2"/>
    <s v="Q1"/>
    <n v="8"/>
    <s v="(01) JAN"/>
    <n v="2021"/>
    <s v="ecoBali"/>
    <x v="9"/>
    <s v="Badung"/>
    <n v="18"/>
    <n v="37.553623186956521"/>
    <s v="863,7333333"/>
    <n v="99.661538461538456"/>
    <s v="10364,8"/>
  </r>
  <r>
    <d v="2021-01-09T00:00:00"/>
    <n v="2"/>
    <s v="Q1"/>
    <n v="9"/>
    <s v="(01) JAN"/>
    <n v="2021"/>
    <s v="ecoBali"/>
    <x v="9"/>
    <s v="Badung"/>
    <n v="26"/>
    <n v="37.553623186956521"/>
    <s v="863,7333333"/>
    <n v="99.661538461538456"/>
    <s v="10364,8"/>
  </r>
  <r>
    <d v="2021-01-11T00:00:00"/>
    <n v="2"/>
    <s v="Q1"/>
    <n v="11"/>
    <s v="(01) JAN"/>
    <n v="2021"/>
    <s v="ecoBali"/>
    <x v="9"/>
    <s v="Badung"/>
    <n v="17"/>
    <n v="37.553623186956521"/>
    <s v="863,7333333"/>
    <n v="99.661538461538456"/>
    <s v="10364,8"/>
  </r>
  <r>
    <d v="2021-01-12T00:00:00"/>
    <n v="2"/>
    <s v="Q1"/>
    <n v="12"/>
    <s v="(01) JAN"/>
    <n v="2021"/>
    <s v="ecoBali"/>
    <x v="9"/>
    <s v="Badung"/>
    <n v="23"/>
    <n v="37.553623186956521"/>
    <s v="863,7333333"/>
    <n v="99.661538461538456"/>
    <s v="10364,8"/>
  </r>
  <r>
    <d v="2021-01-13T00:00:00"/>
    <n v="2"/>
    <s v="Q1"/>
    <n v="13"/>
    <s v="(01) JAN"/>
    <n v="2021"/>
    <s v="ecoBali"/>
    <x v="9"/>
    <s v="Badung"/>
    <n v="21"/>
    <n v="37.553623186956521"/>
    <s v="863,7333333"/>
    <n v="99.661538461538456"/>
    <s v="10364,8"/>
  </r>
  <r>
    <d v="2021-01-14T00:00:00"/>
    <n v="2"/>
    <s v="Q1"/>
    <n v="14"/>
    <s v="(01) JAN"/>
    <n v="2021"/>
    <s v="ecoBali"/>
    <x v="9"/>
    <s v="Badung"/>
    <n v="6"/>
    <n v="37.553623186956521"/>
    <s v="863,7333333"/>
    <n v="99.661538461538456"/>
    <s v="10364,8"/>
  </r>
  <r>
    <d v="2021-01-15T00:00:00"/>
    <n v="3"/>
    <s v="Q1"/>
    <n v="15"/>
    <s v="(01) JAN"/>
    <n v="2021"/>
    <s v="ecoBali"/>
    <x v="9"/>
    <s v="Badung"/>
    <n v="6"/>
    <n v="37.553623186956521"/>
    <s v="863,7333333"/>
    <n v="99.661538461538456"/>
    <s v="10364,8"/>
  </r>
  <r>
    <d v="2021-01-16T00:00:00"/>
    <n v="3"/>
    <s v="Q1"/>
    <n v="16"/>
    <s v="(01) JAN"/>
    <n v="2021"/>
    <s v="ecoBali"/>
    <x v="9"/>
    <s v="Badung"/>
    <n v="23"/>
    <n v="37.553623186956521"/>
    <s v="863,7333333"/>
    <n v="99.661538461538456"/>
    <s v="10364,8"/>
  </r>
  <r>
    <d v="2021-01-18T00:00:00"/>
    <n v="3"/>
    <s v="Q1"/>
    <n v="18"/>
    <s v="(01) JAN"/>
    <n v="2021"/>
    <s v="ecoBali"/>
    <x v="9"/>
    <s v="Badung"/>
    <n v="1"/>
    <n v="37.553623186956521"/>
    <s v="863,7333333"/>
    <n v="99.661538461538456"/>
    <s v="10364,8"/>
  </r>
  <r>
    <d v="2021-01-19T00:00:00"/>
    <n v="3"/>
    <s v="Q1"/>
    <n v="19"/>
    <s v="(01) JAN"/>
    <n v="2021"/>
    <s v="ecoBali"/>
    <x v="9"/>
    <s v="Badung"/>
    <n v="20"/>
    <n v="37.553623186956521"/>
    <s v="863,7333333"/>
    <n v="99.661538461538456"/>
    <s v="10364,8"/>
  </r>
  <r>
    <d v="2021-01-20T00:00:00"/>
    <n v="3"/>
    <s v="Q1"/>
    <n v="20"/>
    <s v="(01) JAN"/>
    <n v="2021"/>
    <s v="ecoBali"/>
    <x v="9"/>
    <s v="Badung"/>
    <n v="14"/>
    <n v="37.553623186956521"/>
    <s v="863,7333333"/>
    <n v="99.661538461538456"/>
    <s v="10364,8"/>
  </r>
  <r>
    <d v="2021-01-21T00:00:00"/>
    <n v="3"/>
    <s v="Q1"/>
    <n v="21"/>
    <s v="(01) JAN"/>
    <n v="2021"/>
    <s v="ecoBali"/>
    <x v="9"/>
    <s v="Badung"/>
    <n v="24"/>
    <n v="37.553623186956521"/>
    <s v="863,7333333"/>
    <n v="99.661538461538456"/>
    <s v="10364,8"/>
  </r>
  <r>
    <d v="2021-01-22T00:00:00"/>
    <n v="4"/>
    <s v="Q1"/>
    <n v="22"/>
    <s v="(01) JAN"/>
    <n v="2021"/>
    <s v="ecoBali"/>
    <x v="9"/>
    <s v="Badung"/>
    <n v="35"/>
    <n v="37.553623186956521"/>
    <s v="863,7333333"/>
    <n v="99.661538461538456"/>
    <s v="10364,8"/>
  </r>
  <r>
    <d v="2021-01-23T00:00:00"/>
    <n v="4"/>
    <s v="Q1"/>
    <n v="23"/>
    <s v="(01) JAN"/>
    <n v="2021"/>
    <s v="ecoBali"/>
    <x v="9"/>
    <s v="Badung"/>
    <n v="6"/>
    <n v="37.553623186956521"/>
    <s v="863,7333333"/>
    <n v="99.661538461538456"/>
    <s v="10364,8"/>
  </r>
  <r>
    <d v="2021-01-25T00:00:00"/>
    <n v="4"/>
    <s v="Q1"/>
    <n v="25"/>
    <s v="(01) JAN"/>
    <n v="2021"/>
    <s v="ecoBali"/>
    <x v="9"/>
    <s v="Badung"/>
    <n v="24"/>
    <n v="37.553623186956521"/>
    <s v="863,7333333"/>
    <n v="99.661538461538456"/>
    <s v="10364,8"/>
  </r>
  <r>
    <d v="2021-01-26T00:00:00"/>
    <n v="4"/>
    <s v="Q1"/>
    <n v="26"/>
    <s v="(01) JAN"/>
    <n v="2021"/>
    <s v="ecoBali"/>
    <x v="9"/>
    <s v="Badung"/>
    <n v="27"/>
    <n v="37.553623186956521"/>
    <s v="863,7333333"/>
    <n v="99.661538461538456"/>
    <s v="10364,8"/>
  </r>
  <r>
    <d v="2021-01-27T00:00:00"/>
    <n v="4"/>
    <s v="Q1"/>
    <n v="27"/>
    <s v="(01) JAN"/>
    <n v="2021"/>
    <s v="ecoBali"/>
    <x v="9"/>
    <s v="Badung"/>
    <n v="22"/>
    <n v="37.553623186956521"/>
    <s v="863,7333333"/>
    <n v="99.661538461538456"/>
    <s v="10364,8"/>
  </r>
  <r>
    <d v="2021-01-28T00:00:00"/>
    <n v="4"/>
    <s v="Q1"/>
    <n v="28"/>
    <s v="(01) JAN"/>
    <n v="2021"/>
    <s v="ecoBali"/>
    <x v="9"/>
    <s v="Badung"/>
    <n v="30"/>
    <n v="37.553623186956521"/>
    <s v="863,7333333"/>
    <n v="99.661538461538456"/>
    <s v="10364,8"/>
  </r>
  <r>
    <d v="2021-01-29T00:00:00"/>
    <n v="5"/>
    <s v="Q1"/>
    <n v="29"/>
    <s v="(01) JAN"/>
    <n v="2021"/>
    <s v="ecoBali"/>
    <x v="9"/>
    <s v="Badung"/>
    <n v="18"/>
    <n v="37.553623186956521"/>
    <s v="863,7333333"/>
    <n v="99.661538461538456"/>
    <s v="10364,8"/>
  </r>
  <r>
    <d v="2021-01-30T00:00:00"/>
    <n v="5"/>
    <s v="Q1"/>
    <n v="30"/>
    <s v="(01) JAN"/>
    <n v="2021"/>
    <s v="ecoBali"/>
    <x v="9"/>
    <s v="Badung"/>
    <n v="19"/>
    <n v="37.553623186956521"/>
    <s v="863,7333333"/>
    <n v="99.661538461538456"/>
    <s v="10364,8"/>
  </r>
  <r>
    <d v="2021-01-30T00:00:00"/>
    <n v="5"/>
    <s v="Q1"/>
    <n v="30"/>
    <s v="(01) JAN"/>
    <n v="2021"/>
    <s v="BSI E-darling Buleleng"/>
    <x v="10"/>
    <s v="Buleleng"/>
    <n v="0"/>
    <n v="279.47500000000002"/>
    <s v="279,475"/>
    <n v="419.21249999999998"/>
    <s v="3353,7"/>
  </r>
  <r>
    <d v="2021-01-30T00:00:00"/>
    <n v="5"/>
    <s v="Q1"/>
    <n v="30"/>
    <s v="(01) JAN"/>
    <n v="2021"/>
    <s v="PT Berkat Daur Ulang"/>
    <x v="5"/>
    <s v="Klungkung"/>
    <n v="0"/>
    <n v="60.957894736842107"/>
    <s v="1158,2"/>
    <n v="111.18719999999999"/>
    <s v="13898,4"/>
  </r>
  <r>
    <d v="2021-02-26T00:00:00"/>
    <n v="4"/>
    <s v="Q1"/>
    <n v="26"/>
    <s v="(02) FEB"/>
    <n v="2021"/>
    <s v="TPS3R Bindu"/>
    <x v="0"/>
    <s v="Badung"/>
    <n v="18"/>
    <n v="195.7166666666665"/>
    <s v="391,433333333333"/>
    <n v="418.83636363636361"/>
    <s v="4607,2"/>
  </r>
  <r>
    <d v="2021-02-18T00:00:00"/>
    <n v="3"/>
    <s v="Q1"/>
    <n v="18"/>
    <s v="(02) FEB"/>
    <n v="2021"/>
    <s v="Rumah kompos padang tegal"/>
    <x v="1"/>
    <s v="Gianyar"/>
    <n v="216.5"/>
    <n v="611.11249999999995"/>
    <s v="1222,225"/>
    <n v="1333.3363636363638"/>
    <s v="14666,7"/>
  </r>
  <r>
    <d v="2021-02-26T00:00:00"/>
    <n v="4"/>
    <s v="Q1"/>
    <n v="26"/>
    <s v="(02) FEB"/>
    <n v="2021"/>
    <s v="Seminyak Clean"/>
    <x v="1"/>
    <s v="Badung"/>
    <n v="104"/>
    <n v="611.11249999999995"/>
    <s v="1222,225"/>
    <n v="1333.3363636363638"/>
    <s v="14666,7"/>
  </r>
  <r>
    <d v="2021-02-02T00:00:00"/>
    <n v="1"/>
    <s v="Q1"/>
    <n v="2"/>
    <s v="(02) FEB"/>
    <n v="2021"/>
    <s v="Mitra Gianyar Bagus"/>
    <x v="2"/>
    <s v="Gianyar"/>
    <n v="536"/>
    <n v="439.48750000000001"/>
    <s v="878,975"/>
    <n v="1757.95"/>
    <s v="10547,7"/>
  </r>
  <r>
    <d v="2021-02-19T00:00:00"/>
    <n v="3"/>
    <s v="Q1"/>
    <n v="19"/>
    <s v="(02) FEB"/>
    <n v="2021"/>
    <s v="Mitra Gianyar Bagus"/>
    <x v="2"/>
    <s v="Gianyar"/>
    <n v="206"/>
    <n v="439.48750000000001"/>
    <s v="878,975"/>
    <n v="1757.95"/>
    <s v="10547,7"/>
  </r>
  <r>
    <d v="2021-02-05T00:00:00"/>
    <n v="1"/>
    <s v="Q1"/>
    <n v="5"/>
    <s v="(02) FEB"/>
    <n v="2021"/>
    <s v="Pak Sueb"/>
    <x v="3"/>
    <s v="Denpasar"/>
    <n v="931"/>
    <n v="1996.8680549999999"/>
    <s v="11981,20833"/>
    <n v="4228.661764705882"/>
    <s v="143774,5"/>
  </r>
  <r>
    <d v="2021-02-18T00:00:00"/>
    <n v="3"/>
    <s v="Q1"/>
    <n v="18"/>
    <s v="(02) FEB"/>
    <n v="2021"/>
    <s v="Ibu Awi"/>
    <x v="3"/>
    <s v="Badung"/>
    <n v="162"/>
    <n v="1996.8680549999999"/>
    <s v="11981,20833"/>
    <n v="4228.661764705882"/>
    <s v="143774,5"/>
  </r>
  <r>
    <d v="2021-02-19T00:00:00"/>
    <n v="3"/>
    <s v="Q1"/>
    <n v="19"/>
    <s v="(02) FEB"/>
    <n v="2021"/>
    <s v="Pak Sueb"/>
    <x v="3"/>
    <s v="Denpasar"/>
    <n v="2218"/>
    <n v="1996.8680549999999"/>
    <s v="11981,20833"/>
    <n v="4228.661764705882"/>
    <s v="143774,5"/>
  </r>
  <r>
    <d v="2021-02-06T00:00:00"/>
    <n v="1"/>
    <s v="Q1"/>
    <n v="6"/>
    <s v="(02) FEB"/>
    <n v="2021"/>
    <s v="Ibu Awi"/>
    <x v="3"/>
    <s v="Badung"/>
    <n v="302"/>
    <n v="1996.8680549999999"/>
    <s v="11981,20833"/>
    <n v="4228.661764705882"/>
    <s v="143774,5"/>
  </r>
  <r>
    <d v="2021-02-24T00:00:00"/>
    <n v="4"/>
    <s v="Q1"/>
    <n v="24"/>
    <s v="(02) FEB"/>
    <n v="2021"/>
    <s v="Pak Sueb"/>
    <x v="3"/>
    <s v="Denpasar"/>
    <n v="1072"/>
    <n v="1996.8680549999999"/>
    <s v="11981,20833"/>
    <n v="4228.661764705882"/>
    <s v="143774,5"/>
  </r>
  <r>
    <d v="2021-02-06T00:00:00"/>
    <n v="1"/>
    <s v="Q1"/>
    <n v="6"/>
    <s v="(02) FEB"/>
    <n v="2021"/>
    <s v="Pak Moyo"/>
    <x v="4"/>
    <s v="Badung"/>
    <n v="169"/>
    <n v="1237.4777776666667"/>
    <s v="3712,433333"/>
    <n v="1856.2166666666665"/>
    <s v="44549,2"/>
  </r>
  <r>
    <d v="2021-02-06T00:00:00"/>
    <n v="1"/>
    <s v="Q1"/>
    <n v="6"/>
    <s v="(02) FEB"/>
    <n v="2021"/>
    <s v="Pak Rono"/>
    <x v="4"/>
    <s v="Denpasar"/>
    <n v="319"/>
    <n v="1237.4777776666667"/>
    <s v="3712,433333"/>
    <n v="1856.2166666666665"/>
    <s v="44549,2"/>
  </r>
  <r>
    <d v="2021-02-15T00:00:00"/>
    <n v="3"/>
    <s v="Q1"/>
    <n v="15"/>
    <s v="(02) FEB"/>
    <n v="2021"/>
    <s v="Pak Kidul"/>
    <x v="4"/>
    <s v="Denpasar"/>
    <n v="75"/>
    <n v="1237.4777776666667"/>
    <s v="3712,433333"/>
    <n v="1856.2166666666665"/>
    <s v="44549,2"/>
  </r>
  <r>
    <d v="2021-02-17T00:00:00"/>
    <n v="3"/>
    <s v="Q1"/>
    <n v="17"/>
    <s v="(02) FEB"/>
    <n v="2021"/>
    <s v="Pak Komang pemelisan"/>
    <x v="3"/>
    <s v="Denpasar"/>
    <n v="459"/>
    <n v="1996.8680549999999"/>
    <s v="11981,20833"/>
    <n v="4228.661764705882"/>
    <s v="143774,5"/>
  </r>
  <r>
    <d v="2021-02-01T00:00:00"/>
    <n v="1"/>
    <s v="Q1"/>
    <n v="1"/>
    <s v="(02) FEB"/>
    <n v="2021"/>
    <s v="Milk up"/>
    <x v="5"/>
    <s v="Denpasar"/>
    <n v="21"/>
    <n v="55.152380952380952"/>
    <s v="1158,2"/>
    <n v="111.18719999999999"/>
    <s v="13898,4"/>
  </r>
  <r>
    <d v="2021-02-01T00:00:00"/>
    <n v="1"/>
    <s v="Q1"/>
    <n v="1"/>
    <s v="(02) FEB"/>
    <n v="2021"/>
    <s v="Gusto gelato"/>
    <x v="5"/>
    <s v="Badung"/>
    <n v="41"/>
    <n v="55.152380952380952"/>
    <s v="1158,2"/>
    <n v="111.18719999999999"/>
    <s v="13898,4"/>
  </r>
  <r>
    <d v="2021-02-05T00:00:00"/>
    <n v="1"/>
    <s v="Q1"/>
    <n v="5"/>
    <s v="(02) FEB"/>
    <n v="2021"/>
    <s v="Milk up"/>
    <x v="5"/>
    <s v="Denpasar"/>
    <n v="56"/>
    <n v="55.152380952380952"/>
    <s v="1158,2"/>
    <n v="111.18719999999999"/>
    <s v="13898,4"/>
  </r>
  <r>
    <d v="2021-02-08T00:00:00"/>
    <n v="2"/>
    <s v="Q1"/>
    <n v="8"/>
    <s v="(02) FEB"/>
    <n v="2021"/>
    <s v="Gusto gelato"/>
    <x v="5"/>
    <s v="Badung"/>
    <n v="34"/>
    <n v="55.152380952380952"/>
    <s v="1158,2"/>
    <n v="111.18719999999999"/>
    <s v="13898,4"/>
  </r>
  <r>
    <d v="2021-02-08T00:00:00"/>
    <n v="2"/>
    <s v="Q1"/>
    <n v="8"/>
    <s v="(02) FEB"/>
    <n v="2021"/>
    <s v="Gelato factory"/>
    <x v="5"/>
    <s v="Badung"/>
    <n v="12"/>
    <n v="55.152380952380952"/>
    <s v="1158,2"/>
    <n v="111.18719999999999"/>
    <s v="13898,4"/>
  </r>
  <r>
    <d v="2021-02-08T00:00:00"/>
    <n v="2"/>
    <s v="Q1"/>
    <n v="8"/>
    <s v="(02) FEB"/>
    <n v="2021"/>
    <s v="Milk up"/>
    <x v="5"/>
    <s v="Denpasar"/>
    <n v="24"/>
    <n v="55.152380952380952"/>
    <s v="1158,2"/>
    <n v="111.18719999999999"/>
    <s v="13898,4"/>
  </r>
  <r>
    <d v="2021-02-08T00:00:00"/>
    <n v="2"/>
    <s v="Q1"/>
    <n v="8"/>
    <s v="(02) FEB"/>
    <n v="2021"/>
    <s v="Aid hub"/>
    <x v="5"/>
    <s v="Badung"/>
    <n v="1"/>
    <n v="55.152380952380952"/>
    <s v="1158,2"/>
    <n v="111.18719999999999"/>
    <s v="13898,4"/>
  </r>
  <r>
    <d v="2021-02-13T00:00:00"/>
    <n v="2"/>
    <s v="Q1"/>
    <n v="13"/>
    <s v="(02) FEB"/>
    <n v="2021"/>
    <s v="Milk up"/>
    <x v="5"/>
    <s v="Denpasar"/>
    <n v="64"/>
    <n v="55.152380952380952"/>
    <s v="1158,2"/>
    <n v="111.18719999999999"/>
    <s v="13898,4"/>
  </r>
  <r>
    <d v="2021-02-15T00:00:00"/>
    <n v="3"/>
    <s v="Q1"/>
    <n v="15"/>
    <s v="(02) FEB"/>
    <n v="2021"/>
    <s v="Gusto gelato"/>
    <x v="5"/>
    <s v="Badung"/>
    <n v="43"/>
    <n v="55.152380952380952"/>
    <s v="1158,2"/>
    <n v="111.18719999999999"/>
    <s v="13898,4"/>
  </r>
  <r>
    <d v="2021-02-15T00:00:00"/>
    <n v="3"/>
    <s v="Q1"/>
    <n v="15"/>
    <s v="(02) FEB"/>
    <n v="2021"/>
    <s v="Milk up"/>
    <x v="5"/>
    <s v="Denpasar"/>
    <n v="3"/>
    <n v="55.152380952380952"/>
    <s v="1158,2"/>
    <n v="111.18719999999999"/>
    <s v="13898,4"/>
  </r>
  <r>
    <d v="2021-02-15T00:00:00"/>
    <n v="3"/>
    <s v="Q1"/>
    <n v="15"/>
    <s v="(02) FEB"/>
    <n v="2021"/>
    <s v="Gelato factory"/>
    <x v="5"/>
    <s v="Badung"/>
    <n v="12"/>
    <n v="55.152380952380952"/>
    <s v="1158,2"/>
    <n v="111.18719999999999"/>
    <s v="13898,4"/>
  </r>
  <r>
    <d v="2021-02-18T00:00:00"/>
    <n v="3"/>
    <s v="Q1"/>
    <n v="18"/>
    <s v="(02) FEB"/>
    <n v="2021"/>
    <s v="PT Berkat Daur Ulang"/>
    <x v="5"/>
    <s v="Klungkung"/>
    <n v="121.1"/>
    <n v="55.152380952380952"/>
    <s v="1158,2"/>
    <n v="111.18719999999999"/>
    <s v="13898,4"/>
  </r>
  <r>
    <d v="2021-02-19T00:00:00"/>
    <n v="3"/>
    <s v="Q1"/>
    <n v="19"/>
    <s v="(02) FEB"/>
    <n v="2021"/>
    <s v="Milk up"/>
    <x v="5"/>
    <s v="Denpasar"/>
    <n v="51"/>
    <n v="55.152380952380952"/>
    <s v="1158,2"/>
    <n v="111.18719999999999"/>
    <s v="13898,4"/>
  </r>
  <r>
    <d v="2021-02-19T00:00:00"/>
    <n v="3"/>
    <s v="Q1"/>
    <n v="19"/>
    <s v="(02) FEB"/>
    <n v="2021"/>
    <s v="Monsieur spoon"/>
    <x v="5"/>
    <s v="Badung"/>
    <n v="11"/>
    <n v="55.152380952380952"/>
    <s v="1158,2"/>
    <n v="111.18719999999999"/>
    <s v="13898,4"/>
  </r>
  <r>
    <d v="2021-02-22T00:00:00"/>
    <n v="4"/>
    <s v="Q1"/>
    <n v="22"/>
    <s v="(02) FEB"/>
    <n v="2021"/>
    <s v="Milk up"/>
    <x v="5"/>
    <s v="Denpasar"/>
    <n v="28"/>
    <n v="55.152380952380952"/>
    <s v="1158,2"/>
    <n v="111.18719999999999"/>
    <s v="13898,4"/>
  </r>
  <r>
    <d v="2021-02-22T00:00:00"/>
    <n v="4"/>
    <s v="Q1"/>
    <n v="22"/>
    <s v="(02) FEB"/>
    <n v="2021"/>
    <s v="Gelato factory"/>
    <x v="5"/>
    <s v="Badung"/>
    <n v="11"/>
    <n v="55.152380952380952"/>
    <s v="1158,2"/>
    <n v="111.18719999999999"/>
    <s v="13898,4"/>
  </r>
  <r>
    <d v="2021-02-22T00:00:00"/>
    <n v="4"/>
    <s v="Q1"/>
    <n v="22"/>
    <s v="(02) FEB"/>
    <n v="2021"/>
    <s v="sundays coffee"/>
    <x v="5"/>
    <s v="Badung"/>
    <n v="3"/>
    <n v="55.152380952380952"/>
    <s v="1158,2"/>
    <n v="111.18719999999999"/>
    <s v="13898,4"/>
  </r>
  <r>
    <d v="2021-02-22T00:00:00"/>
    <n v="4"/>
    <s v="Q1"/>
    <n v="22"/>
    <s v="(02) FEB"/>
    <n v="2021"/>
    <s v="Gusto gelato"/>
    <x v="5"/>
    <s v="Badung"/>
    <n v="46"/>
    <n v="55.152380952380952"/>
    <s v="1158,2"/>
    <n v="111.18719999999999"/>
    <s v="13898,4"/>
  </r>
  <r>
    <d v="2021-02-22T00:00:00"/>
    <n v="4"/>
    <s v="Q1"/>
    <n v="22"/>
    <s v="(02) FEB"/>
    <n v="2021"/>
    <s v="Aid hub"/>
    <x v="5"/>
    <s v="Badung"/>
    <n v="0.6"/>
    <n v="55.152380952380952"/>
    <s v="1158,2"/>
    <n v="111.18719999999999"/>
    <s v="13898,4"/>
  </r>
  <r>
    <d v="2021-02-26T00:00:00"/>
    <n v="4"/>
    <s v="Q1"/>
    <n v="26"/>
    <s v="(02) FEB"/>
    <n v="2021"/>
    <s v="Milk up"/>
    <x v="5"/>
    <s v="Badung"/>
    <n v="52"/>
    <n v="55.152380952380952"/>
    <s v="1158,2"/>
    <n v="111.18719999999999"/>
    <s v="13898,4"/>
  </r>
  <r>
    <d v="2021-02-13T00:00:00"/>
    <n v="2"/>
    <s v="Q1"/>
    <n v="13"/>
    <s v="(02) FEB"/>
    <n v="2021"/>
    <s v="Alila ubud"/>
    <x v="6"/>
    <s v="Gianyar"/>
    <n v="1.8"/>
    <n v="100.70416665"/>
    <s v="201,4083333"/>
    <n v="345.2714285714286"/>
    <s v="2416,9"/>
  </r>
  <r>
    <d v="2021-02-13T00:00:00"/>
    <n v="2"/>
    <s v="Q1"/>
    <n v="13"/>
    <s v="(02) FEB"/>
    <n v="2021"/>
    <s v="Four season ubud"/>
    <x v="6"/>
    <s v="Gianyar"/>
    <n v="1.5"/>
    <n v="100.70416665"/>
    <s v="201,4083333"/>
    <n v="345.2714285714286"/>
    <s v="2416,9"/>
  </r>
  <r>
    <d v="2021-02-05T00:00:00"/>
    <n v="1"/>
    <s v="Q1"/>
    <n v="5"/>
    <s v="(02) FEB"/>
    <n v="2021"/>
    <s v="LF Bali"/>
    <x v="7"/>
    <s v="Badung"/>
    <n v="2.5"/>
    <n v="12.955000000000002"/>
    <s v="64,775"/>
    <n v="38.864999999999995"/>
    <s v="777,3"/>
  </r>
  <r>
    <d v="2021-02-05T00:00:00"/>
    <n v="1"/>
    <s v="Q1"/>
    <n v="5"/>
    <s v="(02) FEB"/>
    <n v="2021"/>
    <s v="Green School"/>
    <x v="7"/>
    <s v="Badung"/>
    <n v="3"/>
    <n v="12.955000000000002"/>
    <s v="64,775"/>
    <n v="38.864999999999995"/>
    <s v="777,3"/>
  </r>
  <r>
    <d v="2021-02-05T00:00:00"/>
    <n v="1"/>
    <s v="Q1"/>
    <n v="5"/>
    <s v="(02) FEB"/>
    <n v="2021"/>
    <s v="BIS (Bali Island School)"/>
    <x v="7"/>
    <s v="Denpasar"/>
    <n v="5"/>
    <n v="12.955000000000002"/>
    <s v="64,775"/>
    <n v="38.864999999999995"/>
    <s v="777,3"/>
  </r>
  <r>
    <d v="2021-02-19T00:00:00"/>
    <n v="3"/>
    <s v="Q1"/>
    <n v="19"/>
    <s v="(02) FEB"/>
    <n v="2021"/>
    <s v="Green School"/>
    <x v="7"/>
    <s v="Badung"/>
    <n v="8"/>
    <n v="12.955000000000002"/>
    <s v="64,775"/>
    <n v="38.864999999999995"/>
    <s v="777,3"/>
  </r>
  <r>
    <d v="2021-02-26T00:00:00"/>
    <n v="4"/>
    <s v="Q1"/>
    <n v="26"/>
    <s v="(02) FEB"/>
    <n v="2021"/>
    <s v="Green School"/>
    <x v="7"/>
    <s v="Badung"/>
    <n v="7"/>
    <n v="12.955000000000002"/>
    <s v="64,775"/>
    <n v="38.864999999999995"/>
    <s v="777,3"/>
  </r>
  <r>
    <d v="2021-02-16T00:00:00"/>
    <n v="3"/>
    <s v="Q1"/>
    <n v="16"/>
    <s v="(02) FEB"/>
    <n v="2021"/>
    <s v="Br Aseman Kangin Tibubeneng"/>
    <x v="8"/>
    <s v="Badung"/>
    <n v="0.2"/>
    <n v="11.352380952857143"/>
    <s v="79,46666667"/>
    <n v="24.451282051282053"/>
    <s v="953,6"/>
  </r>
  <r>
    <d v="2021-02-22T00:00:00"/>
    <n v="4"/>
    <s v="Q1"/>
    <n v="22"/>
    <s v="(02) FEB"/>
    <n v="2021"/>
    <s v="Br Dukuh Sengguan Munggu"/>
    <x v="8"/>
    <s v="Badung"/>
    <n v="0.3"/>
    <n v="11.352380952857143"/>
    <s v="79,46666667"/>
    <n v="24.451282051282053"/>
    <s v="953,6"/>
  </r>
  <r>
    <d v="2021-02-22T00:00:00"/>
    <n v="4"/>
    <s v="Q1"/>
    <n v="22"/>
    <s v="(02) FEB"/>
    <n v="2021"/>
    <s v="Br Dukuh Pandean Munggu"/>
    <x v="8"/>
    <s v="Badung"/>
    <n v="0.5"/>
    <n v="11.352380952857143"/>
    <s v="79,46666667"/>
    <n v="24.451282051282053"/>
    <s v="953,6"/>
  </r>
  <r>
    <d v="2021-02-22T00:00:00"/>
    <n v="4"/>
    <s v="Q1"/>
    <n v="22"/>
    <s v="(02) FEB"/>
    <n v="2021"/>
    <s v="Br Pande Pemaron Munggu"/>
    <x v="8"/>
    <s v="Badung"/>
    <n v="1.8"/>
    <n v="11.352380952857143"/>
    <s v="79,46666667"/>
    <n v="24.451282051282053"/>
    <s v="953,6"/>
  </r>
  <r>
    <d v="2021-02-23T00:00:00"/>
    <n v="4"/>
    <s v="Q1"/>
    <n v="23"/>
    <s v="(02) FEB"/>
    <n v="2021"/>
    <s v="Br Kayu Tulang Canggu"/>
    <x v="8"/>
    <s v="Badung"/>
    <n v="10"/>
    <n v="11.352380952857143"/>
    <s v="79,46666667"/>
    <n v="24.451282051282053"/>
    <s v="953,6"/>
  </r>
  <r>
    <d v="2021-02-23T00:00:00"/>
    <n v="4"/>
    <s v="Q1"/>
    <n v="23"/>
    <s v="(02) FEB"/>
    <n v="2021"/>
    <s v="Br Krisnantara Tibubeneng"/>
    <x v="8"/>
    <s v="Badung"/>
    <n v="0.5"/>
    <n v="11.352380952857143"/>
    <s v="79,46666667"/>
    <n v="24.451282051282053"/>
    <s v="953,6"/>
  </r>
  <r>
    <d v="2021-02-01T00:00:00"/>
    <n v="1"/>
    <s v="Q1"/>
    <n v="1"/>
    <s v="(02) FEB"/>
    <n v="2021"/>
    <s v="ecoBali"/>
    <x v="9"/>
    <s v="Badung"/>
    <n v="20"/>
    <n v="37.553623186956521"/>
    <s v="863,7333333"/>
    <n v="99.661538461538456"/>
    <s v="10364,8"/>
  </r>
  <r>
    <d v="2021-02-02T00:00:00"/>
    <n v="1"/>
    <s v="Q1"/>
    <n v="2"/>
    <s v="(02) FEB"/>
    <n v="2021"/>
    <s v="ecoBali"/>
    <x v="9"/>
    <s v="Badung"/>
    <n v="16"/>
    <n v="37.553623186956521"/>
    <s v="863,7333333"/>
    <n v="99.661538461538456"/>
    <s v="10364,8"/>
  </r>
  <r>
    <d v="2021-02-03T00:00:00"/>
    <n v="1"/>
    <s v="Q1"/>
    <n v="3"/>
    <s v="(02) FEB"/>
    <n v="2021"/>
    <s v="ecoBali"/>
    <x v="9"/>
    <s v="Badung"/>
    <n v="20"/>
    <n v="37.553623186956521"/>
    <s v="863,7333333"/>
    <n v="99.661538461538456"/>
    <s v="10364,8"/>
  </r>
  <r>
    <d v="2021-02-05T00:00:00"/>
    <n v="1"/>
    <s v="Q1"/>
    <n v="5"/>
    <s v="(02) FEB"/>
    <n v="2021"/>
    <s v="ecoBali"/>
    <x v="9"/>
    <s v="Badung"/>
    <n v="4"/>
    <n v="37.553623186956521"/>
    <s v="863,7333333"/>
    <n v="99.661538461538456"/>
    <s v="10364,8"/>
  </r>
  <r>
    <d v="2021-02-06T00:00:00"/>
    <n v="1"/>
    <s v="Q1"/>
    <n v="6"/>
    <s v="(02) FEB"/>
    <n v="2021"/>
    <s v="ecoBali"/>
    <x v="9"/>
    <s v="Badung"/>
    <n v="11"/>
    <n v="37.553623186956521"/>
    <s v="863,7333333"/>
    <n v="99.661538461538456"/>
    <s v="10364,8"/>
  </r>
  <r>
    <d v="2021-02-08T00:00:00"/>
    <n v="2"/>
    <s v="Q1"/>
    <n v="8"/>
    <s v="(02) FEB"/>
    <n v="2021"/>
    <s v="ecoBali"/>
    <x v="9"/>
    <s v="Badung"/>
    <n v="21"/>
    <n v="37.553623186956521"/>
    <s v="863,7333333"/>
    <n v="99.661538461538456"/>
    <s v="10364,8"/>
  </r>
  <r>
    <d v="2021-02-09T00:00:00"/>
    <n v="2"/>
    <s v="Q1"/>
    <n v="9"/>
    <s v="(02) FEB"/>
    <n v="2021"/>
    <s v="ecoBali"/>
    <x v="9"/>
    <s v="Badung"/>
    <n v="22"/>
    <n v="37.553623186956521"/>
    <s v="863,7333333"/>
    <n v="99.661538461538456"/>
    <s v="10364,8"/>
  </r>
  <r>
    <d v="2021-02-10T00:00:00"/>
    <n v="2"/>
    <s v="Q1"/>
    <n v="10"/>
    <s v="(02) FEB"/>
    <n v="2021"/>
    <s v="ecoBali"/>
    <x v="9"/>
    <s v="Badung"/>
    <n v="20"/>
    <n v="37.553623186956521"/>
    <s v="863,7333333"/>
    <n v="99.661538461538456"/>
    <s v="10364,8"/>
  </r>
  <r>
    <d v="2021-02-11T00:00:00"/>
    <n v="2"/>
    <s v="Q1"/>
    <n v="11"/>
    <s v="(02) FEB"/>
    <n v="2021"/>
    <s v="ecoBali"/>
    <x v="9"/>
    <s v="Badung"/>
    <n v="13"/>
    <n v="37.553623186956521"/>
    <s v="863,7333333"/>
    <n v="99.661538461538456"/>
    <s v="10364,8"/>
  </r>
  <r>
    <d v="2021-02-12T00:00:00"/>
    <n v="2"/>
    <s v="Q1"/>
    <n v="12"/>
    <s v="(02) FEB"/>
    <n v="2021"/>
    <s v="ecoBali"/>
    <x v="9"/>
    <s v="Badung"/>
    <n v="21"/>
    <n v="37.553623186956521"/>
    <s v="863,7333333"/>
    <n v="99.661538461538456"/>
    <s v="10364,8"/>
  </r>
  <r>
    <d v="2021-02-13T00:00:00"/>
    <n v="2"/>
    <s v="Q1"/>
    <n v="13"/>
    <s v="(02) FEB"/>
    <n v="2021"/>
    <s v="ecoBali"/>
    <x v="9"/>
    <s v="Badung"/>
    <n v="18"/>
    <n v="37.553623186956521"/>
    <s v="863,7333333"/>
    <n v="99.661538461538456"/>
    <s v="10364,8"/>
  </r>
  <r>
    <d v="2021-02-14T00:00:00"/>
    <n v="2"/>
    <s v="Q1"/>
    <n v="14"/>
    <s v="(02) FEB"/>
    <n v="2021"/>
    <s v="ecoBali"/>
    <x v="9"/>
    <s v="Badung"/>
    <n v="26"/>
    <n v="37.553623186956521"/>
    <s v="863,7333333"/>
    <n v="99.661538461538456"/>
    <s v="10364,8"/>
  </r>
  <r>
    <d v="2021-02-15T00:00:00"/>
    <n v="3"/>
    <s v="Q1"/>
    <n v="15"/>
    <s v="(02) FEB"/>
    <n v="2021"/>
    <s v="ecoBali"/>
    <x v="9"/>
    <s v="Badung"/>
    <n v="26"/>
    <n v="37.553623186956521"/>
    <s v="863,7333333"/>
    <n v="99.661538461538456"/>
    <s v="10364,8"/>
  </r>
  <r>
    <d v="2021-02-16T00:00:00"/>
    <n v="3"/>
    <s v="Q1"/>
    <n v="16"/>
    <s v="(02) FEB"/>
    <n v="2021"/>
    <s v="ecoBali"/>
    <x v="9"/>
    <s v="Badung"/>
    <n v="26"/>
    <n v="37.553623186956521"/>
    <s v="863,7333333"/>
    <n v="99.661538461538456"/>
    <s v="10364,8"/>
  </r>
  <r>
    <d v="2021-02-17T00:00:00"/>
    <n v="3"/>
    <s v="Q1"/>
    <n v="17"/>
    <s v="(02) FEB"/>
    <n v="2021"/>
    <s v="ecoBali"/>
    <x v="9"/>
    <s v="Badung"/>
    <n v="20"/>
    <n v="37.553623186956521"/>
    <s v="863,7333333"/>
    <n v="99.661538461538456"/>
    <s v="10364,8"/>
  </r>
  <r>
    <d v="2021-02-18T00:00:00"/>
    <n v="3"/>
    <s v="Q1"/>
    <n v="18"/>
    <s v="(02) FEB"/>
    <n v="2021"/>
    <s v="ecoBali"/>
    <x v="9"/>
    <s v="Badung"/>
    <n v="41"/>
    <n v="37.553623186956521"/>
    <s v="863,7333333"/>
    <n v="99.661538461538456"/>
    <s v="10364,8"/>
  </r>
  <r>
    <d v="2021-02-19T00:00:00"/>
    <n v="3"/>
    <s v="Q1"/>
    <n v="19"/>
    <s v="(02) FEB"/>
    <n v="2021"/>
    <s v="ecoBali"/>
    <x v="9"/>
    <s v="Badung"/>
    <n v="17"/>
    <n v="37.553623186956521"/>
    <s v="863,7333333"/>
    <n v="99.661538461538456"/>
    <s v="10364,8"/>
  </r>
  <r>
    <d v="2021-02-20T00:00:00"/>
    <n v="3"/>
    <s v="Q1"/>
    <n v="20"/>
    <s v="(02) FEB"/>
    <n v="2021"/>
    <s v="ecoBali"/>
    <x v="9"/>
    <s v="Badung"/>
    <n v="18"/>
    <n v="37.553623186956521"/>
    <s v="863,7333333"/>
    <n v="99.661538461538456"/>
    <s v="10364,8"/>
  </r>
  <r>
    <d v="2021-02-22T00:00:00"/>
    <n v="4"/>
    <s v="Q1"/>
    <n v="22"/>
    <s v="(02) FEB"/>
    <n v="2021"/>
    <s v="ecoBali"/>
    <x v="9"/>
    <s v="Badung"/>
    <n v="23"/>
    <n v="37.553623186956521"/>
    <s v="863,7333333"/>
    <n v="99.661538461538456"/>
    <s v="10364,8"/>
  </r>
  <r>
    <d v="2021-02-23T00:00:00"/>
    <n v="4"/>
    <s v="Q1"/>
    <n v="23"/>
    <s v="(02) FEB"/>
    <n v="2021"/>
    <s v="ecoBali"/>
    <x v="9"/>
    <s v="Badung"/>
    <n v="25"/>
    <n v="37.553623186956521"/>
    <s v="863,7333333"/>
    <n v="99.661538461538456"/>
    <s v="10364,8"/>
  </r>
  <r>
    <d v="2021-02-24T00:00:00"/>
    <n v="4"/>
    <s v="Q1"/>
    <n v="24"/>
    <s v="(02) FEB"/>
    <n v="2021"/>
    <s v="ecoBali"/>
    <x v="9"/>
    <s v="Badung"/>
    <n v="29"/>
    <n v="37.553623186956521"/>
    <s v="863,7333333"/>
    <n v="99.661538461538456"/>
    <s v="10364,8"/>
  </r>
  <r>
    <d v="2021-02-26T00:00:00"/>
    <n v="4"/>
    <s v="Q1"/>
    <n v="26"/>
    <s v="(02) FEB"/>
    <n v="2021"/>
    <s v="ecoBali"/>
    <x v="9"/>
    <s v="Badung"/>
    <n v="43"/>
    <n v="37.553623186956521"/>
    <s v="863,7333333"/>
    <n v="99.661538461538456"/>
    <s v="10364,8"/>
  </r>
  <r>
    <d v="2021-02-27T00:00:00"/>
    <n v="4"/>
    <s v="Q1"/>
    <n v="27"/>
    <s v="(02) FEB"/>
    <n v="2021"/>
    <s v="ecoBali"/>
    <x v="9"/>
    <s v="Badung"/>
    <n v="23"/>
    <n v="37.553623186956521"/>
    <s v="863,7333333"/>
    <n v="99.661538461538456"/>
    <s v="10364,8"/>
  </r>
  <r>
    <d v="2021-02-26T00:00:00"/>
    <n v="4"/>
    <s v="Q1"/>
    <n v="26"/>
    <s v="(02) FEB"/>
    <n v="2021"/>
    <s v="Br Kulibul Kangin Tibubeneng"/>
    <x v="8"/>
    <s v="Badung"/>
    <n v="0.5"/>
    <n v="11.352380952857143"/>
    <s v="79,46666667"/>
    <n v="24.451282051282053"/>
    <s v="953,6"/>
  </r>
  <r>
    <d v="2021-02-28T00:00:00"/>
    <n v="5"/>
    <s v="Q1"/>
    <n v="28"/>
    <s v="(02) FEB"/>
    <n v="2021"/>
    <s v="BSI E-darling Buleleng"/>
    <x v="10"/>
    <s v="Buleleng"/>
    <n v="0"/>
    <n v="279.47500000000002"/>
    <s v="279,475"/>
    <n v="419.21249999999998"/>
    <s v="3353,7"/>
  </r>
  <r>
    <d v="2021-02-28T00:00:00"/>
    <n v="5"/>
    <s v="Q1"/>
    <n v="28"/>
    <s v="(02) FEB"/>
    <n v="2021"/>
    <s v="PT Berkat Daur Ulang"/>
    <x v="5"/>
    <s v="Klungkung"/>
    <n v="0"/>
    <n v="55.152380952380952"/>
    <s v="1158,2"/>
    <n v="111.18719999999999"/>
    <s v="13898,4"/>
  </r>
  <r>
    <d v="2021-02-28T00:00:00"/>
    <n v="5"/>
    <s v="Q1"/>
    <n v="28"/>
    <s v="(02) FEB"/>
    <n v="2021"/>
    <s v="TPS3R Bayu Suci"/>
    <x v="0"/>
    <s v="Tabanan"/>
    <n v="0"/>
    <n v="195.7166666666665"/>
    <s v="391,433333333333"/>
    <n v="418.83636363636361"/>
    <s v="4607,2"/>
  </r>
  <r>
    <d v="2021-03-08T00:00:00"/>
    <n v="2"/>
    <s v="Q1"/>
    <n v="8"/>
    <s v="(03) MAR"/>
    <n v="2021"/>
    <s v="Br Sangiangan Cemagi"/>
    <x v="8"/>
    <s v="Badung"/>
    <n v="2"/>
    <n v="11.352380952857143"/>
    <s v="79,46666667"/>
    <n v="24.451282051282053"/>
    <s v="953,6"/>
  </r>
  <r>
    <d v="2021-03-08T00:00:00"/>
    <n v="2"/>
    <s v="Q1"/>
    <n v="8"/>
    <s v="(03) MAR"/>
    <n v="2021"/>
    <s v="Br Kaja Kangin Cemagi"/>
    <x v="8"/>
    <s v="Badung"/>
    <n v="5.3"/>
    <n v="11.352380952857143"/>
    <s v="79,46666667"/>
    <n v="24.451282051282053"/>
    <s v="953,6"/>
  </r>
  <r>
    <d v="2021-03-04T00:00:00"/>
    <n v="1"/>
    <s v="Q1"/>
    <n v="4"/>
    <s v="(03) MAR"/>
    <n v="2021"/>
    <s v="Tambyak Lestari "/>
    <x v="0"/>
    <s v="Badung"/>
    <n v="66"/>
    <n v="195.7166666666665"/>
    <s v="391,433333333333"/>
    <n v="418.83636363636361"/>
    <s v="4607,2"/>
  </r>
  <r>
    <d v="2021-03-04T00:00:00"/>
    <n v="1"/>
    <s v="Q1"/>
    <n v="4"/>
    <s v="(03) MAR"/>
    <n v="2021"/>
    <s v="Pak Sueb"/>
    <x v="3"/>
    <s v="Denpasar"/>
    <n v="1126"/>
    <n v="1711.6011899999999"/>
    <s v="11981,20833"/>
    <n v="4228.661764705882"/>
    <s v="143774,5"/>
  </r>
  <r>
    <d v="2021-03-10T00:00:00"/>
    <n v="2"/>
    <s v="Q1"/>
    <n v="10"/>
    <s v="(03) MAR"/>
    <n v="2021"/>
    <s v="Pak Sueb"/>
    <x v="3"/>
    <s v="Denpasar"/>
    <n v="1490"/>
    <n v="1711.6011899999999"/>
    <s v="11981,20833"/>
    <n v="4228.661764705882"/>
    <s v="143774,5"/>
  </r>
  <r>
    <d v="2021-03-08T00:00:00"/>
    <n v="2"/>
    <s v="Q1"/>
    <n v="8"/>
    <s v="(03) MAR"/>
    <n v="2021"/>
    <s v="Pak Legito"/>
    <x v="3"/>
    <s v="Denpasar"/>
    <n v="319"/>
    <n v="1711.6011899999999"/>
    <s v="11981,20833"/>
    <n v="4228.661764705882"/>
    <s v="143774,5"/>
  </r>
  <r>
    <d v="2021-03-01T00:00:00"/>
    <n v="1"/>
    <s v="Q1"/>
    <n v="1"/>
    <s v="(03) MAR"/>
    <n v="2021"/>
    <s v="Pak Jero mangku"/>
    <x v="4"/>
    <s v="Denpasar"/>
    <n v="120"/>
    <n v="530.34761900000001"/>
    <s v="3712,433333"/>
    <n v="1856.2166666666665"/>
    <s v="44549,2"/>
  </r>
  <r>
    <d v="2021-03-01T00:00:00"/>
    <n v="1"/>
    <s v="Q1"/>
    <n v="1"/>
    <s v="(03) MAR"/>
    <n v="2021"/>
    <s v="Pak Rono"/>
    <x v="4"/>
    <s v="Denpasar"/>
    <n v="211"/>
    <n v="530.34761900000001"/>
    <s v="3712,433333"/>
    <n v="1856.2166666666665"/>
    <s v="44549,2"/>
  </r>
  <r>
    <d v="2021-03-02T00:00:00"/>
    <n v="1"/>
    <s v="Q1"/>
    <n v="2"/>
    <s v="(03) MAR"/>
    <n v="2021"/>
    <s v="Pak Bob"/>
    <x v="4"/>
    <s v="Badung"/>
    <n v="147"/>
    <n v="530.34761900000001"/>
    <s v="3712,433333"/>
    <n v="1856.2166666666665"/>
    <s v="44549,2"/>
  </r>
  <r>
    <d v="2021-03-13T00:00:00"/>
    <n v="2"/>
    <s v="Q1"/>
    <n v="13"/>
    <s v="(03) MAR"/>
    <n v="2021"/>
    <s v="Ibu Awi"/>
    <x v="3"/>
    <s v="Badung"/>
    <n v="217"/>
    <n v="1711.6011899999999"/>
    <s v="11981,20833"/>
    <n v="4228.661764705882"/>
    <s v="143774,5"/>
  </r>
  <r>
    <d v="2021-03-17T00:00:00"/>
    <n v="3"/>
    <s v="Q1"/>
    <n v="17"/>
    <s v="(03) MAR"/>
    <n v="2021"/>
    <s v="Pak Jero mangku"/>
    <x v="4"/>
    <s v="Denpasar"/>
    <n v="74"/>
    <n v="530.34761900000001"/>
    <s v="3712,433333"/>
    <n v="1856.2166666666665"/>
    <s v="44549,2"/>
  </r>
  <r>
    <d v="2021-03-17T00:00:00"/>
    <n v="3"/>
    <s v="Q1"/>
    <n v="17"/>
    <s v="(03) MAR"/>
    <n v="2021"/>
    <s v="Pak Rono"/>
    <x v="4"/>
    <s v="Denpasar"/>
    <n v="787"/>
    <n v="530.34761900000001"/>
    <s v="3712,433333"/>
    <n v="1856.2166666666665"/>
    <s v="44549,2"/>
  </r>
  <r>
    <d v="2021-03-01T00:00:00"/>
    <n v="1"/>
    <s v="Q1"/>
    <n v="1"/>
    <s v="(03) MAR"/>
    <n v="2021"/>
    <s v="Milk up"/>
    <x v="5"/>
    <s v="Denpasar"/>
    <n v="30"/>
    <n v="46.328000000000003"/>
    <s v="1158,2"/>
    <n v="111.18719999999999"/>
    <s v="13898,4"/>
  </r>
  <r>
    <d v="2021-03-01T00:00:00"/>
    <n v="1"/>
    <s v="Q1"/>
    <n v="1"/>
    <s v="(03) MAR"/>
    <n v="2021"/>
    <s v="Gelato factory"/>
    <x v="5"/>
    <s v="Badung"/>
    <n v="5"/>
    <n v="46.328000000000003"/>
    <s v="1158,2"/>
    <n v="111.18719999999999"/>
    <s v="13898,4"/>
  </r>
  <r>
    <d v="2021-03-02T00:00:00"/>
    <n v="1"/>
    <s v="Q1"/>
    <n v="2"/>
    <s v="(03) MAR"/>
    <n v="2021"/>
    <s v="Aid hub"/>
    <x v="5"/>
    <s v="Badung"/>
    <n v="0.2"/>
    <n v="46.328000000000003"/>
    <s v="1158,2"/>
    <n v="111.18719999999999"/>
    <s v="13898,4"/>
  </r>
  <r>
    <d v="2021-03-02T00:00:00"/>
    <n v="1"/>
    <s v="Q1"/>
    <n v="2"/>
    <s v="(03) MAR"/>
    <n v="2021"/>
    <s v="Gusto gelato"/>
    <x v="5"/>
    <s v="Badung"/>
    <n v="37"/>
    <n v="46.328000000000003"/>
    <s v="1158,2"/>
    <n v="111.18719999999999"/>
    <s v="13898,4"/>
  </r>
  <r>
    <d v="2021-03-04T00:00:00"/>
    <n v="1"/>
    <s v="Q1"/>
    <n v="4"/>
    <s v="(03) MAR"/>
    <n v="2021"/>
    <s v="Monsieur spoon"/>
    <x v="5"/>
    <s v="Badung"/>
    <n v="8"/>
    <n v="46.328000000000003"/>
    <s v="1158,2"/>
    <n v="111.18719999999999"/>
    <s v="13898,4"/>
  </r>
  <r>
    <d v="2021-03-04T00:00:00"/>
    <n v="1"/>
    <s v="Q1"/>
    <n v="4"/>
    <s v="(03) MAR"/>
    <n v="2021"/>
    <s v="Sungai Watch"/>
    <x v="5"/>
    <s v="Badung"/>
    <n v="34.4"/>
    <n v="46.328000000000003"/>
    <s v="1158,2"/>
    <n v="111.18719999999999"/>
    <s v="13898,4"/>
  </r>
  <r>
    <d v="2021-03-05T00:00:00"/>
    <n v="1"/>
    <s v="Q1"/>
    <n v="5"/>
    <s v="(03) MAR"/>
    <n v="2021"/>
    <s v="sundays coffee"/>
    <x v="5"/>
    <s v="Badung"/>
    <n v="2"/>
    <n v="46.328000000000003"/>
    <s v="1158,2"/>
    <n v="111.18719999999999"/>
    <s v="13898,4"/>
  </r>
  <r>
    <d v="2021-03-05T00:00:00"/>
    <n v="1"/>
    <s v="Q1"/>
    <n v="5"/>
    <s v="(03) MAR"/>
    <n v="2021"/>
    <s v="Milk up"/>
    <x v="5"/>
    <s v="Denpasar"/>
    <n v="42"/>
    <n v="46.328000000000003"/>
    <s v="1158,2"/>
    <n v="111.18719999999999"/>
    <s v="13898,4"/>
  </r>
  <r>
    <d v="2021-03-08T00:00:00"/>
    <n v="2"/>
    <s v="Q1"/>
    <n v="8"/>
    <s v="(03) MAR"/>
    <n v="2021"/>
    <s v="Gelato factory"/>
    <x v="5"/>
    <s v="Badung"/>
    <n v="34"/>
    <n v="46.328000000000003"/>
    <s v="1158,2"/>
    <n v="111.18719999999999"/>
    <s v="13898,4"/>
  </r>
  <r>
    <d v="2021-03-08T00:00:00"/>
    <n v="2"/>
    <s v="Q1"/>
    <n v="8"/>
    <s v="(03) MAR"/>
    <n v="2021"/>
    <s v="Milk up"/>
    <x v="5"/>
    <s v="Denpasar"/>
    <n v="24"/>
    <n v="46.328000000000003"/>
    <s v="1158,2"/>
    <n v="111.18719999999999"/>
    <s v="13898,4"/>
  </r>
  <r>
    <d v="2021-03-13T00:00:00"/>
    <n v="2"/>
    <s v="Q1"/>
    <n v="13"/>
    <s v="(03) MAR"/>
    <n v="2021"/>
    <s v="Milk up"/>
    <x v="5"/>
    <s v="Denpasar"/>
    <n v="42"/>
    <n v="46.328000000000003"/>
    <s v="1158,2"/>
    <n v="111.18719999999999"/>
    <s v="13898,4"/>
  </r>
  <r>
    <d v="2021-03-17T00:00:00"/>
    <n v="3"/>
    <s v="Q1"/>
    <n v="17"/>
    <s v="(03) MAR"/>
    <n v="2021"/>
    <s v="Paletas wey"/>
    <x v="5"/>
    <s v="Badung"/>
    <n v="56"/>
    <n v="46.328000000000003"/>
    <s v="1158,2"/>
    <n v="111.18719999999999"/>
    <s v="13898,4"/>
  </r>
  <r>
    <d v="2021-03-05T00:00:00"/>
    <n v="1"/>
    <s v="Q1"/>
    <n v="5"/>
    <s v="(03) MAR"/>
    <n v="2021"/>
    <s v="Alila ubud"/>
    <x v="6"/>
    <s v="Gianyar"/>
    <n v="5.0999999999999996"/>
    <n v="100.70416665"/>
    <s v="201,4083333"/>
    <n v="345.2714285714286"/>
    <s v="2416,9"/>
  </r>
  <r>
    <d v="2021-03-05T00:00:00"/>
    <n v="1"/>
    <s v="Q1"/>
    <n v="5"/>
    <s v="(03) MAR"/>
    <n v="2021"/>
    <s v="Green School"/>
    <x v="7"/>
    <s v="Badung"/>
    <n v="3"/>
    <n v="21.591666666666669"/>
    <s v="64,775"/>
    <n v="38.864999999999995"/>
    <s v="777,3"/>
  </r>
  <r>
    <d v="2021-03-13T00:00:00"/>
    <n v="2"/>
    <s v="Q1"/>
    <n v="13"/>
    <s v="(03) MAR"/>
    <n v="2021"/>
    <s v="Green School"/>
    <x v="7"/>
    <s v="Badung"/>
    <n v="9"/>
    <n v="21.591666666666669"/>
    <s v="64,775"/>
    <n v="38.864999999999995"/>
    <s v="777,3"/>
  </r>
  <r>
    <d v="2021-03-12T00:00:00"/>
    <n v="2"/>
    <s v="Q1"/>
    <n v="12"/>
    <s v="(03) MAR"/>
    <n v="2021"/>
    <s v="Rumah kompos padang tegal"/>
    <x v="1"/>
    <s v="Gianyar"/>
    <n v="190.5"/>
    <n v="611.11249999999995"/>
    <s v="1222,225"/>
    <n v="1333.3363636363638"/>
    <s v="14666,7"/>
  </r>
  <r>
    <d v="2021-03-23T00:00:00"/>
    <n v="4"/>
    <s v="Q1"/>
    <n v="23"/>
    <s v="(03) MAR"/>
    <n v="2021"/>
    <s v="Br Krisnantara Tibubeneng"/>
    <x v="8"/>
    <s v="Badung"/>
    <n v="1.5"/>
    <n v="13.244444444999999"/>
    <s v="79,46666667"/>
    <n v="24.451282051282053"/>
    <s v="953,6"/>
  </r>
  <r>
    <d v="2021-03-23T00:00:00"/>
    <n v="4"/>
    <s v="Q1"/>
    <n v="23"/>
    <s v="(03) MAR"/>
    <n v="2021"/>
    <s v="Br Kayu Tulang Canggu"/>
    <x v="8"/>
    <s v="Badung"/>
    <n v="6.8"/>
    <n v="13.244444444999999"/>
    <s v="79,46666667"/>
    <n v="24.451282051282053"/>
    <s v="953,6"/>
  </r>
  <r>
    <d v="2021-03-19T00:00:00"/>
    <n v="3"/>
    <s v="Q1"/>
    <n v="19"/>
    <s v="(03) MAR"/>
    <n v="2021"/>
    <s v="Pak Sueb"/>
    <x v="3"/>
    <s v="Denpasar"/>
    <n v="1444"/>
    <n v="1711.6011899999999"/>
    <s v="11981,20833"/>
    <n v="4228.661764705882"/>
    <s v="143774,5"/>
  </r>
  <r>
    <d v="2021-03-20T00:00:00"/>
    <n v="3"/>
    <s v="Q1"/>
    <n v="20"/>
    <s v="(03) MAR"/>
    <n v="2021"/>
    <s v="Pak Sidik"/>
    <x v="3"/>
    <s v="Badung"/>
    <n v="69"/>
    <n v="1711.6011899999999"/>
    <s v="11981,20833"/>
    <n v="4228.661764705882"/>
    <s v="143774,5"/>
  </r>
  <r>
    <d v="2021-03-20T00:00:00"/>
    <n v="3"/>
    <s v="Q1"/>
    <n v="20"/>
    <s v="(03) MAR"/>
    <n v="2021"/>
    <s v="Pak Moyo"/>
    <x v="4"/>
    <s v="Badung"/>
    <n v="153"/>
    <n v="530.34761900000001"/>
    <s v="3712,433333"/>
    <n v="1856.2166666666665"/>
    <s v="44549,2"/>
  </r>
  <r>
    <d v="2021-03-18T00:00:00"/>
    <n v="3"/>
    <s v="Q1"/>
    <n v="18"/>
    <s v="(03) MAR"/>
    <n v="2021"/>
    <s v="Monsieur spoon"/>
    <x v="5"/>
    <s v="Badung"/>
    <n v="6.2"/>
    <n v="46.328000000000003"/>
    <s v="1158,2"/>
    <n v="111.18719999999999"/>
    <s v="13898,4"/>
  </r>
  <r>
    <d v="2021-03-16T00:00:00"/>
    <n v="3"/>
    <s v="Q1"/>
    <n v="16"/>
    <s v="(03) MAR"/>
    <n v="2021"/>
    <s v="Milk up"/>
    <x v="5"/>
    <s v="Denpasar"/>
    <n v="34"/>
    <n v="46.328000000000003"/>
    <s v="1158,2"/>
    <n v="111.18719999999999"/>
    <s v="13898,4"/>
  </r>
  <r>
    <d v="2021-03-20T00:00:00"/>
    <n v="3"/>
    <s v="Q1"/>
    <n v="20"/>
    <s v="(03) MAR"/>
    <n v="2021"/>
    <s v="Gusto gelato"/>
    <x v="5"/>
    <s v="Badung"/>
    <n v="70"/>
    <n v="46.328000000000003"/>
    <s v="1158,2"/>
    <n v="111.18719999999999"/>
    <s v="13898,4"/>
  </r>
  <r>
    <d v="2021-03-20T00:00:00"/>
    <n v="3"/>
    <s v="Q1"/>
    <n v="20"/>
    <s v="(03) MAR"/>
    <n v="2021"/>
    <s v="Gelato factory"/>
    <x v="5"/>
    <s v="Badung"/>
    <n v="12"/>
    <n v="46.328000000000003"/>
    <s v="1158,2"/>
    <n v="111.18719999999999"/>
    <s v="13898,4"/>
  </r>
  <r>
    <d v="2021-03-20T00:00:00"/>
    <n v="3"/>
    <s v="Q1"/>
    <n v="20"/>
    <s v="(03) MAR"/>
    <n v="2021"/>
    <s v="Aid hub"/>
    <x v="5"/>
    <s v="Badung"/>
    <n v="0.8"/>
    <n v="46.328000000000003"/>
    <s v="1158,2"/>
    <n v="111.18719999999999"/>
    <s v="13898,4"/>
  </r>
  <r>
    <d v="2021-03-20T00:00:00"/>
    <n v="3"/>
    <s v="Q1"/>
    <n v="20"/>
    <s v="(03) MAR"/>
    <n v="2021"/>
    <s v="sundays coffee"/>
    <x v="5"/>
    <s v="Badung"/>
    <n v="2"/>
    <n v="46.328000000000003"/>
    <s v="1158,2"/>
    <n v="111.18719999999999"/>
    <s v="13898,4"/>
  </r>
  <r>
    <d v="2021-03-22T00:00:00"/>
    <n v="4"/>
    <s v="Q1"/>
    <n v="22"/>
    <s v="(03) MAR"/>
    <n v="2021"/>
    <s v="Milk up"/>
    <x v="5"/>
    <s v="Denpasar"/>
    <n v="56"/>
    <n v="46.328000000000003"/>
    <s v="1158,2"/>
    <n v="111.18719999999999"/>
    <s v="13898,4"/>
  </r>
  <r>
    <d v="2021-03-22T00:00:00"/>
    <n v="4"/>
    <s v="Q1"/>
    <n v="22"/>
    <s v="(03) MAR"/>
    <n v="2021"/>
    <s v="Gelato factory"/>
    <x v="5"/>
    <s v="Badung"/>
    <n v="8"/>
    <n v="46.328000000000003"/>
    <s v="1158,2"/>
    <n v="111.18719999999999"/>
    <s v="13898,4"/>
  </r>
  <r>
    <d v="2021-03-20T00:00:00"/>
    <n v="3"/>
    <s v="Q1"/>
    <n v="20"/>
    <s v="(03) MAR"/>
    <n v="2021"/>
    <s v="The Samaya Ubud"/>
    <x v="6"/>
    <s v="Gianyar"/>
    <n v="6"/>
    <n v="100.70416665"/>
    <s v="201,4083333"/>
    <n v="345.2714285714286"/>
    <s v="2416,9"/>
  </r>
  <r>
    <d v="2021-03-01T00:00:00"/>
    <n v="1"/>
    <s v="Q1"/>
    <n v="1"/>
    <s v="(03) MAR"/>
    <n v="2021"/>
    <s v="ecoBali"/>
    <x v="9"/>
    <s v="Badung"/>
    <n v="20"/>
    <n v="35.988888887500003"/>
    <s v="863,7333333"/>
    <n v="99.661538461538456"/>
    <s v="10364,8"/>
  </r>
  <r>
    <d v="2021-03-02T00:00:00"/>
    <n v="1"/>
    <s v="Q1"/>
    <n v="2"/>
    <s v="(03) MAR"/>
    <n v="2021"/>
    <s v="ecoBali"/>
    <x v="9"/>
    <s v="Badung"/>
    <n v="25"/>
    <n v="35.988888887500003"/>
    <s v="863,7333333"/>
    <n v="99.661538461538456"/>
    <s v="10364,8"/>
  </r>
  <r>
    <d v="2021-03-03T00:00:00"/>
    <n v="1"/>
    <s v="Q1"/>
    <n v="3"/>
    <s v="(03) MAR"/>
    <n v="2021"/>
    <s v="ecoBali"/>
    <x v="9"/>
    <s v="Badung"/>
    <n v="23"/>
    <n v="35.988888887500003"/>
    <s v="863,7333333"/>
    <n v="99.661538461538456"/>
    <s v="10364,8"/>
  </r>
  <r>
    <d v="2021-03-04T00:00:00"/>
    <n v="1"/>
    <s v="Q1"/>
    <n v="4"/>
    <s v="(03) MAR"/>
    <n v="2021"/>
    <s v="ecoBali"/>
    <x v="9"/>
    <s v="Badung"/>
    <n v="26"/>
    <n v="35.988888887500003"/>
    <s v="863,7333333"/>
    <n v="99.661538461538456"/>
    <s v="10364,8"/>
  </r>
  <r>
    <d v="2021-03-05T00:00:00"/>
    <n v="1"/>
    <s v="Q1"/>
    <n v="5"/>
    <s v="(03) MAR"/>
    <n v="2021"/>
    <s v="ecoBali"/>
    <x v="9"/>
    <s v="Badung"/>
    <n v="22"/>
    <n v="35.988888887500003"/>
    <s v="863,7333333"/>
    <n v="99.661538461538456"/>
    <s v="10364,8"/>
  </r>
  <r>
    <d v="2021-03-06T00:00:00"/>
    <n v="1"/>
    <s v="Q1"/>
    <n v="6"/>
    <s v="(03) MAR"/>
    <n v="2021"/>
    <s v="ecoBali"/>
    <x v="9"/>
    <s v="Badung"/>
    <n v="11"/>
    <n v="35.988888887500003"/>
    <s v="863,7333333"/>
    <n v="99.661538461538456"/>
    <s v="10364,8"/>
  </r>
  <r>
    <d v="2021-03-08T00:00:00"/>
    <n v="2"/>
    <s v="Q1"/>
    <n v="8"/>
    <s v="(03) MAR"/>
    <n v="2021"/>
    <s v="ecoBali"/>
    <x v="9"/>
    <s v="Badung"/>
    <n v="37"/>
    <n v="35.988888887500003"/>
    <s v="863,7333333"/>
    <n v="99.661538461538456"/>
    <s v="10364,8"/>
  </r>
  <r>
    <d v="2021-03-09T00:00:00"/>
    <n v="2"/>
    <s v="Q1"/>
    <n v="9"/>
    <s v="(03) MAR"/>
    <n v="2021"/>
    <s v="ecoBali"/>
    <x v="9"/>
    <s v="Badung"/>
    <n v="25.2"/>
    <n v="35.988888887500003"/>
    <s v="863,7333333"/>
    <n v="99.661538461538456"/>
    <s v="10364,8"/>
  </r>
  <r>
    <d v="2021-03-10T00:00:00"/>
    <n v="2"/>
    <s v="Q1"/>
    <n v="10"/>
    <s v="(03) MAR"/>
    <n v="2021"/>
    <s v="ecoBali"/>
    <x v="9"/>
    <s v="Badung"/>
    <n v="30"/>
    <n v="35.988888887500003"/>
    <s v="863,7333333"/>
    <n v="99.661538461538456"/>
    <s v="10364,8"/>
  </r>
  <r>
    <d v="2021-03-11T00:00:00"/>
    <n v="2"/>
    <s v="Q1"/>
    <n v="11"/>
    <s v="(03) MAR"/>
    <n v="2021"/>
    <s v="ecoBali"/>
    <x v="9"/>
    <s v="Badung"/>
    <n v="25"/>
    <n v="35.988888887500003"/>
    <s v="863,7333333"/>
    <n v="99.661538461538456"/>
    <s v="10364,8"/>
  </r>
  <r>
    <d v="2021-03-12T00:00:00"/>
    <n v="2"/>
    <s v="Q1"/>
    <n v="12"/>
    <s v="(03) MAR"/>
    <n v="2021"/>
    <s v="ecoBali"/>
    <x v="9"/>
    <s v="Badung"/>
    <n v="21"/>
    <n v="35.988888887500003"/>
    <s v="863,7333333"/>
    <n v="99.661538461538456"/>
    <s v="10364,8"/>
  </r>
  <r>
    <d v="2021-03-13T00:00:00"/>
    <n v="2"/>
    <s v="Q1"/>
    <n v="13"/>
    <s v="(03) MAR"/>
    <n v="2021"/>
    <s v="ecoBali"/>
    <x v="9"/>
    <s v="Badung"/>
    <n v="18"/>
    <n v="35.988888887500003"/>
    <s v="863,7333333"/>
    <n v="99.661538461538456"/>
    <s v="10364,8"/>
  </r>
  <r>
    <d v="2021-03-15T00:00:00"/>
    <n v="3"/>
    <s v="Q1"/>
    <n v="15"/>
    <s v="(03) MAR"/>
    <n v="2021"/>
    <s v="ecoBali"/>
    <x v="9"/>
    <s v="Badung"/>
    <n v="25"/>
    <n v="35.988888887500003"/>
    <s v="863,7333333"/>
    <n v="99.661538461538456"/>
    <s v="10364,8"/>
  </r>
  <r>
    <d v="2021-03-16T00:00:00"/>
    <n v="3"/>
    <s v="Q1"/>
    <n v="16"/>
    <s v="(03) MAR"/>
    <n v="2021"/>
    <s v="ecoBali"/>
    <x v="9"/>
    <s v="Badung"/>
    <n v="17"/>
    <n v="35.988888887500003"/>
    <s v="863,7333333"/>
    <n v="99.661538461538456"/>
    <s v="10364,8"/>
  </r>
  <r>
    <d v="2021-03-17T00:00:00"/>
    <n v="3"/>
    <s v="Q1"/>
    <n v="17"/>
    <s v="(03) MAR"/>
    <n v="2021"/>
    <s v="ecoBali"/>
    <x v="9"/>
    <s v="Badung"/>
    <n v="18"/>
    <n v="35.988888887500003"/>
    <s v="863,7333333"/>
    <n v="99.661538461538456"/>
    <s v="10364,8"/>
  </r>
  <r>
    <d v="2021-03-24T00:00:00"/>
    <n v="4"/>
    <s v="Q1"/>
    <n v="24"/>
    <s v="(03) MAR"/>
    <n v="2021"/>
    <s v="Pak Sueb"/>
    <x v="3"/>
    <s v="Denpasar"/>
    <n v="1242"/>
    <n v="1711.6011899999999"/>
    <s v="11981,20833"/>
    <n v="4228.661764705882"/>
    <s v="143774,5"/>
  </r>
  <r>
    <d v="2021-03-24T00:00:00"/>
    <n v="4"/>
    <s v="Q1"/>
    <n v="24"/>
    <s v="(03) MAR"/>
    <n v="2021"/>
    <s v="Br Umabuluh Munggu"/>
    <x v="8"/>
    <s v="Badung"/>
    <n v="6"/>
    <n v="13.244444444999999"/>
    <s v="79,46666667"/>
    <n v="24.451282051282053"/>
    <s v="953,6"/>
  </r>
  <r>
    <d v="2021-03-27T00:00:00"/>
    <n v="4"/>
    <s v="Q1"/>
    <n v="27"/>
    <s v="(03) MAR"/>
    <n v="2021"/>
    <s v="Rumah kompos padang tegal"/>
    <x v="1"/>
    <s v="Gianyar"/>
    <n v="109"/>
    <n v="611.11249999999995"/>
    <s v="1222,225"/>
    <n v="1333.3363636363638"/>
    <s v="14666,7"/>
  </r>
  <r>
    <d v="2021-03-27T00:00:00"/>
    <n v="4"/>
    <s v="Q1"/>
    <n v="27"/>
    <s v="(03) MAR"/>
    <n v="2021"/>
    <s v="Mitra Gianyar Bagus"/>
    <x v="2"/>
    <s v="Gianyar"/>
    <n v="185"/>
    <n v="878.97500000000002"/>
    <s v="878,975"/>
    <n v="1757.95"/>
    <s v="10547,7"/>
  </r>
  <r>
    <d v="2021-03-26T00:00:00"/>
    <n v="4"/>
    <s v="Q1"/>
    <n v="26"/>
    <s v="(03) MAR"/>
    <n v="2021"/>
    <s v="Milk up"/>
    <x v="5"/>
    <s v="Denpasar"/>
    <n v="67"/>
    <n v="46.328000000000003"/>
    <s v="1158,2"/>
    <n v="111.18719999999999"/>
    <s v="13898,4"/>
  </r>
  <r>
    <d v="2021-03-26T00:00:00"/>
    <n v="4"/>
    <s v="Q1"/>
    <n v="26"/>
    <s v="(03) MAR"/>
    <n v="2021"/>
    <s v="Green School"/>
    <x v="7"/>
    <s v="Badung"/>
    <n v="7"/>
    <n v="21.591666666666669"/>
    <s v="64,775"/>
    <n v="38.864999999999995"/>
    <s v="777,3"/>
  </r>
  <r>
    <d v="2021-03-25T00:00:00"/>
    <n v="4"/>
    <s v="Q1"/>
    <n v="25"/>
    <s v="(03) MAR"/>
    <n v="2021"/>
    <s v="BSI E-darling Buleleng"/>
    <x v="10"/>
    <s v="Buleleng"/>
    <n v="38.5"/>
    <n v="279.47500000000002"/>
    <s v="279,475"/>
    <n v="419.21249999999998"/>
    <s v="3353,7"/>
  </r>
  <r>
    <d v="2021-03-18T00:00:00"/>
    <n v="3"/>
    <s v="Q1"/>
    <n v="18"/>
    <s v="(03) MAR"/>
    <n v="2021"/>
    <s v="ecoBali"/>
    <x v="9"/>
    <s v="Badung"/>
    <n v="23"/>
    <n v="35.988888887500003"/>
    <s v="863,7333333"/>
    <n v="99.661538461538456"/>
    <s v="10364,8"/>
  </r>
  <r>
    <d v="2021-03-19T00:00:00"/>
    <n v="3"/>
    <s v="Q1"/>
    <n v="19"/>
    <s v="(03) MAR"/>
    <n v="2021"/>
    <s v="ecoBali"/>
    <x v="9"/>
    <s v="Badung"/>
    <n v="18"/>
    <n v="35.988888887500003"/>
    <s v="863,7333333"/>
    <n v="99.661538461538456"/>
    <s v="10364,8"/>
  </r>
  <r>
    <d v="2021-03-20T00:00:00"/>
    <n v="3"/>
    <s v="Q1"/>
    <n v="20"/>
    <s v="(03) MAR"/>
    <n v="2021"/>
    <s v="ecoBali"/>
    <x v="9"/>
    <s v="Badung"/>
    <n v="22"/>
    <n v="35.988888887500003"/>
    <s v="863,7333333"/>
    <n v="99.661538461538456"/>
    <s v="10364,8"/>
  </r>
  <r>
    <d v="2021-03-22T00:00:00"/>
    <n v="4"/>
    <s v="Q1"/>
    <n v="22"/>
    <s v="(03) MAR"/>
    <n v="2021"/>
    <s v="ecoBali"/>
    <x v="9"/>
    <s v="Badung"/>
    <n v="31"/>
    <n v="35.988888887500003"/>
    <s v="863,7333333"/>
    <n v="99.661538461538456"/>
    <s v="10364,8"/>
  </r>
  <r>
    <d v="2021-03-23T00:00:00"/>
    <n v="4"/>
    <s v="Q1"/>
    <n v="23"/>
    <s v="(03) MAR"/>
    <n v="2021"/>
    <s v="ecoBali"/>
    <x v="9"/>
    <s v="Badung"/>
    <n v="13"/>
    <n v="35.988888887500003"/>
    <s v="863,7333333"/>
    <n v="99.661538461538456"/>
    <s v="10364,8"/>
  </r>
  <r>
    <d v="2021-03-24T00:00:00"/>
    <n v="4"/>
    <s v="Q1"/>
    <n v="24"/>
    <s v="(03) MAR"/>
    <n v="2021"/>
    <s v="ecoBali"/>
    <x v="9"/>
    <s v="Badung"/>
    <n v="15"/>
    <n v="35.988888887500003"/>
    <s v="863,7333333"/>
    <n v="99.661538461538456"/>
    <s v="10364,8"/>
  </r>
  <r>
    <d v="2021-03-30T00:00:00"/>
    <n v="5"/>
    <s v="Q1"/>
    <n v="30"/>
    <s v="(03) MAR"/>
    <n v="2021"/>
    <s v="Br Canggu Canggu"/>
    <x v="8"/>
    <s v="Badung"/>
    <n v="0.4"/>
    <n v="13.244444444999999"/>
    <s v="79,46666667"/>
    <n v="24.451282051282053"/>
    <s v="953,6"/>
  </r>
  <r>
    <d v="2021-03-29T00:00:00"/>
    <n v="5"/>
    <s v="Q1"/>
    <n v="29"/>
    <s v="(03) MAR"/>
    <n v="2021"/>
    <s v="Pak Rono"/>
    <x v="4"/>
    <s v="Denpasar"/>
    <n v="102"/>
    <n v="530.34761900000001"/>
    <s v="3712,433333"/>
    <n v="1856.2166666666665"/>
    <s v="44549,2"/>
  </r>
  <r>
    <d v="2021-03-29T00:00:00"/>
    <n v="5"/>
    <s v="Q1"/>
    <n v="29"/>
    <s v="(03) MAR"/>
    <n v="2021"/>
    <s v="Gusto gelato"/>
    <x v="5"/>
    <s v="Badung"/>
    <n v="78"/>
    <n v="46.328000000000003"/>
    <s v="1158,2"/>
    <n v="111.18719999999999"/>
    <s v="13898,4"/>
  </r>
  <r>
    <d v="2021-03-29T00:00:00"/>
    <n v="5"/>
    <s v="Q1"/>
    <n v="29"/>
    <s v="(03) MAR"/>
    <n v="2021"/>
    <s v="Milk up"/>
    <x v="5"/>
    <s v="Badung"/>
    <n v="12"/>
    <n v="46.328000000000003"/>
    <s v="1158,2"/>
    <n v="111.18719999999999"/>
    <s v="13898,4"/>
  </r>
  <r>
    <d v="2021-03-29T00:00:00"/>
    <n v="5"/>
    <s v="Q1"/>
    <n v="29"/>
    <s v="(03) MAR"/>
    <n v="2021"/>
    <s v="Aid hub"/>
    <x v="5"/>
    <s v="Badung"/>
    <n v="4.0999999999999996"/>
    <n v="46.328000000000003"/>
    <s v="1158,2"/>
    <n v="111.18719999999999"/>
    <s v="13898,4"/>
  </r>
  <r>
    <d v="2021-03-25T00:00:00"/>
    <n v="4"/>
    <s v="Q1"/>
    <n v="25"/>
    <s v="(03) MAR"/>
    <n v="2021"/>
    <s v="ecoBali"/>
    <x v="9"/>
    <s v="Badung"/>
    <n v="2"/>
    <n v="35.988888887500003"/>
    <s v="863,7333333"/>
    <n v="99.661538461538456"/>
    <s v="10364,8"/>
  </r>
  <r>
    <d v="2021-03-26T00:00:00"/>
    <n v="4"/>
    <s v="Q1"/>
    <n v="26"/>
    <s v="(03) MAR"/>
    <n v="2021"/>
    <s v="ecoBali"/>
    <x v="9"/>
    <s v="Badung"/>
    <n v="2"/>
    <n v="35.988888887500003"/>
    <s v="863,7333333"/>
    <n v="99.661538461538456"/>
    <s v="10364,8"/>
  </r>
  <r>
    <d v="2021-03-29T00:00:00"/>
    <n v="5"/>
    <s v="Q1"/>
    <n v="29"/>
    <s v="(03) MAR"/>
    <n v="2021"/>
    <s v="ecoBali"/>
    <x v="9"/>
    <s v="Badung"/>
    <n v="1"/>
    <n v="35.988888887500003"/>
    <s v="863,7333333"/>
    <n v="99.661538461538456"/>
    <s v="10364,8"/>
  </r>
  <r>
    <d v="2021-03-29T00:00:00"/>
    <n v="5"/>
    <s v="Q1"/>
    <n v="29"/>
    <s v="(03) MAR"/>
    <n v="2021"/>
    <s v="TPS3R Bayu Suci"/>
    <x v="0"/>
    <s v="Tabanan"/>
    <n v="0"/>
    <n v="195.7166666666665"/>
    <s v="391,433333333333"/>
    <n v="418.83636363636361"/>
    <s v="4607,2"/>
  </r>
  <r>
    <d v="2021-03-29T00:00:00"/>
    <n v="5"/>
    <s v="Q1"/>
    <n v="29"/>
    <s v="(03) MAR"/>
    <n v="2021"/>
    <s v="PT Berkat Daur Ulang"/>
    <x v="5"/>
    <s v="Klungkung"/>
    <n v="0"/>
    <n v="46.328000000000003"/>
    <s v="1158,2"/>
    <n v="111.18719999999999"/>
    <s v="13898,4"/>
  </r>
  <r>
    <d v="2021-04-01T00:00:00"/>
    <n v="1"/>
    <s v="Q2"/>
    <n v="1"/>
    <s v="(04) APR"/>
    <n v="2021"/>
    <s v="Ibu Awi"/>
    <x v="3"/>
    <s v="Badung"/>
    <n v="326"/>
    <n v="1198.1208329999999"/>
    <s v="11981,20833"/>
    <n v="4228.661764705882"/>
    <s v="143774,5"/>
  </r>
  <r>
    <d v="2021-04-01T00:00:00"/>
    <n v="1"/>
    <s v="Q2"/>
    <n v="1"/>
    <s v="(04) APR"/>
    <n v="2021"/>
    <s v="Seminyak Clean"/>
    <x v="1"/>
    <s v="Badung"/>
    <n v="93"/>
    <n v="407.4083333333333"/>
    <s v="1222,225"/>
    <n v="1333.3363636363638"/>
    <s v="14666,7"/>
  </r>
  <r>
    <d v="2021-04-01T00:00:00"/>
    <n v="1"/>
    <s v="Q2"/>
    <n v="1"/>
    <s v="(04) APR"/>
    <n v="2021"/>
    <s v="Bali Wastu Lestari"/>
    <x v="10"/>
    <s v="Denpasar"/>
    <n v="160"/>
    <n v="93.158333333333346"/>
    <s v="279,475"/>
    <n v="419.21249999999998"/>
    <s v="3353,7"/>
  </r>
  <r>
    <d v="2021-04-01T00:00:00"/>
    <n v="1"/>
    <s v="Q2"/>
    <n v="1"/>
    <s v="(04) APR"/>
    <n v="2021"/>
    <s v="Pak Komang pemelisan"/>
    <x v="3"/>
    <s v="Denpasar"/>
    <n v="514"/>
    <n v="1198.1208329999999"/>
    <s v="11981,20833"/>
    <n v="4228.661764705882"/>
    <s v="143774,5"/>
  </r>
  <r>
    <d v="2021-04-03T00:00:00"/>
    <n v="1"/>
    <s v="Q2"/>
    <n v="3"/>
    <s v="(04) APR"/>
    <n v="2021"/>
    <s v="Milk up"/>
    <x v="5"/>
    <s v="Denpasar"/>
    <n v="54"/>
    <n v="42.896296296296299"/>
    <s v="1158,2"/>
    <n v="111.18719999999999"/>
    <s v="13898,4"/>
  </r>
  <r>
    <d v="2021-04-05T00:00:00"/>
    <n v="1"/>
    <s v="Q2"/>
    <n v="5"/>
    <s v="(04) APR"/>
    <n v="2021"/>
    <s v="Milk up"/>
    <x v="5"/>
    <s v="Denpasar"/>
    <n v="15"/>
    <n v="42.896296296296299"/>
    <s v="1158,2"/>
    <n v="111.18719999999999"/>
    <s v="13898,4"/>
  </r>
  <r>
    <d v="2021-04-05T00:00:00"/>
    <n v="1"/>
    <s v="Q2"/>
    <n v="5"/>
    <s v="(04) APR"/>
    <n v="2021"/>
    <s v="Gusto gelato"/>
    <x v="5"/>
    <s v="Badung"/>
    <n v="58"/>
    <n v="42.896296296296299"/>
    <s v="1158,2"/>
    <n v="111.18719999999999"/>
    <s v="13898,4"/>
  </r>
  <r>
    <d v="2021-04-05T00:00:00"/>
    <n v="1"/>
    <s v="Q2"/>
    <n v="5"/>
    <s v="(04) APR"/>
    <n v="2021"/>
    <s v="Gelato factory"/>
    <x v="5"/>
    <s v="Badung"/>
    <n v="2.2000000000000002"/>
    <n v="42.896296296296299"/>
    <s v="1158,2"/>
    <n v="111.18719999999999"/>
    <s v="13898,4"/>
  </r>
  <r>
    <d v="2021-04-05T00:00:00"/>
    <n v="1"/>
    <s v="Q2"/>
    <n v="5"/>
    <s v="(04) APR"/>
    <n v="2021"/>
    <s v="Aid hub"/>
    <x v="5"/>
    <s v="Badung"/>
    <n v="0.9"/>
    <n v="42.896296296296299"/>
    <s v="1158,2"/>
    <n v="111.18719999999999"/>
    <s v="13898,4"/>
  </r>
  <r>
    <d v="2021-04-07T00:00:00"/>
    <n v="1"/>
    <s v="Q2"/>
    <n v="7"/>
    <s v="(04) APR"/>
    <n v="2021"/>
    <s v="Role Foundation"/>
    <x v="5"/>
    <s v="Badung"/>
    <n v="4"/>
    <n v="42.896296296296299"/>
    <s v="1158,2"/>
    <n v="111.18719999999999"/>
    <s v="13898,4"/>
  </r>
  <r>
    <d v="2021-04-03T00:00:00"/>
    <n v="1"/>
    <s v="Q2"/>
    <n v="3"/>
    <s v="(04) APR"/>
    <n v="2021"/>
    <s v="Green School"/>
    <x v="7"/>
    <s v="Badung"/>
    <n v="7"/>
    <n v="12.955000000000002"/>
    <s v="64,775"/>
    <n v="38.864999999999995"/>
    <s v="777,3"/>
  </r>
  <r>
    <d v="2021-04-01T00:00:00"/>
    <n v="1"/>
    <s v="Q2"/>
    <n v="1"/>
    <s v="(04) APR"/>
    <n v="2021"/>
    <s v="ecoBali"/>
    <x v="9"/>
    <s v="Badung"/>
    <n v="16"/>
    <n v="39.260606059090911"/>
    <s v="863,7333333"/>
    <n v="99.661538461538456"/>
    <s v="10364,8"/>
  </r>
  <r>
    <d v="2021-04-03T00:00:00"/>
    <n v="1"/>
    <s v="Q2"/>
    <n v="3"/>
    <s v="(04) APR"/>
    <n v="2021"/>
    <s v="ecoBali"/>
    <x v="9"/>
    <s v="Badung"/>
    <n v="21"/>
    <n v="39.260606059090911"/>
    <s v="863,7333333"/>
    <n v="99.661538461538456"/>
    <s v="10364,8"/>
  </r>
  <r>
    <d v="2021-04-05T00:00:00"/>
    <n v="1"/>
    <s v="Q2"/>
    <n v="5"/>
    <s v="(04) APR"/>
    <n v="2021"/>
    <s v="ecoBali"/>
    <x v="9"/>
    <s v="Badung"/>
    <n v="17"/>
    <n v="39.260606059090911"/>
    <s v="863,7333333"/>
    <n v="99.661538461538456"/>
    <s v="10364,8"/>
  </r>
  <r>
    <d v="2021-04-06T00:00:00"/>
    <n v="1"/>
    <s v="Q2"/>
    <n v="6"/>
    <s v="(04) APR"/>
    <n v="2021"/>
    <s v="ecoBali"/>
    <x v="9"/>
    <s v="Badung"/>
    <n v="14"/>
    <n v="39.260606059090911"/>
    <s v="863,7333333"/>
    <n v="99.661538461538456"/>
    <s v="10364,8"/>
  </r>
  <r>
    <d v="2021-04-03T00:00:00"/>
    <n v="1"/>
    <s v="Q2"/>
    <n v="3"/>
    <s v="(04) APR"/>
    <n v="2021"/>
    <s v="Pak Sueb"/>
    <x v="3"/>
    <s v="Denpasar"/>
    <n v="1274"/>
    <n v="1198.1208329999999"/>
    <s v="11981,20833"/>
    <n v="4228.661764705882"/>
    <s v="143774,5"/>
  </r>
  <r>
    <d v="2021-04-10T00:00:00"/>
    <n v="2"/>
    <s v="Q2"/>
    <n v="10"/>
    <s v="(04) APR"/>
    <n v="2021"/>
    <s v="Pak Sueb"/>
    <x v="3"/>
    <s v="Denpasar"/>
    <n v="1343"/>
    <n v="1198.1208329999999"/>
    <s v="11981,20833"/>
    <n v="4228.661764705882"/>
    <s v="143774,5"/>
  </r>
  <r>
    <d v="2021-04-17T00:00:00"/>
    <n v="3"/>
    <s v="Q2"/>
    <n v="17"/>
    <s v="(04) APR"/>
    <n v="2021"/>
    <s v="Pak Rono"/>
    <x v="4"/>
    <s v="Denpasar"/>
    <n v="547"/>
    <n v="742.48666660000004"/>
    <s v="3712,433333"/>
    <n v="1856.2166666666665"/>
    <s v="44549,2"/>
  </r>
  <r>
    <d v="2021-04-17T00:00:00"/>
    <n v="3"/>
    <s v="Q2"/>
    <n v="17"/>
    <s v="(04) APR"/>
    <n v="2021"/>
    <s v="Pak Jero mangku"/>
    <x v="4"/>
    <s v="Denpasar"/>
    <n v="40"/>
    <n v="742.48666660000004"/>
    <s v="3712,433333"/>
    <n v="1856.2166666666665"/>
    <s v="44549,2"/>
  </r>
  <r>
    <d v="2021-04-12T00:00:00"/>
    <n v="2"/>
    <s v="Q2"/>
    <n v="12"/>
    <s v="(04) APR"/>
    <n v="2021"/>
    <s v="Monsieur spoon"/>
    <x v="5"/>
    <s v="Badung"/>
    <n v="12.3"/>
    <n v="42.896296296296299"/>
    <s v="1158,2"/>
    <n v="111.18719999999999"/>
    <s v="13898,4"/>
  </r>
  <r>
    <d v="2021-04-09T00:00:00"/>
    <n v="2"/>
    <s v="Q2"/>
    <n v="9"/>
    <s v="(04) APR"/>
    <n v="2021"/>
    <s v="Milk up"/>
    <x v="5"/>
    <s v="Denpasar"/>
    <n v="52"/>
    <n v="42.896296296296299"/>
    <s v="1158,2"/>
    <n v="111.18719999999999"/>
    <s v="13898,4"/>
  </r>
  <r>
    <d v="2021-04-09T00:00:00"/>
    <n v="2"/>
    <s v="Q2"/>
    <n v="9"/>
    <s v="(04) APR"/>
    <n v="2021"/>
    <s v="Sundays coffee"/>
    <x v="5"/>
    <s v="Badung"/>
    <n v="3"/>
    <n v="42.896296296296299"/>
    <s v="1158,2"/>
    <n v="111.18719999999999"/>
    <s v="13898,4"/>
  </r>
  <r>
    <d v="2021-04-13T00:00:00"/>
    <n v="2"/>
    <s v="Q2"/>
    <n v="13"/>
    <s v="(04) APR"/>
    <n v="2021"/>
    <s v="Aid hub"/>
    <x v="5"/>
    <s v="Badung"/>
    <n v="2.5"/>
    <n v="42.896296296296299"/>
    <s v="1158,2"/>
    <n v="111.18719999999999"/>
    <s v="13898,4"/>
  </r>
  <r>
    <d v="2021-04-16T00:00:00"/>
    <n v="3"/>
    <s v="Q2"/>
    <n v="16"/>
    <s v="(04) APR"/>
    <n v="2021"/>
    <s v="Paletas wey"/>
    <x v="5"/>
    <s v="Badung"/>
    <n v="51"/>
    <n v="42.896296296296299"/>
    <s v="1158,2"/>
    <n v="111.18719999999999"/>
    <s v="13898,4"/>
  </r>
  <r>
    <d v="2021-04-16T00:00:00"/>
    <n v="3"/>
    <s v="Q2"/>
    <n v="16"/>
    <s v="(04) APR"/>
    <n v="2021"/>
    <s v="Milk up"/>
    <x v="5"/>
    <s v="Denpasar"/>
    <n v="64"/>
    <n v="42.896296296296299"/>
    <s v="1158,2"/>
    <n v="111.18719999999999"/>
    <s v="13898,4"/>
  </r>
  <r>
    <d v="2021-04-16T00:00:00"/>
    <n v="3"/>
    <s v="Q2"/>
    <n v="16"/>
    <s v="(04) APR"/>
    <n v="2021"/>
    <s v="Gusto Gelato"/>
    <x v="5"/>
    <s v="Badung"/>
    <n v="76"/>
    <n v="42.896296296296299"/>
    <s v="1158,2"/>
    <n v="111.18719999999999"/>
    <s v="13898,4"/>
  </r>
  <r>
    <d v="2021-04-19T00:00:00"/>
    <n v="3"/>
    <s v="Q2"/>
    <n v="19"/>
    <s v="(04) APR"/>
    <n v="2021"/>
    <s v="Gelato Factory"/>
    <x v="5"/>
    <s v="Badung"/>
    <n v="35"/>
    <n v="42.896296296296299"/>
    <s v="1158,2"/>
    <n v="111.18719999999999"/>
    <s v="13898,4"/>
  </r>
  <r>
    <d v="2021-04-19T00:00:00"/>
    <n v="3"/>
    <s v="Q2"/>
    <n v="19"/>
    <s v="(04) APR"/>
    <n v="2021"/>
    <s v="Aid Hub"/>
    <x v="5"/>
    <s v="Badung"/>
    <n v="2"/>
    <n v="42.896296296296299"/>
    <s v="1158,2"/>
    <n v="111.18719999999999"/>
    <s v="13898,4"/>
  </r>
  <r>
    <d v="2021-04-09T00:00:00"/>
    <n v="2"/>
    <s v="Q2"/>
    <n v="9"/>
    <s v="(04) APR"/>
    <n v="2021"/>
    <s v="Green School"/>
    <x v="7"/>
    <s v="Badung"/>
    <n v="4"/>
    <n v="12.955000000000002"/>
    <s v="64,775"/>
    <n v="38.864999999999995"/>
    <s v="777,3"/>
  </r>
  <r>
    <d v="2021-04-16T00:00:00"/>
    <n v="3"/>
    <s v="Q2"/>
    <n v="16"/>
    <s v="(04) APR"/>
    <n v="2021"/>
    <s v="BIS (Bali Island School)"/>
    <x v="7"/>
    <s v="Denpasar"/>
    <n v="2"/>
    <n v="12.955000000000002"/>
    <s v="64,775"/>
    <n v="38.864999999999995"/>
    <s v="777,3"/>
  </r>
  <r>
    <d v="2021-04-16T00:00:00"/>
    <n v="3"/>
    <s v="Q2"/>
    <n v="16"/>
    <s v="(04) APR"/>
    <n v="2021"/>
    <s v="Green School"/>
    <x v="7"/>
    <s v="Badung"/>
    <n v="3"/>
    <n v="12.955000000000002"/>
    <s v="64,775"/>
    <n v="38.864999999999995"/>
    <s v="777,3"/>
  </r>
  <r>
    <d v="2021-04-19T00:00:00"/>
    <n v="3"/>
    <s v="Q2"/>
    <n v="19"/>
    <s v="(04) APR"/>
    <n v="2021"/>
    <s v="Br Kayu Tulang Canggu"/>
    <x v="8"/>
    <s v="Badung"/>
    <n v="7"/>
    <n v="19.866666667499999"/>
    <s v="79,46666667"/>
    <n v="24.451282051282053"/>
    <s v="953,6"/>
  </r>
  <r>
    <d v="2021-04-20T00:00:00"/>
    <n v="3"/>
    <s v="Q2"/>
    <n v="20"/>
    <s v="(04) APR"/>
    <n v="2021"/>
    <s v="Br Krisnantara Tibubeneng"/>
    <x v="8"/>
    <s v="Badung"/>
    <n v="1.3"/>
    <n v="19.866666667499999"/>
    <s v="79,46666667"/>
    <n v="24.451282051282053"/>
    <s v="953,6"/>
  </r>
  <r>
    <d v="2021-04-19T00:00:00"/>
    <n v="3"/>
    <s v="Q2"/>
    <n v="19"/>
    <s v="(04) APR"/>
    <n v="2021"/>
    <s v="Milk up"/>
    <x v="5"/>
    <s v="Denpasar"/>
    <n v="16"/>
    <n v="42.896296296296299"/>
    <s v="1158,2"/>
    <n v="111.18719999999999"/>
    <s v="13898,4"/>
  </r>
  <r>
    <d v="2021-04-20T00:00:00"/>
    <n v="3"/>
    <s v="Q2"/>
    <n v="20"/>
    <s v="(04) APR"/>
    <n v="2021"/>
    <s v="Rumah kompos padang tegal"/>
    <x v="1"/>
    <s v="Gianyar"/>
    <n v="233"/>
    <n v="407.4083333333333"/>
    <s v="1222,225"/>
    <n v="1333.3363636363638"/>
    <s v="14666,7"/>
  </r>
  <r>
    <d v="2021-04-20T00:00:00"/>
    <n v="3"/>
    <s v="Q2"/>
    <n v="20"/>
    <s v="(04) APR"/>
    <n v="2021"/>
    <s v="Bantas Lestari"/>
    <x v="0"/>
    <s v="Tabanan"/>
    <n v="50.87"/>
    <n v="391.433333333333"/>
    <s v="391,433333333333"/>
    <n v="418.83636363636361"/>
    <s v="4607,2"/>
  </r>
  <r>
    <d v="2021-04-22T00:00:00"/>
    <n v="4"/>
    <s v="Q2"/>
    <n v="22"/>
    <s v="(04) APR"/>
    <n v="2021"/>
    <s v="Pak Sueb"/>
    <x v="3"/>
    <s v="Denpasar"/>
    <n v="1522"/>
    <n v="1198.1208329999999"/>
    <s v="11981,20833"/>
    <n v="4228.661764705882"/>
    <s v="143774,5"/>
  </r>
  <r>
    <d v="2021-04-24T00:00:00"/>
    <n v="4"/>
    <s v="Q2"/>
    <n v="24"/>
    <s v="(04) APR"/>
    <n v="2021"/>
    <s v="Pak Legito"/>
    <x v="3"/>
    <s v="Denpasar"/>
    <n v="257"/>
    <n v="1198.1208329999999"/>
    <s v="11981,20833"/>
    <n v="4228.661764705882"/>
    <s v="143774,5"/>
  </r>
  <r>
    <d v="2021-04-24T00:00:00"/>
    <n v="4"/>
    <s v="Q2"/>
    <n v="24"/>
    <s v="(04) APR"/>
    <n v="2021"/>
    <s v="Pak Sueb"/>
    <x v="3"/>
    <s v="Denpasar"/>
    <n v="218"/>
    <n v="1198.1208329999999"/>
    <s v="11981,20833"/>
    <n v="4228.661764705882"/>
    <s v="143774,5"/>
  </r>
  <r>
    <d v="2021-04-23T00:00:00"/>
    <n v="4"/>
    <s v="Q2"/>
    <n v="23"/>
    <s v="(04) APR"/>
    <n v="2021"/>
    <s v="The Samaya Ubud"/>
    <x v="6"/>
    <s v="Gianyar"/>
    <n v="2"/>
    <n v="201.40833330000001"/>
    <s v="201,4083333"/>
    <n v="345.2714285714286"/>
    <s v="2416,9"/>
  </r>
  <r>
    <d v="2021-04-23T00:00:00"/>
    <n v="4"/>
    <s v="Q2"/>
    <n v="23"/>
    <s v="(04) APR"/>
    <n v="2021"/>
    <s v="Sundays Coffee"/>
    <x v="5"/>
    <s v="Badung"/>
    <n v="3.5"/>
    <n v="42.896296296296299"/>
    <s v="1158,2"/>
    <n v="111.18719999999999"/>
    <s v="13898,4"/>
  </r>
  <r>
    <d v="2021-04-23T00:00:00"/>
    <n v="4"/>
    <s v="Q2"/>
    <n v="23"/>
    <s v="(04) APR"/>
    <n v="2021"/>
    <s v="Gusto Gelato"/>
    <x v="5"/>
    <s v="Badung"/>
    <n v="51"/>
    <n v="42.896296296296299"/>
    <s v="1158,2"/>
    <n v="111.18719999999999"/>
    <s v="13898,4"/>
  </r>
  <r>
    <d v="2021-04-23T00:00:00"/>
    <n v="4"/>
    <s v="Q2"/>
    <n v="23"/>
    <s v="(04) APR"/>
    <n v="2021"/>
    <s v="Milk up"/>
    <x v="5"/>
    <s v="Denpasar"/>
    <n v="54"/>
    <n v="42.896296296296299"/>
    <s v="1158,2"/>
    <n v="111.18719999999999"/>
    <s v="13898,4"/>
  </r>
  <r>
    <d v="2021-04-21T00:00:00"/>
    <n v="3"/>
    <s v="Q2"/>
    <n v="21"/>
    <s v="(04) APR"/>
    <n v="2021"/>
    <s v="PT Berkat Daur Ulang"/>
    <x v="5"/>
    <s v="Klungkung"/>
    <n v="183"/>
    <n v="42.896296296296299"/>
    <s v="1158,2"/>
    <n v="111.18719999999999"/>
    <s v="13898,4"/>
  </r>
  <r>
    <d v="2021-04-07T00:00:00"/>
    <n v="1"/>
    <s v="Q2"/>
    <n v="7"/>
    <s v="(04) APR"/>
    <n v="2021"/>
    <s v="ecoBali"/>
    <x v="9"/>
    <s v="Badung"/>
    <n v="18"/>
    <n v="39.260606059090911"/>
    <s v="863,7333333"/>
    <n v="99.661538461538456"/>
    <s v="10364,8"/>
  </r>
  <r>
    <d v="2021-04-08T00:00:00"/>
    <n v="2"/>
    <s v="Q2"/>
    <n v="8"/>
    <s v="(04) APR"/>
    <n v="2021"/>
    <s v="ecoBali"/>
    <x v="9"/>
    <s v="Badung"/>
    <n v="19"/>
    <n v="39.260606059090911"/>
    <s v="863,7333333"/>
    <n v="99.661538461538456"/>
    <s v="10364,8"/>
  </r>
  <r>
    <d v="2021-04-09T00:00:00"/>
    <n v="2"/>
    <s v="Q2"/>
    <n v="9"/>
    <s v="(04) APR"/>
    <n v="2021"/>
    <s v="ecoBali"/>
    <x v="9"/>
    <s v="Badung"/>
    <n v="21"/>
    <n v="39.260606059090911"/>
    <s v="863,7333333"/>
    <n v="99.661538461538456"/>
    <s v="10364,8"/>
  </r>
  <r>
    <d v="2021-04-10T00:00:00"/>
    <n v="2"/>
    <s v="Q2"/>
    <n v="10"/>
    <s v="(04) APR"/>
    <n v="2021"/>
    <s v="ecoBali"/>
    <x v="9"/>
    <s v="Badung"/>
    <n v="24"/>
    <n v="39.260606059090911"/>
    <s v="863,7333333"/>
    <n v="99.661538461538456"/>
    <s v="10364,8"/>
  </r>
  <r>
    <d v="2021-04-12T00:00:00"/>
    <n v="2"/>
    <s v="Q2"/>
    <n v="12"/>
    <s v="(04) APR"/>
    <n v="2021"/>
    <s v="ecoBali"/>
    <x v="9"/>
    <s v="Badung"/>
    <n v="14"/>
    <n v="39.260606059090911"/>
    <s v="863,7333333"/>
    <n v="99.661538461538456"/>
    <s v="10364,8"/>
  </r>
  <r>
    <d v="2021-04-13T00:00:00"/>
    <n v="2"/>
    <s v="Q2"/>
    <n v="13"/>
    <s v="(04) APR"/>
    <n v="2021"/>
    <s v="ecoBali"/>
    <x v="9"/>
    <s v="Badung"/>
    <n v="20"/>
    <n v="39.260606059090911"/>
    <s v="863,7333333"/>
    <n v="99.661538461538456"/>
    <s v="10364,8"/>
  </r>
  <r>
    <d v="2021-04-14T00:00:00"/>
    <n v="2"/>
    <s v="Q2"/>
    <n v="14"/>
    <s v="(04) APR"/>
    <n v="2021"/>
    <s v="ecoBali"/>
    <x v="9"/>
    <s v="Badung"/>
    <n v="27"/>
    <n v="39.260606059090911"/>
    <s v="863,7333333"/>
    <n v="99.661538461538456"/>
    <s v="10364,8"/>
  </r>
  <r>
    <d v="2021-04-15T00:00:00"/>
    <n v="3"/>
    <s v="Q2"/>
    <n v="15"/>
    <s v="(04) APR"/>
    <n v="2021"/>
    <s v="ecoBali"/>
    <x v="9"/>
    <s v="Badung"/>
    <n v="7"/>
    <n v="39.260606059090911"/>
    <s v="863,7333333"/>
    <n v="99.661538461538456"/>
    <s v="10364,8"/>
  </r>
  <r>
    <d v="2021-04-16T00:00:00"/>
    <n v="3"/>
    <s v="Q2"/>
    <n v="16"/>
    <s v="(04) APR"/>
    <n v="2021"/>
    <s v="ecoBali"/>
    <x v="9"/>
    <s v="Badung"/>
    <n v="21"/>
    <n v="39.260606059090911"/>
    <s v="863,7333333"/>
    <n v="99.661538461538456"/>
    <s v="10364,8"/>
  </r>
  <r>
    <d v="2021-04-17T00:00:00"/>
    <n v="3"/>
    <s v="Q2"/>
    <n v="17"/>
    <s v="(04) APR"/>
    <n v="2021"/>
    <s v="ecoBali"/>
    <x v="9"/>
    <s v="Badung"/>
    <n v="19"/>
    <n v="39.260606059090911"/>
    <s v="863,7333333"/>
    <n v="99.661538461538456"/>
    <s v="10364,8"/>
  </r>
  <r>
    <d v="2021-04-19T00:00:00"/>
    <n v="3"/>
    <s v="Q2"/>
    <n v="19"/>
    <s v="(04) APR"/>
    <n v="2021"/>
    <s v="ecoBali"/>
    <x v="9"/>
    <s v="Badung"/>
    <n v="18"/>
    <n v="39.260606059090911"/>
    <s v="863,7333333"/>
    <n v="99.661538461538456"/>
    <s v="10364,8"/>
  </r>
  <r>
    <d v="2021-04-26T00:00:00"/>
    <n v="4"/>
    <s v="Q2"/>
    <n v="26"/>
    <s v="(04) APR"/>
    <n v="2021"/>
    <s v="Milk Up"/>
    <x v="5"/>
    <s v="Denpasar"/>
    <n v="24"/>
    <n v="42.896296296296299"/>
    <s v="1158,2"/>
    <n v="111.18719999999999"/>
    <s v="13898,4"/>
  </r>
  <r>
    <d v="2021-04-26T00:00:00"/>
    <n v="4"/>
    <s v="Q2"/>
    <n v="26"/>
    <s v="(04) APR"/>
    <n v="2021"/>
    <s v="Gelato factory"/>
    <x v="5"/>
    <s v="Badung"/>
    <n v="28"/>
    <n v="42.896296296296299"/>
    <s v="1158,2"/>
    <n v="111.18719999999999"/>
    <s v="13898,4"/>
  </r>
  <r>
    <d v="2021-04-26T00:00:00"/>
    <n v="4"/>
    <s v="Q2"/>
    <n v="26"/>
    <s v="(04) APR"/>
    <n v="2021"/>
    <s v="Ibu Awi"/>
    <x v="3"/>
    <s v="Badung"/>
    <n v="300"/>
    <n v="1198.1208329999999"/>
    <s v="11981,20833"/>
    <n v="4228.661764705882"/>
    <s v="143774,5"/>
  </r>
  <r>
    <d v="2021-04-26T00:00:00"/>
    <n v="4"/>
    <s v="Q2"/>
    <n v="26"/>
    <s v="(04) APR"/>
    <n v="2021"/>
    <s v="Pak Yusuf"/>
    <x v="3"/>
    <s v="Denpasar"/>
    <n v="308"/>
    <n v="1198.1208329999999"/>
    <s v="11981,20833"/>
    <n v="4228.661764705882"/>
    <s v="143774,5"/>
  </r>
  <r>
    <d v="2021-04-26T00:00:00"/>
    <n v="4"/>
    <s v="Q2"/>
    <n v="26"/>
    <s v="(04) APR"/>
    <n v="2021"/>
    <s v="Pak Rono"/>
    <x v="4"/>
    <s v="Denpasar"/>
    <n v="48"/>
    <n v="742.48666660000004"/>
    <s v="3712,433333"/>
    <n v="1856.2166666666665"/>
    <s v="44549,2"/>
  </r>
  <r>
    <d v="2021-04-26T00:00:00"/>
    <n v="4"/>
    <s v="Q2"/>
    <n v="26"/>
    <s v="(04) APR"/>
    <n v="2021"/>
    <s v="Pak Jero mangku"/>
    <x v="4"/>
    <s v="Denpasar"/>
    <n v="25"/>
    <n v="742.48666660000004"/>
    <s v="3712,433333"/>
    <n v="1856.2166666666665"/>
    <s v="44549,2"/>
  </r>
  <r>
    <d v="2021-04-27T00:00:00"/>
    <n v="4"/>
    <s v="Q2"/>
    <n v="27"/>
    <s v="(04) APR"/>
    <n v="2021"/>
    <s v="Rumah kompos padang tegal"/>
    <x v="1"/>
    <s v="Gianyar"/>
    <n v="94"/>
    <n v="407.4083333333333"/>
    <s v="1222,225"/>
    <n v="1333.3363636363638"/>
    <s v="14666,7"/>
  </r>
  <r>
    <d v="2021-04-27T00:00:00"/>
    <n v="4"/>
    <s v="Q2"/>
    <n v="27"/>
    <s v="(04) APR"/>
    <n v="2021"/>
    <s v="Griya Luhu"/>
    <x v="10"/>
    <s v="Gianyar"/>
    <n v="22"/>
    <n v="93.158333333333346"/>
    <s v="279,475"/>
    <n v="419.21249999999998"/>
    <s v="3353,7"/>
  </r>
  <r>
    <d v="2021-04-27T00:00:00"/>
    <n v="4"/>
    <s v="Q2"/>
    <n v="27"/>
    <s v="(04) APR"/>
    <n v="2021"/>
    <s v="Sersan Kopi"/>
    <x v="5"/>
    <s v="Denpasar"/>
    <n v="1.7"/>
    <n v="42.896296296296299"/>
    <s v="1158,2"/>
    <n v="111.18719999999999"/>
    <s v="13898,4"/>
  </r>
  <r>
    <d v="2021-04-27T00:00:00"/>
    <n v="4"/>
    <s v="Q2"/>
    <n v="27"/>
    <s v="(04) APR"/>
    <n v="2021"/>
    <s v="Aid hub"/>
    <x v="5"/>
    <s v="Badung"/>
    <n v="1.9"/>
    <n v="42.896296296296299"/>
    <s v="1158,2"/>
    <n v="111.18719999999999"/>
    <s v="13898,4"/>
  </r>
  <r>
    <d v="2021-04-27T00:00:00"/>
    <n v="4"/>
    <s v="Q2"/>
    <n v="27"/>
    <s v="(04) APR"/>
    <n v="2021"/>
    <s v="Br Padang Linjong Canggu"/>
    <x v="8"/>
    <s v="Badung"/>
    <n v="2.4"/>
    <n v="19.866666667499999"/>
    <s v="79,46666667"/>
    <n v="24.451282051282053"/>
    <s v="953,6"/>
  </r>
  <r>
    <d v="2021-04-20T00:00:00"/>
    <n v="3"/>
    <s v="Q2"/>
    <n v="20"/>
    <s v="(04) APR"/>
    <n v="2021"/>
    <s v="ecoBali"/>
    <x v="9"/>
    <s v="Badung"/>
    <n v="22"/>
    <n v="39.260606059090911"/>
    <s v="863,7333333"/>
    <n v="99.661538461538456"/>
    <s v="10364,8"/>
  </r>
  <r>
    <d v="2021-04-22T00:00:00"/>
    <n v="4"/>
    <s v="Q2"/>
    <n v="22"/>
    <s v="(04) APR"/>
    <n v="2021"/>
    <s v="ecoBali"/>
    <x v="9"/>
    <s v="Badung"/>
    <n v="19"/>
    <n v="39.260606059090911"/>
    <s v="863,7333333"/>
    <n v="99.661538461538456"/>
    <s v="10364,8"/>
  </r>
  <r>
    <d v="2021-04-23T00:00:00"/>
    <n v="4"/>
    <s v="Q2"/>
    <n v="23"/>
    <s v="(04) APR"/>
    <n v="2021"/>
    <s v="ecoBali"/>
    <x v="9"/>
    <s v="Badung"/>
    <n v="32"/>
    <n v="39.260606059090911"/>
    <s v="863,7333333"/>
    <n v="99.661538461538456"/>
    <s v="10364,8"/>
  </r>
  <r>
    <d v="2021-04-26T00:00:00"/>
    <n v="4"/>
    <s v="Q2"/>
    <n v="26"/>
    <s v="(04) APR"/>
    <n v="2021"/>
    <s v="ecoBali"/>
    <x v="9"/>
    <s v="Badung"/>
    <n v="21"/>
    <n v="39.260606059090911"/>
    <s v="863,7333333"/>
    <n v="99.661538461538456"/>
    <s v="10364,8"/>
  </r>
  <r>
    <d v="2021-04-27T00:00:00"/>
    <n v="4"/>
    <s v="Q2"/>
    <n v="27"/>
    <s v="(04) APR"/>
    <n v="2021"/>
    <s v="ecoBali"/>
    <x v="9"/>
    <s v="Badung"/>
    <n v="20"/>
    <n v="39.260606059090911"/>
    <s v="863,7333333"/>
    <n v="99.661538461538456"/>
    <s v="10364,8"/>
  </r>
  <r>
    <d v="2021-04-29T00:00:00"/>
    <n v="5"/>
    <s v="Q2"/>
    <n v="29"/>
    <s v="(04) APR"/>
    <n v="2021"/>
    <s v="ecoBali"/>
    <x v="9"/>
    <s v="Badung"/>
    <n v="28"/>
    <n v="39.260606059090911"/>
    <s v="863,7333333"/>
    <n v="99.661538461538456"/>
    <s v="10364,8"/>
  </r>
  <r>
    <d v="2021-04-30T00:00:00"/>
    <n v="5"/>
    <s v="Q2"/>
    <n v="30"/>
    <s v="(04) APR"/>
    <n v="2021"/>
    <s v="ecoBali"/>
    <x v="9"/>
    <s v="Badung"/>
    <n v="27"/>
    <n v="39.260606059090911"/>
    <s v="863,7333333"/>
    <n v="99.661538461538456"/>
    <s v="10364,8"/>
  </r>
  <r>
    <d v="2021-04-30T00:00:00"/>
    <n v="5"/>
    <s v="Q2"/>
    <n v="30"/>
    <s v="(04) APR"/>
    <n v="2021"/>
    <s v="Pak Sueb"/>
    <x v="3"/>
    <s v="Denpasar"/>
    <n v="1213"/>
    <n v="1198.1208329999999"/>
    <s v="11981,20833"/>
    <n v="4228.661764705882"/>
    <s v="143774,5"/>
  </r>
  <r>
    <d v="2021-04-30T00:00:00"/>
    <n v="5"/>
    <s v="Q2"/>
    <n v="30"/>
    <s v="(04) APR"/>
    <n v="2021"/>
    <s v="Pak Bob"/>
    <x v="4"/>
    <s v="Badung"/>
    <n v="77"/>
    <n v="742.48666660000004"/>
    <s v="3712,433333"/>
    <n v="1856.2166666666665"/>
    <s v="44549,2"/>
  </r>
  <r>
    <d v="2021-04-27T00:00:00"/>
    <n v="4"/>
    <s v="Q2"/>
    <n v="27"/>
    <s v="(04) APR"/>
    <n v="2021"/>
    <s v="BSI E-darling Buleleng"/>
    <x v="10"/>
    <s v="Buleleng"/>
    <n v="0"/>
    <n v="93.158333333333346"/>
    <s v="279,475"/>
    <n v="419.21249999999998"/>
    <s v="3353,7"/>
  </r>
  <r>
    <d v="2021-04-29T00:00:00"/>
    <n v="5"/>
    <s v="Q2"/>
    <n v="29"/>
    <s v="(04) APR"/>
    <n v="2021"/>
    <s v="Monsieur spoon"/>
    <x v="5"/>
    <s v="Badung"/>
    <n v="10"/>
    <n v="42.896296296296299"/>
    <s v="1158,2"/>
    <n v="111.18719999999999"/>
    <s v="13898,4"/>
  </r>
  <r>
    <d v="2021-04-30T00:00:00"/>
    <n v="5"/>
    <s v="Q2"/>
    <n v="30"/>
    <s v="(04) APR"/>
    <n v="2021"/>
    <s v="Milk Up"/>
    <x v="5"/>
    <s v="Denpasar"/>
    <n v="56"/>
    <n v="42.896296296296299"/>
    <s v="1158,2"/>
    <n v="111.18719999999999"/>
    <s v="13898,4"/>
  </r>
  <r>
    <d v="2021-04-30T00:00:00"/>
    <n v="5"/>
    <s v="Q2"/>
    <n v="30"/>
    <s v="(04) APR"/>
    <n v="2021"/>
    <s v="Gusto Gelato"/>
    <x v="5"/>
    <s v="Badung"/>
    <n v="46"/>
    <n v="42.896296296296299"/>
    <s v="1158,2"/>
    <n v="111.18719999999999"/>
    <s v="13898,4"/>
  </r>
  <r>
    <d v="2021-04-30T00:00:00"/>
    <n v="5"/>
    <s v="Q2"/>
    <n v="30"/>
    <s v="(04) APR"/>
    <n v="2021"/>
    <s v="Green School"/>
    <x v="7"/>
    <s v="Badung"/>
    <n v="17"/>
    <n v="12.955000000000002"/>
    <s v="64,775"/>
    <n v="38.864999999999995"/>
    <s v="777,3"/>
  </r>
  <r>
    <d v="2021-04-30T00:00:00"/>
    <n v="5"/>
    <s v="Q2"/>
    <n v="30"/>
    <s v="(04) APR"/>
    <n v="2021"/>
    <s v="Mitra Gianyar Bagus"/>
    <x v="2"/>
    <s v="Gianyar"/>
    <n v="0"/>
    <n v="878.97500000000002"/>
    <s v="878,975"/>
    <n v="1757.95"/>
    <s v="10547,7"/>
  </r>
  <r>
    <d v="2021-04-30T00:00:00"/>
    <n v="5"/>
    <s v="Q2"/>
    <n v="30"/>
    <s v="(04) APR"/>
    <n v="2021"/>
    <s v="Br Seseh Cemagi"/>
    <x v="8"/>
    <s v="Badung"/>
    <n v="0.3"/>
    <n v="19.866666667499999"/>
    <s v="79,46666667"/>
    <n v="24.451282051282053"/>
    <s v="953,6"/>
  </r>
  <r>
    <d v="2021-05-03T00:00:00"/>
    <n v="1"/>
    <s v="Q2"/>
    <n v="3"/>
    <s v="(05) MEI"/>
    <n v="2021"/>
    <s v="Gelato factory"/>
    <x v="5"/>
    <s v="Badung"/>
    <n v="14"/>
    <n v="35.096969696969701"/>
    <s v="1158,2"/>
    <n v="111.18719999999999"/>
    <s v="13898,4"/>
  </r>
  <r>
    <d v="2021-05-03T00:00:00"/>
    <n v="1"/>
    <s v="Q2"/>
    <n v="3"/>
    <s v="(05) MEI"/>
    <n v="2021"/>
    <s v="Milk Up"/>
    <x v="5"/>
    <s v="Denpasar"/>
    <n v="32"/>
    <n v="35.096969696969701"/>
    <s v="1158,2"/>
    <n v="111.18719999999999"/>
    <s v="13898,4"/>
  </r>
  <r>
    <d v="2021-05-03T00:00:00"/>
    <n v="1"/>
    <s v="Q2"/>
    <n v="3"/>
    <s v="(05) MEI"/>
    <n v="2021"/>
    <s v="Gusto Gelato"/>
    <x v="5"/>
    <s v="Badung"/>
    <n v="29"/>
    <n v="35.096969696969701"/>
    <s v="1158,2"/>
    <n v="111.18719999999999"/>
    <s v="13898,4"/>
  </r>
  <r>
    <d v="2021-05-03T00:00:00"/>
    <n v="1"/>
    <s v="Q2"/>
    <n v="3"/>
    <s v="(05) MEI"/>
    <n v="2021"/>
    <s v="Aid hub"/>
    <x v="5"/>
    <s v="Badung"/>
    <n v="2.8"/>
    <n v="35.096969696969701"/>
    <s v="1158,2"/>
    <n v="111.18719999999999"/>
    <s v="13898,4"/>
  </r>
  <r>
    <d v="2021-05-04T00:00:00"/>
    <n v="1"/>
    <s v="Q2"/>
    <n v="4"/>
    <s v="(05) MEI"/>
    <n v="2021"/>
    <s v="Pak Komang pemelisan"/>
    <x v="3"/>
    <s v="Denpasar"/>
    <n v="496"/>
    <n v="3993.7361099999998"/>
    <s v="11981,20833"/>
    <n v="4228.661764705882"/>
    <s v="143774,5"/>
  </r>
  <r>
    <d v="2021-05-06T00:00:00"/>
    <n v="1"/>
    <s v="Q2"/>
    <n v="6"/>
    <s v="(05) MEI"/>
    <n v="2021"/>
    <s v="Pak Sueb"/>
    <x v="3"/>
    <s v="Denpasar"/>
    <n v="887"/>
    <n v="3993.7361099999998"/>
    <s v="11981,20833"/>
    <n v="4228.661764705882"/>
    <s v="143774,5"/>
  </r>
  <r>
    <d v="2021-05-07T00:00:00"/>
    <n v="1"/>
    <s v="Q2"/>
    <n v="7"/>
    <s v="(05) MEI"/>
    <n v="2021"/>
    <s v="Green School"/>
    <x v="7"/>
    <s v="Badung"/>
    <n v="5"/>
    <n v="16.193750000000001"/>
    <s v="64,775"/>
    <n v="38.864999999999995"/>
    <s v="777,3"/>
  </r>
  <r>
    <d v="2021-05-07T00:00:00"/>
    <n v="1"/>
    <s v="Q2"/>
    <n v="7"/>
    <s v="(05) MEI"/>
    <n v="2021"/>
    <s v="BSI Bali Bersih"/>
    <x v="10"/>
    <s v="Denpasar"/>
    <n v="57"/>
    <n v="139.73750000000001"/>
    <s v="279,475"/>
    <n v="419.21249999999998"/>
    <s v="3353,7"/>
  </r>
  <r>
    <d v="2021-05-07T00:00:00"/>
    <n v="1"/>
    <s v="Q2"/>
    <n v="7"/>
    <s v="(05) MEI"/>
    <n v="2021"/>
    <s v="Gelato factory"/>
    <x v="5"/>
    <s v="Badung"/>
    <n v="22"/>
    <n v="35.096969696969701"/>
    <s v="1158,2"/>
    <n v="111.18719999999999"/>
    <s v="13898,4"/>
  </r>
  <r>
    <d v="2021-05-07T00:00:00"/>
    <n v="1"/>
    <s v="Q2"/>
    <n v="7"/>
    <s v="(05) MEI"/>
    <n v="2021"/>
    <s v="Sundays Coffee"/>
    <x v="5"/>
    <s v="Badung"/>
    <n v="2"/>
    <n v="35.096969696969701"/>
    <s v="1158,2"/>
    <n v="111.18719999999999"/>
    <s v="13898,4"/>
  </r>
  <r>
    <d v="2021-05-07T00:00:00"/>
    <n v="1"/>
    <s v="Q2"/>
    <n v="7"/>
    <s v="(05) MEI"/>
    <n v="2021"/>
    <s v="Milk Up"/>
    <x v="5"/>
    <s v="Denpasar"/>
    <n v="52"/>
    <n v="35.096969696969701"/>
    <s v="1158,2"/>
    <n v="111.18719999999999"/>
    <s v="13898,4"/>
  </r>
  <r>
    <d v="2021-05-12T00:00:00"/>
    <n v="2"/>
    <s v="Q2"/>
    <n v="12"/>
    <s v="(05) MEI"/>
    <n v="2021"/>
    <s v="Milk Up"/>
    <x v="5"/>
    <s v="Denpasar"/>
    <n v="36"/>
    <n v="35.096969696969701"/>
    <s v="1158,2"/>
    <n v="111.18719999999999"/>
    <s v="13898,4"/>
  </r>
  <r>
    <d v="2021-05-12T00:00:00"/>
    <n v="2"/>
    <s v="Q2"/>
    <n v="12"/>
    <s v="(05) MEI"/>
    <n v="2021"/>
    <s v="Gusto Gelato"/>
    <x v="5"/>
    <s v="Badung"/>
    <n v="56.9"/>
    <n v="35.096969696969701"/>
    <s v="1158,2"/>
    <n v="111.18719999999999"/>
    <s v="13898,4"/>
  </r>
  <r>
    <d v="2021-05-12T00:00:00"/>
    <n v="2"/>
    <s v="Q2"/>
    <n v="12"/>
    <s v="(05) MEI"/>
    <n v="2021"/>
    <s v="Sersan Kopi"/>
    <x v="5"/>
    <s v="Denpasar"/>
    <n v="1"/>
    <n v="35.096969696969701"/>
    <s v="1158,2"/>
    <n v="111.18719999999999"/>
    <s v="13898,4"/>
  </r>
  <r>
    <d v="2021-05-12T00:00:00"/>
    <n v="2"/>
    <s v="Q2"/>
    <n v="12"/>
    <s v="(05) MEI"/>
    <n v="2021"/>
    <s v="Gelato factory"/>
    <x v="5"/>
    <s v="Badung"/>
    <n v="11"/>
    <n v="35.096969696969701"/>
    <s v="1158,2"/>
    <n v="111.18719999999999"/>
    <s v="13898,4"/>
  </r>
  <r>
    <d v="2021-05-12T00:00:00"/>
    <n v="2"/>
    <s v="Q2"/>
    <n v="12"/>
    <s v="(05) MEI"/>
    <n v="2021"/>
    <s v="Aid hub"/>
    <x v="5"/>
    <s v="Badung"/>
    <n v="3"/>
    <n v="35.096969696969701"/>
    <s v="1158,2"/>
    <n v="111.18719999999999"/>
    <s v="13898,4"/>
  </r>
  <r>
    <d v="2021-05-15T00:00:00"/>
    <n v="2"/>
    <s v="Q2"/>
    <n v="12"/>
    <s v="(05) MEI"/>
    <n v="2021"/>
    <s v="Milk Up"/>
    <x v="5"/>
    <s v="Denpasar"/>
    <n v="32"/>
    <n v="35.096969696969701"/>
    <s v="1158,2"/>
    <n v="111.18719999999999"/>
    <s v="13898,4"/>
  </r>
  <r>
    <d v="2021-05-15T00:00:00"/>
    <n v="2"/>
    <s v="Q2"/>
    <n v="12"/>
    <s v="(05) MEI"/>
    <n v="2021"/>
    <s v="Ibu Nia"/>
    <x v="4"/>
    <s v="Badung"/>
    <n v="110"/>
    <n v="928.10833324999999"/>
    <s v="3712,433333"/>
    <n v="1856.2166666666665"/>
    <s v="44549,2"/>
  </r>
  <r>
    <d v="2021-05-15T00:00:00"/>
    <n v="2"/>
    <s v="Q2"/>
    <n v="12"/>
    <s v="(05) MEI"/>
    <n v="2021"/>
    <s v="Pak Vina"/>
    <x v="4"/>
    <s v="Badung"/>
    <n v="69"/>
    <n v="928.10833324999999"/>
    <s v="3712,433333"/>
    <n v="1856.2166666666665"/>
    <s v="44549,2"/>
  </r>
  <r>
    <d v="2021-05-15T00:00:00"/>
    <n v="2"/>
    <s v="Q2"/>
    <n v="12"/>
    <s v="(05) MEI"/>
    <n v="2021"/>
    <s v="Pak Moyo"/>
    <x v="4"/>
    <s v="Badung"/>
    <n v="114"/>
    <n v="928.10833324999999"/>
    <s v="3712,433333"/>
    <n v="1856.2166666666665"/>
    <s v="44549,2"/>
  </r>
  <r>
    <d v="2021-05-15T00:00:00"/>
    <n v="2"/>
    <s v="Q2"/>
    <n v="12"/>
    <s v="(05) MEI"/>
    <n v="2021"/>
    <s v="TPS3R Bindu"/>
    <x v="0"/>
    <s v="Badung"/>
    <n v="10"/>
    <n v="130.47777777777767"/>
    <s v="391,433333333333"/>
    <n v="418.83636363636361"/>
    <s v="4607,2"/>
  </r>
  <r>
    <d v="2021-05-15T00:00:00"/>
    <n v="2"/>
    <s v="Q2"/>
    <n v="12"/>
    <s v="(05) MEI"/>
    <n v="2021"/>
    <s v="Green School"/>
    <x v="7"/>
    <s v="Badung"/>
    <n v="4"/>
    <n v="16.193750000000001"/>
    <s v="64,775"/>
    <n v="38.864999999999995"/>
    <s v="777,3"/>
  </r>
  <r>
    <d v="2021-05-17T00:00:00"/>
    <n v="3"/>
    <s v="Q2"/>
    <n v="17"/>
    <s v="(05) MEI"/>
    <n v="2021"/>
    <s v="Br Aseman Kangin Tibubeneng"/>
    <x v="8"/>
    <s v="Badung"/>
    <n v="3.2"/>
    <n v="6.1128205130769224"/>
    <s v="79,46666667"/>
    <n v="24.451282051282053"/>
    <s v="953,6"/>
  </r>
  <r>
    <d v="2021-05-17T00:00:00"/>
    <n v="3"/>
    <s v="Q2"/>
    <n v="17"/>
    <s v="(05) MEI"/>
    <n v="2021"/>
    <s v="Br Aseman Kawan Tibubeneng"/>
    <x v="8"/>
    <s v="Badung"/>
    <n v="2.6"/>
    <n v="6.1128205130769224"/>
    <s v="79,46666667"/>
    <n v="24.451282051282053"/>
    <s v="953,6"/>
  </r>
  <r>
    <d v="2021-05-17T00:00:00"/>
    <n v="3"/>
    <s v="Q2"/>
    <n v="17"/>
    <s v="(05) MEI"/>
    <n v="2021"/>
    <s v="Br Tandeg Tibubeneng"/>
    <x v="8"/>
    <s v="Badung"/>
    <n v="3.6"/>
    <n v="6.1128205130769224"/>
    <s v="79,46666667"/>
    <n v="24.451282051282053"/>
    <s v="953,6"/>
  </r>
  <r>
    <d v="2021-05-10T00:00:00"/>
    <n v="2"/>
    <s v="Q2"/>
    <n v="10"/>
    <s v="(05) MEI"/>
    <n v="2021"/>
    <s v="Br Kaja Kangin Cemagi"/>
    <x v="8"/>
    <s v="Badung"/>
    <n v="8"/>
    <n v="6.1128205130769224"/>
    <s v="79,46666667"/>
    <n v="24.451282051282053"/>
    <s v="953,6"/>
  </r>
  <r>
    <d v="2021-05-10T00:00:00"/>
    <n v="2"/>
    <s v="Q2"/>
    <n v="10"/>
    <s v="(05) MEI"/>
    <n v="2021"/>
    <s v="Br Sangiangan Cemagi"/>
    <x v="8"/>
    <s v="Badung"/>
    <n v="5"/>
    <n v="6.1128205130769224"/>
    <s v="79,46666667"/>
    <n v="24.451282051282053"/>
    <s v="953,6"/>
  </r>
  <r>
    <d v="2021-05-10T00:00:00"/>
    <n v="2"/>
    <s v="Q2"/>
    <n v="10"/>
    <s v="(05) MEI"/>
    <n v="2021"/>
    <s v="Br Sogsogan Cemagi"/>
    <x v="8"/>
    <s v="Badung"/>
    <n v="1.3"/>
    <n v="6.1128205130769224"/>
    <s v="79,46666667"/>
    <n v="24.451282051282053"/>
    <s v="953,6"/>
  </r>
  <r>
    <d v="2021-05-18T00:00:00"/>
    <n v="3"/>
    <s v="Q2"/>
    <n v="18"/>
    <s v="(05) MEI"/>
    <n v="2021"/>
    <s v="Br Kayu Tulang Canggu"/>
    <x v="8"/>
    <s v="Badung"/>
    <n v="6"/>
    <n v="6.1128205130769224"/>
    <s v="79,46666667"/>
    <n v="24.451282051282053"/>
    <s v="953,6"/>
  </r>
  <r>
    <d v="2021-05-19T00:00:00"/>
    <n v="3"/>
    <s v="Q2"/>
    <n v="19"/>
    <s v="(05) MEI"/>
    <n v="2021"/>
    <s v="Milk Up"/>
    <x v="5"/>
    <s v="Denpasar"/>
    <n v="42"/>
    <n v="35.096969696969701"/>
    <s v="1158,2"/>
    <n v="111.18719999999999"/>
    <s v="13898,4"/>
  </r>
  <r>
    <d v="2021-05-19T00:00:00"/>
    <n v="3"/>
    <s v="Q2"/>
    <n v="19"/>
    <s v="(05) MEI"/>
    <n v="2021"/>
    <s v="Gelato Factory"/>
    <x v="5"/>
    <s v="Badung"/>
    <n v="10"/>
    <n v="35.096969696969701"/>
    <s v="1158,2"/>
    <n v="111.18719999999999"/>
    <s v="13898,4"/>
  </r>
  <r>
    <d v="2021-05-19T00:00:00"/>
    <n v="3"/>
    <s v="Q2"/>
    <n v="19"/>
    <s v="(05) MEI"/>
    <n v="2021"/>
    <s v="One People"/>
    <x v="5"/>
    <s v="Denpasar"/>
    <n v="2"/>
    <n v="35.096969696969701"/>
    <s v="1158,2"/>
    <n v="111.18719999999999"/>
    <s v="13898,4"/>
  </r>
  <r>
    <d v="2021-05-19T00:00:00"/>
    <n v="3"/>
    <s v="Q2"/>
    <n v="19"/>
    <s v="(05) MEI"/>
    <n v="2021"/>
    <s v="Aid hub"/>
    <x v="5"/>
    <s v="Badung"/>
    <n v="1.8"/>
    <n v="35.096969696969701"/>
    <s v="1158,2"/>
    <n v="111.18719999999999"/>
    <s v="13898,4"/>
  </r>
  <r>
    <d v="2021-05-19T00:00:00"/>
    <n v="3"/>
    <s v="Q2"/>
    <n v="19"/>
    <s v="(05) MEI"/>
    <n v="2021"/>
    <s v="Br Keliki Cemagi"/>
    <x v="8"/>
    <s v="Badung"/>
    <n v="2.2000000000000002"/>
    <n v="6.1128205130769224"/>
    <s v="79,46666667"/>
    <n v="24.451282051282053"/>
    <s v="953,6"/>
  </r>
  <r>
    <d v="2021-05-21T00:00:00"/>
    <n v="3"/>
    <s v="Q2"/>
    <n v="21"/>
    <s v="(05) MEI"/>
    <n v="2021"/>
    <s v="Br Pande Pemaron Munggu"/>
    <x v="8"/>
    <s v="Badung"/>
    <n v="4.5999999999999996"/>
    <n v="6.1128205130769224"/>
    <s v="79,46666667"/>
    <n v="24.451282051282053"/>
    <s v="953,6"/>
  </r>
  <r>
    <d v="2021-05-24T00:00:00"/>
    <n v="4"/>
    <s v="Q2"/>
    <n v="24"/>
    <s v="(05) MEI"/>
    <n v="2021"/>
    <s v="Br Dukuh Pandean Munggu"/>
    <x v="8"/>
    <s v="Badung"/>
    <n v="4.8"/>
    <n v="6.1128205130769224"/>
    <s v="79,46666667"/>
    <n v="24.451282051282053"/>
    <s v="953,6"/>
  </r>
  <r>
    <d v="2021-05-24T00:00:00"/>
    <n v="4"/>
    <s v="Q2"/>
    <n v="24"/>
    <s v="(05) MEI"/>
    <n v="2021"/>
    <s v="Br Umabuluh Munggu"/>
    <x v="8"/>
    <s v="Badung"/>
    <n v="4"/>
    <n v="6.1128205130769224"/>
    <s v="79,46666667"/>
    <n v="24.451282051282053"/>
    <s v="953,6"/>
  </r>
  <r>
    <d v="2021-05-20T00:00:00"/>
    <n v="3"/>
    <s v="Q2"/>
    <n v="20"/>
    <s v="(05) MEI"/>
    <n v="2021"/>
    <s v="Pak Legito"/>
    <x v="3"/>
    <s v="Denpasar"/>
    <n v="415"/>
    <n v="3993.7361099999998"/>
    <s v="11981,20833"/>
    <n v="4228.661764705882"/>
    <s v="143774,5"/>
  </r>
  <r>
    <d v="2021-05-20T00:00:00"/>
    <n v="3"/>
    <s v="Q2"/>
    <n v="20"/>
    <s v="(05) MEI"/>
    <n v="2021"/>
    <s v="Monsieur spoon"/>
    <x v="5"/>
    <s v="Badung"/>
    <n v="14"/>
    <n v="35.096969696969701"/>
    <s v="1158,2"/>
    <n v="111.18719999999999"/>
    <s v="13898,4"/>
  </r>
  <r>
    <d v="2021-05-20T00:00:00"/>
    <n v="3"/>
    <s v="Q2"/>
    <n v="20"/>
    <s v="(05) MEI"/>
    <n v="2021"/>
    <s v="Serenity"/>
    <x v="5"/>
    <s v="Badung"/>
    <n v="2"/>
    <n v="35.096969696969701"/>
    <s v="1158,2"/>
    <n v="111.18719999999999"/>
    <s v="13898,4"/>
  </r>
  <r>
    <d v="2021-05-21T00:00:00"/>
    <n v="3"/>
    <s v="Q2"/>
    <n v="21"/>
    <s v="(05) MEI"/>
    <n v="2021"/>
    <s v="Milk Up"/>
    <x v="5"/>
    <s v="Denpasar"/>
    <n v="27"/>
    <n v="35.096969696969701"/>
    <s v="1158,2"/>
    <n v="111.18719999999999"/>
    <s v="13898,4"/>
  </r>
  <r>
    <d v="2021-05-21T00:00:00"/>
    <n v="3"/>
    <s v="Q2"/>
    <n v="21"/>
    <s v="(05) MEI"/>
    <n v="2021"/>
    <s v="Paletas wey"/>
    <x v="5"/>
    <s v="Denpasar"/>
    <n v="12"/>
    <n v="35.096969696969701"/>
    <s v="1158,2"/>
    <n v="111.18719999999999"/>
    <s v="13898,4"/>
  </r>
  <r>
    <d v="2021-05-21T00:00:00"/>
    <n v="3"/>
    <s v="Q2"/>
    <n v="21"/>
    <s v="(05) MEI"/>
    <n v="2021"/>
    <s v="Green School"/>
    <x v="7"/>
    <s v="Badung"/>
    <n v="3"/>
    <n v="16.193750000000001"/>
    <s v="64,775"/>
    <n v="38.864999999999995"/>
    <s v="777,3"/>
  </r>
  <r>
    <d v="2021-05-21T00:00:00"/>
    <n v="3"/>
    <s v="Q2"/>
    <n v="21"/>
    <s v="(05) MEI"/>
    <n v="2021"/>
    <s v="Alila ubud"/>
    <x v="6"/>
    <s v="Gianyar"/>
    <n v="4"/>
    <n v="201.40833330000001"/>
    <s v="201,4083333"/>
    <n v="345.2714285714286"/>
    <s v="2416,9"/>
  </r>
  <r>
    <d v="2021-05-24T00:00:00"/>
    <n v="3"/>
    <s v="Q2"/>
    <n v="24"/>
    <s v="(05) MEI"/>
    <n v="2021"/>
    <s v="Milk Up"/>
    <x v="5"/>
    <s v="Denpasar"/>
    <n v="31"/>
    <n v="35.096969696969701"/>
    <s v="1158,2"/>
    <n v="111.18719999999999"/>
    <s v="13898,4"/>
  </r>
  <r>
    <d v="2021-05-24T00:00:00"/>
    <n v="3"/>
    <s v="Q2"/>
    <n v="24"/>
    <s v="(05) MEI"/>
    <n v="2021"/>
    <s v="Gelato Factory"/>
    <x v="5"/>
    <s v="Denpasar"/>
    <n v="13"/>
    <n v="35.096969696969701"/>
    <s v="1158,2"/>
    <n v="111.18719999999999"/>
    <s v="13898,4"/>
  </r>
  <r>
    <d v="2021-05-24T00:00:00"/>
    <n v="3"/>
    <s v="Q2"/>
    <n v="24"/>
    <s v="(05) MEI"/>
    <n v="2021"/>
    <s v="Gusto Gelato"/>
    <x v="5"/>
    <s v="Badung"/>
    <n v="90"/>
    <n v="35.096969696969701"/>
    <s v="1158,2"/>
    <n v="111.18719999999999"/>
    <s v="13898,4"/>
  </r>
  <r>
    <d v="2021-05-24T00:00:00"/>
    <n v="3"/>
    <s v="Q2"/>
    <n v="24"/>
    <s v="(05) MEI"/>
    <n v="2021"/>
    <s v="Aid hub"/>
    <x v="5"/>
    <s v="Badung"/>
    <n v="1.4"/>
    <n v="35.096969696969701"/>
    <s v="1158,2"/>
    <n v="111.18719999999999"/>
    <s v="13898,4"/>
  </r>
  <r>
    <d v="2021-05-27T00:00:00"/>
    <n v="4"/>
    <s v="Q2"/>
    <n v="27"/>
    <s v="(05) MEI"/>
    <n v="2021"/>
    <s v="Pak rono"/>
    <x v="4"/>
    <s v="Denpasar"/>
    <n v="457"/>
    <n v="928.10833324999999"/>
    <s v="3712,433333"/>
    <n v="1856.2166666666665"/>
    <s v="44549,2"/>
  </r>
  <r>
    <d v="2021-05-27T00:00:00"/>
    <n v="4"/>
    <s v="Q2"/>
    <n v="27"/>
    <s v="(05) MEI"/>
    <n v="2021"/>
    <s v="Sersan Kopi"/>
    <x v="5"/>
    <s v="Denpasar"/>
    <n v="1.5"/>
    <n v="35.096969696969701"/>
    <s v="1158,2"/>
    <n v="111.18719999999999"/>
    <s v="13898,4"/>
  </r>
  <r>
    <d v="2021-05-28T00:00:00"/>
    <n v="4"/>
    <s v="Q2"/>
    <n v="28"/>
    <s v="(05) MEI"/>
    <n v="2021"/>
    <s v="Milk Up"/>
    <x v="5"/>
    <s v="Denpasar"/>
    <n v="39"/>
    <n v="35.096969696969701"/>
    <s v="1158,2"/>
    <n v="111.18719999999999"/>
    <s v="13898,4"/>
  </r>
  <r>
    <d v="2021-05-28T00:00:00"/>
    <n v="4"/>
    <s v="Q2"/>
    <n v="28"/>
    <s v="(05) MEI"/>
    <n v="2021"/>
    <s v="Paletas wey"/>
    <x v="5"/>
    <s v="Denpasar"/>
    <n v="37"/>
    <n v="35.096969696969701"/>
    <s v="1158,2"/>
    <n v="111.18719999999999"/>
    <s v="13898,4"/>
  </r>
  <r>
    <d v="2021-05-28T00:00:00"/>
    <n v="4"/>
    <s v="Q2"/>
    <n v="28"/>
    <s v="(05) MEI"/>
    <n v="2021"/>
    <s v="TPS3R Rumah Hijau"/>
    <x v="0"/>
    <s v="Badung"/>
    <n v="23"/>
    <n v="130.47777777777767"/>
    <s v="391,433333333333"/>
    <n v="418.83636363636361"/>
    <s v="4607,2"/>
  </r>
  <r>
    <d v="2021-05-28T00:00:00"/>
    <n v="4"/>
    <s v="Q2"/>
    <n v="28"/>
    <s v="(05) MEI"/>
    <n v="2021"/>
    <s v="TPS3R Bayu Suci"/>
    <x v="0"/>
    <s v="Tabanan"/>
    <n v="60"/>
    <n v="130.47777777777767"/>
    <s v="391,433333333333"/>
    <n v="418.83636363636361"/>
    <s v="4607,2"/>
  </r>
  <r>
    <d v="2021-05-28T00:00:00"/>
    <n v="4"/>
    <s v="Q2"/>
    <n v="28"/>
    <s v="(05) MEI"/>
    <n v="2021"/>
    <s v="Green School"/>
    <x v="7"/>
    <s v="Badung"/>
    <n v="8"/>
    <n v="16.193750000000001"/>
    <s v="64,775"/>
    <n v="38.864999999999995"/>
    <s v="777,3"/>
  </r>
  <r>
    <d v="2021-05-31T00:00:00"/>
    <n v="5"/>
    <s v="Q2"/>
    <n v="31"/>
    <s v="(05) MEI"/>
    <n v="2021"/>
    <s v="BSI E-darling Buleleng"/>
    <x v="10"/>
    <s v="Buleleng"/>
    <n v="0"/>
    <n v="139.73750000000001"/>
    <s v="279,475"/>
    <n v="419.21249999999998"/>
    <s v="3353,7"/>
  </r>
  <r>
    <d v="2021-05-31T00:00:00"/>
    <n v="5"/>
    <s v="Q2"/>
    <n v="31"/>
    <s v="(05) MEI"/>
    <n v="2021"/>
    <s v="PT Berkat Daur Ulang"/>
    <x v="5"/>
    <s v="Klungkung"/>
    <n v="0"/>
    <n v="35.096969696969701"/>
    <s v="1158,2"/>
    <n v="111.18719999999999"/>
    <s v="13898,4"/>
  </r>
  <r>
    <d v="2021-05-31T00:00:00"/>
    <n v="5"/>
    <s v="Q2"/>
    <n v="31"/>
    <s v="(05) MEI"/>
    <n v="2021"/>
    <s v="Mitra Gianyar Bagus"/>
    <x v="2"/>
    <s v="Gianyar"/>
    <n v="0"/>
    <n v="878.97500000000002"/>
    <s v="878,975"/>
    <n v="1757.95"/>
    <s v="10547,7"/>
  </r>
  <r>
    <d v="2021-05-31T00:00:00"/>
    <n v="5"/>
    <s v="Q2"/>
    <n v="31"/>
    <s v="(05) MEI"/>
    <n v="2021"/>
    <s v="Rumah kompos padang tegal"/>
    <x v="1"/>
    <s v="Gianyar"/>
    <n v="0"/>
    <n v="1222.2249999999999"/>
    <s v="1222,225"/>
    <n v="1333.3363636363638"/>
    <s v="14666,7"/>
  </r>
  <r>
    <d v="2021-05-31T00:00:00"/>
    <n v="5"/>
    <s v="Q2"/>
    <n v="31"/>
    <s v="(05) MEI"/>
    <n v="2021"/>
    <s v="Gelato factory"/>
    <x v="5"/>
    <s v="Badung"/>
    <n v="10"/>
    <n v="35.096969696969701"/>
    <s v="1158,2"/>
    <n v="111.18719999999999"/>
    <s v="13898,4"/>
  </r>
  <r>
    <d v="2021-05-31T00:00:00"/>
    <n v="5"/>
    <s v="Q2"/>
    <n v="31"/>
    <s v="(05) MEI"/>
    <n v="2021"/>
    <s v="Milk Up"/>
    <x v="5"/>
    <s v="Denpasar"/>
    <n v="32"/>
    <n v="35.096969696969701"/>
    <s v="1158,2"/>
    <n v="111.18719999999999"/>
    <s v="13898,4"/>
  </r>
  <r>
    <d v="2021-05-31T00:00:00"/>
    <n v="5"/>
    <s v="Q2"/>
    <n v="31"/>
    <s v="(05) MEI"/>
    <n v="2021"/>
    <s v="Aid hub"/>
    <x v="5"/>
    <s v="Badung"/>
    <n v="0.8"/>
    <n v="35.096969696969701"/>
    <s v="1158,2"/>
    <n v="111.18719999999999"/>
    <s v="13898,4"/>
  </r>
  <r>
    <d v="2021-05-31T00:00:00"/>
    <n v="5"/>
    <s v="Q2"/>
    <n v="31"/>
    <s v="(05) MEI"/>
    <n v="2021"/>
    <s v="Gusto Gelato"/>
    <x v="5"/>
    <s v="Badung"/>
    <n v="47"/>
    <n v="35.096969696969701"/>
    <s v="1158,2"/>
    <n v="111.18719999999999"/>
    <s v="13898,4"/>
  </r>
  <r>
    <d v="2021-05-01T00:00:00"/>
    <n v="1"/>
    <s v="Q2"/>
    <n v="1"/>
    <s v="(05) MEI"/>
    <n v="2021"/>
    <s v="ecoBali"/>
    <x v="9"/>
    <s v="Badung"/>
    <n v="13"/>
    <n v="71.977777775000007"/>
    <s v="863,7333333"/>
    <n v="99.661538461538456"/>
    <s v="10364,8"/>
  </r>
  <r>
    <d v="2021-05-03T00:00:00"/>
    <n v="1"/>
    <s v="Q2"/>
    <n v="3"/>
    <s v="(05) MEI"/>
    <n v="2021"/>
    <s v="ecoBali"/>
    <x v="9"/>
    <s v="Badung"/>
    <n v="26"/>
    <n v="71.977777775000007"/>
    <s v="863,7333333"/>
    <n v="99.661538461538456"/>
    <s v="10364,8"/>
  </r>
  <r>
    <d v="2021-05-04T00:00:00"/>
    <n v="1"/>
    <s v="Q2"/>
    <n v="4"/>
    <s v="(05) MEI"/>
    <n v="2021"/>
    <s v="ecoBali"/>
    <x v="9"/>
    <s v="Badung"/>
    <n v="24"/>
    <n v="71.977777775000007"/>
    <s v="863,7333333"/>
    <n v="99.661538461538456"/>
    <s v="10364,8"/>
  </r>
  <r>
    <d v="2021-05-05T00:00:00"/>
    <n v="1"/>
    <s v="Q2"/>
    <n v="5"/>
    <s v="(05) MEI"/>
    <n v="2021"/>
    <s v="ecoBali"/>
    <x v="9"/>
    <s v="Badung"/>
    <n v="22"/>
    <n v="71.977777775000007"/>
    <s v="863,7333333"/>
    <n v="99.661538461538456"/>
    <s v="10364,8"/>
  </r>
  <r>
    <d v="2021-05-06T00:00:00"/>
    <n v="1"/>
    <s v="Q2"/>
    <n v="6"/>
    <s v="(05) MEI"/>
    <n v="2021"/>
    <s v="ecoBali"/>
    <x v="9"/>
    <s v="Badung"/>
    <n v="16"/>
    <n v="71.977777775000007"/>
    <s v="863,7333333"/>
    <n v="99.661538461538456"/>
    <s v="10364,8"/>
  </r>
  <r>
    <d v="2021-05-07T00:00:00"/>
    <n v="1"/>
    <s v="Q2"/>
    <n v="7"/>
    <s v="(05) MEI"/>
    <n v="2021"/>
    <s v="ecoBali"/>
    <x v="9"/>
    <s v="Badung"/>
    <n v="18"/>
    <n v="71.977777775000007"/>
    <s v="863,7333333"/>
    <n v="99.661538461538456"/>
    <s v="10364,8"/>
  </r>
  <r>
    <d v="2021-05-10T00:00:00"/>
    <n v="2"/>
    <s v="Q2"/>
    <n v="10"/>
    <s v="(05) MEI"/>
    <n v="2021"/>
    <s v="ecoBali"/>
    <x v="9"/>
    <s v="Badung"/>
    <n v="19"/>
    <n v="71.977777775000007"/>
    <s v="863,7333333"/>
    <n v="99.661538461538456"/>
    <s v="10364,8"/>
  </r>
  <r>
    <d v="2021-05-11T00:00:00"/>
    <n v="2"/>
    <s v="Q2"/>
    <n v="11"/>
    <s v="(05) MEI"/>
    <n v="2021"/>
    <s v="ecoBali"/>
    <x v="9"/>
    <s v="Badung"/>
    <n v="16"/>
    <n v="71.977777775000007"/>
    <s v="863,7333333"/>
    <n v="99.661538461538456"/>
    <s v="10364,8"/>
  </r>
  <r>
    <d v="2021-05-12T00:00:00"/>
    <n v="2"/>
    <s v="Q2"/>
    <n v="12"/>
    <s v="(05) MEI"/>
    <n v="2021"/>
    <s v="ecoBali"/>
    <x v="9"/>
    <s v="Badung"/>
    <n v="86"/>
    <n v="71.977777775000007"/>
    <s v="863,7333333"/>
    <n v="99.661538461538456"/>
    <s v="10364,8"/>
  </r>
  <r>
    <d v="2021-05-13T00:00:00"/>
    <n v="2"/>
    <s v="Q2"/>
    <n v="13"/>
    <s v="(05) MEI"/>
    <n v="2021"/>
    <s v="ecoBali"/>
    <x v="9"/>
    <s v="Badung"/>
    <n v="13"/>
    <n v="71.977777775000007"/>
    <s v="863,7333333"/>
    <n v="99.661538461538456"/>
    <s v="10364,8"/>
  </r>
  <r>
    <d v="2021-05-19T00:00:00"/>
    <n v="3"/>
    <s v="Q2"/>
    <n v="19"/>
    <s v="(05) MEI"/>
    <n v="2021"/>
    <s v="ecoBali"/>
    <x v="9"/>
    <s v="Badung"/>
    <n v="15"/>
    <n v="71.977777775000007"/>
    <s v="863,7333333"/>
    <n v="99.661538461538456"/>
    <s v="10364,8"/>
  </r>
  <r>
    <d v="2021-05-21T00:00:00"/>
    <n v="3"/>
    <s v="Q2"/>
    <n v="21"/>
    <s v="(05) MEI"/>
    <n v="2021"/>
    <s v="ecoBali"/>
    <x v="9"/>
    <s v="Badung"/>
    <n v="26"/>
    <n v="71.977777775000007"/>
    <s v="863,7333333"/>
    <n v="99.661538461538456"/>
    <s v="10364,8"/>
  </r>
  <r>
    <d v="2021-05-28T00:00:00"/>
    <n v="4"/>
    <s v="Q2"/>
    <n v="28"/>
    <s v="(05) MEI"/>
    <n v="2021"/>
    <s v="Br Petapan"/>
    <x v="8"/>
    <s v="Badung"/>
    <n v="2"/>
    <n v="6.1128205130769224"/>
    <s v="79,46666667"/>
    <n v="24.451282051282053"/>
    <s v="953,6"/>
  </r>
  <r>
    <d v="2021-05-31T00:00:00"/>
    <n v="5"/>
    <s v="Q2"/>
    <n v="31"/>
    <s v="(05) MEI"/>
    <n v="2021"/>
    <s v="Br Seseh"/>
    <x v="8"/>
    <s v="Badung"/>
    <n v="1"/>
    <n v="6.1128205130769224"/>
    <s v="79,46666667"/>
    <n v="24.451282051282053"/>
    <s v="95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d v="2021-01-18T00:00:00"/>
    <x v="0"/>
    <x v="0"/>
    <n v="2021"/>
    <n v="9566.2999999999993"/>
    <n v="4426.3999999999996"/>
    <n v="9270"/>
    <n v="413.39999999999964"/>
    <n v="4.2691616580952933E-2"/>
    <n v="5257"/>
    <n v="5139.8999999999996"/>
    <x v="0"/>
    <n v="9300"/>
    <n v="-30"/>
    <n v="-0.3236245954692557"/>
    <n v="372"/>
    <n v="4"/>
    <n v="342"/>
    <n v="3.6893203883495143"/>
    <n v="8928"/>
    <n v="20833.330000000002"/>
    <n v="62500"/>
    <n v="250000"/>
  </r>
  <r>
    <d v="2021-02-25T00:00:00"/>
    <x v="1"/>
    <x v="0"/>
    <n v="2021"/>
    <n v="7967.8"/>
    <n v="7720.3"/>
    <n v="11758"/>
    <n v="1102.2000000000007"/>
    <n v="8.5706287616055796E-2"/>
    <n v="5139.8999999999996"/>
    <n v="247.5"/>
    <x v="0"/>
    <n v="11800"/>
    <n v="-42"/>
    <n v="-0.35720360605545159"/>
    <n v="944"/>
    <n v="8"/>
    <n v="902"/>
    <n v="7.6713726824289843"/>
    <n v="10856"/>
    <n v="20833.330000000002"/>
    <n v="62500"/>
    <n v="250000"/>
  </r>
  <r>
    <d v="2021-03-30T00:00:00"/>
    <x v="2"/>
    <x v="0"/>
    <n v="2021"/>
    <n v="9277"/>
    <n v="9276.6"/>
    <n v="8985"/>
    <n v="539.10000000000036"/>
    <n v="5.6603773584905696E-2"/>
    <n v="247.5"/>
    <n v="0.3999999999996362"/>
    <x v="0"/>
    <n v="8930"/>
    <n v="55"/>
    <n v="0.6121313299944352"/>
    <n v="777"/>
    <n v="8.7010078387458005"/>
    <n v="832"/>
    <n v="9.259877573734002"/>
    <n v="8153"/>
    <n v="20833.330000000002"/>
    <n v="62500"/>
    <n v="250000"/>
  </r>
  <r>
    <d v="2021-04-28T00:00:00"/>
    <x v="3"/>
    <x v="1"/>
    <n v="2021"/>
    <n v="10062.870000000001"/>
    <n v="8588.57"/>
    <n v="8373"/>
    <n v="215.96999999999935"/>
    <n v="2.5145040674260051E-2"/>
    <n v="0.3999999999996362"/>
    <n v="1474.3000000000011"/>
    <x v="0"/>
    <n v="8340"/>
    <n v="33"/>
    <n v="0.39412396990326043"/>
    <n v="650"/>
    <n v="7.7937649880095927"/>
    <n v="683"/>
    <n v="8.1571718619371794"/>
    <n v="7690"/>
    <n v="20833.330000000002"/>
    <n v="62500"/>
    <n v="2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13059-6AE9-4FCB-BB67-326C749FA749}" name="Jual-EcoBali-Target Sent"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T3:V8" firstHeaderRow="0" firstDataRow="1" firstDataCol="1"/>
  <pivotFields count="32">
    <pivotField numFmtId="14" showAll="0"/>
    <pivotField axis="axisRow" showAll="0">
      <items count="9">
        <item m="1" x="5"/>
        <item m="1" x="7"/>
        <item m="1" x="6"/>
        <item x="0"/>
        <item x="1"/>
        <item x="2"/>
        <item x="3"/>
        <item m="1" x="4"/>
        <item t="default"/>
      </items>
    </pivotField>
    <pivotField showAll="0"/>
    <pivotField showAll="0"/>
    <pivotField numFmtId="166" showAll="0"/>
    <pivotField numFmtId="166" showAll="0"/>
    <pivotField dataField="1" numFmtId="166" showAll="0"/>
    <pivotField numFmtId="166" showAll="0"/>
    <pivotField numFmtId="164" showAll="0"/>
    <pivotField numFmtId="166" showAll="0"/>
    <pivotField numFmtId="166" showAll="0"/>
    <pivotField showAll="0"/>
    <pivotField showAll="0"/>
    <pivotField numFmtId="167" showAll="0"/>
    <pivotField showAll="0"/>
    <pivotField showAll="0"/>
    <pivotField showAll="0"/>
    <pivotField showAll="0"/>
    <pivotField showAll="0"/>
    <pivotField numFmtId="166" showAll="0"/>
    <pivotField dataField="1"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4"/>
    </i>
    <i>
      <x v="5"/>
    </i>
    <i>
      <x v="6"/>
    </i>
    <i t="grand">
      <x/>
    </i>
  </rowItems>
  <colFields count="1">
    <field x="-2"/>
  </colFields>
  <colItems count="2">
    <i>
      <x/>
    </i>
    <i i="1">
      <x v="1"/>
    </i>
  </colItems>
  <dataFields count="2">
    <dataField name="Sum of Target Bulanan" fld="20" baseField="0" baseItem="0"/>
    <dataField name="Sum of Delivered to Papermill (Kg)" fld="6" baseField="0" baseItem="0"/>
  </dataFields>
  <formats count="19">
    <format dxfId="2187">
      <pivotArea type="all" dataOnly="0" outline="0" fieldPosition="0"/>
    </format>
    <format dxfId="2186">
      <pivotArea outline="0" collapsedLevelsAreSubtotals="1" fieldPosition="0"/>
    </format>
    <format dxfId="2185">
      <pivotArea field="1" type="button" dataOnly="0" labelOnly="1" outline="0" axis="axisRow" fieldPosition="0"/>
    </format>
    <format dxfId="2184">
      <pivotArea dataOnly="0" labelOnly="1" fieldPosition="0">
        <references count="1">
          <reference field="1" count="0"/>
        </references>
      </pivotArea>
    </format>
    <format dxfId="2183">
      <pivotArea dataOnly="0" labelOnly="1" grandRow="1" outline="0" fieldPosition="0"/>
    </format>
    <format dxfId="2182">
      <pivotArea dataOnly="0" labelOnly="1" outline="0" axis="axisValues" fieldPosition="0"/>
    </format>
    <format dxfId="2181">
      <pivotArea type="all" dataOnly="0" outline="0" fieldPosition="0"/>
    </format>
    <format dxfId="2180">
      <pivotArea outline="0" collapsedLevelsAreSubtotals="1" fieldPosition="0"/>
    </format>
    <format dxfId="2179">
      <pivotArea field="1" type="button" dataOnly="0" labelOnly="1" outline="0" axis="axisRow" fieldPosition="0"/>
    </format>
    <format dxfId="2178">
      <pivotArea dataOnly="0" labelOnly="1" fieldPosition="0">
        <references count="1">
          <reference field="1" count="0"/>
        </references>
      </pivotArea>
    </format>
    <format dxfId="2177">
      <pivotArea dataOnly="0" labelOnly="1" grandRow="1" outline="0" fieldPosition="0"/>
    </format>
    <format dxfId="2176">
      <pivotArea dataOnly="0" labelOnly="1" outline="0" axis="axisValues" fieldPosition="0"/>
    </format>
    <format dxfId="2175">
      <pivotArea type="all" dataOnly="0" outline="0" fieldPosition="0"/>
    </format>
    <format dxfId="2174">
      <pivotArea field="1" type="button" dataOnly="0" labelOnly="1" outline="0" axis="axisRow" fieldPosition="0"/>
    </format>
    <format dxfId="2173">
      <pivotArea dataOnly="0" labelOnly="1" fieldPosition="0">
        <references count="1">
          <reference field="1" count="0"/>
        </references>
      </pivotArea>
    </format>
    <format dxfId="2172">
      <pivotArea dataOnly="0" labelOnly="1" grandRow="1" outline="0" fieldPosition="0"/>
    </format>
    <format dxfId="2171">
      <pivotArea dataOnly="0" labelOnly="1" outline="0" axis="axisValues" fieldPosition="0"/>
    </format>
    <format dxfId="2170">
      <pivotArea outline="0" collapsedLevelsAreSubtotals="1" fieldPosition="0"/>
    </format>
    <format dxfId="2169">
      <pivotArea outline="0" collapsedLevelsAreSubtotals="1"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19337D-66C5-4B22-8808-277911E75279}" name="JUAL-PAPERMILL"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R3:AV8" firstHeaderRow="0" firstDataRow="1" firstDataCol="1"/>
  <pivotFields count="32">
    <pivotField showAll="0"/>
    <pivotField axis="axisRow" showAll="0">
      <items count="9">
        <item m="1" x="5"/>
        <item m="1" x="7"/>
        <item m="1" x="6"/>
        <item x="0"/>
        <item x="1"/>
        <item x="2"/>
        <item x="3"/>
        <item m="1" x="4"/>
        <item t="default"/>
      </items>
    </pivotField>
    <pivotField showAll="0"/>
    <pivotField showAll="0"/>
    <pivotField numFmtId="166" showAll="0"/>
    <pivotField numFmtId="166" showAll="0"/>
    <pivotField showAll="0"/>
    <pivotField showAll="0"/>
    <pivotField showAll="0"/>
    <pivotField numFmtId="166" showAll="0"/>
    <pivotField numFmtId="166" showAll="0"/>
    <pivotField showAll="0"/>
    <pivotField showAll="0"/>
    <pivotField dataField="1" numFmtId="167" showAll="0"/>
    <pivotField showAll="0"/>
    <pivotField dataField="1" showAll="0"/>
    <pivotField showAll="0"/>
    <pivotField dataField="1" showAll="0"/>
    <pivotField showAll="0"/>
    <pivotField dataField="1"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4"/>
    </i>
    <i>
      <x v="5"/>
    </i>
    <i>
      <x v="6"/>
    </i>
    <i t="grand">
      <x/>
    </i>
  </rowItems>
  <colFields count="1">
    <field x="-2"/>
  </colFields>
  <colItems count="4">
    <i>
      <x/>
    </i>
    <i i="1">
      <x v="1"/>
    </i>
    <i i="2">
      <x v="2"/>
    </i>
    <i i="3">
      <x v="3"/>
    </i>
  </colItems>
  <dataFields count="4">
    <dataField name="Sum of Weighing scale Gap papermill (Kg)" fld="13" baseField="0" baseItem="0"/>
    <dataField name="Sum of Moisture Content and Contaminant (Kg)" fld="15" baseField="0" baseItem="0"/>
    <dataField name="Sum of Total Gap / Deduction (Kg)" fld="17" baseField="0" baseItem="0"/>
    <dataField name="Sum of Total Weight Accepted" fld="19" baseField="0" baseItem="0"/>
  </dataFields>
  <formats count="30">
    <format dxfId="2078">
      <pivotArea field="1" type="button" dataOnly="0" labelOnly="1" outline="0" axis="axisRow" fieldPosition="0"/>
    </format>
    <format dxfId="2077">
      <pivotArea dataOnly="0" labelOnly="1" outline="0" fieldPosition="0">
        <references count="1">
          <reference field="4294967294" count="3">
            <x v="0"/>
            <x v="1"/>
            <x v="2"/>
          </reference>
        </references>
      </pivotArea>
    </format>
    <format dxfId="2076">
      <pivotArea field="1" type="button" dataOnly="0" labelOnly="1" outline="0" axis="axisRow" fieldPosition="0"/>
    </format>
    <format dxfId="2075">
      <pivotArea dataOnly="0" labelOnly="1" outline="0" fieldPosition="0">
        <references count="1">
          <reference field="4294967294" count="3">
            <x v="0"/>
            <x v="1"/>
            <x v="2"/>
          </reference>
        </references>
      </pivotArea>
    </format>
    <format dxfId="2074">
      <pivotArea field="1" type="button" dataOnly="0" labelOnly="1" outline="0" axis="axisRow" fieldPosition="0"/>
    </format>
    <format dxfId="2073">
      <pivotArea dataOnly="0" labelOnly="1" outline="0" fieldPosition="0">
        <references count="1">
          <reference field="4294967294" count="3">
            <x v="0"/>
            <x v="1"/>
            <x v="2"/>
          </reference>
        </references>
      </pivotArea>
    </format>
    <format dxfId="2072">
      <pivotArea type="all" dataOnly="0" outline="0" fieldPosition="0"/>
    </format>
    <format dxfId="2071">
      <pivotArea outline="0" collapsedLevelsAreSubtotals="1" fieldPosition="0"/>
    </format>
    <format dxfId="2070">
      <pivotArea field="1" type="button" dataOnly="0" labelOnly="1" outline="0" axis="axisRow" fieldPosition="0"/>
    </format>
    <format dxfId="2069">
      <pivotArea dataOnly="0" labelOnly="1" fieldPosition="0">
        <references count="1">
          <reference field="1" count="0"/>
        </references>
      </pivotArea>
    </format>
    <format dxfId="2068">
      <pivotArea dataOnly="0" labelOnly="1" grandRow="1" outline="0" fieldPosition="0"/>
    </format>
    <format dxfId="2067">
      <pivotArea dataOnly="0" labelOnly="1" outline="0" fieldPosition="0">
        <references count="1">
          <reference field="4294967294" count="3">
            <x v="0"/>
            <x v="1"/>
            <x v="2"/>
          </reference>
        </references>
      </pivotArea>
    </format>
    <format dxfId="2066">
      <pivotArea type="all" dataOnly="0" outline="0" fieldPosition="0"/>
    </format>
    <format dxfId="2065">
      <pivotArea outline="0" collapsedLevelsAreSubtotals="1" fieldPosition="0"/>
    </format>
    <format dxfId="2064">
      <pivotArea field="1" type="button" dataOnly="0" labelOnly="1" outline="0" axis="axisRow" fieldPosition="0"/>
    </format>
    <format dxfId="2063">
      <pivotArea dataOnly="0" labelOnly="1" fieldPosition="0">
        <references count="1">
          <reference field="1" count="0"/>
        </references>
      </pivotArea>
    </format>
    <format dxfId="2062">
      <pivotArea dataOnly="0" labelOnly="1" grandRow="1" outline="0" fieldPosition="0"/>
    </format>
    <format dxfId="2061">
      <pivotArea dataOnly="0" labelOnly="1" outline="0" fieldPosition="0">
        <references count="1">
          <reference field="4294967294" count="3">
            <x v="0"/>
            <x v="1"/>
            <x v="2"/>
          </reference>
        </references>
      </pivotArea>
    </format>
    <format dxfId="2060">
      <pivotArea type="all" dataOnly="0" outline="0" fieldPosition="0"/>
    </format>
    <format dxfId="2059">
      <pivotArea outline="0" collapsedLevelsAreSubtotals="1" fieldPosition="0"/>
    </format>
    <format dxfId="2058">
      <pivotArea field="1" type="button" dataOnly="0" labelOnly="1" outline="0" axis="axisRow" fieldPosition="0"/>
    </format>
    <format dxfId="2057">
      <pivotArea dataOnly="0" labelOnly="1" fieldPosition="0">
        <references count="1">
          <reference field="1" count="0"/>
        </references>
      </pivotArea>
    </format>
    <format dxfId="2056">
      <pivotArea dataOnly="0" labelOnly="1" grandRow="1" outline="0" fieldPosition="0"/>
    </format>
    <format dxfId="2055">
      <pivotArea dataOnly="0" labelOnly="1" outline="0" fieldPosition="0">
        <references count="1">
          <reference field="4294967294" count="3">
            <x v="0"/>
            <x v="1"/>
            <x v="2"/>
          </reference>
        </references>
      </pivotArea>
    </format>
    <format dxfId="2054">
      <pivotArea outline="0" collapsedLevelsAreSubtotals="1" fieldPosition="0"/>
    </format>
    <format dxfId="2053">
      <pivotArea dataOnly="0" labelOnly="1" outline="0" fieldPosition="0">
        <references count="1">
          <reference field="4294967294" count="1">
            <x v="3"/>
          </reference>
        </references>
      </pivotArea>
    </format>
    <format dxfId="2052">
      <pivotArea dataOnly="0" labelOnly="1" outline="0" fieldPosition="0">
        <references count="1">
          <reference field="4294967294" count="1">
            <x v="3"/>
          </reference>
        </references>
      </pivotArea>
    </format>
    <format dxfId="2051">
      <pivotArea dataOnly="0" labelOnly="1" outline="0" fieldPosition="0">
        <references count="1">
          <reference field="4294967294" count="1">
            <x v="3"/>
          </reference>
        </references>
      </pivotArea>
    </format>
    <format dxfId="2050">
      <pivotArea field="1" type="button" dataOnly="0" labelOnly="1" outline="0" axis="axisRow" fieldPosition="0"/>
    </format>
    <format dxfId="2049">
      <pivotArea dataOnly="0" labelOnly="1" outline="0" fieldPosition="0">
        <references count="1">
          <reference field="4294967294" count="4">
            <x v="0"/>
            <x v="1"/>
            <x v="2"/>
            <x v="3"/>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30D53C-04F5-43D7-BC49-37ECDCBAEC82}" name="JUAL-Pabrik total diterima"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G3:AH8" firstHeaderRow="1" firstDataRow="1" firstDataCol="1"/>
  <pivotFields count="32">
    <pivotField showAll="0"/>
    <pivotField axis="axisRow" showAll="0">
      <items count="9">
        <item m="1" x="5"/>
        <item m="1" x="7"/>
        <item m="1" x="6"/>
        <item x="0"/>
        <item x="1"/>
        <item x="2"/>
        <item x="3"/>
        <item m="1" x="4"/>
        <item t="default"/>
      </items>
    </pivotField>
    <pivotField showAll="0"/>
    <pivotField showAll="0"/>
    <pivotField numFmtId="166" showAll="0"/>
    <pivotField numFmtId="166" showAll="0"/>
    <pivotField showAll="0"/>
    <pivotField showAll="0"/>
    <pivotField showAll="0"/>
    <pivotField numFmtId="166" showAll="0"/>
    <pivotField numFmtId="166" showAll="0"/>
    <pivotField showAll="0">
      <items count="3">
        <item x="0"/>
        <item m="1" x="1"/>
        <item t="default"/>
      </items>
    </pivotField>
    <pivotField showAll="0"/>
    <pivotField numFmtId="167" showAll="0"/>
    <pivotField showAll="0"/>
    <pivotField showAll="0"/>
    <pivotField showAll="0"/>
    <pivotField showAll="0"/>
    <pivotField showAll="0"/>
    <pivotField dataField="1"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4"/>
    </i>
    <i>
      <x v="5"/>
    </i>
    <i>
      <x v="6"/>
    </i>
    <i t="grand">
      <x/>
    </i>
  </rowItems>
  <colItems count="1">
    <i/>
  </colItems>
  <dataFields count="1">
    <dataField name="Sum of Total Weight Accepted" fld="19" baseField="0" baseItem="0" numFmtId="166"/>
  </dataFields>
  <formats count="23">
    <format dxfId="2101">
      <pivotArea field="1" type="button" dataOnly="0" labelOnly="1" outline="0" axis="axisRow" fieldPosition="0"/>
    </format>
    <format dxfId="2100">
      <pivotArea dataOnly="0" labelOnly="1" outline="0" axis="axisValues" fieldPosition="0"/>
    </format>
    <format dxfId="2099">
      <pivotArea field="1" type="button" dataOnly="0" labelOnly="1" outline="0" axis="axisRow" fieldPosition="0"/>
    </format>
    <format dxfId="2098">
      <pivotArea dataOnly="0" labelOnly="1" outline="0" axis="axisValues" fieldPosition="0"/>
    </format>
    <format dxfId="2097">
      <pivotArea type="all" dataOnly="0" outline="0" fieldPosition="0"/>
    </format>
    <format dxfId="2096">
      <pivotArea outline="0" collapsedLevelsAreSubtotals="1" fieldPosition="0"/>
    </format>
    <format dxfId="2095">
      <pivotArea field="1" type="button" dataOnly="0" labelOnly="1" outline="0" axis="axisRow" fieldPosition="0"/>
    </format>
    <format dxfId="2094">
      <pivotArea dataOnly="0" labelOnly="1" fieldPosition="0">
        <references count="1">
          <reference field="1" count="0"/>
        </references>
      </pivotArea>
    </format>
    <format dxfId="2093">
      <pivotArea dataOnly="0" labelOnly="1" grandRow="1" outline="0" fieldPosition="0"/>
    </format>
    <format dxfId="2092">
      <pivotArea dataOnly="0" labelOnly="1" outline="0" axis="axisValues" fieldPosition="0"/>
    </format>
    <format dxfId="2091">
      <pivotArea dataOnly="0" labelOnly="1" outline="0" axis="axisValues" fieldPosition="0"/>
    </format>
    <format dxfId="2090">
      <pivotArea outline="0" collapsedLevelsAreSubtotals="1" fieldPosition="0"/>
    </format>
    <format dxfId="2089">
      <pivotArea outline="0" collapsedLevelsAreSubtotals="1" fieldPosition="0"/>
    </format>
    <format dxfId="2088">
      <pivotArea outline="0" collapsedLevelsAreSubtotals="1" fieldPosition="0"/>
    </format>
    <format dxfId="2087">
      <pivotArea dataOnly="0" labelOnly="1" outline="0" axis="axisValues" fieldPosition="0"/>
    </format>
    <format dxfId="2086">
      <pivotArea field="1" type="button" dataOnly="0" labelOnly="1" outline="0" axis="axisRow" fieldPosition="0"/>
    </format>
    <format dxfId="2085">
      <pivotArea dataOnly="0" labelOnly="1" outline="0" axis="axisValues" fieldPosition="0"/>
    </format>
    <format dxfId="2084">
      <pivotArea field="1" type="button" dataOnly="0" labelOnly="1" outline="0" axis="axisRow" fieldPosition="0"/>
    </format>
    <format dxfId="2083">
      <pivotArea dataOnly="0" labelOnly="1" outline="0" axis="axisValues" fieldPosition="0"/>
    </format>
    <format dxfId="2082">
      <pivotArea grandRow="1" outline="0" collapsedLevelsAreSubtotals="1" fieldPosition="0"/>
    </format>
    <format dxfId="2081">
      <pivotArea dataOnly="0" labelOnly="1" grandRow="1" outline="0" fieldPosition="0"/>
    </format>
    <format dxfId="2080">
      <pivotArea grandRow="1" outline="0" collapsedLevelsAreSubtotals="1" fieldPosition="0"/>
    </format>
    <format dxfId="2079">
      <pivotArea dataOnly="0" labelOnly="1" grandRow="1" outline="0"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720845-A4CF-4E3D-9DC0-604A0C7BA0CD}" name="JUAL-PABRIK-MCC"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BO3:BP10" firstHeaderRow="1" firstDataRow="1" firstDataCol="1"/>
  <pivotFields count="32">
    <pivotField numFmtId="14" showAll="0"/>
    <pivotField axis="axisRow" showAll="0">
      <items count="9">
        <item m="1" x="5"/>
        <item m="1" x="7"/>
        <item m="1" x="6"/>
        <item x="0"/>
        <item x="1"/>
        <item x="2"/>
        <item x="3"/>
        <item m="1" x="4"/>
        <item t="default"/>
      </items>
    </pivotField>
    <pivotField axis="axisRow" showAll="0">
      <items count="4">
        <item x="0"/>
        <item x="1"/>
        <item m="1" x="2"/>
        <item t="default"/>
      </items>
    </pivotField>
    <pivotField showAll="0"/>
    <pivotField numFmtId="166" showAll="0"/>
    <pivotField numFmtId="166" showAll="0"/>
    <pivotField showAll="0"/>
    <pivotField showAll="0"/>
    <pivotField showAll="0"/>
    <pivotField numFmtId="166" showAll="0"/>
    <pivotField numFmtId="166" showAll="0"/>
    <pivotField showAll="0">
      <items count="3">
        <item x="0"/>
        <item m="1" x="1"/>
        <item t="default"/>
      </items>
    </pivotField>
    <pivotField showAll="0"/>
    <pivotField numFmtId="167" showAll="0"/>
    <pivotField showAll="0"/>
    <pivotField dataField="1"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2"/>
    <field x="1"/>
  </rowFields>
  <rowItems count="7">
    <i>
      <x/>
    </i>
    <i r="1">
      <x v="3"/>
    </i>
    <i r="1">
      <x v="4"/>
    </i>
    <i r="1">
      <x v="5"/>
    </i>
    <i>
      <x v="1"/>
    </i>
    <i r="1">
      <x v="6"/>
    </i>
    <i t="grand">
      <x/>
    </i>
  </rowItems>
  <colItems count="1">
    <i/>
  </colItems>
  <dataFields count="1">
    <dataField name="Sum of Moisture Content and Contaminant (Kg)" fld="15" baseField="0" baseItem="0"/>
  </dataFields>
  <formats count="24">
    <format dxfId="2125">
      <pivotArea dataOnly="0" labelOnly="1" outline="0" axis="axisValues" fieldPosition="0"/>
    </format>
    <format dxfId="2124">
      <pivotArea type="all" dataOnly="0" outline="0" fieldPosition="0"/>
    </format>
    <format dxfId="2123">
      <pivotArea outline="0" collapsedLevelsAreSubtotals="1" fieldPosition="0"/>
    </format>
    <format dxfId="2122">
      <pivotArea field="2" type="button" dataOnly="0" labelOnly="1" outline="0" axis="axisRow" fieldPosition="0"/>
    </format>
    <format dxfId="2121">
      <pivotArea dataOnly="0" labelOnly="1" fieldPosition="0">
        <references count="1">
          <reference field="2" count="0"/>
        </references>
      </pivotArea>
    </format>
    <format dxfId="2120">
      <pivotArea dataOnly="0" labelOnly="1" grandRow="1" outline="0" fieldPosition="0"/>
    </format>
    <format dxfId="2119">
      <pivotArea dataOnly="0" labelOnly="1" fieldPosition="0">
        <references count="2">
          <reference field="1" count="0"/>
          <reference field="2" count="0" selected="0"/>
        </references>
      </pivotArea>
    </format>
    <format dxfId="2118">
      <pivotArea dataOnly="0" labelOnly="1" outline="0" axis="axisValues" fieldPosition="0"/>
    </format>
    <format dxfId="2117">
      <pivotArea type="all" dataOnly="0" outline="0" fieldPosition="0"/>
    </format>
    <format dxfId="2116">
      <pivotArea outline="0" collapsedLevelsAreSubtotals="1" fieldPosition="0"/>
    </format>
    <format dxfId="2115">
      <pivotArea field="2" type="button" dataOnly="0" labelOnly="1" outline="0" axis="axisRow" fieldPosition="0"/>
    </format>
    <format dxfId="2114">
      <pivotArea dataOnly="0" labelOnly="1" fieldPosition="0">
        <references count="1">
          <reference field="2" count="0"/>
        </references>
      </pivotArea>
    </format>
    <format dxfId="2113">
      <pivotArea dataOnly="0" labelOnly="1" grandRow="1" outline="0" fieldPosition="0"/>
    </format>
    <format dxfId="2112">
      <pivotArea dataOnly="0" labelOnly="1" fieldPosition="0">
        <references count="2">
          <reference field="1" count="0"/>
          <reference field="2" count="0" selected="0"/>
        </references>
      </pivotArea>
    </format>
    <format dxfId="2111">
      <pivotArea dataOnly="0" labelOnly="1" outline="0" axis="axisValues" fieldPosition="0"/>
    </format>
    <format dxfId="2110">
      <pivotArea type="all" dataOnly="0" outline="0" fieldPosition="0"/>
    </format>
    <format dxfId="2109">
      <pivotArea outline="0" collapsedLevelsAreSubtotals="1" fieldPosition="0"/>
    </format>
    <format dxfId="2108">
      <pivotArea field="2" type="button" dataOnly="0" labelOnly="1" outline="0" axis="axisRow" fieldPosition="0"/>
    </format>
    <format dxfId="2107">
      <pivotArea dataOnly="0" labelOnly="1" fieldPosition="0">
        <references count="1">
          <reference field="2" count="0"/>
        </references>
      </pivotArea>
    </format>
    <format dxfId="2106">
      <pivotArea dataOnly="0" labelOnly="1" grandRow="1" outline="0" fieldPosition="0"/>
    </format>
    <format dxfId="2105">
      <pivotArea dataOnly="0" labelOnly="1" fieldPosition="0">
        <references count="2">
          <reference field="1" count="0"/>
          <reference field="2" count="0" selected="0"/>
        </references>
      </pivotArea>
    </format>
    <format dxfId="2104">
      <pivotArea dataOnly="0" labelOnly="1" outline="0" axis="axisValues" fieldPosition="0"/>
    </format>
    <format dxfId="2103">
      <pivotArea outline="0" collapsedLevelsAreSubtotals="1" fieldPosition="0"/>
    </format>
    <format dxfId="2102">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C856FA1-1EBA-4533-A6BE-488A4B14D2B1}" name="JUAL-Pabrik kontaminan"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W3:Y8" firstHeaderRow="0" firstDataRow="1" firstDataCol="1"/>
  <pivotFields count="32">
    <pivotField showAll="0"/>
    <pivotField axis="axisRow" showAll="0">
      <items count="9">
        <item m="1" x="5"/>
        <item m="1" x="7"/>
        <item m="1" x="6"/>
        <item x="0"/>
        <item x="1"/>
        <item x="2"/>
        <item x="3"/>
        <item m="1" x="4"/>
        <item t="default"/>
      </items>
    </pivotField>
    <pivotField showAll="0"/>
    <pivotField showAll="0"/>
    <pivotField numFmtId="166" showAll="0"/>
    <pivotField numFmtId="166" showAll="0"/>
    <pivotField showAll="0"/>
    <pivotField showAll="0"/>
    <pivotField showAll="0"/>
    <pivotField numFmtId="166" showAll="0"/>
    <pivotField numFmtId="166" showAll="0"/>
    <pivotField showAll="0">
      <items count="3">
        <item x="0"/>
        <item m="1" x="1"/>
        <item t="default"/>
      </items>
    </pivotField>
    <pivotField dataField="1" showAll="0"/>
    <pivotField numFmtId="167" showAll="0"/>
    <pivotField showAll="0"/>
    <pivotField dataField="1"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4"/>
    </i>
    <i>
      <x v="5"/>
    </i>
    <i>
      <x v="6"/>
    </i>
    <i t="grand">
      <x/>
    </i>
  </rowItems>
  <colFields count="1">
    <field x="-2"/>
  </colFields>
  <colItems count="2">
    <i>
      <x/>
    </i>
    <i i="1">
      <x v="1"/>
    </i>
  </colItems>
  <dataFields count="2">
    <dataField name="Sum of Received at Papermill (Kg)" fld="12" baseField="0" baseItem="0"/>
    <dataField name="Sum of Moisture Content and Contaminant (Kg)" fld="15" baseField="0" baseItem="0"/>
  </dataFields>
  <formats count="20">
    <format dxfId="2145">
      <pivotArea type="all" dataOnly="0" outline="0" fieldPosition="0"/>
    </format>
    <format dxfId="2144">
      <pivotArea outline="0" collapsedLevelsAreSubtotals="1" fieldPosition="0"/>
    </format>
    <format dxfId="2143">
      <pivotArea field="1" type="button" dataOnly="0" labelOnly="1" outline="0" axis="axisRow" fieldPosition="0"/>
    </format>
    <format dxfId="2142">
      <pivotArea dataOnly="0" labelOnly="1" fieldPosition="0">
        <references count="1">
          <reference field="1" count="0"/>
        </references>
      </pivotArea>
    </format>
    <format dxfId="2141">
      <pivotArea dataOnly="0" labelOnly="1" grandRow="1" outline="0" fieldPosition="0"/>
    </format>
    <format dxfId="2140">
      <pivotArea dataOnly="0" labelOnly="1" outline="0" fieldPosition="0">
        <references count="1">
          <reference field="4294967294" count="1">
            <x v="1"/>
          </reference>
        </references>
      </pivotArea>
    </format>
    <format dxfId="2139">
      <pivotArea field="1" type="button" dataOnly="0" labelOnly="1" outline="0" axis="axisRow" fieldPosition="0"/>
    </format>
    <format dxfId="2138">
      <pivotArea dataOnly="0" labelOnly="1" outline="0" fieldPosition="0">
        <references count="1">
          <reference field="4294967294" count="1">
            <x v="1"/>
          </reference>
        </references>
      </pivotArea>
    </format>
    <format dxfId="2137">
      <pivotArea field="1" type="button" dataOnly="0" labelOnly="1" outline="0" axis="axisRow" fieldPosition="0"/>
    </format>
    <format dxfId="2136">
      <pivotArea dataOnly="0" labelOnly="1" outline="0" fieldPosition="0">
        <references count="1">
          <reference field="4294967294" count="1">
            <x v="1"/>
          </reference>
        </references>
      </pivotArea>
    </format>
    <format dxfId="2135">
      <pivotArea field="1" type="button" dataOnly="0" labelOnly="1" outline="0" axis="axisRow" fieldPosition="0"/>
    </format>
    <format dxfId="2134">
      <pivotArea dataOnly="0" labelOnly="1" outline="0" fieldPosition="0">
        <references count="1">
          <reference field="4294967294" count="1">
            <x v="1"/>
          </reference>
        </references>
      </pivotArea>
    </format>
    <format dxfId="2133">
      <pivotArea type="all" dataOnly="0" outline="0" fieldPosition="0"/>
    </format>
    <format dxfId="2132">
      <pivotArea outline="0" collapsedLevelsAreSubtotals="1" fieldPosition="0"/>
    </format>
    <format dxfId="2131">
      <pivotArea field="1" type="button" dataOnly="0" labelOnly="1" outline="0" axis="axisRow" fieldPosition="0"/>
    </format>
    <format dxfId="2130">
      <pivotArea dataOnly="0" labelOnly="1" fieldPosition="0">
        <references count="1">
          <reference field="1" count="0"/>
        </references>
      </pivotArea>
    </format>
    <format dxfId="2129">
      <pivotArea dataOnly="0" labelOnly="1" grandRow="1" outline="0" fieldPosition="0"/>
    </format>
    <format dxfId="2128">
      <pivotArea dataOnly="0" labelOnly="1" outline="0" fieldPosition="0">
        <references count="1">
          <reference field="4294967294" count="1">
            <x v="1"/>
          </reference>
        </references>
      </pivotArea>
    </format>
    <format dxfId="2127">
      <pivotArea outline="0" collapsedLevelsAreSubtotals="1" fieldPosition="0"/>
    </format>
    <format dxfId="2126">
      <pivotArea outline="0" collapsedLevelsAreSubtotals="1"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B783F7-8285-41B3-9162-64C0852A4FBC}" name="JUAL-Pabrik-Susut"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K3:M8" firstHeaderRow="0" firstDataRow="1" firstDataCol="1"/>
  <pivotFields count="32">
    <pivotField showAll="0"/>
    <pivotField axis="axisRow" showAll="0">
      <items count="9">
        <item m="1" x="5"/>
        <item m="1" x="7"/>
        <item m="1" x="6"/>
        <item x="0"/>
        <item x="1"/>
        <item x="2"/>
        <item x="3"/>
        <item m="1" x="4"/>
        <item t="default"/>
      </items>
    </pivotField>
    <pivotField showAll="0"/>
    <pivotField showAll="0"/>
    <pivotField numFmtId="166" showAll="0"/>
    <pivotField numFmtId="166" showAll="0"/>
    <pivotField showAll="0"/>
    <pivotField showAll="0"/>
    <pivotField showAll="0"/>
    <pivotField numFmtId="166" showAll="0"/>
    <pivotField numFmtId="166" showAll="0"/>
    <pivotField showAll="0">
      <items count="3">
        <item x="0"/>
        <item m="1" x="1"/>
        <item t="default"/>
      </items>
    </pivotField>
    <pivotField dataField="1" showAll="0"/>
    <pivotField dataField="1" numFmtId="166" showAll="0"/>
    <pivotField showAll="0"/>
    <pivotField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4"/>
    </i>
    <i>
      <x v="5"/>
    </i>
    <i>
      <x v="6"/>
    </i>
    <i t="grand">
      <x/>
    </i>
  </rowItems>
  <colFields count="1">
    <field x="-2"/>
  </colFields>
  <colItems count="2">
    <i>
      <x/>
    </i>
    <i i="1">
      <x v="1"/>
    </i>
  </colItems>
  <dataFields count="2">
    <dataField name="Sum of Received at Papermill (Kg)" fld="12" baseField="0" baseItem="0"/>
    <dataField name="Sum of Weighing scale Gap papermill (Kg)" fld="13" baseField="0" baseItem="0"/>
  </dataFields>
  <formats count="23">
    <format dxfId="2168">
      <pivotArea type="all" dataOnly="0" outline="0" fieldPosition="0"/>
    </format>
    <format dxfId="2167">
      <pivotArea outline="0" collapsedLevelsAreSubtotals="1" fieldPosition="0"/>
    </format>
    <format dxfId="2166">
      <pivotArea field="1" type="button" dataOnly="0" labelOnly="1" outline="0" axis="axisRow" fieldPosition="0"/>
    </format>
    <format dxfId="2165">
      <pivotArea dataOnly="0" labelOnly="1" fieldPosition="0">
        <references count="1">
          <reference field="1" count="0"/>
        </references>
      </pivotArea>
    </format>
    <format dxfId="2164">
      <pivotArea dataOnly="0" labelOnly="1" grandRow="1" outline="0" fieldPosition="0"/>
    </format>
    <format dxfId="2163">
      <pivotArea dataOnly="0" labelOnly="1" outline="0" fieldPosition="0">
        <references count="1">
          <reference field="4294967294" count="1">
            <x v="1"/>
          </reference>
        </references>
      </pivotArea>
    </format>
    <format dxfId="2162">
      <pivotArea type="all" dataOnly="0" outline="0" fieldPosition="0"/>
    </format>
    <format dxfId="2161">
      <pivotArea outline="0" collapsedLevelsAreSubtotals="1" fieldPosition="0"/>
    </format>
    <format dxfId="2160">
      <pivotArea field="1" type="button" dataOnly="0" labelOnly="1" outline="0" axis="axisRow" fieldPosition="0"/>
    </format>
    <format dxfId="2159">
      <pivotArea dataOnly="0" labelOnly="1" fieldPosition="0">
        <references count="1">
          <reference field="1" count="0"/>
        </references>
      </pivotArea>
    </format>
    <format dxfId="2158">
      <pivotArea dataOnly="0" labelOnly="1" grandRow="1" outline="0" fieldPosition="0"/>
    </format>
    <format dxfId="2157">
      <pivotArea dataOnly="0" labelOnly="1" outline="0" fieldPosition="0">
        <references count="1">
          <reference field="4294967294" count="1">
            <x v="1"/>
          </reference>
        </references>
      </pivotArea>
    </format>
    <format dxfId="2156">
      <pivotArea outline="0" collapsedLevelsAreSubtotals="1" fieldPosition="0"/>
    </format>
    <format dxfId="2155">
      <pivotArea outline="0" collapsedLevelsAreSubtotals="1" fieldPosition="0"/>
    </format>
    <format dxfId="2154">
      <pivotArea field="1" type="button" dataOnly="0" labelOnly="1" outline="0" axis="axisRow" fieldPosition="0"/>
    </format>
    <format dxfId="2153">
      <pivotArea dataOnly="0" labelOnly="1" outline="0" fieldPosition="0">
        <references count="1">
          <reference field="4294967294" count="1">
            <x v="1"/>
          </reference>
        </references>
      </pivotArea>
    </format>
    <format dxfId="2152">
      <pivotArea field="1" type="button" dataOnly="0" labelOnly="1" outline="0" axis="axisRow" fieldPosition="0"/>
    </format>
    <format dxfId="2151">
      <pivotArea dataOnly="0" labelOnly="1" outline="0" fieldPosition="0">
        <references count="1">
          <reference field="4294967294" count="1">
            <x v="1"/>
          </reference>
        </references>
      </pivotArea>
    </format>
    <format dxfId="2150">
      <pivotArea outline="0" collapsedLevelsAreSubtotals="1" fieldPosition="0"/>
    </format>
    <format dxfId="2149">
      <pivotArea dataOnly="0" labelOnly="1" outline="0" fieldPosition="0">
        <references count="1">
          <reference field="4294967294" count="1">
            <x v="1"/>
          </reference>
        </references>
      </pivotArea>
    </format>
    <format dxfId="2148">
      <pivotArea field="1" type="button" dataOnly="0" labelOnly="1" outline="0" axis="axisRow" fieldPosition="0"/>
    </format>
    <format dxfId="2147">
      <pivotArea dataOnly="0" labelOnly="1" outline="0" fieldPosition="0">
        <references count="1">
          <reference field="4294967294" count="1">
            <x v="1"/>
          </reference>
        </references>
      </pivotArea>
    </format>
    <format dxfId="2146">
      <pivotArea dataOnly="0" grandRow="1" fieldPosition="0"/>
    </format>
  </formats>
  <chartFormats count="1">
    <chartFormat chart="0" format="1" series="1">
      <pivotArea type="data" outline="0" fieldPosition="0">
        <references count="1">
          <reference field="4294967294" count="1" selected="0">
            <x v="1"/>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1852110-1D85-40C8-A97C-964B0237426D}" name="AKTIVITAS-LOCATION ON CATEGORY" cacheId="0"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8">
  <location ref="AE3:AF9"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Lokasi" fld="1" subtotal="count" baseField="0" baseItem="1">
      <extLst>
        <ext xmlns:x15="http://schemas.microsoft.com/office/spreadsheetml/2010/11/main" uri="{FABC7310-3BB5-11E1-824E-6D434824019B}">
          <x15:dataField isCountDistinct="1"/>
        </ext>
      </extLst>
    </dataField>
  </dataFields>
  <formats count="27">
    <format dxfId="1949">
      <pivotArea type="all" dataOnly="0" outline="0" fieldPosition="0"/>
    </format>
    <format dxfId="1948">
      <pivotArea outline="0" collapsedLevelsAreSubtotals="1" fieldPosition="0"/>
    </format>
    <format dxfId="1947">
      <pivotArea field="0" type="button" dataOnly="0" labelOnly="1" outline="0" axis="axisRow" fieldPosition="0"/>
    </format>
    <format dxfId="1946">
      <pivotArea dataOnly="0" labelOnly="1" fieldPosition="0">
        <references count="1">
          <reference field="0" count="0"/>
        </references>
      </pivotArea>
    </format>
    <format dxfId="1945">
      <pivotArea dataOnly="0" labelOnly="1" grandRow="1" outline="0" fieldPosition="0"/>
    </format>
    <format dxfId="1944">
      <pivotArea dataOnly="0" labelOnly="1" outline="0" axis="axisValues" fieldPosition="0"/>
    </format>
    <format dxfId="1943">
      <pivotArea type="all" dataOnly="0" outline="0" fieldPosition="0"/>
    </format>
    <format dxfId="1942">
      <pivotArea outline="0" collapsedLevelsAreSubtotals="1" fieldPosition="0"/>
    </format>
    <format dxfId="1941">
      <pivotArea field="0" type="button" dataOnly="0" labelOnly="1" outline="0" axis="axisRow" fieldPosition="0"/>
    </format>
    <format dxfId="1940">
      <pivotArea dataOnly="0" labelOnly="1" fieldPosition="0">
        <references count="1">
          <reference field="0" count="0"/>
        </references>
      </pivotArea>
    </format>
    <format dxfId="1939">
      <pivotArea dataOnly="0" labelOnly="1" grandRow="1" outline="0" fieldPosition="0"/>
    </format>
    <format dxfId="1938">
      <pivotArea dataOnly="0" labelOnly="1" outline="0" axis="axisValues" fieldPosition="0"/>
    </format>
    <format dxfId="1937">
      <pivotArea field="0" type="button" dataOnly="0" labelOnly="1" outline="0" axis="axisRow" fieldPosition="0"/>
    </format>
    <format dxfId="1936">
      <pivotArea dataOnly="0" labelOnly="1" outline="0" axis="axisValues" fieldPosition="0"/>
    </format>
    <format dxfId="1935">
      <pivotArea type="all" dataOnly="0" outline="0" fieldPosition="0"/>
    </format>
    <format dxfId="1934">
      <pivotArea outline="0" collapsedLevelsAreSubtotals="1" fieldPosition="0"/>
    </format>
    <format dxfId="1933">
      <pivotArea field="0" type="button" dataOnly="0" labelOnly="1" outline="0" axis="axisRow" fieldPosition="0"/>
    </format>
    <format dxfId="1932">
      <pivotArea dataOnly="0" labelOnly="1" fieldPosition="0">
        <references count="1">
          <reference field="0" count="0"/>
        </references>
      </pivotArea>
    </format>
    <format dxfId="1931">
      <pivotArea dataOnly="0" labelOnly="1" grandRow="1" outline="0" fieldPosition="0"/>
    </format>
    <format dxfId="1930">
      <pivotArea dataOnly="0" labelOnly="1" outline="0" axis="axisValues" fieldPosition="0"/>
    </format>
    <format dxfId="1929">
      <pivotArea type="all" dataOnly="0" outline="0" fieldPosition="0"/>
    </format>
    <format dxfId="1928">
      <pivotArea field="0" type="button" dataOnly="0" labelOnly="1" outline="0" axis="axisRow" fieldPosition="0"/>
    </format>
    <format dxfId="1927">
      <pivotArea dataOnly="0" labelOnly="1" fieldPosition="0">
        <references count="1">
          <reference field="0" count="0"/>
        </references>
      </pivotArea>
    </format>
    <format dxfId="1926">
      <pivotArea dataOnly="0" labelOnly="1" grandRow="1" outline="0" fieldPosition="0"/>
    </format>
    <format dxfId="1925">
      <pivotArea dataOnly="0" labelOnly="1" outline="0" axis="axisValues" fieldPosition="0"/>
    </format>
    <format dxfId="1924">
      <pivotArea outline="0" collapsedLevelsAreSubtotals="1" fieldPosition="0"/>
    </format>
    <format dxfId="1923">
      <pivotArea outline="0" collapsedLevelsAreSubtotals="1" fieldPosition="0"/>
    </format>
  </formats>
  <chartFormats count="8">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0" count="1" selected="0">
            <x v="3"/>
          </reference>
        </references>
      </pivotArea>
    </chartFormat>
    <chartFormat chart="7" format="5">
      <pivotArea type="data" outline="0" fieldPosition="0">
        <references count="2">
          <reference field="4294967294" count="1" selected="0">
            <x v="0"/>
          </reference>
          <reference field="0" count="1" selected="0">
            <x v="2"/>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2">
          <reference field="4294967294" count="1" selected="0">
            <x v="0"/>
          </reference>
          <reference field="0" count="1" selected="0">
            <x v="5"/>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6"/>
          </reference>
        </references>
      </pivotArea>
    </chartFormat>
  </chartFormats>
  <pivotHierarchies count="41">
    <pivotHierarchy dragToData="1"/>
    <pivotHierarchy dragToData="1"/>
    <pivotHierarchy multipleItemSelectionAllowed="1" dragToData="1">
      <members count="1" level="1">
        <member name="[UBC_AKTIVITAS].[Tahun].&amp;[2021]"/>
      </members>
    </pivotHierarchy>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Lokasi"/>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TP - 2021 PIVOT.xlsx!UBC_AKTIVITAS">
        <x15:activeTabTopLevelEntity name="[UBC_AKTIVIT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6CF2EDB-BC0F-421A-B498-C545F38BEE7E}" name="AKTIVITAS-PARTICIPANTS ON PROGRAM" cacheId="2"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8">
  <location ref="T3:U9" firstHeaderRow="1"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Jumlah Partisipan" fld="1" baseField="0" baseItem="0"/>
  </dataFields>
  <formats count="22">
    <format dxfId="1971">
      <pivotArea type="all" dataOnly="0" outline="0" fieldPosition="0"/>
    </format>
    <format dxfId="1970">
      <pivotArea outline="0" collapsedLevelsAreSubtotals="1" fieldPosition="0"/>
    </format>
    <format dxfId="1969">
      <pivotArea field="0" type="button" dataOnly="0" labelOnly="1" outline="0" axis="axisRow" fieldPosition="0"/>
    </format>
    <format dxfId="1968">
      <pivotArea dataOnly="0" labelOnly="1" fieldPosition="0">
        <references count="1">
          <reference field="0" count="0"/>
        </references>
      </pivotArea>
    </format>
    <format dxfId="1967">
      <pivotArea dataOnly="0" labelOnly="1" grandRow="1" outline="0" fieldPosition="0"/>
    </format>
    <format dxfId="1966">
      <pivotArea dataOnly="0" labelOnly="1" outline="0" axis="axisValues" fieldPosition="0"/>
    </format>
    <format dxfId="1965">
      <pivotArea type="all" dataOnly="0" outline="0" fieldPosition="0"/>
    </format>
    <format dxfId="1964">
      <pivotArea outline="0" collapsedLevelsAreSubtotals="1" fieldPosition="0"/>
    </format>
    <format dxfId="1963">
      <pivotArea field="0" type="button" dataOnly="0" labelOnly="1" outline="0" axis="axisRow" fieldPosition="0"/>
    </format>
    <format dxfId="1962">
      <pivotArea dataOnly="0" labelOnly="1" fieldPosition="0">
        <references count="1">
          <reference field="0" count="0"/>
        </references>
      </pivotArea>
    </format>
    <format dxfId="1961">
      <pivotArea dataOnly="0" labelOnly="1" grandRow="1" outline="0" fieldPosition="0"/>
    </format>
    <format dxfId="1960">
      <pivotArea dataOnly="0" labelOnly="1" outline="0" axis="axisValues" fieldPosition="0"/>
    </format>
    <format dxfId="1959">
      <pivotArea field="0" type="button" dataOnly="0" labelOnly="1" outline="0" axis="axisRow" fieldPosition="0"/>
    </format>
    <format dxfId="1958">
      <pivotArea dataOnly="0" labelOnly="1" outline="0" axis="axisValues" fieldPosition="0"/>
    </format>
    <format dxfId="1957">
      <pivotArea type="all" dataOnly="0" outline="0" fieldPosition="0"/>
    </format>
    <format dxfId="1956">
      <pivotArea outline="0" collapsedLevelsAreSubtotals="1" fieldPosition="0"/>
    </format>
    <format dxfId="1955">
      <pivotArea field="0" type="button" dataOnly="0" labelOnly="1" outline="0" axis="axisRow" fieldPosition="0"/>
    </format>
    <format dxfId="1954">
      <pivotArea dataOnly="0" labelOnly="1" fieldPosition="0">
        <references count="1">
          <reference field="0" count="0"/>
        </references>
      </pivotArea>
    </format>
    <format dxfId="1953">
      <pivotArea dataOnly="0" labelOnly="1" grandRow="1" outline="0" fieldPosition="0"/>
    </format>
    <format dxfId="1952">
      <pivotArea dataOnly="0" labelOnly="1" outline="0" axis="axisValues" fieldPosition="0"/>
    </format>
    <format dxfId="1951">
      <pivotArea outline="0" collapsedLevelsAreSubtotals="1" fieldPosition="0"/>
    </format>
    <format dxfId="1950">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members count="1" level="1">
        <member name="[UBC_AKTIVITAS].[Tahun].&amp;[2021]"/>
      </members>
    </pivotHierarchy>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TP - 2021 PIVOT.xlsx!UBC_AKTIVITAS">
        <x15:activeTabTopLevelEntity name="[UBC_AKTIVIT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1EDDBEF-04D3-4E7C-B463-38ACE8CE6A7C}" name="AKTIVITAS-MAP" cacheId="1"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1">
  <location ref="G3:H9" firstHeaderRow="1" firstDataRow="1" firstDataCol="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Jumlah Partisipan" fld="0" baseField="0" baseItem="0"/>
  </dataFields>
  <formats count="25">
    <format dxfId="1996">
      <pivotArea type="all" dataOnly="0" outline="0" fieldPosition="0"/>
    </format>
    <format dxfId="1995">
      <pivotArea outline="0" collapsedLevelsAreSubtotals="1" fieldPosition="0"/>
    </format>
    <format dxfId="1994">
      <pivotArea field="1" type="button" dataOnly="0" labelOnly="1" outline="0" axis="axisRow" fieldPosition="0"/>
    </format>
    <format dxfId="1993">
      <pivotArea dataOnly="0" labelOnly="1" fieldPosition="0">
        <references count="1">
          <reference field="1" count="0"/>
        </references>
      </pivotArea>
    </format>
    <format dxfId="1992">
      <pivotArea dataOnly="0" labelOnly="1" grandRow="1" outline="0" fieldPosition="0"/>
    </format>
    <format dxfId="1991">
      <pivotArea dataOnly="0" labelOnly="1" outline="0" axis="axisValues" fieldPosition="0"/>
    </format>
    <format dxfId="1990">
      <pivotArea type="all" dataOnly="0" outline="0" fieldPosition="0"/>
    </format>
    <format dxfId="1989">
      <pivotArea outline="0" collapsedLevelsAreSubtotals="1" fieldPosition="0"/>
    </format>
    <format dxfId="1988">
      <pivotArea field="1" type="button" dataOnly="0" labelOnly="1" outline="0" axis="axisRow" fieldPosition="0"/>
    </format>
    <format dxfId="1987">
      <pivotArea dataOnly="0" labelOnly="1" fieldPosition="0">
        <references count="1">
          <reference field="1" count="0"/>
        </references>
      </pivotArea>
    </format>
    <format dxfId="1986">
      <pivotArea dataOnly="0" labelOnly="1" grandRow="1" outline="0" fieldPosition="0"/>
    </format>
    <format dxfId="1985">
      <pivotArea dataOnly="0" labelOnly="1" outline="0" axis="axisValues" fieldPosition="0"/>
    </format>
    <format dxfId="1984">
      <pivotArea type="all" dataOnly="0" outline="0" fieldPosition="0"/>
    </format>
    <format dxfId="1983">
      <pivotArea outline="0" collapsedLevelsAreSubtotals="1" fieldPosition="0"/>
    </format>
    <format dxfId="1982">
      <pivotArea field="1" type="button" dataOnly="0" labelOnly="1" outline="0" axis="axisRow" fieldPosition="0"/>
    </format>
    <format dxfId="1981">
      <pivotArea dataOnly="0" labelOnly="1" fieldPosition="0">
        <references count="1">
          <reference field="1" count="0"/>
        </references>
      </pivotArea>
    </format>
    <format dxfId="1980">
      <pivotArea dataOnly="0" labelOnly="1" grandRow="1" outline="0" fieldPosition="0"/>
    </format>
    <format dxfId="1979">
      <pivotArea dataOnly="0" labelOnly="1" outline="0" axis="axisValues" fieldPosition="0"/>
    </format>
    <format dxfId="1978">
      <pivotArea field="1" type="button" dataOnly="0" labelOnly="1" outline="0" axis="axisRow" fieldPosition="0"/>
    </format>
    <format dxfId="1977">
      <pivotArea dataOnly="0" labelOnly="1" outline="0" axis="axisValues" fieldPosition="0"/>
    </format>
    <format dxfId="1976">
      <pivotArea field="1" type="button" dataOnly="0" labelOnly="1" outline="0" axis="axisRow" fieldPosition="0"/>
    </format>
    <format dxfId="1975">
      <pivotArea dataOnly="0" labelOnly="1" outline="0" axis="axisValues" fieldPosition="0"/>
    </format>
    <format dxfId="1974">
      <pivotArea outline="0" collapsedLevelsAreSubtotals="1" fieldPosition="0"/>
    </format>
    <format dxfId="1973">
      <pivotArea outline="0" collapsedLevelsAreSubtotals="1" fieldPosition="0"/>
    </format>
    <format dxfId="1972">
      <pivotArea grandRow="1" outline="0" collapsedLevelsAreSubtotals="1" fieldPosition="0"/>
    </format>
  </formats>
  <pivotHierarchies count="41">
    <pivotHierarchy dragToData="1"/>
    <pivotHierarchy dragToData="1"/>
    <pivotHierarchy multipleItemSelectionAllowed="1" dragToData="1">
      <members count="1" level="1">
        <member name="[UBC_AKTIVITAS].[Tahun].&amp;[2021]"/>
      </members>
    </pivotHierarchy>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TP - 2021 PIVOT.xlsx!UBC_AKTIVITAS">
        <x15:activeTabTopLevelEntity name="[UBC_AKTIVIT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5C5B32B-FB87-438C-A385-E3800218620B}" name="AKTIVITAS-REKAP" cacheId="3" dataOnRows="1"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1">
  <location ref="B3:C6" firstHeaderRow="1" firstDataRow="1" firstDataCol="1"/>
  <pivotFields count="7">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i="1">
      <x v="1"/>
    </i>
    <i i="2">
      <x v="2"/>
    </i>
  </rowItems>
  <colItems count="1">
    <i/>
  </colItems>
  <dataFields count="3">
    <dataField name="Distinct Count of Lokasi" fld="0" subtotal="count" baseField="0" baseItem="0">
      <extLst>
        <ext xmlns:x15="http://schemas.microsoft.com/office/spreadsheetml/2010/11/main" uri="{FABC7310-3BB5-11E1-824E-6D434824019B}">
          <x15:dataField isCountDistinct="1"/>
        </ext>
      </extLst>
    </dataField>
    <dataField name="Distinct Count of Kabupaten" fld="2" subtotal="count" baseField="0" baseItem="0">
      <extLst>
        <ext xmlns:x15="http://schemas.microsoft.com/office/spreadsheetml/2010/11/main" uri="{FABC7310-3BB5-11E1-824E-6D434824019B}">
          <x15:dataField isCountDistinct="1"/>
        </ext>
      </extLst>
    </dataField>
    <dataField name="Sum of Jumlah Partisipan" fld="1" baseField="0" baseItem="0"/>
  </dataFields>
  <formats count="10">
    <format dxfId="2006">
      <pivotArea type="all" dataOnly="0" outline="0" fieldPosition="0"/>
    </format>
    <format dxfId="2005">
      <pivotArea outline="0" collapsedLevelsAreSubtotals="1" fieldPosition="0"/>
    </format>
    <format dxfId="2004">
      <pivotArea field="-2" type="button" dataOnly="0" labelOnly="1" outline="0" axis="axisRow" fieldPosition="0"/>
    </format>
    <format dxfId="2003">
      <pivotArea dataOnly="0" labelOnly="1" outline="0" fieldPosition="0">
        <references count="1">
          <reference field="4294967294" count="3">
            <x v="0"/>
            <x v="1"/>
            <x v="2"/>
          </reference>
        </references>
      </pivotArea>
    </format>
    <format dxfId="2002">
      <pivotArea dataOnly="0" labelOnly="1" grandCol="1" outline="0" axis="axisCol" fieldPosition="0"/>
    </format>
    <format dxfId="2001">
      <pivotArea type="all" dataOnly="0" outline="0" fieldPosition="0"/>
    </format>
    <format dxfId="2000">
      <pivotArea outline="0" collapsedLevelsAreSubtotals="1" fieldPosition="0"/>
    </format>
    <format dxfId="1999">
      <pivotArea field="-2" type="button" dataOnly="0" labelOnly="1" outline="0" axis="axisRow" fieldPosition="0"/>
    </format>
    <format dxfId="1998">
      <pivotArea dataOnly="0" labelOnly="1" outline="0" fieldPosition="0">
        <references count="1">
          <reference field="4294967294" count="3">
            <x v="0"/>
            <x v="1"/>
            <x v="2"/>
          </reference>
        </references>
      </pivotArea>
    </format>
    <format dxfId="1997">
      <pivotArea dataOnly="0" labelOnly="1" grandCol="1" outline="0" axis="axisCol" fieldPosition="0"/>
    </format>
  </formats>
  <pivotHierarchies count="41">
    <pivotHierarchy dragToData="1"/>
    <pivotHierarchy dragToData="1"/>
    <pivotHierarchy multipleItemSelectionAllowed="1" dragToData="1">
      <members count="1" level="1">
        <member name="[UBC_AKTIVITAS].[Tahun].&amp;[2021]"/>
      </members>
    </pivotHierarchy>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Kabupaten"/>
    <pivotHierarchy dragToData="1"/>
    <pivotHierarchy dragToData="1"/>
    <pivotHierarchy dragToData="1" caption="Distinct Count of Lokasi"/>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COTP - 2021 PIVOT.xlsx!UBC_AKTIVITAS">
        <x15:activeTabTopLevelEntity name="[UBC_AKTIVIT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CE86F65-5447-459C-A26E-6DA3926A2EFE}" name="UBC-Data-Weekly" cacheId="110" applyNumberFormats="0" applyBorderFormats="0" applyFontFormats="0" applyPatternFormats="0" applyAlignmentFormats="0" applyWidthHeightFormats="1" dataCaption="Values" grandTotalCaption="Total _x000a_UBC (Kg)" updatedVersion="7" minRefreshableVersion="3" useAutoFormatting="1" subtotalHiddenItems="1" itemPrintTitles="1" createdVersion="6" indent="0" outline="1" outlineData="1" multipleFieldFilters="0" chartFormat="4" rowHeaderCaption="Partisipan">
  <location ref="B3:AB86" firstHeaderRow="1" firstDataRow="4" firstDataCol="1"/>
  <pivotFields count="6">
    <pivotField axis="axisCol"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efaultSubtotal="0" defaultAttributeDrillState="1">
      <items count="68">
        <item x="0"/>
        <item x="11"/>
        <item x="13"/>
        <item x="26"/>
        <item x="27"/>
        <item x="28"/>
        <item x="29"/>
        <item x="32"/>
        <item x="33"/>
        <item x="34"/>
        <item x="39"/>
        <item x="43"/>
        <item x="46"/>
        <item x="49"/>
        <item x="51"/>
        <item x="52"/>
        <item x="53"/>
        <item x="55"/>
        <item x="57"/>
        <item x="58"/>
        <item x="66"/>
        <item x="67"/>
        <item x="2"/>
        <item x="4"/>
        <item x="6"/>
        <item x="7"/>
        <item x="8"/>
        <item x="9"/>
        <item x="10"/>
        <item x="14"/>
        <item x="16"/>
        <item x="17"/>
        <item x="19"/>
        <item x="24"/>
        <item x="25"/>
        <item x="30"/>
        <item x="38"/>
        <item x="40"/>
        <item x="41"/>
        <item x="42"/>
        <item x="45"/>
        <item x="47"/>
        <item x="48"/>
        <item x="54"/>
        <item x="59"/>
        <item x="60"/>
        <item x="62"/>
        <item x="37"/>
        <item x="63"/>
        <item x="65"/>
        <item x="1"/>
        <item x="3"/>
        <item x="5"/>
        <item x="12"/>
        <item x="15"/>
        <item x="18"/>
        <item x="20"/>
        <item x="21"/>
        <item x="22"/>
        <item x="23"/>
        <item x="31"/>
        <item x="35"/>
        <item x="36"/>
        <item x="44"/>
        <item x="50"/>
        <item x="56"/>
        <item x="61"/>
        <item x="64"/>
      </items>
    </pivotField>
    <pivotField dataField="1" subtotalTop="0" showAll="0" defaultSubtotal="0"/>
  </pivotFields>
  <rowFields count="2">
    <field x="3"/>
    <field x="4"/>
  </rowFields>
  <rowItems count="80">
    <i>
      <x/>
    </i>
    <i r="1">
      <x/>
    </i>
    <i r="1">
      <x v="22"/>
    </i>
    <i r="1">
      <x v="50"/>
    </i>
    <i r="1">
      <x v="51"/>
    </i>
    <i>
      <x v="1"/>
    </i>
    <i r="1">
      <x v="1"/>
    </i>
    <i r="1">
      <x v="2"/>
    </i>
    <i r="1">
      <x v="23"/>
    </i>
    <i r="1">
      <x v="24"/>
    </i>
    <i r="1">
      <x v="25"/>
    </i>
    <i r="1">
      <x v="26"/>
    </i>
    <i r="1">
      <x v="27"/>
    </i>
    <i r="1">
      <x v="28"/>
    </i>
    <i r="1">
      <x v="29"/>
    </i>
    <i r="1">
      <x v="30"/>
    </i>
    <i r="1">
      <x v="31"/>
    </i>
    <i r="1">
      <x v="32"/>
    </i>
    <i r="1">
      <x v="33"/>
    </i>
    <i r="1">
      <x v="34"/>
    </i>
    <i r="1">
      <x v="52"/>
    </i>
    <i r="1">
      <x v="53"/>
    </i>
    <i r="1">
      <x v="54"/>
    </i>
    <i r="1">
      <x v="55"/>
    </i>
    <i r="1">
      <x v="56"/>
    </i>
    <i r="1">
      <x v="57"/>
    </i>
    <i r="1">
      <x v="58"/>
    </i>
    <i r="1">
      <x v="59"/>
    </i>
    <i>
      <x v="2"/>
    </i>
    <i r="1">
      <x v="3"/>
    </i>
    <i r="1">
      <x v="4"/>
    </i>
    <i r="1">
      <x v="5"/>
    </i>
    <i r="1">
      <x v="6"/>
    </i>
    <i r="1">
      <x v="7"/>
    </i>
    <i r="1">
      <x v="8"/>
    </i>
    <i r="1">
      <x v="9"/>
    </i>
    <i r="1">
      <x v="35"/>
    </i>
    <i r="1">
      <x v="36"/>
    </i>
    <i r="1">
      <x v="47"/>
    </i>
    <i r="1">
      <x v="60"/>
    </i>
    <i r="1">
      <x v="61"/>
    </i>
    <i r="1">
      <x v="62"/>
    </i>
    <i>
      <x v="3"/>
    </i>
    <i r="1">
      <x v="10"/>
    </i>
    <i>
      <x v="4"/>
    </i>
    <i r="1">
      <x v="11"/>
    </i>
    <i r="1">
      <x v="37"/>
    </i>
    <i r="1">
      <x v="38"/>
    </i>
    <i r="1">
      <x v="39"/>
    </i>
    <i>
      <x v="5"/>
    </i>
    <i r="1">
      <x v="12"/>
    </i>
    <i r="1">
      <x v="13"/>
    </i>
    <i r="1">
      <x v="40"/>
    </i>
    <i r="1">
      <x v="41"/>
    </i>
    <i r="1">
      <x v="42"/>
    </i>
    <i r="1">
      <x v="63"/>
    </i>
    <i r="1">
      <x v="64"/>
    </i>
    <i>
      <x v="6"/>
    </i>
    <i r="1">
      <x v="14"/>
    </i>
    <i r="1">
      <x v="15"/>
    </i>
    <i r="1">
      <x v="16"/>
    </i>
    <i r="1">
      <x v="17"/>
    </i>
    <i r="1">
      <x v="43"/>
    </i>
    <i r="1">
      <x v="65"/>
    </i>
    <i>
      <x v="7"/>
    </i>
    <i r="1">
      <x v="18"/>
    </i>
    <i r="1">
      <x v="19"/>
    </i>
    <i r="1">
      <x v="44"/>
    </i>
    <i>
      <x v="8"/>
    </i>
    <i r="1">
      <x v="45"/>
    </i>
    <i>
      <x v="9"/>
    </i>
    <i r="1">
      <x v="46"/>
    </i>
    <i r="1">
      <x v="48"/>
    </i>
    <i r="1">
      <x v="49"/>
    </i>
    <i r="1">
      <x v="66"/>
    </i>
    <i r="1">
      <x v="67"/>
    </i>
    <i>
      <x v="10"/>
    </i>
    <i r="1">
      <x v="20"/>
    </i>
    <i r="1">
      <x v="21"/>
    </i>
    <i t="grand">
      <x/>
    </i>
  </rowItems>
  <colFields count="3">
    <field x="2"/>
    <field x="0"/>
    <field x="1"/>
  </colFields>
  <colItems count="26">
    <i>
      <x/>
      <x/>
      <x/>
    </i>
    <i r="2">
      <x v="1"/>
    </i>
    <i r="2">
      <x v="2"/>
    </i>
    <i r="2">
      <x v="3"/>
    </i>
    <i r="2">
      <x v="4"/>
    </i>
    <i r="1">
      <x v="1"/>
      <x/>
    </i>
    <i r="2">
      <x v="1"/>
    </i>
    <i r="2">
      <x v="2"/>
    </i>
    <i r="2">
      <x v="3"/>
    </i>
    <i r="2">
      <x v="4"/>
    </i>
    <i r="1">
      <x v="2"/>
      <x/>
    </i>
    <i r="2">
      <x v="1"/>
    </i>
    <i r="2">
      <x v="2"/>
    </i>
    <i r="2">
      <x v="3"/>
    </i>
    <i r="2">
      <x v="4"/>
    </i>
    <i r="1">
      <x v="3"/>
      <x/>
    </i>
    <i r="2">
      <x v="1"/>
    </i>
    <i r="2">
      <x v="2"/>
    </i>
    <i r="2">
      <x v="3"/>
    </i>
    <i r="2">
      <x v="4"/>
    </i>
    <i r="1">
      <x v="4"/>
      <x/>
    </i>
    <i r="2">
      <x v="1"/>
    </i>
    <i r="2">
      <x v="2"/>
    </i>
    <i r="2">
      <x v="3"/>
    </i>
    <i r="2">
      <x v="4"/>
    </i>
    <i t="grand">
      <x/>
    </i>
  </colItems>
  <dataFields count="1">
    <dataField name="Sum of ∑ KMK (Kg)" fld="5" baseField="0" baseItem="0"/>
  </dataFields>
  <formats count="194">
    <format dxfId="1922">
      <pivotArea type="origin" dataOnly="0" labelOnly="1" outline="0" offset="A1" fieldPosition="0"/>
    </format>
    <format dxfId="1921">
      <pivotArea type="origin" dataOnly="0" labelOnly="1" outline="0" offset="A1" fieldPosition="0"/>
    </format>
    <format dxfId="1920">
      <pivotArea field="2" type="button" dataOnly="0" labelOnly="1" outline="0" axis="axisCol" fieldPosition="0"/>
    </format>
    <format dxfId="1919">
      <pivotArea field="0" type="button" dataOnly="0" labelOnly="1" outline="0" axis="axisCol" fieldPosition="1"/>
    </format>
    <format dxfId="1918">
      <pivotArea field="1" type="button" dataOnly="0" labelOnly="1" outline="0" axis="axisCol" fieldPosition="2"/>
    </format>
    <format dxfId="1917">
      <pivotArea type="topRight" dataOnly="0" labelOnly="1" outline="0" fieldPosition="0"/>
    </format>
    <format dxfId="1916">
      <pivotArea dataOnly="0" labelOnly="1" fieldPosition="0">
        <references count="1">
          <reference field="2" count="0"/>
        </references>
      </pivotArea>
    </format>
    <format dxfId="1915">
      <pivotArea dataOnly="0" labelOnly="1" fieldPosition="0">
        <references count="1">
          <reference field="2" count="0"/>
        </references>
      </pivotArea>
    </format>
    <format dxfId="1914">
      <pivotArea type="all" dataOnly="0" outline="0" fieldPosition="0"/>
    </format>
    <format dxfId="1913">
      <pivotArea outline="0" collapsedLevelsAreSubtotals="1" fieldPosition="0"/>
    </format>
    <format dxfId="1912">
      <pivotArea grandCol="1" outline="0" collapsedLevelsAreSubtotals="1" fieldPosition="0"/>
    </format>
    <format dxfId="1911">
      <pivotArea collapsedLevelsAreSubtotals="1" fieldPosition="0">
        <references count="1">
          <reference field="3" count="1">
            <x v="1"/>
          </reference>
        </references>
      </pivotArea>
    </format>
    <format dxfId="1910">
      <pivotArea collapsedLevelsAreSubtotals="1" fieldPosition="0">
        <references count="1">
          <reference field="3" count="1">
            <x v="2"/>
          </reference>
        </references>
      </pivotArea>
    </format>
    <format dxfId="1909">
      <pivotArea collapsedLevelsAreSubtotals="1" fieldPosition="0">
        <references count="2">
          <reference field="3" count="1" selected="0">
            <x v="2"/>
          </reference>
          <reference field="4" count="6">
            <x v="3"/>
            <x v="4"/>
            <x v="5"/>
            <x v="6"/>
            <x v="7"/>
            <x v="8"/>
          </reference>
        </references>
      </pivotArea>
    </format>
    <format dxfId="1908">
      <pivotArea collapsedLevelsAreSubtotals="1" fieldPosition="0">
        <references count="1">
          <reference field="3" count="1">
            <x v="4"/>
          </reference>
        </references>
      </pivotArea>
    </format>
    <format dxfId="1907">
      <pivotArea collapsedLevelsAreSubtotals="1" fieldPosition="0">
        <references count="2">
          <reference field="3" count="1" selected="0">
            <x v="4"/>
          </reference>
          <reference field="4" count="3">
            <x v="37"/>
            <x v="38"/>
            <x v="39"/>
          </reference>
        </references>
      </pivotArea>
    </format>
    <format dxfId="1906">
      <pivotArea collapsedLevelsAreSubtotals="1" fieldPosition="0">
        <references count="1">
          <reference field="3" count="1">
            <x v="5"/>
          </reference>
        </references>
      </pivotArea>
    </format>
    <format dxfId="1905">
      <pivotArea collapsedLevelsAreSubtotals="1" fieldPosition="0">
        <references count="2">
          <reference field="3" count="1" selected="0">
            <x v="5"/>
          </reference>
          <reference field="4" count="4">
            <x v="12"/>
            <x v="13"/>
            <x v="41"/>
            <x v="42"/>
          </reference>
        </references>
      </pivotArea>
    </format>
    <format dxfId="1904">
      <pivotArea collapsedLevelsAreSubtotals="1" fieldPosition="0">
        <references count="1">
          <reference field="3" count="1">
            <x v="6"/>
          </reference>
        </references>
      </pivotArea>
    </format>
    <format dxfId="1903">
      <pivotArea collapsedLevelsAreSubtotals="1" fieldPosition="0">
        <references count="2">
          <reference field="3" count="1" selected="0">
            <x v="6"/>
          </reference>
          <reference field="4" count="5">
            <x v="14"/>
            <x v="15"/>
            <x v="16"/>
            <x v="17"/>
            <x v="43"/>
          </reference>
        </references>
      </pivotArea>
    </format>
    <format dxfId="1902">
      <pivotArea collapsedLevelsAreSubtotals="1" fieldPosition="0">
        <references count="1">
          <reference field="3" count="1">
            <x v="7"/>
          </reference>
        </references>
      </pivotArea>
    </format>
    <format dxfId="1901">
      <pivotArea collapsedLevelsAreSubtotals="1" fieldPosition="0">
        <references count="2">
          <reference field="3" count="1" selected="0">
            <x v="7"/>
          </reference>
          <reference field="4" count="3">
            <x v="18"/>
            <x v="19"/>
            <x v="44"/>
          </reference>
        </references>
      </pivotArea>
    </format>
    <format dxfId="1900">
      <pivotArea collapsedLevelsAreSubtotals="1" fieldPosition="0">
        <references count="1">
          <reference field="3" count="1">
            <x v="8"/>
          </reference>
        </references>
      </pivotArea>
    </format>
    <format dxfId="1899">
      <pivotArea collapsedLevelsAreSubtotals="1" fieldPosition="0">
        <references count="2">
          <reference field="3" count="1" selected="0">
            <x v="8"/>
          </reference>
          <reference field="4" count="1">
            <x v="45"/>
          </reference>
        </references>
      </pivotArea>
    </format>
    <format dxfId="1898">
      <pivotArea collapsedLevelsAreSubtotals="1" fieldPosition="0">
        <references count="1">
          <reference field="3" count="1">
            <x v="9"/>
          </reference>
        </references>
      </pivotArea>
    </format>
    <format dxfId="1897">
      <pivotArea collapsedLevelsAreSubtotals="1" fieldPosition="0">
        <references count="2">
          <reference field="3" count="1" selected="0">
            <x v="9"/>
          </reference>
          <reference field="4" count="4">
            <x v="46"/>
            <x v="1048832"/>
            <x v="1048832"/>
            <x v="1048832"/>
          </reference>
        </references>
      </pivotArea>
    </format>
    <format dxfId="1896">
      <pivotArea collapsedLevelsAreSubtotals="1" fieldPosition="0">
        <references count="1">
          <reference field="3" count="1">
            <x v="10"/>
          </reference>
        </references>
      </pivotArea>
    </format>
    <format dxfId="1895">
      <pivotArea collapsedLevelsAreSubtotals="1" fieldPosition="0">
        <references count="2">
          <reference field="3" count="1" selected="0">
            <x v="10"/>
          </reference>
          <reference field="4" count="1">
            <x v="20"/>
          </reference>
        </references>
      </pivotArea>
    </format>
    <format dxfId="1894">
      <pivotArea dataOnly="0" labelOnly="1" fieldPosition="0">
        <references count="1">
          <reference field="3" count="0"/>
        </references>
      </pivotArea>
    </format>
    <format dxfId="1893">
      <pivotArea dataOnly="0" labelOnly="1" fieldPosition="0">
        <references count="1">
          <reference field="3" count="1">
            <x v="1"/>
          </reference>
        </references>
      </pivotArea>
    </format>
    <format dxfId="1892">
      <pivotArea field="2" type="button" dataOnly="0" labelOnly="1" outline="0" axis="axisCol" fieldPosition="0"/>
    </format>
    <format dxfId="1891">
      <pivotArea field="0" type="button" dataOnly="0" labelOnly="1" outline="0" axis="axisCol" fieldPosition="1"/>
    </format>
    <format dxfId="1890">
      <pivotArea field="1" type="button" dataOnly="0" labelOnly="1" outline="0" axis="axisCol" fieldPosition="2"/>
    </format>
    <format dxfId="1889">
      <pivotArea type="topRight" dataOnly="0" labelOnly="1" outline="0" offset="A1:B1" fieldPosition="0"/>
    </format>
    <format dxfId="1888">
      <pivotArea dataOnly="0" labelOnly="1" offset="A256:E256" fieldPosition="0">
        <references count="1">
          <reference field="2" count="0"/>
        </references>
      </pivotArea>
    </format>
    <format dxfId="1887">
      <pivotArea type="topRight" dataOnly="0" labelOnly="1" outline="0" offset="C1:G1" fieldPosition="0"/>
    </format>
    <format dxfId="1886">
      <pivotArea dataOnly="0" labelOnly="1" offset="F256:IV256" fieldPosition="0">
        <references count="1">
          <reference field="2" count="0"/>
        </references>
      </pivotArea>
    </format>
    <format dxfId="1885">
      <pivotArea grandCol="1" outline="0" collapsedLevelsAreSubtotals="1" fieldPosition="0"/>
    </format>
    <format dxfId="1884">
      <pivotArea type="topRight" dataOnly="0" labelOnly="1" outline="0" offset="H1" fieldPosition="0"/>
    </format>
    <format dxfId="1883">
      <pivotArea dataOnly="0" labelOnly="1" grandCol="1" outline="0" fieldPosition="0"/>
    </format>
    <format dxfId="1882">
      <pivotArea type="origin" dataOnly="0" labelOnly="1" outline="0" fieldPosition="0"/>
    </format>
    <format dxfId="1881">
      <pivotArea field="3" type="button" dataOnly="0" labelOnly="1" outline="0" axis="axisRow" fieldPosition="0"/>
    </format>
    <format dxfId="1880">
      <pivotArea dataOnly="0" labelOnly="1" fieldPosition="0">
        <references count="1">
          <reference field="3" count="0"/>
        </references>
      </pivotArea>
    </format>
    <format dxfId="1879">
      <pivotArea dataOnly="0" labelOnly="1" grandRow="1" outline="0" fieldPosition="0"/>
    </format>
    <format dxfId="1878">
      <pivotArea dataOnly="0" labelOnly="1" fieldPosition="0">
        <references count="2">
          <reference field="3" count="1" selected="0">
            <x v="2"/>
          </reference>
          <reference field="4" count="6">
            <x v="3"/>
            <x v="4"/>
            <x v="5"/>
            <x v="6"/>
            <x v="7"/>
            <x v="8"/>
          </reference>
        </references>
      </pivotArea>
    </format>
    <format dxfId="1877">
      <pivotArea dataOnly="0" labelOnly="1" fieldPosition="0">
        <references count="2">
          <reference field="3" count="1" selected="0">
            <x v="4"/>
          </reference>
          <reference field="4" count="3">
            <x v="37"/>
            <x v="38"/>
            <x v="39"/>
          </reference>
        </references>
      </pivotArea>
    </format>
    <format dxfId="1876">
      <pivotArea dataOnly="0" labelOnly="1" fieldPosition="0">
        <references count="2">
          <reference field="3" count="1" selected="0">
            <x v="5"/>
          </reference>
          <reference field="4" count="4">
            <x v="12"/>
            <x v="13"/>
            <x v="41"/>
            <x v="42"/>
          </reference>
        </references>
      </pivotArea>
    </format>
    <format dxfId="1875">
      <pivotArea dataOnly="0" labelOnly="1" fieldPosition="0">
        <references count="2">
          <reference field="3" count="1" selected="0">
            <x v="6"/>
          </reference>
          <reference field="4" count="5">
            <x v="14"/>
            <x v="15"/>
            <x v="16"/>
            <x v="17"/>
            <x v="43"/>
          </reference>
        </references>
      </pivotArea>
    </format>
    <format dxfId="1874">
      <pivotArea dataOnly="0" labelOnly="1" fieldPosition="0">
        <references count="2">
          <reference field="3" count="1" selected="0">
            <x v="7"/>
          </reference>
          <reference field="4" count="3">
            <x v="18"/>
            <x v="19"/>
            <x v="44"/>
          </reference>
        </references>
      </pivotArea>
    </format>
    <format dxfId="1873">
      <pivotArea dataOnly="0" labelOnly="1" fieldPosition="0">
        <references count="2">
          <reference field="3" count="1" selected="0">
            <x v="8"/>
          </reference>
          <reference field="4" count="1">
            <x v="45"/>
          </reference>
        </references>
      </pivotArea>
    </format>
    <format dxfId="1872">
      <pivotArea dataOnly="0" labelOnly="1" fieldPosition="0">
        <references count="2">
          <reference field="3" count="1" selected="0">
            <x v="9"/>
          </reference>
          <reference field="4" count="4">
            <x v="46"/>
            <x v="1048832"/>
            <x v="1048832"/>
            <x v="1048832"/>
          </reference>
        </references>
      </pivotArea>
    </format>
    <format dxfId="1871">
      <pivotArea dataOnly="0" labelOnly="1" fieldPosition="0">
        <references count="2">
          <reference field="3" count="1" selected="0">
            <x v="10"/>
          </reference>
          <reference field="4" count="1">
            <x v="20"/>
          </reference>
        </references>
      </pivotArea>
    </format>
    <format dxfId="1870">
      <pivotArea type="origin" dataOnly="0" labelOnly="1" outline="0" offset="A1" fieldPosition="0"/>
    </format>
    <format dxfId="1869">
      <pivotArea field="2" type="button" dataOnly="0" labelOnly="1" outline="0" axis="axisCol" fieldPosition="0"/>
    </format>
    <format dxfId="1868">
      <pivotArea field="0" type="button" dataOnly="0" labelOnly="1" outline="0" axis="axisCol" fieldPosition="1"/>
    </format>
    <format dxfId="1867">
      <pivotArea field="1" type="button" dataOnly="0" labelOnly="1" outline="0" axis="axisCol" fieldPosition="2"/>
    </format>
    <format dxfId="1866">
      <pivotArea type="topRight" dataOnly="0" labelOnly="1" outline="0" fieldPosition="0"/>
    </format>
    <format dxfId="1865">
      <pivotArea type="origin" dataOnly="0" labelOnly="1" outline="0" offset="A2:A3" fieldPosition="0"/>
    </format>
    <format dxfId="1864">
      <pivotArea field="3" type="button" dataOnly="0" labelOnly="1" outline="0" axis="axisRow" fieldPosition="0"/>
    </format>
    <format dxfId="1863">
      <pivotArea dataOnly="0" labelOnly="1" fieldPosition="0">
        <references count="1">
          <reference field="2" count="0"/>
        </references>
      </pivotArea>
    </format>
    <format dxfId="1862">
      <pivotArea dataOnly="0" labelOnly="1" grandCol="1" outline="0" fieldPosition="0"/>
    </format>
    <format dxfId="1861">
      <pivotArea dataOnly="0" labelOnly="1" fieldPosition="0">
        <references count="2">
          <reference field="0" count="0"/>
          <reference field="2" count="0" selected="0"/>
        </references>
      </pivotArea>
    </format>
    <format dxfId="1860">
      <pivotArea dataOnly="0" labelOnly="1" fieldPosition="0">
        <references count="1">
          <reference field="2" count="0"/>
        </references>
      </pivotArea>
    </format>
    <format dxfId="1859">
      <pivotArea dataOnly="0" labelOnly="1" fieldPosition="0">
        <references count="1">
          <reference field="3" count="1">
            <x v="2"/>
          </reference>
        </references>
      </pivotArea>
    </format>
    <format dxfId="1858">
      <pivotArea dataOnly="0" labelOnly="1" fieldPosition="0">
        <references count="1">
          <reference field="3" count="1">
            <x v="2"/>
          </reference>
        </references>
      </pivotArea>
    </format>
    <format dxfId="1857">
      <pivotArea dataOnly="0" labelOnly="1" fieldPosition="0">
        <references count="1">
          <reference field="3" count="1">
            <x v="2"/>
          </reference>
        </references>
      </pivotArea>
    </format>
    <format dxfId="1856">
      <pivotArea dataOnly="0" labelOnly="1" fieldPosition="0">
        <references count="1">
          <reference field="3" count="1">
            <x v="4"/>
          </reference>
        </references>
      </pivotArea>
    </format>
    <format dxfId="1855">
      <pivotArea dataOnly="0" labelOnly="1" fieldPosition="0">
        <references count="1">
          <reference field="3" count="1">
            <x v="5"/>
          </reference>
        </references>
      </pivotArea>
    </format>
    <format dxfId="1854">
      <pivotArea dataOnly="0" labelOnly="1" fieldPosition="0">
        <references count="1">
          <reference field="3" count="1">
            <x v="6"/>
          </reference>
        </references>
      </pivotArea>
    </format>
    <format dxfId="1853">
      <pivotArea dataOnly="0" labelOnly="1" fieldPosition="0">
        <references count="1">
          <reference field="3" count="1">
            <x v="7"/>
          </reference>
        </references>
      </pivotArea>
    </format>
    <format dxfId="1852">
      <pivotArea dataOnly="0" labelOnly="1" fieldPosition="0">
        <references count="1">
          <reference field="3" count="1">
            <x v="8"/>
          </reference>
        </references>
      </pivotArea>
    </format>
    <format dxfId="1851">
      <pivotArea dataOnly="0" labelOnly="1" fieldPosition="0">
        <references count="1">
          <reference field="3" count="1">
            <x v="9"/>
          </reference>
        </references>
      </pivotArea>
    </format>
    <format dxfId="1850">
      <pivotArea dataOnly="0" labelOnly="1" fieldPosition="0">
        <references count="1">
          <reference field="3" count="1">
            <x v="10"/>
          </reference>
        </references>
      </pivotArea>
    </format>
    <format dxfId="1849">
      <pivotArea field="3" type="button" dataOnly="0" labelOnly="1" outline="0" axis="axisRow" fieldPosition="0"/>
    </format>
    <format dxfId="1848">
      <pivotArea dataOnly="0" labelOnly="1" grandCol="1" outline="0" offset="IV256" fieldPosition="0"/>
    </format>
    <format dxfId="1847">
      <pivotArea grandRow="1" outline="0" collapsedLevelsAreSubtotals="1" fieldPosition="0"/>
    </format>
    <format dxfId="1846">
      <pivotArea dataOnly="0" labelOnly="1" grandRow="1" outline="0" fieldPosition="0"/>
    </format>
    <format dxfId="1845">
      <pivotArea grandRow="1" outline="0" collapsedLevelsAreSubtotals="1" fieldPosition="0"/>
    </format>
    <format dxfId="1844">
      <pivotArea grandRow="1" grandCol="1" outline="0" collapsedLevelsAreSubtotals="1" fieldPosition="0"/>
    </format>
    <format dxfId="1843">
      <pivotArea dataOnly="0" labelOnly="1" grandCol="1" outline="0" fieldPosition="0"/>
    </format>
    <format dxfId="1842">
      <pivotArea dataOnly="0" labelOnly="1" grandCol="1" outline="0" fieldPosition="0"/>
    </format>
    <format dxfId="1841">
      <pivotArea dataOnly="0" labelOnly="1" grandCol="1" outline="0" fieldPosition="0"/>
    </format>
    <format dxfId="1840">
      <pivotArea dataOnly="0" labelOnly="1" grandCol="1" outline="0" fieldPosition="0"/>
    </format>
    <format dxfId="1839">
      <pivotArea type="origin" dataOnly="0" labelOnly="1" outline="0" fieldPosition="0"/>
    </format>
    <format dxfId="1838">
      <pivotArea field="3" type="button" dataOnly="0" labelOnly="1" outline="0" axis="axisRow" fieldPosition="0"/>
    </format>
    <format dxfId="1837">
      <pivotArea dataOnly="0" labelOnly="1" fieldPosition="0">
        <references count="1">
          <reference field="3" count="0"/>
        </references>
      </pivotArea>
    </format>
    <format dxfId="1836">
      <pivotArea dataOnly="0" labelOnly="1" grandRow="1" outline="0" fieldPosition="0"/>
    </format>
    <format dxfId="1835">
      <pivotArea dataOnly="0" labelOnly="1" fieldPosition="0">
        <references count="2">
          <reference field="3" count="1" selected="0">
            <x v="2"/>
          </reference>
          <reference field="4" count="6">
            <x v="3"/>
            <x v="4"/>
            <x v="5"/>
            <x v="6"/>
            <x v="7"/>
            <x v="8"/>
          </reference>
        </references>
      </pivotArea>
    </format>
    <format dxfId="1834">
      <pivotArea dataOnly="0" labelOnly="1" fieldPosition="0">
        <references count="2">
          <reference field="3" count="1" selected="0">
            <x v="4"/>
          </reference>
          <reference field="4" count="3">
            <x v="37"/>
            <x v="38"/>
            <x v="39"/>
          </reference>
        </references>
      </pivotArea>
    </format>
    <format dxfId="1833">
      <pivotArea dataOnly="0" labelOnly="1" fieldPosition="0">
        <references count="2">
          <reference field="3" count="1" selected="0">
            <x v="5"/>
          </reference>
          <reference field="4" count="4">
            <x v="12"/>
            <x v="13"/>
            <x v="41"/>
            <x v="42"/>
          </reference>
        </references>
      </pivotArea>
    </format>
    <format dxfId="1832">
      <pivotArea dataOnly="0" labelOnly="1" fieldPosition="0">
        <references count="2">
          <reference field="3" count="1" selected="0">
            <x v="6"/>
          </reference>
          <reference field="4" count="5">
            <x v="14"/>
            <x v="15"/>
            <x v="16"/>
            <x v="17"/>
            <x v="43"/>
          </reference>
        </references>
      </pivotArea>
    </format>
    <format dxfId="1831">
      <pivotArea dataOnly="0" labelOnly="1" fieldPosition="0">
        <references count="2">
          <reference field="3" count="1" selected="0">
            <x v="7"/>
          </reference>
          <reference field="4" count="3">
            <x v="18"/>
            <x v="19"/>
            <x v="44"/>
          </reference>
        </references>
      </pivotArea>
    </format>
    <format dxfId="1830">
      <pivotArea dataOnly="0" labelOnly="1" fieldPosition="0">
        <references count="2">
          <reference field="3" count="1" selected="0">
            <x v="8"/>
          </reference>
          <reference field="4" count="1">
            <x v="45"/>
          </reference>
        </references>
      </pivotArea>
    </format>
    <format dxfId="1829">
      <pivotArea dataOnly="0" labelOnly="1" fieldPosition="0">
        <references count="2">
          <reference field="3" count="1" selected="0">
            <x v="9"/>
          </reference>
          <reference field="4" count="4">
            <x v="46"/>
            <x v="1048832"/>
            <x v="1048832"/>
            <x v="1048832"/>
          </reference>
        </references>
      </pivotArea>
    </format>
    <format dxfId="1828">
      <pivotArea dataOnly="0" labelOnly="1" fieldPosition="0">
        <references count="2">
          <reference field="3" count="1" selected="0">
            <x v="10"/>
          </reference>
          <reference field="4" count="1">
            <x v="20"/>
          </reference>
        </references>
      </pivotArea>
    </format>
    <format dxfId="1827">
      <pivotArea grandCol="1" outline="0" collapsedLevelsAreSubtotals="1" fieldPosition="0"/>
    </format>
    <format dxfId="1826">
      <pivotArea dataOnly="0" fieldPosition="0">
        <references count="1">
          <reference field="3" count="1">
            <x v="1"/>
          </reference>
        </references>
      </pivotArea>
    </format>
    <format dxfId="1825">
      <pivotArea dataOnly="0" fieldPosition="0">
        <references count="1">
          <reference field="3" count="1">
            <x v="2"/>
          </reference>
        </references>
      </pivotArea>
    </format>
    <format dxfId="1824">
      <pivotArea dataOnly="0" fieldPosition="0">
        <references count="1">
          <reference field="3" count="1">
            <x v="4"/>
          </reference>
        </references>
      </pivotArea>
    </format>
    <format dxfId="1823">
      <pivotArea dataOnly="0" fieldPosition="0">
        <references count="1">
          <reference field="3" count="1">
            <x v="5"/>
          </reference>
        </references>
      </pivotArea>
    </format>
    <format dxfId="1822">
      <pivotArea dataOnly="0" fieldPosition="0">
        <references count="1">
          <reference field="3" count="1">
            <x v="6"/>
          </reference>
        </references>
      </pivotArea>
    </format>
    <format dxfId="1821">
      <pivotArea dataOnly="0" fieldPosition="0">
        <references count="1">
          <reference field="3" count="1">
            <x v="7"/>
          </reference>
        </references>
      </pivotArea>
    </format>
    <format dxfId="1820">
      <pivotArea dataOnly="0" fieldPosition="0">
        <references count="1">
          <reference field="3" count="1">
            <x v="8"/>
          </reference>
        </references>
      </pivotArea>
    </format>
    <format dxfId="1819">
      <pivotArea dataOnly="0" fieldPosition="0">
        <references count="1">
          <reference field="3" count="1">
            <x v="9"/>
          </reference>
        </references>
      </pivotArea>
    </format>
    <format dxfId="1818">
      <pivotArea dataOnly="0" fieldPosition="0">
        <references count="1">
          <reference field="3" count="1">
            <x v="10"/>
          </reference>
        </references>
      </pivotArea>
    </format>
    <format dxfId="1817">
      <pivotArea dataOnly="0" fieldPosition="0">
        <references count="1">
          <reference field="3" count="1">
            <x v="1"/>
          </reference>
        </references>
      </pivotArea>
    </format>
    <format dxfId="1816">
      <pivotArea dataOnly="0" fieldPosition="0">
        <references count="1">
          <reference field="3" count="1">
            <x v="2"/>
          </reference>
        </references>
      </pivotArea>
    </format>
    <format dxfId="1815">
      <pivotArea dataOnly="0" fieldPosition="0">
        <references count="1">
          <reference field="3" count="1">
            <x v="4"/>
          </reference>
        </references>
      </pivotArea>
    </format>
    <format dxfId="1814">
      <pivotArea dataOnly="0" fieldPosition="0">
        <references count="1">
          <reference field="3" count="1">
            <x v="5"/>
          </reference>
        </references>
      </pivotArea>
    </format>
    <format dxfId="1813">
      <pivotArea dataOnly="0" fieldPosition="0">
        <references count="1">
          <reference field="3" count="1">
            <x v="6"/>
          </reference>
        </references>
      </pivotArea>
    </format>
    <format dxfId="1812">
      <pivotArea dataOnly="0" fieldPosition="0">
        <references count="1">
          <reference field="3" count="1">
            <x v="7"/>
          </reference>
        </references>
      </pivotArea>
    </format>
    <format dxfId="1811">
      <pivotArea dataOnly="0" fieldPosition="0">
        <references count="1">
          <reference field="3" count="1">
            <x v="8"/>
          </reference>
        </references>
      </pivotArea>
    </format>
    <format dxfId="1810">
      <pivotArea dataOnly="0" fieldPosition="0">
        <references count="1">
          <reference field="3" count="1">
            <x v="9"/>
          </reference>
        </references>
      </pivotArea>
    </format>
    <format dxfId="1809">
      <pivotArea dataOnly="0" fieldPosition="0">
        <references count="1">
          <reference field="3" count="1">
            <x v="10"/>
          </reference>
        </references>
      </pivotArea>
    </format>
    <format dxfId="1808">
      <pivotArea field="3" type="button" dataOnly="0" labelOnly="1" outline="0" axis="axisRow" fieldPosition="0"/>
    </format>
    <format dxfId="1807">
      <pivotArea dataOnly="0" labelOnly="1" grandCol="1" outline="0" fieldPosition="0"/>
    </format>
    <format dxfId="1806">
      <pivotArea field="3" type="button" dataOnly="0" labelOnly="1" outline="0" axis="axisRow" fieldPosition="0"/>
    </format>
    <format dxfId="1805">
      <pivotArea dataOnly="0" labelOnly="1" grandCol="1" outline="0" fieldPosition="0"/>
    </format>
    <format dxfId="1804">
      <pivotArea field="3" type="button" dataOnly="0" labelOnly="1" outline="0" axis="axisRow" fieldPosition="0"/>
    </format>
    <format dxfId="1803">
      <pivotArea dataOnly="0" labelOnly="1" grandCol="1" outline="0" fieldPosition="0"/>
    </format>
    <format dxfId="1802">
      <pivotArea field="3" type="button" dataOnly="0" labelOnly="1" outline="0" axis="axisRow" fieldPosition="0"/>
    </format>
    <format dxfId="1801">
      <pivotArea dataOnly="0" labelOnly="1" grandCol="1" outline="0" fieldPosition="0"/>
    </format>
    <format dxfId="1800">
      <pivotArea field="3" type="button" dataOnly="0" labelOnly="1" outline="0" axis="axisRow" fieldPosition="0"/>
    </format>
    <format dxfId="1799">
      <pivotArea dataOnly="0" labelOnly="1" grandCol="1" outline="0" fieldPosition="0"/>
    </format>
    <format dxfId="1798">
      <pivotArea field="3" type="button" dataOnly="0" labelOnly="1" outline="0" axis="axisRow" fieldPosition="0"/>
    </format>
    <format dxfId="1797">
      <pivotArea dataOnly="0" labelOnly="1" grandCol="1" outline="0" offset="IV256" fieldPosition="0"/>
    </format>
    <format dxfId="1796">
      <pivotArea field="3" type="button" dataOnly="0" labelOnly="1" outline="0" axis="axisRow" fieldPosition="0"/>
    </format>
    <format dxfId="1795">
      <pivotArea dataOnly="0" labelOnly="1" grandCol="1" outline="0" fieldPosition="0"/>
    </format>
    <format dxfId="1794">
      <pivotArea dataOnly="0" labelOnly="1" grandCol="1" outline="0" fieldPosition="0"/>
    </format>
    <format dxfId="1793">
      <pivotArea dataOnly="0" labelOnly="1" grandCol="1" outline="0" fieldPosition="0"/>
    </format>
    <format dxfId="1792">
      <pivotArea type="origin" dataOnly="0" labelOnly="1" outline="0" fieldPosition="0"/>
    </format>
    <format dxfId="1791">
      <pivotArea field="3" type="button" dataOnly="0" labelOnly="1" outline="0" axis="axisRow" fieldPosition="0"/>
    </format>
    <format dxfId="1790">
      <pivotArea dataOnly="0" labelOnly="1" fieldPosition="0">
        <references count="1">
          <reference field="3" count="0"/>
        </references>
      </pivotArea>
    </format>
    <format dxfId="1789">
      <pivotArea dataOnly="0" labelOnly="1" grandRow="1" outline="0" fieldPosition="0"/>
    </format>
    <format dxfId="1788">
      <pivotArea dataOnly="0" labelOnly="1" fieldPosition="0">
        <references count="2">
          <reference field="3" count="1" selected="0">
            <x v="2"/>
          </reference>
          <reference field="4" count="8">
            <x v="3"/>
            <x v="4"/>
            <x v="5"/>
            <x v="6"/>
            <x v="7"/>
            <x v="8"/>
            <x v="35"/>
            <x v="36"/>
          </reference>
        </references>
      </pivotArea>
    </format>
    <format dxfId="1787">
      <pivotArea dataOnly="0" labelOnly="1" fieldPosition="0">
        <references count="2">
          <reference field="3" count="1" selected="0">
            <x v="4"/>
          </reference>
          <reference field="4" count="3">
            <x v="37"/>
            <x v="38"/>
            <x v="39"/>
          </reference>
        </references>
      </pivotArea>
    </format>
    <format dxfId="1786">
      <pivotArea dataOnly="0" labelOnly="1" fieldPosition="0">
        <references count="2">
          <reference field="3" count="1" selected="0">
            <x v="5"/>
          </reference>
          <reference field="4" count="5">
            <x v="12"/>
            <x v="13"/>
            <x v="40"/>
            <x v="41"/>
            <x v="42"/>
          </reference>
        </references>
      </pivotArea>
    </format>
    <format dxfId="1785">
      <pivotArea dataOnly="0" labelOnly="1" fieldPosition="0">
        <references count="2">
          <reference field="3" count="1" selected="0">
            <x v="6"/>
          </reference>
          <reference field="4" count="5">
            <x v="14"/>
            <x v="15"/>
            <x v="16"/>
            <x v="17"/>
            <x v="43"/>
          </reference>
        </references>
      </pivotArea>
    </format>
    <format dxfId="1784">
      <pivotArea dataOnly="0" labelOnly="1" fieldPosition="0">
        <references count="2">
          <reference field="3" count="1" selected="0">
            <x v="7"/>
          </reference>
          <reference field="4" count="3">
            <x v="18"/>
            <x v="19"/>
            <x v="44"/>
          </reference>
        </references>
      </pivotArea>
    </format>
    <format dxfId="1783">
      <pivotArea dataOnly="0" labelOnly="1" fieldPosition="0">
        <references count="2">
          <reference field="3" count="1" selected="0">
            <x v="8"/>
          </reference>
          <reference field="4" count="1">
            <x v="45"/>
          </reference>
        </references>
      </pivotArea>
    </format>
    <format dxfId="1782">
      <pivotArea dataOnly="0" labelOnly="1" fieldPosition="0">
        <references count="2">
          <reference field="3" count="1" selected="0">
            <x v="9"/>
          </reference>
          <reference field="4" count="4">
            <x v="46"/>
            <x v="1048832"/>
            <x v="1048832"/>
            <x v="1048832"/>
          </reference>
        </references>
      </pivotArea>
    </format>
    <format dxfId="1781">
      <pivotArea dataOnly="0" labelOnly="1" fieldPosition="0">
        <references count="2">
          <reference field="3" count="1" selected="0">
            <x v="10"/>
          </reference>
          <reference field="4" count="1">
            <x v="20"/>
          </reference>
        </references>
      </pivotArea>
    </format>
    <format dxfId="1780">
      <pivotArea dataOnly="0" fieldPosition="0">
        <references count="1">
          <reference field="3" count="1">
            <x v="0"/>
          </reference>
        </references>
      </pivotArea>
    </format>
    <format dxfId="1779">
      <pivotArea dataOnly="0" labelOnly="1" fieldPosition="0">
        <references count="2">
          <reference field="0" count="0"/>
          <reference field="2" count="0" selected="0"/>
        </references>
      </pivotArea>
    </format>
    <format dxfId="1778">
      <pivotArea dataOnly="0" labelOnly="1" fieldPosition="0">
        <references count="2">
          <reference field="0" count="0"/>
          <reference field="2" count="0" selected="0"/>
        </references>
      </pivotArea>
    </format>
    <format dxfId="1777">
      <pivotArea dataOnly="0" labelOnly="1" fieldPosition="0">
        <references count="2">
          <reference field="0" count="0"/>
          <reference field="2" count="0" selected="0"/>
        </references>
      </pivotArea>
    </format>
    <format dxfId="1776">
      <pivotArea dataOnly="0" labelOnly="1" fieldPosition="0">
        <references count="2">
          <reference field="0" count="0"/>
          <reference field="2" count="0" selected="0"/>
        </references>
      </pivotArea>
    </format>
    <format dxfId="1775">
      <pivotArea outline="0" collapsedLevelsAreSubtotals="1" fieldPosition="0">
        <references count="3">
          <reference field="0" count="1" selected="0">
            <x v="0"/>
          </reference>
          <reference field="1" count="0" selected="0"/>
          <reference field="2" count="0" selected="0"/>
        </references>
      </pivotArea>
    </format>
    <format dxfId="1774">
      <pivotArea dataOnly="0" labelOnly="1" fieldPosition="0">
        <references count="2">
          <reference field="0" count="1">
            <x v="0"/>
          </reference>
          <reference field="2" count="0" selected="0"/>
        </references>
      </pivotArea>
    </format>
    <format dxfId="1773">
      <pivotArea dataOnly="0" labelOnly="1" fieldPosition="0">
        <references count="3">
          <reference field="0" count="1" selected="0">
            <x v="0"/>
          </reference>
          <reference field="1" count="0"/>
          <reference field="2" count="0" selected="0"/>
        </references>
      </pivotArea>
    </format>
    <format dxfId="1772">
      <pivotArea outline="0" collapsedLevelsAreSubtotals="1" fieldPosition="0">
        <references count="3">
          <reference field="0" count="1" selected="0">
            <x v="1"/>
          </reference>
          <reference field="1" count="4" selected="0">
            <x v="0"/>
            <x v="1"/>
            <x v="2"/>
            <x v="3"/>
          </reference>
          <reference field="2" count="0" selected="0"/>
        </references>
      </pivotArea>
    </format>
    <format dxfId="1771">
      <pivotArea dataOnly="0" labelOnly="1" fieldPosition="0">
        <references count="2">
          <reference field="0" count="1">
            <x v="1"/>
          </reference>
          <reference field="2" count="0" selected="0"/>
        </references>
      </pivotArea>
    </format>
    <format dxfId="1770">
      <pivotArea dataOnly="0" labelOnly="1" fieldPosition="0">
        <references count="3">
          <reference field="0" count="1" selected="0">
            <x v="1"/>
          </reference>
          <reference field="1" count="4">
            <x v="0"/>
            <x v="1"/>
            <x v="2"/>
            <x v="3"/>
          </reference>
          <reference field="2" count="0" selected="0"/>
        </references>
      </pivotArea>
    </format>
    <format dxfId="1769">
      <pivotArea outline="0" collapsedLevelsAreSubtotals="1" fieldPosition="0">
        <references count="3">
          <reference field="0" count="1" selected="0">
            <x v="2"/>
          </reference>
          <reference field="1" count="0" selected="0"/>
          <reference field="2" count="0" selected="0"/>
        </references>
      </pivotArea>
    </format>
    <format dxfId="1768">
      <pivotArea dataOnly="0" labelOnly="1" fieldPosition="0">
        <references count="2">
          <reference field="0" count="1">
            <x v="2"/>
          </reference>
          <reference field="2" count="0" selected="0"/>
        </references>
      </pivotArea>
    </format>
    <format dxfId="1767">
      <pivotArea dataOnly="0" labelOnly="1" fieldPosition="0">
        <references count="3">
          <reference field="0" count="1" selected="0">
            <x v="2"/>
          </reference>
          <reference field="1" count="0"/>
          <reference field="2" count="0" selected="0"/>
        </references>
      </pivotArea>
    </format>
    <format dxfId="1766">
      <pivotArea dataOnly="0" labelOnly="1" fieldPosition="0">
        <references count="2">
          <reference field="3" count="1" selected="0">
            <x v="5"/>
          </reference>
          <reference field="4" count="1">
            <x v="13"/>
          </reference>
        </references>
      </pivotArea>
    </format>
    <format dxfId="1765">
      <pivotArea dataOnly="0" labelOnly="1" fieldPosition="0">
        <references count="2">
          <reference field="3" count="1" selected="0">
            <x v="5"/>
          </reference>
          <reference field="4" count="1">
            <x v="12"/>
          </reference>
        </references>
      </pivotArea>
    </format>
    <format dxfId="1764">
      <pivotArea dataOnly="0" labelOnly="1" fieldPosition="0">
        <references count="2">
          <reference field="3" count="1" selected="0">
            <x v="5"/>
          </reference>
          <reference field="4" count="1">
            <x v="40"/>
          </reference>
        </references>
      </pivotArea>
    </format>
    <format dxfId="1763">
      <pivotArea dataOnly="0" labelOnly="1" fieldPosition="0">
        <references count="2">
          <reference field="3" count="1" selected="0">
            <x v="6"/>
          </reference>
          <reference field="4" count="1">
            <x v="16"/>
          </reference>
        </references>
      </pivotArea>
    </format>
    <format dxfId="1762">
      <pivotArea dataOnly="0" labelOnly="1" fieldPosition="0">
        <references count="2">
          <reference field="3" count="1" selected="0">
            <x v="9"/>
          </reference>
          <reference field="4" count="1">
            <x v="46"/>
          </reference>
        </references>
      </pivotArea>
    </format>
    <format dxfId="1761">
      <pivotArea type="all" dataOnly="0" outline="0" fieldPosition="0"/>
    </format>
    <format dxfId="1760">
      <pivotArea outline="0" collapsedLevelsAreSubtotals="1" fieldPosition="0"/>
    </format>
    <format dxfId="1759">
      <pivotArea type="origin" dataOnly="0" labelOnly="1" outline="0" fieldPosition="0"/>
    </format>
    <format dxfId="1758">
      <pivotArea field="2" type="button" dataOnly="0" labelOnly="1" outline="0" axis="axisCol" fieldPosition="0"/>
    </format>
    <format dxfId="1757">
      <pivotArea field="0" type="button" dataOnly="0" labelOnly="1" outline="0" axis="axisCol" fieldPosition="1"/>
    </format>
    <format dxfId="1756">
      <pivotArea field="1" type="button" dataOnly="0" labelOnly="1" outline="0" axis="axisCol" fieldPosition="2"/>
    </format>
    <format dxfId="1755">
      <pivotArea type="topRight" dataOnly="0" labelOnly="1" outline="0" fieldPosition="0"/>
    </format>
    <format dxfId="1754">
      <pivotArea field="3" type="button" dataOnly="0" labelOnly="1" outline="0" axis="axisRow" fieldPosition="0"/>
    </format>
    <format dxfId="1753">
      <pivotArea dataOnly="0" labelOnly="1" fieldPosition="0">
        <references count="1">
          <reference field="3" count="0"/>
        </references>
      </pivotArea>
    </format>
    <format dxfId="1752">
      <pivotArea dataOnly="0" labelOnly="1" grandRow="1" outline="0" fieldPosition="0"/>
    </format>
    <format dxfId="1751">
      <pivotArea dataOnly="0" labelOnly="1" fieldPosition="0">
        <references count="2">
          <reference field="3" count="1" selected="0">
            <x v="0"/>
          </reference>
          <reference field="4" count="3">
            <x v="0"/>
            <x v="22"/>
            <x v="1048832"/>
          </reference>
        </references>
      </pivotArea>
    </format>
    <format dxfId="1750">
      <pivotArea dataOnly="0" labelOnly="1" fieldPosition="0">
        <references count="2">
          <reference field="3" count="1" selected="0">
            <x v="1"/>
          </reference>
          <reference field="4" count="14">
            <x v="1"/>
            <x v="2"/>
            <x v="23"/>
            <x v="24"/>
            <x v="25"/>
            <x v="26"/>
            <x v="27"/>
            <x v="28"/>
            <x v="29"/>
            <x v="30"/>
            <x v="31"/>
            <x v="32"/>
            <x v="33"/>
            <x v="34"/>
          </reference>
        </references>
      </pivotArea>
    </format>
    <format dxfId="1749">
      <pivotArea dataOnly="0" labelOnly="1" fieldPosition="0">
        <references count="2">
          <reference field="3" count="1" selected="0">
            <x v="2"/>
          </reference>
          <reference field="4" count="10">
            <x v="3"/>
            <x v="4"/>
            <x v="5"/>
            <x v="6"/>
            <x v="7"/>
            <x v="8"/>
            <x v="9"/>
            <x v="35"/>
            <x v="36"/>
            <x v="1048832"/>
          </reference>
        </references>
      </pivotArea>
    </format>
    <format dxfId="1748">
      <pivotArea dataOnly="0" labelOnly="1" fieldPosition="0">
        <references count="2">
          <reference field="3" count="1" selected="0">
            <x v="3"/>
          </reference>
          <reference field="4" count="1">
            <x v="10"/>
          </reference>
        </references>
      </pivotArea>
    </format>
    <format dxfId="1747">
      <pivotArea dataOnly="0" labelOnly="1" fieldPosition="0">
        <references count="2">
          <reference field="3" count="1" selected="0">
            <x v="4"/>
          </reference>
          <reference field="4" count="4">
            <x v="11"/>
            <x v="37"/>
            <x v="38"/>
            <x v="39"/>
          </reference>
        </references>
      </pivotArea>
    </format>
    <format dxfId="1746">
      <pivotArea dataOnly="0" labelOnly="1" fieldPosition="0">
        <references count="2">
          <reference field="3" count="1" selected="0">
            <x v="5"/>
          </reference>
          <reference field="4" count="5">
            <x v="12"/>
            <x v="13"/>
            <x v="40"/>
            <x v="41"/>
            <x v="42"/>
          </reference>
        </references>
      </pivotArea>
    </format>
    <format dxfId="1745">
      <pivotArea dataOnly="0" labelOnly="1" fieldPosition="0">
        <references count="2">
          <reference field="3" count="1" selected="0">
            <x v="6"/>
          </reference>
          <reference field="4" count="5">
            <x v="14"/>
            <x v="15"/>
            <x v="16"/>
            <x v="17"/>
            <x v="43"/>
          </reference>
        </references>
      </pivotArea>
    </format>
    <format dxfId="1744">
      <pivotArea dataOnly="0" labelOnly="1" fieldPosition="0">
        <references count="2">
          <reference field="3" count="1" selected="0">
            <x v="7"/>
          </reference>
          <reference field="4" count="3">
            <x v="18"/>
            <x v="19"/>
            <x v="44"/>
          </reference>
        </references>
      </pivotArea>
    </format>
    <format dxfId="1743">
      <pivotArea dataOnly="0" labelOnly="1" fieldPosition="0">
        <references count="2">
          <reference field="3" count="1" selected="0">
            <x v="8"/>
          </reference>
          <reference field="4" count="1">
            <x v="45"/>
          </reference>
        </references>
      </pivotArea>
    </format>
    <format dxfId="1742">
      <pivotArea dataOnly="0" labelOnly="1" fieldPosition="0">
        <references count="2">
          <reference field="3" count="1" selected="0">
            <x v="9"/>
          </reference>
          <reference field="4" count="4">
            <x v="46"/>
            <x v="1048832"/>
            <x v="1048832"/>
            <x v="1048832"/>
          </reference>
        </references>
      </pivotArea>
    </format>
    <format dxfId="1741">
      <pivotArea dataOnly="0" labelOnly="1" fieldPosition="0">
        <references count="2">
          <reference field="3" count="1" selected="0">
            <x v="10"/>
          </reference>
          <reference field="4" count="2">
            <x v="20"/>
            <x v="21"/>
          </reference>
        </references>
      </pivotArea>
    </format>
    <format dxfId="1740">
      <pivotArea dataOnly="0" labelOnly="1" fieldPosition="0">
        <references count="1">
          <reference field="2" count="0"/>
        </references>
      </pivotArea>
    </format>
    <format dxfId="1739">
      <pivotArea dataOnly="0" labelOnly="1" grandCol="1" outline="0" fieldPosition="0"/>
    </format>
    <format dxfId="1738">
      <pivotArea dataOnly="0" labelOnly="1" fieldPosition="0">
        <references count="2">
          <reference field="0" count="0"/>
          <reference field="2" count="0" selected="0"/>
        </references>
      </pivotArea>
    </format>
    <format dxfId="1737">
      <pivotArea dataOnly="0" labelOnly="1" fieldPosition="0">
        <references count="3">
          <reference field="0" count="1" selected="0">
            <x v="0"/>
          </reference>
          <reference field="1" count="0"/>
          <reference field="2" count="0" selected="0"/>
        </references>
      </pivotArea>
    </format>
    <format dxfId="1736">
      <pivotArea dataOnly="0" labelOnly="1" fieldPosition="0">
        <references count="3">
          <reference field="0" count="1" selected="0">
            <x v="1"/>
          </reference>
          <reference field="1" count="0"/>
          <reference field="2" count="0" selected="0"/>
        </references>
      </pivotArea>
    </format>
    <format dxfId="1735">
      <pivotArea dataOnly="0" labelOnly="1" fieldPosition="0">
        <references count="3">
          <reference field="0" count="1" selected="0">
            <x v="2"/>
          </reference>
          <reference field="1" count="0"/>
          <reference field="2" count="0" selected="0"/>
        </references>
      </pivotArea>
    </format>
    <format dxfId="1734">
      <pivotArea dataOnly="0" labelOnly="1" fieldPosition="0">
        <references count="3">
          <reference field="0" count="1" selected="0">
            <x v="3"/>
          </reference>
          <reference field="1" count="3">
            <x v="0"/>
            <x v="1"/>
            <x v="2"/>
          </reference>
          <reference field="2" count="0" selected="0"/>
        </references>
      </pivotArea>
    </format>
    <format dxfId="1733">
      <pivotArea dataOnly="0" fieldPosition="0">
        <references count="1">
          <reference field="3" count="1">
            <x v="3"/>
          </reference>
        </references>
      </pivotArea>
    </format>
    <format dxfId="1732">
      <pivotArea dataOnly="0" fieldPosition="0">
        <references count="1">
          <reference field="3" count="1">
            <x v="3"/>
          </reference>
        </references>
      </pivotArea>
    </format>
    <format dxfId="1731">
      <pivotArea dataOnly="0" fieldPosition="0">
        <references count="1">
          <reference field="3" count="1">
            <x v="3"/>
          </reference>
        </references>
      </pivotArea>
    </format>
    <format dxfId="1730">
      <pivotArea outline="0" collapsedLevelsAreSubtotals="1" fieldPosition="0">
        <references count="3">
          <reference field="0" count="1" selected="0">
            <x v="3"/>
          </reference>
          <reference field="1" count="0" selected="0"/>
          <reference field="2" count="0" selected="0"/>
        </references>
      </pivotArea>
    </format>
    <format dxfId="1729">
      <pivotArea dataOnly="0" labelOnly="1" fieldPosition="0">
        <references count="2">
          <reference field="3" count="1" selected="0">
            <x v="2"/>
          </reference>
          <reference field="4" count="1">
            <x v="8"/>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2">
    <rowHierarchyUsage hierarchyUsage="16"/>
    <rowHierarchyUsage hierarchyUsage="15"/>
  </rowHierarchiesUsage>
  <colHierarchiesUsage count="3">
    <colHierarchyUsage hierarchyUsage="14"/>
    <colHierarchyUsage hierarchyUsage="13"/>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4D03AC-E38A-4955-9A00-679D8092630A}" name="JUAL-ECOBALI" cacheId="21"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BA3:BF6" firstHeaderRow="1" firstDataRow="2" firstDataCol="1"/>
  <pivotFields count="32">
    <pivotField showAll="0"/>
    <pivotField axis="axisCol" showAll="0">
      <items count="9">
        <item m="1" x="5"/>
        <item m="1" x="7"/>
        <item m="1" x="6"/>
        <item x="0"/>
        <item x="1"/>
        <item x="2"/>
        <item x="3"/>
        <item m="1" x="4"/>
        <item t="default"/>
      </items>
    </pivotField>
    <pivotField showAll="0"/>
    <pivotField showAll="0"/>
    <pivotField numFmtId="166" showAll="0"/>
    <pivotField numFmtId="166" showAll="0"/>
    <pivotField dataField="1" showAll="0"/>
    <pivotField dataField="1" showAll="0"/>
    <pivotField showAll="0"/>
    <pivotField numFmtId="166" showAll="0"/>
    <pivotField numFmtId="166" showAll="0"/>
    <pivotField showAll="0"/>
    <pivotField showAll="0"/>
    <pivotField numFmtId="167" showAll="0"/>
    <pivotField showAll="0"/>
    <pivotField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i>
    <i i="1">
      <x v="1"/>
    </i>
  </rowItems>
  <colFields count="1">
    <field x="1"/>
  </colFields>
  <colItems count="5">
    <i>
      <x v="3"/>
    </i>
    <i>
      <x v="4"/>
    </i>
    <i>
      <x v="5"/>
    </i>
    <i>
      <x v="6"/>
    </i>
    <i t="grand">
      <x/>
    </i>
  </colItems>
  <dataFields count="2">
    <dataField name="Sum of Delivered to Papermill (Kg)" fld="6" baseField="0" baseItem="0"/>
    <dataField name="Sum of Weighing scale Gap ecoBali (Kg)" fld="7" baseField="0" baseItem="0"/>
  </dataFields>
  <formats count="33">
    <format dxfId="2220">
      <pivotArea type="all" dataOnly="0" outline="0" fieldPosition="0"/>
    </format>
    <format dxfId="2219">
      <pivotArea outline="0" collapsedLevelsAreSubtotals="1" fieldPosition="0"/>
    </format>
    <format dxfId="2218">
      <pivotArea field="1" type="button" dataOnly="0" labelOnly="1" outline="0" axis="axisCol" fieldPosition="0"/>
    </format>
    <format dxfId="2217">
      <pivotArea dataOnly="0" labelOnly="1" fieldPosition="0">
        <references count="1">
          <reference field="1" count="0"/>
        </references>
      </pivotArea>
    </format>
    <format dxfId="2216">
      <pivotArea dataOnly="0" labelOnly="1" grandRow="1" outline="0" fieldPosition="0"/>
    </format>
    <format dxfId="2215">
      <pivotArea dataOnly="0" labelOnly="1" outline="0" fieldPosition="0">
        <references count="1">
          <reference field="4294967294" count="1">
            <x v="1"/>
          </reference>
        </references>
      </pivotArea>
    </format>
    <format dxfId="2214">
      <pivotArea type="all" dataOnly="0" outline="0" fieldPosition="0"/>
    </format>
    <format dxfId="2213">
      <pivotArea outline="0" collapsedLevelsAreSubtotals="1" fieldPosition="0"/>
    </format>
    <format dxfId="2212">
      <pivotArea field="1" type="button" dataOnly="0" labelOnly="1" outline="0" axis="axisCol" fieldPosition="0"/>
    </format>
    <format dxfId="2211">
      <pivotArea dataOnly="0" labelOnly="1" fieldPosition="0">
        <references count="1">
          <reference field="1" count="0"/>
        </references>
      </pivotArea>
    </format>
    <format dxfId="2210">
      <pivotArea dataOnly="0" labelOnly="1" grandRow="1" outline="0" fieldPosition="0"/>
    </format>
    <format dxfId="2209">
      <pivotArea dataOnly="0" labelOnly="1" outline="0" fieldPosition="0">
        <references count="1">
          <reference field="4294967294" count="1">
            <x v="1"/>
          </reference>
        </references>
      </pivotArea>
    </format>
    <format dxfId="2208">
      <pivotArea type="all" dataOnly="0" outline="0" fieldPosition="0"/>
    </format>
    <format dxfId="2207">
      <pivotArea outline="0" collapsedLevelsAreSubtotals="1" fieldPosition="0"/>
    </format>
    <format dxfId="2206">
      <pivotArea field="1" type="button" dataOnly="0" labelOnly="1" outline="0" axis="axisCol" fieldPosition="0"/>
    </format>
    <format dxfId="2205">
      <pivotArea dataOnly="0" labelOnly="1" fieldPosition="0">
        <references count="1">
          <reference field="1" count="0"/>
        </references>
      </pivotArea>
    </format>
    <format dxfId="2204">
      <pivotArea dataOnly="0" labelOnly="1" grandRow="1" outline="0" fieldPosition="0"/>
    </format>
    <format dxfId="2203">
      <pivotArea dataOnly="0" labelOnly="1" outline="0" fieldPosition="0">
        <references count="1">
          <reference field="4294967294" count="1">
            <x v="1"/>
          </reference>
        </references>
      </pivotArea>
    </format>
    <format dxfId="2202">
      <pivotArea type="all" dataOnly="0" outline="0" fieldPosition="0"/>
    </format>
    <format dxfId="2201">
      <pivotArea outline="0" collapsedLevelsAreSubtotals="1" fieldPosition="0"/>
    </format>
    <format dxfId="2200">
      <pivotArea field="1" type="button" dataOnly="0" labelOnly="1" outline="0" axis="axisCol" fieldPosition="0"/>
    </format>
    <format dxfId="2199">
      <pivotArea dataOnly="0" labelOnly="1" fieldPosition="0">
        <references count="1">
          <reference field="1" count="0"/>
        </references>
      </pivotArea>
    </format>
    <format dxfId="2198">
      <pivotArea dataOnly="0" labelOnly="1" grandRow="1" outline="0" fieldPosition="0"/>
    </format>
    <format dxfId="2197">
      <pivotArea dataOnly="0" labelOnly="1" outline="0" fieldPosition="0">
        <references count="1">
          <reference field="4294967294" count="1">
            <x v="1"/>
          </reference>
        </references>
      </pivotArea>
    </format>
    <format dxfId="2196">
      <pivotArea type="all" dataOnly="0" outline="0" fieldPosition="0"/>
    </format>
    <format dxfId="2195">
      <pivotArea field="1" type="button" dataOnly="0" labelOnly="1" outline="0" axis="axisCol" fieldPosition="0"/>
    </format>
    <format dxfId="2194">
      <pivotArea dataOnly="0" labelOnly="1" fieldPosition="0">
        <references count="1">
          <reference field="1" count="0"/>
        </references>
      </pivotArea>
    </format>
    <format dxfId="2193">
      <pivotArea dataOnly="0" labelOnly="1" grandRow="1" outline="0" fieldPosition="0"/>
    </format>
    <format dxfId="2192">
      <pivotArea dataOnly="0" labelOnly="1" outline="0" fieldPosition="0">
        <references count="1">
          <reference field="4294967294" count="1">
            <x v="1"/>
          </reference>
        </references>
      </pivotArea>
    </format>
    <format dxfId="2191">
      <pivotArea outline="0" collapsedLevelsAreSubtotals="1" fieldPosition="0"/>
    </format>
    <format dxfId="2190">
      <pivotArea outline="0" collapsedLevelsAreSubtotals="1" fieldPosition="0"/>
    </format>
    <format dxfId="2189">
      <pivotArea outline="0" collapsedLevelsAreSubtotals="1" fieldPosition="0">
        <references count="1">
          <reference field="1" count="0" selected="0"/>
        </references>
      </pivotArea>
    </format>
    <format dxfId="2188">
      <pivotArea dataOnly="0" labelOnly="1" outline="0" fieldPosition="0">
        <references count="1">
          <reference field="4294967294" count="1">
            <x v="1"/>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164760E-CCF2-4144-9409-C3A52BA23710}" name="UBC-Data-Monthly" cacheId="95" applyNumberFormats="0" applyBorderFormats="0" applyFontFormats="0" applyPatternFormats="0" applyAlignmentFormats="0" applyWidthHeightFormats="1" dataCaption="Values" grandTotalCaption="Total" updatedVersion="7" minRefreshableVersion="3" useAutoFormatting="1" subtotalHiddenItems="1" itemPrintTitles="1" createdVersion="6" indent="0" outline="1" outlineData="1" multipleFieldFilters="0" chartFormat="22" rowHeaderCaption="Partisipan" colHeaderCaption=" ">
  <location ref="B2:H84" firstHeaderRow="1" firstDataRow="3"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axis="axisCol"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1">
        <item x="0"/>
      </items>
    </pivotField>
    <pivotField dataField="1" subtotalTop="0" showAll="0" defaultSubtotal="0"/>
  </pivotFields>
  <rowFields count="2">
    <field x="0"/>
    <field x="1"/>
  </rowFields>
  <rowItems count="80">
    <i>
      <x/>
    </i>
    <i r="1">
      <x/>
    </i>
    <i r="1">
      <x v="1"/>
    </i>
    <i r="1">
      <x v="2"/>
    </i>
    <i r="1">
      <x v="3"/>
    </i>
    <i>
      <x v="1"/>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
    </i>
    <i r="1">
      <x v="26"/>
    </i>
    <i r="1">
      <x v="27"/>
    </i>
    <i r="1">
      <x v="28"/>
    </i>
    <i r="1">
      <x v="29"/>
    </i>
    <i r="1">
      <x v="30"/>
    </i>
    <i r="1">
      <x v="31"/>
    </i>
    <i r="1">
      <x v="32"/>
    </i>
    <i r="1">
      <x v="33"/>
    </i>
    <i r="1">
      <x v="34"/>
    </i>
    <i r="1">
      <x v="35"/>
    </i>
    <i r="1">
      <x v="36"/>
    </i>
    <i r="1">
      <x v="37"/>
    </i>
    <i r="1">
      <x v="38"/>
    </i>
    <i>
      <x v="3"/>
    </i>
    <i r="1">
      <x v="39"/>
    </i>
    <i>
      <x v="4"/>
    </i>
    <i r="1">
      <x v="40"/>
    </i>
    <i r="1">
      <x v="41"/>
    </i>
    <i r="1">
      <x v="42"/>
    </i>
    <i r="1">
      <x v="43"/>
    </i>
    <i>
      <x v="5"/>
    </i>
    <i r="1">
      <x v="44"/>
    </i>
    <i r="1">
      <x v="45"/>
    </i>
    <i r="1">
      <x v="46"/>
    </i>
    <i r="1">
      <x v="47"/>
    </i>
    <i r="1">
      <x v="48"/>
    </i>
    <i r="1">
      <x v="49"/>
    </i>
    <i r="1">
      <x v="50"/>
    </i>
    <i>
      <x v="6"/>
    </i>
    <i r="1">
      <x v="51"/>
    </i>
    <i r="1">
      <x v="52"/>
    </i>
    <i r="1">
      <x v="53"/>
    </i>
    <i r="1">
      <x v="54"/>
    </i>
    <i r="1">
      <x v="55"/>
    </i>
    <i r="1">
      <x v="56"/>
    </i>
    <i>
      <x v="7"/>
    </i>
    <i r="1">
      <x v="57"/>
    </i>
    <i r="1">
      <x v="58"/>
    </i>
    <i r="1">
      <x v="59"/>
    </i>
    <i>
      <x v="8"/>
    </i>
    <i r="1">
      <x v="60"/>
    </i>
    <i>
      <x v="9"/>
    </i>
    <i r="1">
      <x v="61"/>
    </i>
    <i r="1">
      <x v="62"/>
    </i>
    <i r="1">
      <x v="63"/>
    </i>
    <i r="1">
      <x v="64"/>
    </i>
    <i r="1">
      <x v="65"/>
    </i>
    <i>
      <x v="10"/>
    </i>
    <i r="1">
      <x v="66"/>
    </i>
    <i r="1">
      <x v="67"/>
    </i>
    <i t="grand">
      <x/>
    </i>
  </rowItems>
  <colFields count="2">
    <field x="3"/>
    <field x="2"/>
  </colFields>
  <colItems count="6">
    <i>
      <x/>
      <x/>
    </i>
    <i r="1">
      <x v="1"/>
    </i>
    <i r="1">
      <x v="2"/>
    </i>
    <i r="1">
      <x v="3"/>
    </i>
    <i r="1">
      <x v="4"/>
    </i>
    <i t="grand">
      <x/>
    </i>
  </colItems>
  <dataFields count="1">
    <dataField name="Sum of ∑ KMK (Kg)" fld="4" baseField="0" baseItem="0"/>
  </dataFields>
  <formats count="122">
    <format dxfId="1728">
      <pivotArea collapsedLevelsAreSubtotals="1" fieldPosition="0">
        <references count="1">
          <reference field="0" count="1">
            <x v="1"/>
          </reference>
        </references>
      </pivotArea>
    </format>
    <format dxfId="1727">
      <pivotArea collapsedLevelsAreSubtotals="1" fieldPosition="0">
        <references count="1">
          <reference field="0" count="1">
            <x v="2"/>
          </reference>
        </references>
      </pivotArea>
    </format>
    <format dxfId="1726">
      <pivotArea collapsedLevelsAreSubtotals="1" fieldPosition="0">
        <references count="2">
          <reference field="0" count="1" selected="0">
            <x v="2"/>
          </reference>
          <reference field="1" count="6">
            <x v="26"/>
            <x v="27"/>
            <x v="28"/>
            <x v="29"/>
            <x v="32"/>
            <x v="33"/>
          </reference>
        </references>
      </pivotArea>
    </format>
    <format dxfId="1725">
      <pivotArea collapsedLevelsAreSubtotals="1" fieldPosition="0">
        <references count="1">
          <reference field="0" count="1">
            <x v="4"/>
          </reference>
        </references>
      </pivotArea>
    </format>
    <format dxfId="1724">
      <pivotArea collapsedLevelsAreSubtotals="1" fieldPosition="0">
        <references count="2">
          <reference field="0" count="1" selected="0">
            <x v="4"/>
          </reference>
          <reference field="1" count="3">
            <x v="40"/>
            <x v="41"/>
            <x v="42"/>
          </reference>
        </references>
      </pivotArea>
    </format>
    <format dxfId="1723">
      <pivotArea collapsedLevelsAreSubtotals="1" fieldPosition="0">
        <references count="1">
          <reference field="0" count="1">
            <x v="5"/>
          </reference>
        </references>
      </pivotArea>
    </format>
    <format dxfId="1722">
      <pivotArea collapsedLevelsAreSubtotals="1" fieldPosition="0">
        <references count="2">
          <reference field="0" count="1" selected="0">
            <x v="5"/>
          </reference>
          <reference field="1" count="4">
            <x v="46"/>
            <x v="47"/>
            <x v="48"/>
            <x v="49"/>
          </reference>
        </references>
      </pivotArea>
    </format>
    <format dxfId="1721">
      <pivotArea collapsedLevelsAreSubtotals="1" fieldPosition="0">
        <references count="1">
          <reference field="0" count="1">
            <x v="6"/>
          </reference>
        </references>
      </pivotArea>
    </format>
    <format dxfId="1720">
      <pivotArea collapsedLevelsAreSubtotals="1" fieldPosition="0">
        <references count="2">
          <reference field="0" count="1" selected="0">
            <x v="6"/>
          </reference>
          <reference field="1" count="5">
            <x v="51"/>
            <x v="52"/>
            <x v="53"/>
            <x v="54"/>
            <x v="55"/>
          </reference>
        </references>
      </pivotArea>
    </format>
    <format dxfId="1719">
      <pivotArea collapsedLevelsAreSubtotals="1" fieldPosition="0">
        <references count="1">
          <reference field="0" count="1">
            <x v="7"/>
          </reference>
        </references>
      </pivotArea>
    </format>
    <format dxfId="1718">
      <pivotArea collapsedLevelsAreSubtotals="1" fieldPosition="0">
        <references count="2">
          <reference field="0" count="1" selected="0">
            <x v="7"/>
          </reference>
          <reference field="1" count="3">
            <x v="57"/>
            <x v="58"/>
            <x v="59"/>
          </reference>
        </references>
      </pivotArea>
    </format>
    <format dxfId="1717">
      <pivotArea collapsedLevelsAreSubtotals="1" fieldPosition="0">
        <references count="1">
          <reference field="0" count="1">
            <x v="8"/>
          </reference>
        </references>
      </pivotArea>
    </format>
    <format dxfId="1716">
      <pivotArea collapsedLevelsAreSubtotals="1" fieldPosition="0">
        <references count="2">
          <reference field="0" count="1" selected="0">
            <x v="8"/>
          </reference>
          <reference field="1" count="1">
            <x v="60"/>
          </reference>
        </references>
      </pivotArea>
    </format>
    <format dxfId="1715">
      <pivotArea collapsedLevelsAreSubtotals="1" fieldPosition="0">
        <references count="1">
          <reference field="0" count="1">
            <x v="9"/>
          </reference>
        </references>
      </pivotArea>
    </format>
    <format dxfId="1714">
      <pivotArea collapsedLevelsAreSubtotals="1" fieldPosition="0">
        <references count="2">
          <reference field="0" count="1" selected="0">
            <x v="9"/>
          </reference>
          <reference field="1" count="1">
            <x v="62"/>
          </reference>
        </references>
      </pivotArea>
    </format>
    <format dxfId="1713">
      <pivotArea collapsedLevelsAreSubtotals="1" fieldPosition="0">
        <references count="1">
          <reference field="0" count="1">
            <x v="10"/>
          </reference>
        </references>
      </pivotArea>
    </format>
    <format dxfId="1712">
      <pivotArea collapsedLevelsAreSubtotals="1" fieldPosition="0">
        <references count="2">
          <reference field="0" count="1" selected="0">
            <x v="10"/>
          </reference>
          <reference field="1" count="1">
            <x v="66"/>
          </reference>
        </references>
      </pivotArea>
    </format>
    <format dxfId="1711">
      <pivotArea dataOnly="0" labelOnly="1" fieldPosition="0">
        <references count="1">
          <reference field="0" count="0"/>
        </references>
      </pivotArea>
    </format>
    <format dxfId="1710">
      <pivotArea dataOnly="0" labelOnly="1" fieldPosition="0">
        <references count="2">
          <reference field="0" count="1" selected="0">
            <x v="2"/>
          </reference>
          <reference field="1" count="6">
            <x v="26"/>
            <x v="27"/>
            <x v="28"/>
            <x v="29"/>
            <x v="32"/>
            <x v="33"/>
          </reference>
        </references>
      </pivotArea>
    </format>
    <format dxfId="1709">
      <pivotArea dataOnly="0" labelOnly="1" fieldPosition="0">
        <references count="2">
          <reference field="0" count="1" selected="0">
            <x v="4"/>
          </reference>
          <reference field="1" count="3">
            <x v="40"/>
            <x v="41"/>
            <x v="42"/>
          </reference>
        </references>
      </pivotArea>
    </format>
    <format dxfId="1708">
      <pivotArea dataOnly="0" labelOnly="1" fieldPosition="0">
        <references count="2">
          <reference field="0" count="1" selected="0">
            <x v="5"/>
          </reference>
          <reference field="1" count="4">
            <x v="46"/>
            <x v="47"/>
            <x v="48"/>
            <x v="49"/>
          </reference>
        </references>
      </pivotArea>
    </format>
    <format dxfId="1707">
      <pivotArea dataOnly="0" labelOnly="1" fieldPosition="0">
        <references count="2">
          <reference field="0" count="1" selected="0">
            <x v="6"/>
          </reference>
          <reference field="1" count="5">
            <x v="51"/>
            <x v="52"/>
            <x v="53"/>
            <x v="54"/>
            <x v="55"/>
          </reference>
        </references>
      </pivotArea>
    </format>
    <format dxfId="1706">
      <pivotArea dataOnly="0" labelOnly="1" fieldPosition="0">
        <references count="2">
          <reference field="0" count="1" selected="0">
            <x v="7"/>
          </reference>
          <reference field="1" count="3">
            <x v="57"/>
            <x v="58"/>
            <x v="59"/>
          </reference>
        </references>
      </pivotArea>
    </format>
    <format dxfId="1705">
      <pivotArea dataOnly="0" labelOnly="1" fieldPosition="0">
        <references count="2">
          <reference field="0" count="1" selected="0">
            <x v="8"/>
          </reference>
          <reference field="1" count="1">
            <x v="60"/>
          </reference>
        </references>
      </pivotArea>
    </format>
    <format dxfId="1704">
      <pivotArea dataOnly="0" labelOnly="1" fieldPosition="0">
        <references count="2">
          <reference field="0" count="1" selected="0">
            <x v="9"/>
          </reference>
          <reference field="1" count="1">
            <x v="62"/>
          </reference>
        </references>
      </pivotArea>
    </format>
    <format dxfId="1703">
      <pivotArea dataOnly="0" labelOnly="1" fieldPosition="0">
        <references count="2">
          <reference field="0" count="1" selected="0">
            <x v="10"/>
          </reference>
          <reference field="1" count="1">
            <x v="66"/>
          </reference>
        </references>
      </pivotArea>
    </format>
    <format dxfId="1702">
      <pivotArea type="origin" dataOnly="0" labelOnly="1" outline="0" fieldPosition="0"/>
    </format>
    <format dxfId="1701">
      <pivotArea field="2" type="button" dataOnly="0" labelOnly="1" outline="0" axis="axisCol" fieldPosition="1"/>
    </format>
    <format dxfId="1700">
      <pivotArea type="topRight" dataOnly="0" labelOnly="1" outline="0" fieldPosition="0"/>
    </format>
    <format dxfId="1699">
      <pivotArea field="0" type="button" dataOnly="0" labelOnly="1" outline="0" axis="axisRow" fieldPosition="0"/>
    </format>
    <format dxfId="1698">
      <pivotArea dataOnly="0" labelOnly="1" fieldPosition="0">
        <references count="1">
          <reference field="2" count="0"/>
        </references>
      </pivotArea>
    </format>
    <format dxfId="1697">
      <pivotArea dataOnly="0" labelOnly="1" grandCol="1" outline="0" fieldPosition="0"/>
    </format>
    <format dxfId="1696">
      <pivotArea field="0" type="button" dataOnly="0" labelOnly="1" outline="0" axis="axisRow" fieldPosition="0"/>
    </format>
    <format dxfId="1695">
      <pivotArea dataOnly="0" labelOnly="1" fieldPosition="0">
        <references count="1">
          <reference field="2" count="0"/>
        </references>
      </pivotArea>
    </format>
    <format dxfId="1694">
      <pivotArea dataOnly="0" labelOnly="1" grandCol="1" outline="0" fieldPosition="0"/>
    </format>
    <format dxfId="1693">
      <pivotArea field="0" type="button" dataOnly="0" labelOnly="1" outline="0" axis="axisRow" fieldPosition="0"/>
    </format>
    <format dxfId="1692">
      <pivotArea dataOnly="0" labelOnly="1" fieldPosition="0">
        <references count="1">
          <reference field="2" count="0"/>
        </references>
      </pivotArea>
    </format>
    <format dxfId="1691">
      <pivotArea dataOnly="0" labelOnly="1" grandCol="1" outline="0" fieldPosition="0"/>
    </format>
    <format dxfId="1690">
      <pivotArea field="0" type="button" dataOnly="0" labelOnly="1" outline="0" axis="axisRow" fieldPosition="0"/>
    </format>
    <format dxfId="1689">
      <pivotArea dataOnly="0" labelOnly="1" fieldPosition="0">
        <references count="1">
          <reference field="2" count="0"/>
        </references>
      </pivotArea>
    </format>
    <format dxfId="1688">
      <pivotArea dataOnly="0" labelOnly="1" grandCol="1" outline="0" fieldPosition="0"/>
    </format>
    <format dxfId="1687">
      <pivotArea grandRow="1" outline="0" collapsedLevelsAreSubtotals="1" fieldPosition="0"/>
    </format>
    <format dxfId="1686">
      <pivotArea dataOnly="0" labelOnly="1" grandRow="1" outline="0" fieldPosition="0"/>
    </format>
    <format dxfId="1685">
      <pivotArea type="all" dataOnly="0" outline="0" fieldPosition="0"/>
    </format>
    <format dxfId="1684">
      <pivotArea outline="0" collapsedLevelsAreSubtotals="1" fieldPosition="0"/>
    </format>
    <format dxfId="1683">
      <pivotArea type="origin" dataOnly="0" labelOnly="1" outline="0" fieldPosition="0"/>
    </format>
    <format dxfId="1682">
      <pivotArea field="2" type="button" dataOnly="0" labelOnly="1" outline="0" axis="axisCol" fieldPosition="1"/>
    </format>
    <format dxfId="1681">
      <pivotArea type="topRight" dataOnly="0" labelOnly="1" outline="0" fieldPosition="0"/>
    </format>
    <format dxfId="1680">
      <pivotArea field="0" type="button" dataOnly="0" labelOnly="1" outline="0" axis="axisRow" fieldPosition="0"/>
    </format>
    <format dxfId="1679">
      <pivotArea dataOnly="0" labelOnly="1" fieldPosition="0">
        <references count="1">
          <reference field="0" count="0"/>
        </references>
      </pivotArea>
    </format>
    <format dxfId="1678">
      <pivotArea dataOnly="0" labelOnly="1" grandRow="1" outline="0" fieldPosition="0"/>
    </format>
    <format dxfId="1677">
      <pivotArea dataOnly="0" labelOnly="1" fieldPosition="0">
        <references count="2">
          <reference field="0" count="1" selected="0">
            <x v="2"/>
          </reference>
          <reference field="1" count="6">
            <x v="26"/>
            <x v="27"/>
            <x v="28"/>
            <x v="29"/>
            <x v="32"/>
            <x v="33"/>
          </reference>
        </references>
      </pivotArea>
    </format>
    <format dxfId="1676">
      <pivotArea dataOnly="0" labelOnly="1" fieldPosition="0">
        <references count="2">
          <reference field="0" count="1" selected="0">
            <x v="4"/>
          </reference>
          <reference field="1" count="3">
            <x v="40"/>
            <x v="41"/>
            <x v="42"/>
          </reference>
        </references>
      </pivotArea>
    </format>
    <format dxfId="1675">
      <pivotArea dataOnly="0" labelOnly="1" fieldPosition="0">
        <references count="2">
          <reference field="0" count="1" selected="0">
            <x v="5"/>
          </reference>
          <reference field="1" count="4">
            <x v="46"/>
            <x v="47"/>
            <x v="48"/>
            <x v="49"/>
          </reference>
        </references>
      </pivotArea>
    </format>
    <format dxfId="1674">
      <pivotArea dataOnly="0" labelOnly="1" fieldPosition="0">
        <references count="2">
          <reference field="0" count="1" selected="0">
            <x v="6"/>
          </reference>
          <reference field="1" count="5">
            <x v="51"/>
            <x v="52"/>
            <x v="53"/>
            <x v="54"/>
            <x v="55"/>
          </reference>
        </references>
      </pivotArea>
    </format>
    <format dxfId="1673">
      <pivotArea dataOnly="0" labelOnly="1" fieldPosition="0">
        <references count="2">
          <reference field="0" count="1" selected="0">
            <x v="7"/>
          </reference>
          <reference field="1" count="3">
            <x v="57"/>
            <x v="58"/>
            <x v="59"/>
          </reference>
        </references>
      </pivotArea>
    </format>
    <format dxfId="1672">
      <pivotArea dataOnly="0" labelOnly="1" fieldPosition="0">
        <references count="2">
          <reference field="0" count="1" selected="0">
            <x v="8"/>
          </reference>
          <reference field="1" count="1">
            <x v="60"/>
          </reference>
        </references>
      </pivotArea>
    </format>
    <format dxfId="1671">
      <pivotArea dataOnly="0" labelOnly="1" fieldPosition="0">
        <references count="2">
          <reference field="0" count="1" selected="0">
            <x v="9"/>
          </reference>
          <reference field="1" count="1">
            <x v="62"/>
          </reference>
        </references>
      </pivotArea>
    </format>
    <format dxfId="1670">
      <pivotArea dataOnly="0" labelOnly="1" fieldPosition="0">
        <references count="2">
          <reference field="0" count="1" selected="0">
            <x v="10"/>
          </reference>
          <reference field="1" count="1">
            <x v="66"/>
          </reference>
        </references>
      </pivotArea>
    </format>
    <format dxfId="1669">
      <pivotArea dataOnly="0" labelOnly="1" fieldPosition="0">
        <references count="1">
          <reference field="2" count="0"/>
        </references>
      </pivotArea>
    </format>
    <format dxfId="1668">
      <pivotArea dataOnly="0" labelOnly="1" grandCol="1" outline="0" fieldPosition="0"/>
    </format>
    <format dxfId="1667">
      <pivotArea type="all" dataOnly="0" outline="0" fieldPosition="0"/>
    </format>
    <format dxfId="1666">
      <pivotArea outline="0" collapsedLevelsAreSubtotals="1" fieldPosition="0"/>
    </format>
    <format dxfId="1665">
      <pivotArea type="origin" dataOnly="0" labelOnly="1" outline="0" fieldPosition="0"/>
    </format>
    <format dxfId="1664">
      <pivotArea field="2" type="button" dataOnly="0" labelOnly="1" outline="0" axis="axisCol" fieldPosition="1"/>
    </format>
    <format dxfId="1663">
      <pivotArea type="topRight" dataOnly="0" labelOnly="1" outline="0" fieldPosition="0"/>
    </format>
    <format dxfId="1662">
      <pivotArea field="0" type="button" dataOnly="0" labelOnly="1" outline="0" axis="axisRow" fieldPosition="0"/>
    </format>
    <format dxfId="1661">
      <pivotArea dataOnly="0" labelOnly="1" fieldPosition="0">
        <references count="1">
          <reference field="0" count="0"/>
        </references>
      </pivotArea>
    </format>
    <format dxfId="1660">
      <pivotArea dataOnly="0" labelOnly="1" grandRow="1" outline="0" fieldPosition="0"/>
    </format>
    <format dxfId="1659">
      <pivotArea dataOnly="0" labelOnly="1" fieldPosition="0">
        <references count="2">
          <reference field="0" count="1" selected="0">
            <x v="2"/>
          </reference>
          <reference field="1" count="6">
            <x v="26"/>
            <x v="27"/>
            <x v="28"/>
            <x v="29"/>
            <x v="32"/>
            <x v="33"/>
          </reference>
        </references>
      </pivotArea>
    </format>
    <format dxfId="1658">
      <pivotArea dataOnly="0" labelOnly="1" fieldPosition="0">
        <references count="2">
          <reference field="0" count="1" selected="0">
            <x v="4"/>
          </reference>
          <reference field="1" count="3">
            <x v="40"/>
            <x v="41"/>
            <x v="42"/>
          </reference>
        </references>
      </pivotArea>
    </format>
    <format dxfId="1657">
      <pivotArea dataOnly="0" labelOnly="1" fieldPosition="0">
        <references count="2">
          <reference field="0" count="1" selected="0">
            <x v="5"/>
          </reference>
          <reference field="1" count="4">
            <x v="46"/>
            <x v="47"/>
            <x v="48"/>
            <x v="49"/>
          </reference>
        </references>
      </pivotArea>
    </format>
    <format dxfId="1656">
      <pivotArea dataOnly="0" labelOnly="1" fieldPosition="0">
        <references count="2">
          <reference field="0" count="1" selected="0">
            <x v="6"/>
          </reference>
          <reference field="1" count="5">
            <x v="51"/>
            <x v="52"/>
            <x v="53"/>
            <x v="54"/>
            <x v="55"/>
          </reference>
        </references>
      </pivotArea>
    </format>
    <format dxfId="1655">
      <pivotArea dataOnly="0" labelOnly="1" fieldPosition="0">
        <references count="2">
          <reference field="0" count="1" selected="0">
            <x v="7"/>
          </reference>
          <reference field="1" count="3">
            <x v="57"/>
            <x v="58"/>
            <x v="59"/>
          </reference>
        </references>
      </pivotArea>
    </format>
    <format dxfId="1654">
      <pivotArea dataOnly="0" labelOnly="1" fieldPosition="0">
        <references count="2">
          <reference field="0" count="1" selected="0">
            <x v="8"/>
          </reference>
          <reference field="1" count="1">
            <x v="60"/>
          </reference>
        </references>
      </pivotArea>
    </format>
    <format dxfId="1653">
      <pivotArea dataOnly="0" labelOnly="1" fieldPosition="0">
        <references count="2">
          <reference field="0" count="1" selected="0">
            <x v="9"/>
          </reference>
          <reference field="1" count="1">
            <x v="62"/>
          </reference>
        </references>
      </pivotArea>
    </format>
    <format dxfId="1652">
      <pivotArea dataOnly="0" labelOnly="1" fieldPosition="0">
        <references count="2">
          <reference field="0" count="1" selected="0">
            <x v="10"/>
          </reference>
          <reference field="1" count="1">
            <x v="66"/>
          </reference>
        </references>
      </pivotArea>
    </format>
    <format dxfId="1651">
      <pivotArea dataOnly="0" labelOnly="1" fieldPosition="0">
        <references count="1">
          <reference field="2" count="0"/>
        </references>
      </pivotArea>
    </format>
    <format dxfId="1650">
      <pivotArea dataOnly="0" labelOnly="1" grandCol="1" outline="0" fieldPosition="0"/>
    </format>
    <format dxfId="1649">
      <pivotArea dataOnly="0" labelOnly="1" fieldPosition="0">
        <references count="1">
          <reference field="0" count="1">
            <x v="1"/>
          </reference>
        </references>
      </pivotArea>
    </format>
    <format dxfId="1648">
      <pivotArea dataOnly="0" labelOnly="1" fieldPosition="0">
        <references count="1">
          <reference field="0" count="1">
            <x v="2"/>
          </reference>
        </references>
      </pivotArea>
    </format>
    <format dxfId="1647">
      <pivotArea dataOnly="0" labelOnly="1" fieldPosition="0">
        <references count="1">
          <reference field="0" count="1">
            <x v="4"/>
          </reference>
        </references>
      </pivotArea>
    </format>
    <format dxfId="1646">
      <pivotArea dataOnly="0" labelOnly="1" fieldPosition="0">
        <references count="1">
          <reference field="0" count="1">
            <x v="5"/>
          </reference>
        </references>
      </pivotArea>
    </format>
    <format dxfId="1645">
      <pivotArea dataOnly="0" labelOnly="1" fieldPosition="0">
        <references count="1">
          <reference field="0" count="1">
            <x v="6"/>
          </reference>
        </references>
      </pivotArea>
    </format>
    <format dxfId="1644">
      <pivotArea dataOnly="0" labelOnly="1" fieldPosition="0">
        <references count="1">
          <reference field="0" count="1">
            <x v="7"/>
          </reference>
        </references>
      </pivotArea>
    </format>
    <format dxfId="1643">
      <pivotArea dataOnly="0" labelOnly="1" fieldPosition="0">
        <references count="1">
          <reference field="0" count="1">
            <x v="8"/>
          </reference>
        </references>
      </pivotArea>
    </format>
    <format dxfId="1642">
      <pivotArea dataOnly="0" labelOnly="1" fieldPosition="0">
        <references count="1">
          <reference field="0" count="1">
            <x v="9"/>
          </reference>
        </references>
      </pivotArea>
    </format>
    <format dxfId="1641">
      <pivotArea dataOnly="0" labelOnly="1" fieldPosition="0">
        <references count="1">
          <reference field="0" count="1">
            <x v="6"/>
          </reference>
        </references>
      </pivotArea>
    </format>
    <format dxfId="1640">
      <pivotArea dataOnly="0" labelOnly="1" fieldPosition="0">
        <references count="1">
          <reference field="0" count="1">
            <x v="10"/>
          </reference>
        </references>
      </pivotArea>
    </format>
    <format dxfId="1639">
      <pivotArea field="3" type="button" dataOnly="0" labelOnly="1" outline="0" axis="axisCol" fieldPosition="0"/>
    </format>
    <format dxfId="1638">
      <pivotArea field="3" type="button" dataOnly="0" labelOnly="1" outline="0" axis="axisCol" fieldPosition="0"/>
    </format>
    <format dxfId="1637">
      <pivotArea type="origin" dataOnly="0" labelOnly="1" outline="0" offset="A2" fieldPosition="0"/>
    </format>
    <format dxfId="1636">
      <pivotArea dataOnly="0" labelOnly="1" fieldPosition="0">
        <references count="1">
          <reference field="3" count="0"/>
        </references>
      </pivotArea>
    </format>
    <format dxfId="1635">
      <pivotArea dataOnly="0" labelOnly="1" fieldPosition="0">
        <references count="1">
          <reference field="3" count="0"/>
        </references>
      </pivotArea>
    </format>
    <format dxfId="1634">
      <pivotArea dataOnly="0" labelOnly="1" fieldPosition="0">
        <references count="1">
          <reference field="0" count="1">
            <x v="1"/>
          </reference>
        </references>
      </pivotArea>
    </format>
    <format dxfId="1633">
      <pivotArea dataOnly="0" labelOnly="1" fieldPosition="0">
        <references count="1">
          <reference field="0" count="1">
            <x v="2"/>
          </reference>
        </references>
      </pivotArea>
    </format>
    <format dxfId="1632">
      <pivotArea dataOnly="0" labelOnly="1" fieldPosition="0">
        <references count="1">
          <reference field="0" count="1">
            <x v="4"/>
          </reference>
        </references>
      </pivotArea>
    </format>
    <format dxfId="1631">
      <pivotArea dataOnly="0" labelOnly="1" fieldPosition="0">
        <references count="1">
          <reference field="0" count="1">
            <x v="5"/>
          </reference>
        </references>
      </pivotArea>
    </format>
    <format dxfId="1630">
      <pivotArea dataOnly="0" labelOnly="1" fieldPosition="0">
        <references count="1">
          <reference field="0" count="1">
            <x v="6"/>
          </reference>
        </references>
      </pivotArea>
    </format>
    <format dxfId="1629">
      <pivotArea dataOnly="0" labelOnly="1" fieldPosition="0">
        <references count="1">
          <reference field="0" count="1">
            <x v="7"/>
          </reference>
        </references>
      </pivotArea>
    </format>
    <format dxfId="1628">
      <pivotArea dataOnly="0" labelOnly="1" fieldPosition="0">
        <references count="1">
          <reference field="0" count="1">
            <x v="8"/>
          </reference>
        </references>
      </pivotArea>
    </format>
    <format dxfId="1627">
      <pivotArea dataOnly="0" labelOnly="1" fieldPosition="0">
        <references count="1">
          <reference field="0" count="1">
            <x v="9"/>
          </reference>
        </references>
      </pivotArea>
    </format>
    <format dxfId="1626">
      <pivotArea dataOnly="0" labelOnly="1" fieldPosition="0">
        <references count="1">
          <reference field="0" count="1">
            <x v="10"/>
          </reference>
        </references>
      </pivotArea>
    </format>
    <format dxfId="1625">
      <pivotArea dataOnly="0" fieldPosition="0">
        <references count="1">
          <reference field="0" count="1">
            <x v="1"/>
          </reference>
        </references>
      </pivotArea>
    </format>
    <format dxfId="1624">
      <pivotArea dataOnly="0" fieldPosition="0">
        <references count="1">
          <reference field="0" count="1">
            <x v="2"/>
          </reference>
        </references>
      </pivotArea>
    </format>
    <format dxfId="1623">
      <pivotArea dataOnly="0" fieldPosition="0">
        <references count="1">
          <reference field="0" count="1">
            <x v="2"/>
          </reference>
        </references>
      </pivotArea>
    </format>
    <format dxfId="1622">
      <pivotArea dataOnly="0" fieldPosition="0">
        <references count="1">
          <reference field="0" count="1">
            <x v="1"/>
          </reference>
        </references>
      </pivotArea>
    </format>
    <format dxfId="1621">
      <pivotArea dataOnly="0" fieldPosition="0">
        <references count="1">
          <reference field="0" count="1">
            <x v="4"/>
          </reference>
        </references>
      </pivotArea>
    </format>
    <format dxfId="1620">
      <pivotArea dataOnly="0" fieldPosition="0">
        <references count="1">
          <reference field="0" count="1">
            <x v="4"/>
          </reference>
        </references>
      </pivotArea>
    </format>
    <format dxfId="1619">
      <pivotArea dataOnly="0" fieldPosition="0">
        <references count="1">
          <reference field="0" count="1">
            <x v="5"/>
          </reference>
        </references>
      </pivotArea>
    </format>
    <format dxfId="1618">
      <pivotArea dataOnly="0" fieldPosition="0">
        <references count="1">
          <reference field="0" count="1">
            <x v="5"/>
          </reference>
        </references>
      </pivotArea>
    </format>
    <format dxfId="1617">
      <pivotArea dataOnly="0" fieldPosition="0">
        <references count="1">
          <reference field="0" count="1">
            <x v="6"/>
          </reference>
        </references>
      </pivotArea>
    </format>
    <format dxfId="1616">
      <pivotArea dataOnly="0" fieldPosition="0">
        <references count="1">
          <reference field="0" count="1">
            <x v="6"/>
          </reference>
        </references>
      </pivotArea>
    </format>
    <format dxfId="1615">
      <pivotArea dataOnly="0" fieldPosition="0">
        <references count="1">
          <reference field="0" count="1">
            <x v="7"/>
          </reference>
        </references>
      </pivotArea>
    </format>
    <format dxfId="1614">
      <pivotArea dataOnly="0" fieldPosition="0">
        <references count="1">
          <reference field="0" count="1">
            <x v="7"/>
          </reference>
        </references>
      </pivotArea>
    </format>
    <format dxfId="1613">
      <pivotArea dataOnly="0" fieldPosition="0">
        <references count="1">
          <reference field="0" count="1">
            <x v="8"/>
          </reference>
        </references>
      </pivotArea>
    </format>
    <format dxfId="1612">
      <pivotArea dataOnly="0" fieldPosition="0">
        <references count="1">
          <reference field="0" count="1">
            <x v="8"/>
          </reference>
        </references>
      </pivotArea>
    </format>
    <format dxfId="1611">
      <pivotArea dataOnly="0" fieldPosition="0">
        <references count="1">
          <reference field="0" count="1">
            <x v="9"/>
          </reference>
        </references>
      </pivotArea>
    </format>
    <format dxfId="1610">
      <pivotArea dataOnly="0" fieldPosition="0">
        <references count="1">
          <reference field="0" count="1">
            <x v="9"/>
          </reference>
        </references>
      </pivotArea>
    </format>
    <format dxfId="1609">
      <pivotArea dataOnly="0" fieldPosition="0">
        <references count="1">
          <reference field="0" count="1">
            <x v="10"/>
          </reference>
        </references>
      </pivotArea>
    </format>
    <format dxfId="1608">
      <pivotArea dataOnly="0" fieldPosition="0">
        <references count="1">
          <reference field="0" count="1">
            <x v="10"/>
          </reference>
        </references>
      </pivotArea>
    </format>
    <format dxfId="1607">
      <pivotArea dataOnly="0" fieldPosition="0">
        <references count="1">
          <reference field="0" count="1">
            <x v="0"/>
          </reference>
        </references>
      </pivotArea>
    </format>
  </formats>
  <chartFormats count="9">
    <chartFormat chart="20" format="18" series="1">
      <pivotArea type="data" outline="0" fieldPosition="0">
        <references count="2">
          <reference field="2" count="1" selected="0">
            <x v="3"/>
          </reference>
          <reference field="3" count="1" selected="0">
            <x v="0"/>
          </reference>
        </references>
      </pivotArea>
    </chartFormat>
    <chartFormat chart="20" format="19" series="1">
      <pivotArea type="data" outline="0" fieldPosition="0">
        <references count="2">
          <reference field="2" count="1" selected="0">
            <x v="1"/>
          </reference>
          <reference field="3" count="1" selected="0">
            <x v="0"/>
          </reference>
        </references>
      </pivotArea>
    </chartFormat>
    <chartFormat chart="20" format="20" series="1">
      <pivotArea type="data" outline="0" fieldPosition="0">
        <references count="2">
          <reference field="2" count="1" selected="0">
            <x v="2"/>
          </reference>
          <reference field="3" count="1" selected="0">
            <x v="0"/>
          </reference>
        </references>
      </pivotArea>
    </chartFormat>
    <chartFormat chart="20" format="21" series="1">
      <pivotArea type="data" outline="0" fieldPosition="0">
        <references count="2">
          <reference field="2" count="1" selected="0">
            <x v="0"/>
          </reference>
          <reference field="3" count="1" selected="0">
            <x v="0"/>
          </reference>
        </references>
      </pivotArea>
    </chartFormat>
    <chartFormat chart="20" format="22" series="1">
      <pivotArea type="data" outline="0" fieldPosition="0">
        <references count="3">
          <reference field="4294967294" count="1" selected="0">
            <x v="0"/>
          </reference>
          <reference field="2" count="1" selected="0">
            <x v="1"/>
          </reference>
          <reference field="3" count="1" selected="0">
            <x v="0"/>
          </reference>
        </references>
      </pivotArea>
    </chartFormat>
    <chartFormat chart="20" format="23" series="1">
      <pivotArea type="data" outline="0" fieldPosition="0">
        <references count="3">
          <reference field="4294967294" count="1" selected="0">
            <x v="0"/>
          </reference>
          <reference field="2" count="1" selected="0">
            <x v="2"/>
          </reference>
          <reference field="3" count="1" selected="0">
            <x v="0"/>
          </reference>
        </references>
      </pivotArea>
    </chartFormat>
    <chartFormat chart="20" format="24" series="1">
      <pivotArea type="data" outline="0" fieldPosition="0">
        <references count="3">
          <reference field="4294967294" count="1" selected="0">
            <x v="0"/>
          </reference>
          <reference field="2" count="1" selected="0">
            <x v="3"/>
          </reference>
          <reference field="3" count="1" selected="0">
            <x v="0"/>
          </reference>
        </references>
      </pivotArea>
    </chartFormat>
    <chartFormat chart="20" format="25" series="1">
      <pivotArea type="data" outline="0" fieldPosition="0">
        <references count="3">
          <reference field="4294967294" count="1" selected="0">
            <x v="0"/>
          </reference>
          <reference field="2" count="1" selected="0">
            <x v="0"/>
          </reference>
          <reference field="3" count="1" selected="0">
            <x v="0"/>
          </reference>
        </references>
      </pivotArea>
    </chartFormat>
    <chartFormat chart="20" format="26" series="1">
      <pivotArea type="data" outline="0" fieldPosition="0">
        <references count="3">
          <reference field="4294967294" count="1" selected="0">
            <x v="0"/>
          </reference>
          <reference field="2" count="1" selected="0">
            <x v="4"/>
          </reference>
          <reference field="3"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2">
    <rowHierarchyUsage hierarchyUsage="16"/>
    <rowHierarchyUsage hierarchyUsage="15"/>
  </rowHierarchiesUsage>
  <colHierarchiesUsage count="2">
    <colHierarchyUsage hierarchyUsage="14"/>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C65BB25-7083-484D-AB5B-FBF362B7BECB}" name="UBC-Total-Compare" cacheId="116" applyNumberFormats="0" applyBorderFormats="0" applyFontFormats="0" applyPatternFormats="0" applyAlignmentFormats="0" applyWidthHeightFormats="1" dataCaption="Values" grandTotalCaption="Total" updatedVersion="7" minRefreshableVersion="3" useAutoFormatting="1" subtotalHiddenItems="1" itemPrintTitles="1" createdVersion="6" indent="0" outline="1" outlineData="1" multipleFieldFilters="0" chartFormat="14" rowHeaderCaption="Bulan">
  <location ref="Q3:R34"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Fields count="2">
    <field x="0"/>
    <field x="1"/>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 KMK (Kg)" fld="3" baseField="0" baseItem="0"/>
  </dataFields>
  <formats count="18">
    <format dxfId="1588">
      <pivotArea dataOnly="0" labelOnly="1" fieldPosition="0">
        <references count="1">
          <reference field="0" count="0"/>
        </references>
      </pivotArea>
    </format>
    <format dxfId="1587">
      <pivotArea type="all" dataOnly="0" outline="0" fieldPosition="0"/>
    </format>
    <format dxfId="1586">
      <pivotArea outline="0" collapsedLevelsAreSubtotals="1" fieldPosition="0"/>
    </format>
    <format dxfId="1585">
      <pivotArea field="0" type="button" dataOnly="0" labelOnly="1" outline="0" axis="axisRow" fieldPosition="0"/>
    </format>
    <format dxfId="1584">
      <pivotArea dataOnly="0" labelOnly="1" fieldPosition="0">
        <references count="1">
          <reference field="0" count="0"/>
        </references>
      </pivotArea>
    </format>
    <format dxfId="1583">
      <pivotArea dataOnly="0" labelOnly="1" grandRow="1" outline="0" fieldPosition="0"/>
    </format>
    <format dxfId="1582">
      <pivotArea dataOnly="0" labelOnly="1" outline="0" axis="axisValues" fieldPosition="0"/>
    </format>
    <format dxfId="1581">
      <pivotArea type="all" dataOnly="0" outline="0" fieldPosition="0"/>
    </format>
    <format dxfId="1580">
      <pivotArea field="0" type="button" dataOnly="0" labelOnly="1" outline="0" axis="axisRow" fieldPosition="0"/>
    </format>
    <format dxfId="1579">
      <pivotArea dataOnly="0" labelOnly="1" fieldPosition="0">
        <references count="1">
          <reference field="0" count="0"/>
        </references>
      </pivotArea>
    </format>
    <format dxfId="1578">
      <pivotArea outline="0" collapsedLevelsAreSubtotals="1" fieldPosition="0"/>
    </format>
    <format dxfId="1577">
      <pivotArea dataOnly="0" labelOnly="1" outline="0" axis="axisValues" fieldPosition="0"/>
    </format>
    <format dxfId="1576">
      <pivotArea grandRow="1" outline="0" collapsedLevelsAreSubtotals="1" fieldPosition="0"/>
    </format>
    <format dxfId="1575">
      <pivotArea dataOnly="0" labelOnly="1" grandRow="1" outline="0" fieldPosition="0"/>
    </format>
    <format dxfId="1574">
      <pivotArea grandRow="1" outline="0" collapsedLevelsAreSubtotals="1" fieldPosition="0"/>
    </format>
    <format dxfId="1573">
      <pivotArea dataOnly="0" labelOnly="1" grandRow="1" outline="0" fieldPosition="0"/>
    </format>
    <format dxfId="1572">
      <pivotArea outline="0" collapsedLevelsAreSubtotals="1" fieldPosition="0"/>
    </format>
    <format dxfId="1571">
      <pivotArea dataOnly="0" labelOnly="1" outline="0" axis="axisValues" fieldPosition="0"/>
    </format>
  </formats>
  <chartFormats count="1">
    <chartFormat chart="13" format="1"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3" level="1">
        <member name="[UBC_MASUK].[Partisipan].&amp;[Pak Jero mangku]"/>
        <member name="[UBC_MASUK].[Partisipan].&amp;[Pak Sueb]"/>
        <member name="[UBC_MASUK].[Partisipan].&amp;[Rumah kompos padang tegal]"/>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2">
    <rowHierarchyUsage hierarchyUsage="13"/>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8AF3FCE-BC59-4BB7-A01F-D62E3EB7B310}" name="UBC-∑WEEKLY" cacheId="107" applyNumberFormats="0" applyBorderFormats="0" applyFontFormats="0" applyPatternFormats="0" applyAlignmentFormats="0" applyWidthHeightFormats="1" dataCaption="Values" grandTotalCaption="Total" updatedVersion="7" minRefreshableVersion="3" useAutoFormatting="1" subtotalHiddenItems="1" itemPrintTitles="1" createdVersion="6" indent="0" outline="1" outlineData="1" multipleFieldFilters="0" chartFormat="16" rowHeaderCaption="Bulan">
  <location ref="B3:C34" firstHeaderRow="1" firstDataRow="1" firstDataCol="1"/>
  <pivotFields count="3">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2">
    <field x="0"/>
    <field x="1"/>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 KMK (Kg)" fld="2" baseField="0" baseItem="0"/>
  </dataFields>
  <formats count="18">
    <format dxfId="1606">
      <pivotArea dataOnly="0" labelOnly="1" fieldPosition="0">
        <references count="1">
          <reference field="0" count="0"/>
        </references>
      </pivotArea>
    </format>
    <format dxfId="1605">
      <pivotArea type="all" dataOnly="0" outline="0" fieldPosition="0"/>
    </format>
    <format dxfId="1604">
      <pivotArea outline="0" collapsedLevelsAreSubtotals="1" fieldPosition="0"/>
    </format>
    <format dxfId="1603">
      <pivotArea dataOnly="0" labelOnly="1" fieldPosition="0">
        <references count="1">
          <reference field="0" count="0"/>
        </references>
      </pivotArea>
    </format>
    <format dxfId="1602">
      <pivotArea type="all" dataOnly="0" outline="0" fieldPosition="0"/>
    </format>
    <format dxfId="1601">
      <pivotArea outline="0" collapsedLevelsAreSubtotals="1" fieldPosition="0"/>
    </format>
    <format dxfId="1600">
      <pivotArea field="0" type="button" dataOnly="0" labelOnly="1" outline="0" axis="axisRow" fieldPosition="0"/>
    </format>
    <format dxfId="1599">
      <pivotArea dataOnly="0" labelOnly="1" fieldPosition="0">
        <references count="1">
          <reference field="0" count="0"/>
        </references>
      </pivotArea>
    </format>
    <format dxfId="1598">
      <pivotArea dataOnly="0" labelOnly="1" grandRow="1" outline="0" fieldPosition="0"/>
    </format>
    <format dxfId="1597">
      <pivotArea dataOnly="0" labelOnly="1" outline="0" axis="axisValues" fieldPosition="0"/>
    </format>
    <format dxfId="1596">
      <pivotArea grandRow="1" outline="0" collapsedLevelsAreSubtotals="1" fieldPosition="0"/>
    </format>
    <format dxfId="1595">
      <pivotArea dataOnly="0" labelOnly="1" grandRow="1" outline="0" fieldPosition="0"/>
    </format>
    <format dxfId="1594">
      <pivotArea dataOnly="0" labelOnly="1" grandRow="1" outline="0" fieldPosition="0"/>
    </format>
    <format dxfId="1593">
      <pivotArea grandRow="1" outline="0" collapsedLevelsAreSubtotals="1" fieldPosition="0"/>
    </format>
    <format dxfId="1592">
      <pivotArea field="0" type="button" dataOnly="0" labelOnly="1" outline="0" axis="axisRow" fieldPosition="0"/>
    </format>
    <format dxfId="1591">
      <pivotArea dataOnly="0" labelOnly="1" outline="0" axis="axisValues" fieldPosition="0"/>
    </format>
    <format dxfId="1590">
      <pivotArea field="0" type="button" dataOnly="0" labelOnly="1" outline="0" axis="axisRow" fieldPosition="0"/>
    </format>
    <format dxfId="1589">
      <pivotArea dataOnly="0" labelOnly="1" outline="0" axis="axisValues" fieldPosition="0"/>
    </format>
  </formats>
  <chartFormats count="14">
    <chartFormat chart="8" format="1" series="1">
      <pivotArea type="data" outline="0" fieldPosition="0">
        <references count="1">
          <reference field="4294967294" count="1" selected="0">
            <x v="0"/>
          </reference>
        </references>
      </pivotArea>
    </chartFormat>
    <chartFormat chart="10" format="27" series="1">
      <pivotArea type="data" outline="0" fieldPosition="0">
        <references count="1">
          <reference field="4294967294" count="1" selected="0">
            <x v="0"/>
          </reference>
        </references>
      </pivotArea>
    </chartFormat>
    <chartFormat chart="10" format="28">
      <pivotArea type="data" outline="0" fieldPosition="0">
        <references count="2">
          <reference field="4294967294" count="1" selected="0">
            <x v="0"/>
          </reference>
          <reference field="0" count="1" selected="0">
            <x v="0"/>
          </reference>
        </references>
      </pivotArea>
    </chartFormat>
    <chartFormat chart="10" format="29">
      <pivotArea type="data" outline="0" fieldPosition="0">
        <references count="2">
          <reference field="4294967294" count="1" selected="0">
            <x v="0"/>
          </reference>
          <reference field="0" count="1" selected="0">
            <x v="3"/>
          </reference>
        </references>
      </pivotArea>
    </chartFormat>
    <chartFormat chart="10" format="30">
      <pivotArea type="data" outline="0" fieldPosition="0">
        <references count="3">
          <reference field="4294967294" count="1" selected="0">
            <x v="0"/>
          </reference>
          <reference field="0" count="1" selected="0">
            <x v="0"/>
          </reference>
          <reference field="1" count="1" selected="0">
            <x v="0"/>
          </reference>
        </references>
      </pivotArea>
    </chartFormat>
    <chartFormat chart="10" format="31">
      <pivotArea type="data" outline="0" fieldPosition="0">
        <references count="3">
          <reference field="4294967294" count="1" selected="0">
            <x v="0"/>
          </reference>
          <reference field="0" count="1" selected="0">
            <x v="0"/>
          </reference>
          <reference field="1" count="1" selected="0">
            <x v="1"/>
          </reference>
        </references>
      </pivotArea>
    </chartFormat>
    <chartFormat chart="10" format="32">
      <pivotArea type="data" outline="0" fieldPosition="0">
        <references count="3">
          <reference field="4294967294" count="1" selected="0">
            <x v="0"/>
          </reference>
          <reference field="0" count="1" selected="0">
            <x v="0"/>
          </reference>
          <reference field="1" count="1" selected="0">
            <x v="2"/>
          </reference>
        </references>
      </pivotArea>
    </chartFormat>
    <chartFormat chart="10" format="33">
      <pivotArea type="data" outline="0" fieldPosition="0">
        <references count="3">
          <reference field="4294967294" count="1" selected="0">
            <x v="0"/>
          </reference>
          <reference field="0" count="1" selected="0">
            <x v="0"/>
          </reference>
          <reference field="1" count="1" selected="0">
            <x v="3"/>
          </reference>
        </references>
      </pivotArea>
    </chartFormat>
    <chartFormat chart="10" format="34">
      <pivotArea type="data" outline="0" fieldPosition="0">
        <references count="3">
          <reference field="4294967294" count="1" selected="0">
            <x v="0"/>
          </reference>
          <reference field="0" count="1" selected="0">
            <x v="0"/>
          </reference>
          <reference field="1" count="1" selected="0">
            <x v="4"/>
          </reference>
        </references>
      </pivotArea>
    </chartFormat>
    <chartFormat chart="10" format="35">
      <pivotArea type="data" outline="0" fieldPosition="0">
        <references count="3">
          <reference field="4294967294" count="1" selected="0">
            <x v="0"/>
          </reference>
          <reference field="0" count="1" selected="0">
            <x v="3"/>
          </reference>
          <reference field="1" count="1" selected="0">
            <x v="0"/>
          </reference>
        </references>
      </pivotArea>
    </chartFormat>
    <chartFormat chart="10" format="36">
      <pivotArea type="data" outline="0" fieldPosition="0">
        <references count="3">
          <reference field="4294967294" count="1" selected="0">
            <x v="0"/>
          </reference>
          <reference field="0" count="1" selected="0">
            <x v="3"/>
          </reference>
          <reference field="1" count="1" selected="0">
            <x v="1"/>
          </reference>
        </references>
      </pivotArea>
    </chartFormat>
    <chartFormat chart="10" format="37">
      <pivotArea type="data" outline="0" fieldPosition="0">
        <references count="3">
          <reference field="4294967294" count="1" selected="0">
            <x v="0"/>
          </reference>
          <reference field="0" count="1" selected="0">
            <x v="3"/>
          </reference>
          <reference field="1" count="1" selected="0">
            <x v="2"/>
          </reference>
        </references>
      </pivotArea>
    </chartFormat>
    <chartFormat chart="10" format="38">
      <pivotArea type="data" outline="0" fieldPosition="0">
        <references count="3">
          <reference field="4294967294" count="1" selected="0">
            <x v="0"/>
          </reference>
          <reference field="0" count="1" selected="0">
            <x v="3"/>
          </reference>
          <reference field="1" count="1" selected="0">
            <x v="3"/>
          </reference>
        </references>
      </pivotArea>
    </chartFormat>
    <chartFormat chart="10" format="39">
      <pivotArea type="data" outline="0" fieldPosition="0">
        <references count="3">
          <reference field="4294967294" count="1" selected="0">
            <x v="0"/>
          </reference>
          <reference field="0" count="1" selected="0">
            <x v="3"/>
          </reference>
          <reference field="1" count="1" selected="0">
            <x v="4"/>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2">
    <rowHierarchyUsage hierarchyUsage="13"/>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F0FFDA1-B709-4AB1-BD19-30D36A24BFCC}" name="TARGET-CATEGORY" cacheId="125"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6">
  <location ref="BX3:BZ15" firstHeaderRow="0"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Target Bulanan" fld="1" baseField="0" baseItem="0" numFmtId="166"/>
    <dataField name="Sum of ∑ KMK (Kg)" fld="2" baseField="0" baseItem="0"/>
  </dataFields>
  <formats count="17">
    <format dxfId="1530">
      <pivotArea type="all" dataOnly="0" outline="0" fieldPosition="0"/>
    </format>
    <format dxfId="1529">
      <pivotArea outline="0" collapsedLevelsAreSubtotals="1" fieldPosition="0"/>
    </format>
    <format dxfId="1528">
      <pivotArea field="0" type="button" dataOnly="0" labelOnly="1" outline="0" axis="axisRow" fieldPosition="0"/>
    </format>
    <format dxfId="1527">
      <pivotArea dataOnly="0" labelOnly="1" fieldPosition="0">
        <references count="1">
          <reference field="0" count="0"/>
        </references>
      </pivotArea>
    </format>
    <format dxfId="1526">
      <pivotArea dataOnly="0" labelOnly="1" grandRow="1" outline="0" fieldPosition="0"/>
    </format>
    <format dxfId="1525">
      <pivotArea dataOnly="0" labelOnly="1" outline="0" fieldPosition="0">
        <references count="1">
          <reference field="4294967294" count="1">
            <x v="0"/>
          </reference>
        </references>
      </pivotArea>
    </format>
    <format dxfId="1524">
      <pivotArea type="all" dataOnly="0" outline="0" fieldPosition="0"/>
    </format>
    <format dxfId="1523">
      <pivotArea outline="0" collapsedLevelsAreSubtotals="1" fieldPosition="0"/>
    </format>
    <format dxfId="1522">
      <pivotArea field="0" type="button" dataOnly="0" labelOnly="1" outline="0" axis="axisRow" fieldPosition="0"/>
    </format>
    <format dxfId="1521">
      <pivotArea dataOnly="0" labelOnly="1" fieldPosition="0">
        <references count="1">
          <reference field="0" count="0"/>
        </references>
      </pivotArea>
    </format>
    <format dxfId="1520">
      <pivotArea dataOnly="0" labelOnly="1" grandRow="1" outline="0" fieldPosition="0"/>
    </format>
    <format dxfId="1519">
      <pivotArea dataOnly="0" labelOnly="1" outline="0" fieldPosition="0">
        <references count="1">
          <reference field="4294967294" count="1">
            <x v="0"/>
          </reference>
        </references>
      </pivotArea>
    </format>
    <format dxfId="1518">
      <pivotArea grandRow="1" outline="0" collapsedLevelsAreSubtotals="1" fieldPosition="0"/>
    </format>
    <format dxfId="1517">
      <pivotArea grandRow="1" outline="0" collapsedLevelsAreSubtotals="1" fieldPosition="0"/>
    </format>
    <format dxfId="1516">
      <pivotArea grandRow="1" outline="0" collapsedLevelsAreSubtotals="1" fieldPosition="0"/>
    </format>
    <format dxfId="1515">
      <pivotArea outline="0" collapsedLevelsAreSubtotals="1" fieldPosition="0">
        <references count="1">
          <reference field="4294967294" count="1" selected="0">
            <x v="0"/>
          </reference>
        </references>
      </pivotArea>
    </format>
    <format dxfId="1514">
      <pivotArea dataOnly="0" labelOnly="1"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4"/>
          </reference>
        </references>
      </pivotArea>
    </chartFormat>
    <chartFormat chart="5" format="10">
      <pivotArea type="data" outline="0" fieldPosition="0">
        <references count="2">
          <reference field="4294967294" count="1" selected="0">
            <x v="0"/>
          </reference>
          <reference field="0" count="1" selected="0">
            <x v="8"/>
          </reference>
        </references>
      </pivotArea>
    </chartFormat>
    <chartFormat chart="5" format="11">
      <pivotArea type="data" outline="0" fieldPosition="0">
        <references count="2">
          <reference field="4294967294" count="1" selected="0">
            <x v="0"/>
          </reference>
          <reference field="0" count="1" selected="0">
            <x v="9"/>
          </reference>
        </references>
      </pivotArea>
    </chartFormat>
    <chartFormat chart="5" format="12">
      <pivotArea type="data" outline="0" fieldPosition="0">
        <references count="2">
          <reference field="4294967294" count="1" selected="0">
            <x v="0"/>
          </reference>
          <reference field="0" count="1" selected="0">
            <x v="10"/>
          </reference>
        </references>
      </pivotArea>
    </chartFormat>
    <chartFormat chart="0" format="2" series="1">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arget Bulanan"/>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6479E2A-89FF-4CC3-AED9-3A9651E1A147}" name="TARGET-TAHUNAN" cacheId="17"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1">
  <location ref="BL3:BN5" firstHeaderRow="0" firstDataRow="1" firstDataCol="1"/>
  <pivotFields count="3">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Target Tahunan" fld="1" baseField="0" baseItem="0"/>
    <dataField name="Sum of ∑ KMK (Kg)" fld="2" baseField="0" baseItem="0"/>
  </dataFields>
  <formats count="12">
    <format dxfId="1542">
      <pivotArea type="all" dataOnly="0" outline="0" fieldPosition="0"/>
    </format>
    <format dxfId="1541">
      <pivotArea outline="0" collapsedLevelsAreSubtotals="1" fieldPosition="0"/>
    </format>
    <format dxfId="1540">
      <pivotArea field="0" type="button" dataOnly="0" labelOnly="1" outline="0" axis="axisRow" fieldPosition="0"/>
    </format>
    <format dxfId="1539">
      <pivotArea dataOnly="0" labelOnly="1" fieldPosition="0">
        <references count="1">
          <reference field="0" count="0"/>
        </references>
      </pivotArea>
    </format>
    <format dxfId="1538">
      <pivotArea dataOnly="0" labelOnly="1" grandRow="1" outline="0" fieldPosition="0"/>
    </format>
    <format dxfId="1537">
      <pivotArea dataOnly="0" labelOnly="1" outline="0" fieldPosition="0">
        <references count="1">
          <reference field="4294967294" count="1">
            <x v="0"/>
          </reference>
        </references>
      </pivotArea>
    </format>
    <format dxfId="1536">
      <pivotArea type="all" dataOnly="0" outline="0" fieldPosition="0"/>
    </format>
    <format dxfId="1535">
      <pivotArea outline="0" collapsedLevelsAreSubtotals="1" fieldPosition="0"/>
    </format>
    <format dxfId="1534">
      <pivotArea field="0" type="button" dataOnly="0" labelOnly="1" outline="0" axis="axisRow" fieldPosition="0"/>
    </format>
    <format dxfId="1533">
      <pivotArea dataOnly="0" labelOnly="1" fieldPosition="0">
        <references count="1">
          <reference field="0" count="0"/>
        </references>
      </pivotArea>
    </format>
    <format dxfId="1532">
      <pivotArea dataOnly="0" labelOnly="1" grandRow="1" outline="0" fieldPosition="0"/>
    </format>
    <format dxfId="1531">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arget Tahunan"/>
    <pivotHierarchy dragToRow="0" dragToCol="0" dragToPage="0" dragToData="1"/>
  </pivotHierarchies>
  <pivotTableStyleInfo name="PivotStyleMedium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729BB50-9A6A-49D2-9356-E246400DA1C9}" name="Target-Category Tahunan" cacheId="2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C3:AC15" firstHeaderRow="1" firstDataRow="1" firstDataCol="1"/>
  <pivotFields count="14">
    <pivotField numFmtId="14" showAll="0"/>
    <pivotField showAll="0"/>
    <pivotField showAll="0"/>
    <pivotField showAll="0"/>
    <pivotField showAll="0"/>
    <pivotField showAll="0"/>
    <pivotField showAll="0"/>
    <pivotField axis="axisRow" showAll="0">
      <items count="15">
        <item x="8"/>
        <item x="5"/>
        <item m="1" x="12"/>
        <item m="1" x="11"/>
        <item x="6"/>
        <item x="4"/>
        <item x="3"/>
        <item x="7"/>
        <item x="2"/>
        <item x="0"/>
        <item x="1"/>
        <item x="10"/>
        <item m="1" x="13"/>
        <item x="9"/>
        <item t="default"/>
      </items>
    </pivotField>
    <pivotField showAll="0"/>
    <pivotField showAll="0"/>
    <pivotField showAll="0"/>
    <pivotField showAll="0"/>
    <pivotField showAll="0"/>
    <pivotField showAll="0"/>
  </pivotFields>
  <rowFields count="1">
    <field x="7"/>
  </rowFields>
  <rowItems count="12">
    <i>
      <x/>
    </i>
    <i>
      <x v="1"/>
    </i>
    <i>
      <x v="4"/>
    </i>
    <i>
      <x v="5"/>
    </i>
    <i>
      <x v="6"/>
    </i>
    <i>
      <x v="7"/>
    </i>
    <i>
      <x v="8"/>
    </i>
    <i>
      <x v="9"/>
    </i>
    <i>
      <x v="10"/>
    </i>
    <i>
      <x v="11"/>
    </i>
    <i>
      <x v="13"/>
    </i>
    <i t="grand">
      <x/>
    </i>
  </rowItems>
  <colItems count="1">
    <i/>
  </colItem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DDFC264-CCCC-466A-9D3A-24A05CB5FD67}" name="TARGET-BULAN" cacheId="18"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3">
  <location ref="AP3:AQ11" firstHeaderRow="1" firstDataRow="1" firstDataCol="1"/>
  <pivotFields count="3">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dataField="1" subtotalTop="0" showAll="0" defaultSubtotal="0"/>
  </pivotFields>
  <rowFields count="2">
    <field x="1"/>
    <field x="0"/>
  </rowFields>
  <rowItems count="8">
    <i>
      <x/>
    </i>
    <i r="1">
      <x/>
    </i>
    <i r="1">
      <x v="1"/>
    </i>
    <i r="1">
      <x v="2"/>
    </i>
    <i>
      <x v="1"/>
    </i>
    <i r="1">
      <x v="3"/>
    </i>
    <i r="1">
      <x v="4"/>
    </i>
    <i t="grand">
      <x/>
    </i>
  </rowItems>
  <colItems count="1">
    <i/>
  </colItems>
  <dataFields count="1">
    <dataField name="Sum of ∑ KMK (Kg)" fld="2"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2">
    <rowHierarchyUsage hierarchyUsage="1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19236ED2-2047-409F-9185-C0D91C4CAB54}" name="TARGET-BULANAN" cacheId="122"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6">
  <location ref="AZ3:BB11" firstHeaderRow="0" firstDataRow="1" firstDataCol="1"/>
  <pivotFields count="5">
    <pivotField axis="axisRow" allDrilled="1" subtotalTop="0" showAll="0" dataSourceSort="1" defaultSubtotal="0">
      <items count="5">
        <item x="0" e="0"/>
        <item x="1" e="0"/>
        <item x="2" e="0"/>
        <item x="3" e="0"/>
        <item x="4" e="0"/>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8">
    <i>
      <x/>
    </i>
    <i r="1">
      <x/>
    </i>
    <i r="1">
      <x v="1"/>
    </i>
    <i r="1">
      <x v="2"/>
    </i>
    <i>
      <x v="1"/>
    </i>
    <i r="1">
      <x v="3"/>
    </i>
    <i r="1">
      <x v="4"/>
    </i>
    <i t="grand">
      <x/>
    </i>
  </rowItems>
  <colFields count="1">
    <field x="-2"/>
  </colFields>
  <colItems count="2">
    <i>
      <x/>
    </i>
    <i i="1">
      <x v="1"/>
    </i>
  </colItems>
  <dataFields count="2">
    <dataField name="Target Bulanan" fld="2" baseField="0" baseItem="0" numFmtId="3"/>
    <dataField name="Total Bulanan" fld="3" baseField="0" baseItem="0"/>
  </dataFields>
  <formats count="20">
    <format dxfId="1562">
      <pivotArea outline="0" collapsedLevelsAreSubtotals="1" fieldPosition="0">
        <references count="1">
          <reference field="4294967294" count="1" selected="0">
            <x v="0"/>
          </reference>
        </references>
      </pivotArea>
    </format>
    <format dxfId="1561">
      <pivotArea dataOnly="0" labelOnly="1" outline="0" fieldPosition="0">
        <references count="1">
          <reference field="4294967294" count="1">
            <x v="0"/>
          </reference>
        </references>
      </pivotArea>
    </format>
    <format dxfId="1560">
      <pivotArea type="all" dataOnly="0" outline="0" fieldPosition="0"/>
    </format>
    <format dxfId="1559">
      <pivotArea outline="0" collapsedLevelsAreSubtotals="1" fieldPosition="0"/>
    </format>
    <format dxfId="1558">
      <pivotArea field="1" type="button" dataOnly="0" labelOnly="1" outline="0" axis="axisRow" fieldPosition="0"/>
    </format>
    <format dxfId="1557">
      <pivotArea dataOnly="0" labelOnly="1" fieldPosition="0">
        <references count="1">
          <reference field="1" count="0"/>
        </references>
      </pivotArea>
    </format>
    <format dxfId="1556">
      <pivotArea dataOnly="0" labelOnly="1" grandRow="1" outline="0" fieldPosition="0"/>
    </format>
    <format dxfId="1555">
      <pivotArea dataOnly="0" labelOnly="1" fieldPosition="0">
        <references count="2">
          <reference field="0" count="3">
            <x v="0"/>
            <x v="1"/>
            <x v="2"/>
          </reference>
          <reference field="1" count="1" selected="0">
            <x v="0"/>
          </reference>
        </references>
      </pivotArea>
    </format>
    <format dxfId="1554">
      <pivotArea dataOnly="0" labelOnly="1" fieldPosition="0">
        <references count="2">
          <reference field="0" count="1">
            <x v="3"/>
          </reference>
          <reference field="1" count="1" selected="0">
            <x v="1"/>
          </reference>
        </references>
      </pivotArea>
    </format>
    <format dxfId="1553">
      <pivotArea dataOnly="0" labelOnly="1" outline="0" fieldPosition="0">
        <references count="1">
          <reference field="4294967294" count="1">
            <x v="0"/>
          </reference>
        </references>
      </pivotArea>
    </format>
    <format dxfId="1552">
      <pivotArea type="all" dataOnly="0" outline="0" fieldPosition="0"/>
    </format>
    <format dxfId="1551">
      <pivotArea outline="0" collapsedLevelsAreSubtotals="1" fieldPosition="0"/>
    </format>
    <format dxfId="1550">
      <pivotArea field="1" type="button" dataOnly="0" labelOnly="1" outline="0" axis="axisRow" fieldPosition="0"/>
    </format>
    <format dxfId="1549">
      <pivotArea dataOnly="0" labelOnly="1" fieldPosition="0">
        <references count="1">
          <reference field="1" count="0"/>
        </references>
      </pivotArea>
    </format>
    <format dxfId="1548">
      <pivotArea dataOnly="0" labelOnly="1" grandRow="1" outline="0" fieldPosition="0"/>
    </format>
    <format dxfId="1547">
      <pivotArea dataOnly="0" labelOnly="1" fieldPosition="0">
        <references count="2">
          <reference field="0" count="3">
            <x v="0"/>
            <x v="1"/>
            <x v="2"/>
          </reference>
          <reference field="1" count="1" selected="0">
            <x v="0"/>
          </reference>
        </references>
      </pivotArea>
    </format>
    <format dxfId="1546">
      <pivotArea dataOnly="0" labelOnly="1" fieldPosition="0">
        <references count="2">
          <reference field="0" count="1">
            <x v="3"/>
          </reference>
          <reference field="1" count="1" selected="0">
            <x v="1"/>
          </reference>
        </references>
      </pivotArea>
    </format>
    <format dxfId="1545">
      <pivotArea dataOnly="0" labelOnly="1" outline="0" fieldPosition="0">
        <references count="1">
          <reference field="4294967294" count="1">
            <x v="0"/>
          </reference>
        </references>
      </pivotArea>
    </format>
    <format dxfId="1544">
      <pivotArea field="1" type="button" dataOnly="0" labelOnly="1" outline="0" axis="axisRow" fieldPosition="0"/>
    </format>
    <format dxfId="1543">
      <pivotArea dataOnly="0" labelOnly="1"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 chart="3" format="11">
      <pivotArea type="data" outline="0" fieldPosition="0">
        <references count="3">
          <reference field="4294967294" count="1" selected="0">
            <x v="1"/>
          </reference>
          <reference field="0" count="1" selected="0">
            <x v="4"/>
          </reference>
          <reference field="1"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arget Bulanan"/>
    <pivotHierarchy dragToData="1"/>
    <pivotHierarchy dragToRow="0" dragToCol="0" dragToPage="0" dragToData="1" caption="Total Bulanan"/>
  </pivotHierarchies>
  <pivotTableStyleInfo name="PivotStyleMedium16" showRowHeaders="1" showColHeaders="1" showRowStripes="0" showColStripes="0" showLastColumn="1"/>
  <rowHierarchiesUsage count="2">
    <rowHierarchyUsage hierarchyUsage="1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6564169-2FC2-4F7F-B62B-76460A18B027}" name="Target-Category Bulanan" cacheId="16"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1">
  <location ref="B3:C15"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 KMK (Kg)" fld="2" baseField="0" baseItem="0"/>
  </dataFields>
  <formats count="8">
    <format dxfId="1570">
      <pivotArea type="all" dataOnly="0" outline="0" fieldPosition="0"/>
    </format>
    <format dxfId="1569">
      <pivotArea outline="0" collapsedLevelsAreSubtotals="1" fieldPosition="0"/>
    </format>
    <format dxfId="1568">
      <pivotArea field="0" type="button" dataOnly="0" labelOnly="1" outline="0" axis="axisRow" fieldPosition="0"/>
    </format>
    <format dxfId="1567">
      <pivotArea dataOnly="0" labelOnly="1" fieldPosition="0">
        <references count="1">
          <reference field="0" count="0"/>
        </references>
      </pivotArea>
    </format>
    <format dxfId="1566">
      <pivotArea dataOnly="0" labelOnly="1" grandRow="1" outline="0" fieldPosition="0"/>
    </format>
    <format dxfId="1565">
      <pivotArea dataOnly="0" labelOnly="1" outline="0" axis="axisValues" fieldPosition="0"/>
    </format>
    <format dxfId="1564">
      <pivotArea outline="0" collapsedLevelsAreSubtotals="1" fieldPosition="0"/>
    </format>
    <format dxfId="1563">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UBC_MASUK].[Bulan].&amp;[(03) MAR]"/>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1E0B5845-231C-4B1C-9AE7-2DDC5C5AAA82}" name="PivotTable2" cacheId="2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F14:H31" firstHeaderRow="1" firstDataRow="1" firstDataCol="0"/>
  <pivotFields count="14">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9F4BB-9288-41F3-8948-2D2A1921175C}" name="JUAL-ECOBALI-KEPABRIK" cacheId="21"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V3:AW7" firstHeaderRow="1" firstDataRow="1" firstDataCol="1"/>
  <pivotFields count="32">
    <pivotField numFmtId="14" showAll="0"/>
    <pivotField showAll="0">
      <items count="9">
        <item m="1" x="5"/>
        <item m="1" x="7"/>
        <item m="1" x="6"/>
        <item x="0"/>
        <item x="1"/>
        <item x="2"/>
        <item x="3"/>
        <item m="1" x="4"/>
        <item t="default"/>
      </items>
    </pivotField>
    <pivotField showAll="0"/>
    <pivotField showAll="0"/>
    <pivotField numFmtId="166" showAll="0"/>
    <pivotField numFmtId="166" showAll="0"/>
    <pivotField dataField="1" numFmtId="166" showAll="0"/>
    <pivotField numFmtId="166" showAll="0"/>
    <pivotField numFmtId="164" showAll="0"/>
    <pivotField numFmtId="166" showAll="0"/>
    <pivotField numFmtId="166" showAll="0"/>
    <pivotField showAll="0">
      <items count="3">
        <item x="0"/>
        <item m="1" x="1"/>
        <item t="default"/>
      </items>
    </pivotField>
    <pivotField dataField="1" showAll="0"/>
    <pivotField numFmtId="167" showAll="0"/>
    <pivotField showAll="0"/>
    <pivotField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4">
    <i>
      <x/>
    </i>
    <i i="1">
      <x v="1"/>
    </i>
    <i i="2">
      <x v="2"/>
    </i>
    <i i="3">
      <x v="3"/>
    </i>
  </rowItems>
  <colItems count="1">
    <i/>
  </colItems>
  <dataFields count="4">
    <dataField name="Sum of Delivered to Papermill (Kg)" fld="6" baseField="0" baseItem="0"/>
    <dataField name="Sum of Received at Papermill (Kg)" fld="12" baseField="0" baseItem="0"/>
    <dataField name="Sum of R-S" fld="28" baseField="0" baseItem="0"/>
    <dataField name="Sum of %R-S" fld="30" baseField="0" baseItem="0"/>
  </dataFields>
  <formats count="2">
    <format dxfId="2222">
      <pivotArea collapsedLevelsAreSubtotals="1" fieldPosition="0">
        <references count="1">
          <reference field="4294967294" count="1">
            <x v="0"/>
          </reference>
        </references>
      </pivotArea>
    </format>
    <format dxfId="2221">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41832CC-213E-4E08-9F42-2CA2F2EFE0BD}" name="Region-∑Partisipan" cacheId="104" applyNumberFormats="0" applyBorderFormats="0" applyFontFormats="0" applyPatternFormats="0" applyAlignmentFormats="0" applyWidthHeightFormats="1" dataCaption="Values" grandTotalCaption="TOTAL" updatedVersion="7" minRefreshableVersion="3" useAutoFormatting="1" subtotalHiddenItems="1" itemPrintTitles="1" createdVersion="6" indent="0" outline="1" outlineData="1" multipleFieldFilters="0" chartFormat="22" rowHeaderCaption="Wilayah">
  <location ref="B3:C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 Partisipan" fld="1" subtotal="count" baseField="0" baseItem="0">
      <extLst>
        <ext xmlns:x15="http://schemas.microsoft.com/office/spreadsheetml/2010/11/main" uri="{FABC7310-3BB5-11E1-824E-6D434824019B}">
          <x15:dataField isCountDistinct="1"/>
        </ext>
      </extLst>
    </dataField>
  </dataFields>
  <formats count="43">
    <format dxfId="1450">
      <pivotArea type="all" dataOnly="0" outline="0" fieldPosition="0"/>
    </format>
    <format dxfId="1449">
      <pivotArea outline="0" collapsedLevelsAreSubtotals="1" fieldPosition="0"/>
    </format>
    <format dxfId="1448">
      <pivotArea field="0" type="button" dataOnly="0" labelOnly="1" outline="0" axis="axisRow" fieldPosition="0"/>
    </format>
    <format dxfId="1447">
      <pivotArea dataOnly="0" labelOnly="1" fieldPosition="0">
        <references count="1">
          <reference field="0" count="0"/>
        </references>
      </pivotArea>
    </format>
    <format dxfId="1446">
      <pivotArea dataOnly="0" labelOnly="1" grandRow="1" outline="0" fieldPosition="0"/>
    </format>
    <format dxfId="1445">
      <pivotArea dataOnly="0" labelOnly="1" outline="0" axis="axisValues" fieldPosition="0"/>
    </format>
    <format dxfId="1444">
      <pivotArea field="0" type="button" dataOnly="0" labelOnly="1" outline="0" axis="axisRow" fieldPosition="0"/>
    </format>
    <format dxfId="1443">
      <pivotArea dataOnly="0" labelOnly="1" outline="0" axis="axisValues" fieldPosition="0"/>
    </format>
    <format dxfId="1442">
      <pivotArea field="0" type="button" dataOnly="0" labelOnly="1" outline="0" axis="axisRow" fieldPosition="0"/>
    </format>
    <format dxfId="1441">
      <pivotArea dataOnly="0" labelOnly="1" outline="0" axis="axisValues" fieldPosition="0"/>
    </format>
    <format dxfId="1440">
      <pivotArea field="0" type="button" dataOnly="0" labelOnly="1" outline="0" axis="axisRow" fieldPosition="0"/>
    </format>
    <format dxfId="1439">
      <pivotArea dataOnly="0" labelOnly="1" outline="0" axis="axisValues" fieldPosition="0"/>
    </format>
    <format dxfId="1438">
      <pivotArea field="0" type="button" dataOnly="0" labelOnly="1" outline="0" axis="axisRow" fieldPosition="0"/>
    </format>
    <format dxfId="1437">
      <pivotArea dataOnly="0" labelOnly="1" outline="0" axis="axisValues" fieldPosition="0"/>
    </format>
    <format dxfId="1436">
      <pivotArea grandRow="1" outline="0" collapsedLevelsAreSubtotals="1" fieldPosition="0"/>
    </format>
    <format dxfId="1435">
      <pivotArea dataOnly="0" labelOnly="1" grandRow="1" outline="0" fieldPosition="0"/>
    </format>
    <format dxfId="1434">
      <pivotArea grandRow="1" outline="0" collapsedLevelsAreSubtotals="1" fieldPosition="0"/>
    </format>
    <format dxfId="1433">
      <pivotArea dataOnly="0" labelOnly="1" grandRow="1" outline="0" fieldPosition="0"/>
    </format>
    <format dxfId="1432">
      <pivotArea grandRow="1" outline="0" collapsedLevelsAreSubtotals="1" fieldPosition="0"/>
    </format>
    <format dxfId="1431">
      <pivotArea dataOnly="0" labelOnly="1" grandRow="1" outline="0" fieldPosition="0"/>
    </format>
    <format dxfId="1430">
      <pivotArea field="0" type="button" dataOnly="0" labelOnly="1" outline="0" axis="axisRow" fieldPosition="0"/>
    </format>
    <format dxfId="1429">
      <pivotArea dataOnly="0" labelOnly="1" outline="0" axis="axisValues" fieldPosition="0"/>
    </format>
    <format dxfId="1428">
      <pivotArea grandRow="1" outline="0" collapsedLevelsAreSubtotals="1" fieldPosition="0"/>
    </format>
    <format dxfId="1427">
      <pivotArea dataOnly="0" labelOnly="1" grandRow="1" outline="0" fieldPosition="0"/>
    </format>
    <format dxfId="1426">
      <pivotArea collapsedLevelsAreSubtotals="1" fieldPosition="0">
        <references count="1">
          <reference field="0" count="0"/>
        </references>
      </pivotArea>
    </format>
    <format dxfId="1425">
      <pivotArea dataOnly="0" labelOnly="1" fieldPosition="0">
        <references count="1">
          <reference field="0" count="0"/>
        </references>
      </pivotArea>
    </format>
    <format dxfId="1424">
      <pivotArea field="0" type="button" dataOnly="0" labelOnly="1" outline="0" axis="axisRow" fieldPosition="0"/>
    </format>
    <format dxfId="1423">
      <pivotArea dataOnly="0" labelOnly="1" outline="0" fieldPosition="0">
        <references count="1">
          <reference field="4294967294" count="1">
            <x v="0"/>
          </reference>
        </references>
      </pivotArea>
    </format>
    <format dxfId="1422">
      <pivotArea field="0" type="button" dataOnly="0" labelOnly="1" outline="0" axis="axisRow" fieldPosition="0"/>
    </format>
    <format dxfId="1421">
      <pivotArea dataOnly="0" labelOnly="1" outline="0" fieldPosition="0">
        <references count="1">
          <reference field="4294967294" count="1">
            <x v="0"/>
          </reference>
        </references>
      </pivotArea>
    </format>
    <format dxfId="1420">
      <pivotArea type="all" dataOnly="0" outline="0" fieldPosition="0"/>
    </format>
    <format dxfId="1419">
      <pivotArea outline="0" collapsedLevelsAreSubtotals="1" fieldPosition="0"/>
    </format>
    <format dxfId="1418">
      <pivotArea field="0" type="button" dataOnly="0" labelOnly="1" outline="0" axis="axisRow" fieldPosition="0"/>
    </format>
    <format dxfId="1417">
      <pivotArea dataOnly="0" labelOnly="1" fieldPosition="0">
        <references count="1">
          <reference field="0" count="0"/>
        </references>
      </pivotArea>
    </format>
    <format dxfId="1416">
      <pivotArea dataOnly="0" labelOnly="1" grandRow="1" outline="0" fieldPosition="0"/>
    </format>
    <format dxfId="1415">
      <pivotArea dataOnly="0" labelOnly="1" outline="0" fieldPosition="0">
        <references count="1">
          <reference field="4294967294" count="1">
            <x v="0"/>
          </reference>
        </references>
      </pivotArea>
    </format>
    <format dxfId="1414">
      <pivotArea field="0" type="button" dataOnly="0" labelOnly="1" outline="0" axis="axisRow" fieldPosition="0"/>
    </format>
    <format dxfId="1413">
      <pivotArea dataOnly="0" labelOnly="1" outline="0" fieldPosition="0">
        <references count="1">
          <reference field="4294967294" count="1">
            <x v="0"/>
          </reference>
        </references>
      </pivotArea>
    </format>
    <format dxfId="1412">
      <pivotArea collapsedLevelsAreSubtotals="1" fieldPosition="0">
        <references count="1">
          <reference field="0" count="0"/>
        </references>
      </pivotArea>
    </format>
    <format dxfId="1411">
      <pivotArea dataOnly="0" labelOnly="1" fieldPosition="0">
        <references count="1">
          <reference field="0" count="0"/>
        </references>
      </pivotArea>
    </format>
    <format dxfId="1410">
      <pivotArea grandRow="1" outline="0" collapsedLevelsAreSubtotals="1" fieldPosition="0"/>
    </format>
    <format dxfId="1409">
      <pivotArea field="0" type="button" dataOnly="0" labelOnly="1" outline="0" axis="axisRow" fieldPosition="0"/>
    </format>
    <format dxfId="1408">
      <pivotArea dataOnly="0" labelOnly="1" outline="0" fieldPosition="0">
        <references count="1">
          <reference field="4294967294" count="1">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 Partisipa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EE36D15A-A007-4712-9093-7DF3A3F2EB25}" name="Region-∑UBC" cacheId="113" applyNumberFormats="0" applyBorderFormats="0" applyFontFormats="0" applyPatternFormats="0" applyAlignmentFormats="0" applyWidthHeightFormats="1" dataCaption="Values" grandTotalCaption="Total" updatedVersion="7" minRefreshableVersion="3" useAutoFormatting="1" subtotalHiddenItems="1" itemPrintTitles="1" createdVersion="6" indent="0" outline="1" outlineData="1" multipleFieldFilters="0" chartFormat="1" rowHeaderCaption="Wilayah">
  <location ref="J3:K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 KMK (Kg)" fld="1" baseField="0" baseItem="0"/>
  </dataFields>
  <formats count="22">
    <format dxfId="1472">
      <pivotArea type="all" dataOnly="0" outline="0" fieldPosition="0"/>
    </format>
    <format dxfId="1471">
      <pivotArea outline="0" collapsedLevelsAreSubtotals="1" fieldPosition="0"/>
    </format>
    <format dxfId="1470">
      <pivotArea field="0" type="button" dataOnly="0" labelOnly="1" outline="0" axis="axisRow" fieldPosition="0"/>
    </format>
    <format dxfId="1469">
      <pivotArea dataOnly="0" labelOnly="1" fieldPosition="0">
        <references count="1">
          <reference field="0" count="0"/>
        </references>
      </pivotArea>
    </format>
    <format dxfId="1468">
      <pivotArea dataOnly="0" labelOnly="1" grandRow="1" outline="0" fieldPosition="0"/>
    </format>
    <format dxfId="1467">
      <pivotArea dataOnly="0" labelOnly="1" outline="0" axis="axisValues" fieldPosition="0"/>
    </format>
    <format dxfId="1466">
      <pivotArea type="all" dataOnly="0" outline="0" fieldPosition="0"/>
    </format>
    <format dxfId="1465">
      <pivotArea field="0" type="button" dataOnly="0" labelOnly="1" outline="0" axis="axisRow" fieldPosition="0"/>
    </format>
    <format dxfId="1464">
      <pivotArea dataOnly="0" labelOnly="1" fieldPosition="0">
        <references count="1">
          <reference field="0" count="0"/>
        </references>
      </pivotArea>
    </format>
    <format dxfId="1463">
      <pivotArea dataOnly="0" labelOnly="1" outline="0" axis="axisValues" fieldPosition="0"/>
    </format>
    <format dxfId="1462">
      <pivotArea collapsedLevelsAreSubtotals="1" fieldPosition="0">
        <references count="1">
          <reference field="0" count="0"/>
        </references>
      </pivotArea>
    </format>
    <format dxfId="1461">
      <pivotArea dataOnly="0" labelOnly="1" fieldPosition="0">
        <references count="1">
          <reference field="0" count="0"/>
        </references>
      </pivotArea>
    </format>
    <format dxfId="1460">
      <pivotArea field="0" type="button" dataOnly="0" labelOnly="1" outline="0" axis="axisRow" fieldPosition="0"/>
    </format>
    <format dxfId="1459">
      <pivotArea dataOnly="0" labelOnly="1" outline="0" axis="axisValues" fieldPosition="0"/>
    </format>
    <format dxfId="1458">
      <pivotArea field="0" type="button" dataOnly="0" labelOnly="1" outline="0" axis="axisRow" fieldPosition="0"/>
    </format>
    <format dxfId="1457">
      <pivotArea dataOnly="0" labelOnly="1" outline="0" axis="axisValues" fieldPosition="0"/>
    </format>
    <format dxfId="1456">
      <pivotArea field="0" type="button" dataOnly="0" labelOnly="1" outline="0" axis="axisRow" fieldPosition="0"/>
    </format>
    <format dxfId="1455">
      <pivotArea dataOnly="0" labelOnly="1" outline="0" axis="axisValues" fieldPosition="0"/>
    </format>
    <format dxfId="1454">
      <pivotArea outline="0" collapsedLevelsAreSubtotals="1" fieldPosition="0"/>
    </format>
    <format dxfId="1453">
      <pivotArea dataOnly="0" labelOnly="1" fieldPosition="0">
        <references count="1">
          <reference field="0" count="0"/>
        </references>
      </pivotArea>
    </format>
    <format dxfId="1452">
      <pivotArea dataOnly="0" labelOnly="1" grandRow="1" outline="0" fieldPosition="0"/>
    </format>
    <format dxfId="1451">
      <pivotArea grandRow="1"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FEF15B7-CC3B-40A3-A43A-58F74148EF45}" name="Region-∑Kabupaten" cacheId="101" applyNumberFormats="0" applyBorderFormats="0" applyFontFormats="0" applyPatternFormats="0" applyAlignmentFormats="0" applyWidthHeightFormats="1" dataCaption="Values" grandTotalCaption="TOTAL" updatedVersion="7" minRefreshableVersion="3" useAutoFormatting="1" subtotalHiddenItems="1" itemPrintTitles="1" createdVersion="6" indent="0" outline="1" outlineData="1" multipleFieldFilters="0" chartFormat="1" rowHeaderCaption="Wilayah">
  <location ref="F3:G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Jumlah Kabupaten" fld="1" subtotal="count" baseField="0" baseItem="0">
      <extLst>
        <ext xmlns:x15="http://schemas.microsoft.com/office/spreadsheetml/2010/11/main" uri="{FABC7310-3BB5-11E1-824E-6D434824019B}">
          <x15:dataField isCountDistinct="1"/>
        </ext>
      </extLst>
    </dataField>
  </dataFields>
  <formats count="41">
    <format dxfId="1513">
      <pivotArea type="all" dataOnly="0" outline="0" fieldPosition="0"/>
    </format>
    <format dxfId="1512">
      <pivotArea outline="0" collapsedLevelsAreSubtotals="1" fieldPosition="0"/>
    </format>
    <format dxfId="1511">
      <pivotArea field="0" type="button" dataOnly="0" labelOnly="1" outline="0" axis="axisRow" fieldPosition="0"/>
    </format>
    <format dxfId="1510">
      <pivotArea dataOnly="0" labelOnly="1" fieldPosition="0">
        <references count="1">
          <reference field="0" count="0"/>
        </references>
      </pivotArea>
    </format>
    <format dxfId="1509">
      <pivotArea dataOnly="0" labelOnly="1" grandRow="1" outline="0" fieldPosition="0"/>
    </format>
    <format dxfId="1508">
      <pivotArea dataOnly="0" labelOnly="1" outline="0" axis="axisValues" fieldPosition="0"/>
    </format>
    <format dxfId="1507">
      <pivotArea field="0" type="button" dataOnly="0" labelOnly="1" outline="0" axis="axisRow" fieldPosition="0"/>
    </format>
    <format dxfId="1506">
      <pivotArea dataOnly="0" labelOnly="1" outline="0" axis="axisValues" fieldPosition="0"/>
    </format>
    <format dxfId="1505">
      <pivotArea field="0" type="button" dataOnly="0" labelOnly="1" outline="0" axis="axisRow" fieldPosition="0"/>
    </format>
    <format dxfId="1504">
      <pivotArea dataOnly="0" labelOnly="1" outline="0" axis="axisValues" fieldPosition="0"/>
    </format>
    <format dxfId="1503">
      <pivotArea field="0" type="button" dataOnly="0" labelOnly="1" outline="0" axis="axisRow" fieldPosition="0"/>
    </format>
    <format dxfId="1502">
      <pivotArea dataOnly="0" labelOnly="1" outline="0" axis="axisValues" fieldPosition="0"/>
    </format>
    <format dxfId="1501">
      <pivotArea field="0" type="button" dataOnly="0" labelOnly="1" outline="0" axis="axisRow" fieldPosition="0"/>
    </format>
    <format dxfId="1500">
      <pivotArea dataOnly="0" labelOnly="1" outline="0" axis="axisValues" fieldPosition="0"/>
    </format>
    <format dxfId="1499">
      <pivotArea grandRow="1" outline="0" collapsedLevelsAreSubtotals="1" fieldPosition="0"/>
    </format>
    <format dxfId="1498">
      <pivotArea dataOnly="0" labelOnly="1" grandRow="1" outline="0" fieldPosition="0"/>
    </format>
    <format dxfId="1497">
      <pivotArea grandRow="1" outline="0" collapsedLevelsAreSubtotals="1" fieldPosition="0"/>
    </format>
    <format dxfId="1496">
      <pivotArea dataOnly="0" labelOnly="1" grandRow="1" outline="0" fieldPosition="0"/>
    </format>
    <format dxfId="1495">
      <pivotArea grandRow="1" outline="0" collapsedLevelsAreSubtotals="1" fieldPosition="0"/>
    </format>
    <format dxfId="1494">
      <pivotArea dataOnly="0" labelOnly="1" grandRow="1" outline="0" fieldPosition="0"/>
    </format>
    <format dxfId="1493">
      <pivotArea field="0" type="button" dataOnly="0" labelOnly="1" outline="0" axis="axisRow" fieldPosition="0"/>
    </format>
    <format dxfId="1492">
      <pivotArea dataOnly="0" labelOnly="1" outline="0" axis="axisValues" fieldPosition="0"/>
    </format>
    <format dxfId="1491">
      <pivotArea grandRow="1" outline="0" collapsedLevelsAreSubtotals="1" fieldPosition="0"/>
    </format>
    <format dxfId="1490">
      <pivotArea dataOnly="0" labelOnly="1" grandRow="1" outline="0" fieldPosition="0"/>
    </format>
    <format dxfId="1489">
      <pivotArea collapsedLevelsAreSubtotals="1" fieldPosition="0">
        <references count="1">
          <reference field="0" count="0"/>
        </references>
      </pivotArea>
    </format>
    <format dxfId="1488">
      <pivotArea dataOnly="0" labelOnly="1" fieldPosition="0">
        <references count="1">
          <reference field="0" count="0"/>
        </references>
      </pivotArea>
    </format>
    <format dxfId="1487">
      <pivotArea type="all" dataOnly="0" outline="0" fieldPosition="0"/>
    </format>
    <format dxfId="1486">
      <pivotArea outline="0" collapsedLevelsAreSubtotals="1" fieldPosition="0"/>
    </format>
    <format dxfId="1485">
      <pivotArea field="0" type="button" dataOnly="0" labelOnly="1" outline="0" axis="axisRow" fieldPosition="0"/>
    </format>
    <format dxfId="1484">
      <pivotArea dataOnly="0" labelOnly="1" fieldPosition="0">
        <references count="1">
          <reference field="0" count="0"/>
        </references>
      </pivotArea>
    </format>
    <format dxfId="1483">
      <pivotArea dataOnly="0" labelOnly="1" grandRow="1" outline="0" fieldPosition="0"/>
    </format>
    <format dxfId="1482">
      <pivotArea dataOnly="0" labelOnly="1" outline="0" axis="axisValues" fieldPosition="0"/>
    </format>
    <format dxfId="1481">
      <pivotArea field="0" type="button" dataOnly="0" labelOnly="1" outline="0" axis="axisRow" fieldPosition="0"/>
    </format>
    <format dxfId="1480">
      <pivotArea dataOnly="0" labelOnly="1" outline="0" axis="axisValues" fieldPosition="0"/>
    </format>
    <format dxfId="1479">
      <pivotArea collapsedLevelsAreSubtotals="1" fieldPosition="0">
        <references count="1">
          <reference field="0" count="0"/>
        </references>
      </pivotArea>
    </format>
    <format dxfId="1478">
      <pivotArea dataOnly="0" labelOnly="1" fieldPosition="0">
        <references count="1">
          <reference field="0" count="0"/>
        </references>
      </pivotArea>
    </format>
    <format dxfId="1477">
      <pivotArea grandRow="1" outline="0" collapsedLevelsAreSubtotals="1" fieldPosition="0"/>
    </format>
    <format dxfId="1476">
      <pivotArea field="0" type="button" dataOnly="0" labelOnly="1" outline="0" axis="axisRow" fieldPosition="0"/>
    </format>
    <format dxfId="1475">
      <pivotArea dataOnly="0" labelOnly="1" outline="0" axis="axisValues" fieldPosition="0"/>
    </format>
    <format dxfId="1474">
      <pivotArea grandRow="1" outline="0" collapsedLevelsAreSubtotals="1" fieldPosition="0"/>
    </format>
    <format dxfId="1473">
      <pivotArea dataOnly="0" labelOnly="1" grandRow="1" outline="0"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Jumlah Partisipan"/>
    <pivotHierarchy dragToData="1"/>
    <pivotHierarchy dragToData="1" caption="Jumlah Kabupaten"/>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D02356EE-9755-45CB-BF1A-3D2BA5BC220E}" name="Category-UBC" cacheId="92" applyNumberFormats="0" applyBorderFormats="0" applyFontFormats="0" applyPatternFormats="0" applyAlignmentFormats="0" applyWidthHeightFormats="1" dataCaption="Values" grandTotalCaption="Total" updatedVersion="7" minRefreshableVersion="3" useAutoFormatting="1" subtotalHiddenItems="1" itemPrintTitles="1" createdVersion="6" indent="0" outline="1" outlineData="1" multipleFieldFilters="0" chartFormat="13" rowHeaderCaption="Kategori">
  <location ref="G3:H15"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Sum of ∑ KMK (Kg)" fld="1" baseField="0" baseItem="0"/>
  </dataFields>
  <formats count="30">
    <format dxfId="1314">
      <pivotArea type="all" dataOnly="0" outline="0" fieldPosition="0"/>
    </format>
    <format dxfId="1313">
      <pivotArea outline="0" collapsedLevelsAreSubtotals="1" fieldPosition="0"/>
    </format>
    <format dxfId="1312">
      <pivotArea field="0" type="button" dataOnly="0" labelOnly="1" outline="0" axis="axisRow" fieldPosition="0"/>
    </format>
    <format dxfId="1311">
      <pivotArea dataOnly="0" labelOnly="1" fieldPosition="0">
        <references count="1">
          <reference field="0" count="0"/>
        </references>
      </pivotArea>
    </format>
    <format dxfId="1310">
      <pivotArea dataOnly="0" labelOnly="1" grandRow="1" outline="0" fieldPosition="0"/>
    </format>
    <format dxfId="1309">
      <pivotArea type="all" dataOnly="0" outline="0" fieldPosition="0"/>
    </format>
    <format dxfId="1308">
      <pivotArea outline="0" collapsedLevelsAreSubtotals="1" fieldPosition="0"/>
    </format>
    <format dxfId="1307">
      <pivotArea dataOnly="0" labelOnly="1" fieldPosition="0">
        <references count="1">
          <reference field="0" count="0"/>
        </references>
      </pivotArea>
    </format>
    <format dxfId="1306">
      <pivotArea field="0" type="button" dataOnly="0" labelOnly="1" outline="0" axis="axisRow" fieldPosition="0"/>
    </format>
    <format dxfId="1305">
      <pivotArea grandRow="1" outline="0" collapsedLevelsAreSubtotals="1" fieldPosition="0"/>
    </format>
    <format dxfId="1304">
      <pivotArea dataOnly="0" labelOnly="1" grandRow="1" outline="0" fieldPosition="0"/>
    </format>
    <format dxfId="1303">
      <pivotArea dataOnly="0" fieldPosition="0">
        <references count="1">
          <reference field="0" count="0"/>
        </references>
      </pivotArea>
    </format>
    <format dxfId="1302">
      <pivotArea field="0" type="button" dataOnly="0" labelOnly="1" outline="0" axis="axisRow" fieldPosition="0"/>
    </format>
    <format dxfId="1301">
      <pivotArea field="0" type="button" dataOnly="0" labelOnly="1" outline="0" axis="axisRow" fieldPosition="0"/>
    </format>
    <format dxfId="1300">
      <pivotArea field="0" type="button" dataOnly="0" labelOnly="1" outline="0" axis="axisRow" fieldPosition="0"/>
    </format>
    <format dxfId="1299">
      <pivotArea dataOnly="0" labelOnly="1" fieldPosition="0">
        <references count="1">
          <reference field="0" count="1">
            <x v="1"/>
          </reference>
        </references>
      </pivotArea>
    </format>
    <format dxfId="1298">
      <pivotArea dataOnly="0" labelOnly="1" fieldPosition="0">
        <references count="1">
          <reference field="0" count="1">
            <x v="2"/>
          </reference>
        </references>
      </pivotArea>
    </format>
    <format dxfId="1297">
      <pivotArea dataOnly="0" labelOnly="1" fieldPosition="0">
        <references count="1">
          <reference field="0" count="1">
            <x v="4"/>
          </reference>
        </references>
      </pivotArea>
    </format>
    <format dxfId="1296">
      <pivotArea dataOnly="0" labelOnly="1" fieldPosition="0">
        <references count="1">
          <reference field="0" count="1">
            <x v="5"/>
          </reference>
        </references>
      </pivotArea>
    </format>
    <format dxfId="1295">
      <pivotArea dataOnly="0" labelOnly="1" fieldPosition="0">
        <references count="1">
          <reference field="0" count="1">
            <x v="6"/>
          </reference>
        </references>
      </pivotArea>
    </format>
    <format dxfId="1294">
      <pivotArea dataOnly="0" labelOnly="1" fieldPosition="0">
        <references count="1">
          <reference field="0" count="1">
            <x v="7"/>
          </reference>
        </references>
      </pivotArea>
    </format>
    <format dxfId="1293">
      <pivotArea dataOnly="0" labelOnly="1" fieldPosition="0">
        <references count="1">
          <reference field="0" count="1">
            <x v="8"/>
          </reference>
        </references>
      </pivotArea>
    </format>
    <format dxfId="1292">
      <pivotArea dataOnly="0" labelOnly="1" fieldPosition="0">
        <references count="1">
          <reference field="0" count="1">
            <x v="9"/>
          </reference>
        </references>
      </pivotArea>
    </format>
    <format dxfId="1291">
      <pivotArea dataOnly="0" labelOnly="1" fieldPosition="0">
        <references count="1">
          <reference field="0" count="1">
            <x v="10"/>
          </reference>
        </references>
      </pivotArea>
    </format>
    <format dxfId="1290">
      <pivotArea collapsedLevelsAreSubtotals="1" fieldPosition="0">
        <references count="1">
          <reference field="0" count="0"/>
        </references>
      </pivotArea>
    </format>
    <format dxfId="1289">
      <pivotArea field="0" type="button" dataOnly="0" labelOnly="1" outline="0" axis="axisRow" fieldPosition="0"/>
    </format>
    <format dxfId="1288">
      <pivotArea grandRow="1" outline="0" collapsedLevelsAreSubtotals="1" fieldPosition="0"/>
    </format>
    <format dxfId="1287">
      <pivotArea dataOnly="0" labelOnly="1" grandRow="1" outline="0" fieldPosition="0"/>
    </format>
    <format dxfId="1286">
      <pivotArea dataOnly="0" labelOnly="1" fieldPosition="0">
        <references count="1">
          <reference field="0" count="1">
            <x v="1"/>
          </reference>
        </references>
      </pivotArea>
    </format>
    <format dxfId="1285">
      <pivotArea dataOnly="0" labelOnly="1" fieldPosition="0">
        <references count="1">
          <reference field="0" count="1">
            <x v="0"/>
          </reference>
        </references>
      </pivotArea>
    </format>
  </formats>
  <chartFormats count="24">
    <chartFormat chart="6" format="28" series="1">
      <pivotArea type="data" outline="0" fieldPosition="0">
        <references count="1">
          <reference field="4294967294" count="1" selected="0">
            <x v="0"/>
          </reference>
        </references>
      </pivotArea>
    </chartFormat>
    <chartFormat chart="10" format="57" series="1">
      <pivotArea type="data" outline="0" fieldPosition="0">
        <references count="1">
          <reference field="4294967294" count="1" selected="0">
            <x v="0"/>
          </reference>
        </references>
      </pivotArea>
    </chartFormat>
    <chartFormat chart="10" format="58">
      <pivotArea type="data" outline="0" fieldPosition="0">
        <references count="2">
          <reference field="4294967294" count="1" selected="0">
            <x v="0"/>
          </reference>
          <reference field="0" count="1" selected="0">
            <x v="6"/>
          </reference>
        </references>
      </pivotArea>
    </chartFormat>
    <chartFormat chart="10" format="59">
      <pivotArea type="data" outline="0" fieldPosition="0">
        <references count="2">
          <reference field="4294967294" count="1" selected="0">
            <x v="0"/>
          </reference>
          <reference field="0" count="1" selected="0">
            <x v="5"/>
          </reference>
        </references>
      </pivotArea>
    </chartFormat>
    <chartFormat chart="10" format="60">
      <pivotArea type="data" outline="0" fieldPosition="0">
        <references count="2">
          <reference field="4294967294" count="1" selected="0">
            <x v="0"/>
          </reference>
          <reference field="0" count="1" selected="0">
            <x v="3"/>
          </reference>
        </references>
      </pivotArea>
    </chartFormat>
    <chartFormat chart="10" format="61">
      <pivotArea type="data" outline="0" fieldPosition="0">
        <references count="2">
          <reference field="4294967294" count="1" selected="0">
            <x v="0"/>
          </reference>
          <reference field="0" count="1" selected="0">
            <x v="2"/>
          </reference>
        </references>
      </pivotArea>
    </chartFormat>
    <chartFormat chart="10" format="62">
      <pivotArea type="data" outline="0" fieldPosition="0">
        <references count="2">
          <reference field="4294967294" count="1" selected="0">
            <x v="0"/>
          </reference>
          <reference field="0" count="1" selected="0">
            <x v="10"/>
          </reference>
        </references>
      </pivotArea>
    </chartFormat>
    <chartFormat chart="10" format="63">
      <pivotArea type="data" outline="0" fieldPosition="0">
        <references count="2">
          <reference field="4294967294" count="1" selected="0">
            <x v="0"/>
          </reference>
          <reference field="0" count="1" selected="0">
            <x v="9"/>
          </reference>
        </references>
      </pivotArea>
    </chartFormat>
    <chartFormat chart="10" format="64">
      <pivotArea type="data" outline="0" fieldPosition="0">
        <references count="2">
          <reference field="4294967294" count="1" selected="0">
            <x v="0"/>
          </reference>
          <reference field="0" count="1" selected="0">
            <x v="8"/>
          </reference>
        </references>
      </pivotArea>
    </chartFormat>
    <chartFormat chart="10" format="65">
      <pivotArea type="data" outline="0" fieldPosition="0">
        <references count="2">
          <reference field="4294967294" count="1" selected="0">
            <x v="0"/>
          </reference>
          <reference field="0" count="1" selected="0">
            <x v="0"/>
          </reference>
        </references>
      </pivotArea>
    </chartFormat>
    <chartFormat chart="10" format="66">
      <pivotArea type="data" outline="0" fieldPosition="0">
        <references count="2">
          <reference field="4294967294" count="1" selected="0">
            <x v="0"/>
          </reference>
          <reference field="0" count="1" selected="0">
            <x v="1"/>
          </reference>
        </references>
      </pivotArea>
    </chartFormat>
    <chartFormat chart="10" format="67">
      <pivotArea type="data" outline="0" fieldPosition="0">
        <references count="2">
          <reference field="4294967294" count="1" selected="0">
            <x v="0"/>
          </reference>
          <reference field="0" count="1" selected="0">
            <x v="7"/>
          </reference>
        </references>
      </pivotArea>
    </chartFormat>
    <chartFormat chart="10" format="68">
      <pivotArea type="data" outline="0" fieldPosition="0">
        <references count="2">
          <reference field="4294967294" count="1" selected="0">
            <x v="0"/>
          </reference>
          <reference field="0" count="1" selected="0">
            <x v="4"/>
          </reference>
        </references>
      </pivotArea>
    </chartFormat>
    <chartFormat chart="6" format="29">
      <pivotArea type="data" outline="0" fieldPosition="0">
        <references count="2">
          <reference field="4294967294" count="1" selected="0">
            <x v="0"/>
          </reference>
          <reference field="0" count="1" selected="0">
            <x v="0"/>
          </reference>
        </references>
      </pivotArea>
    </chartFormat>
    <chartFormat chart="6" format="30">
      <pivotArea type="data" outline="0" fieldPosition="0">
        <references count="2">
          <reference field="4294967294" count="1" selected="0">
            <x v="0"/>
          </reference>
          <reference field="0" count="1" selected="0">
            <x v="1"/>
          </reference>
        </references>
      </pivotArea>
    </chartFormat>
    <chartFormat chart="6" format="31">
      <pivotArea type="data" outline="0" fieldPosition="0">
        <references count="2">
          <reference field="4294967294" count="1" selected="0">
            <x v="0"/>
          </reference>
          <reference field="0" count="1" selected="0">
            <x v="2"/>
          </reference>
        </references>
      </pivotArea>
    </chartFormat>
    <chartFormat chart="6" format="32">
      <pivotArea type="data" outline="0" fieldPosition="0">
        <references count="2">
          <reference field="4294967294" count="1" selected="0">
            <x v="0"/>
          </reference>
          <reference field="0" count="1" selected="0">
            <x v="3"/>
          </reference>
        </references>
      </pivotArea>
    </chartFormat>
    <chartFormat chart="6" format="33">
      <pivotArea type="data" outline="0" fieldPosition="0">
        <references count="2">
          <reference field="4294967294" count="1" selected="0">
            <x v="0"/>
          </reference>
          <reference field="0" count="1" selected="0">
            <x v="4"/>
          </reference>
        </references>
      </pivotArea>
    </chartFormat>
    <chartFormat chart="6" format="34">
      <pivotArea type="data" outline="0" fieldPosition="0">
        <references count="2">
          <reference field="4294967294" count="1" selected="0">
            <x v="0"/>
          </reference>
          <reference field="0" count="1" selected="0">
            <x v="5"/>
          </reference>
        </references>
      </pivotArea>
    </chartFormat>
    <chartFormat chart="6" format="35">
      <pivotArea type="data" outline="0" fieldPosition="0">
        <references count="2">
          <reference field="4294967294" count="1" selected="0">
            <x v="0"/>
          </reference>
          <reference field="0" count="1" selected="0">
            <x v="6"/>
          </reference>
        </references>
      </pivotArea>
    </chartFormat>
    <chartFormat chart="6" format="36">
      <pivotArea type="data" outline="0" fieldPosition="0">
        <references count="2">
          <reference field="4294967294" count="1" selected="0">
            <x v="0"/>
          </reference>
          <reference field="0" count="1" selected="0">
            <x v="7"/>
          </reference>
        </references>
      </pivotArea>
    </chartFormat>
    <chartFormat chart="6" format="37">
      <pivotArea type="data" outline="0" fieldPosition="0">
        <references count="2">
          <reference field="4294967294" count="1" selected="0">
            <x v="0"/>
          </reference>
          <reference field="0" count="1" selected="0">
            <x v="8"/>
          </reference>
        </references>
      </pivotArea>
    </chartFormat>
    <chartFormat chart="6" format="38">
      <pivotArea type="data" outline="0" fieldPosition="0">
        <references count="2">
          <reference field="4294967294" count="1" selected="0">
            <x v="0"/>
          </reference>
          <reference field="0" count="1" selected="0">
            <x v="9"/>
          </reference>
        </references>
      </pivotArea>
    </chartFormat>
    <chartFormat chart="6" format="39">
      <pivotArea type="data" outline="0" fieldPosition="0">
        <references count="2">
          <reference field="4294967294" count="1" selected="0">
            <x v="0"/>
          </reference>
          <reference field="0" count="1" selected="0">
            <x v="1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640C4D5C-6450-4B88-A68D-A36F238B1675}" name="Category-UBC Total" cacheId="119" applyNumberFormats="0" applyBorderFormats="0" applyFontFormats="0" applyPatternFormats="0" applyAlignmentFormats="0" applyWidthHeightFormats="1" dataCaption="Values" grandTotalCaption="Total" updatedVersion="7" minRefreshableVersion="3" useAutoFormatting="1" subtotalHiddenItems="1" itemPrintTitles="1" createdVersion="6" indent="0" outline="1" outlineData="1" multipleFieldFilters="0" chartFormat="17" rowHeaderCaption="Kategori">
  <location ref="L3:M15" firstHeaderRow="1" firstDataRow="1" firstDataCol="1"/>
  <pivotFields count="4">
    <pivotField axis="axisRow" allDrilled="1" subtotalTop="0" showAll="0" dataSourceSort="1" defaultSubtotal="0">
      <items count="11">
        <item x="0" e="0"/>
        <item x="1" e="0"/>
        <item x="2" e="0"/>
        <item x="3" e="0"/>
        <item x="4" e="0"/>
        <item x="5" e="0"/>
        <item x="6" e="0"/>
        <item x="7" e="0"/>
        <item x="8" e="0"/>
        <item x="9" e="0"/>
        <item x="10"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12">
    <i>
      <x/>
    </i>
    <i>
      <x v="1"/>
    </i>
    <i>
      <x v="2"/>
    </i>
    <i>
      <x v="3"/>
    </i>
    <i>
      <x v="4"/>
    </i>
    <i>
      <x v="5"/>
    </i>
    <i>
      <x v="6"/>
    </i>
    <i>
      <x v="7"/>
    </i>
    <i>
      <x v="8"/>
    </i>
    <i>
      <x v="9"/>
    </i>
    <i>
      <x v="10"/>
    </i>
    <i t="grand">
      <x/>
    </i>
  </rowItems>
  <colItems count="1">
    <i/>
  </colItems>
  <dataFields count="1">
    <dataField name="Sum of ∑ KMK (Kg)" fld="2" baseField="0" baseItem="0"/>
  </dataFields>
  <formats count="31">
    <format dxfId="1345">
      <pivotArea type="all" dataOnly="0" outline="0" fieldPosition="0"/>
    </format>
    <format dxfId="1344">
      <pivotArea outline="0" collapsedLevelsAreSubtotals="1" fieldPosition="0"/>
    </format>
    <format dxfId="1343">
      <pivotArea field="0" type="button" dataOnly="0" labelOnly="1" outline="0" axis="axisRow" fieldPosition="0"/>
    </format>
    <format dxfId="1342">
      <pivotArea dataOnly="0" labelOnly="1" fieldPosition="0">
        <references count="1">
          <reference field="0" count="0"/>
        </references>
      </pivotArea>
    </format>
    <format dxfId="1341">
      <pivotArea dataOnly="0" labelOnly="1" grandRow="1" outline="0" fieldPosition="0"/>
    </format>
    <format dxfId="1340">
      <pivotArea type="all" dataOnly="0" outline="0" fieldPosition="0"/>
    </format>
    <format dxfId="1339">
      <pivotArea outline="0" collapsedLevelsAreSubtotals="1" fieldPosition="0"/>
    </format>
    <format dxfId="1338">
      <pivotArea dataOnly="0" labelOnly="1" fieldPosition="0">
        <references count="1">
          <reference field="0" count="0"/>
        </references>
      </pivotArea>
    </format>
    <format dxfId="1337">
      <pivotArea field="0" type="button" dataOnly="0" labelOnly="1" outline="0" axis="axisRow" fieldPosition="0"/>
    </format>
    <format dxfId="1336">
      <pivotArea grandRow="1" outline="0" collapsedLevelsAreSubtotals="1" fieldPosition="0"/>
    </format>
    <format dxfId="1335">
      <pivotArea dataOnly="0" labelOnly="1" grandRow="1" outline="0" fieldPosition="0"/>
    </format>
    <format dxfId="1334">
      <pivotArea dataOnly="0" fieldPosition="0">
        <references count="1">
          <reference field="0" count="0"/>
        </references>
      </pivotArea>
    </format>
    <format dxfId="1333">
      <pivotArea field="0" type="button" dataOnly="0" labelOnly="1" outline="0" axis="axisRow" fieldPosition="0"/>
    </format>
    <format dxfId="1332">
      <pivotArea field="0" type="button" dataOnly="0" labelOnly="1" outline="0" axis="axisRow" fieldPosition="0"/>
    </format>
    <format dxfId="1331">
      <pivotArea field="0" type="button" dataOnly="0" labelOnly="1" outline="0" axis="axisRow" fieldPosition="0"/>
    </format>
    <format dxfId="1330">
      <pivotArea dataOnly="0" labelOnly="1" fieldPosition="0">
        <references count="1">
          <reference field="0" count="1">
            <x v="1"/>
          </reference>
        </references>
      </pivotArea>
    </format>
    <format dxfId="1329">
      <pivotArea dataOnly="0" labelOnly="1" fieldPosition="0">
        <references count="1">
          <reference field="0" count="1">
            <x v="2"/>
          </reference>
        </references>
      </pivotArea>
    </format>
    <format dxfId="1328">
      <pivotArea dataOnly="0" labelOnly="1" fieldPosition="0">
        <references count="1">
          <reference field="0" count="1">
            <x v="4"/>
          </reference>
        </references>
      </pivotArea>
    </format>
    <format dxfId="1327">
      <pivotArea dataOnly="0" labelOnly="1" fieldPosition="0">
        <references count="1">
          <reference field="0" count="1">
            <x v="5"/>
          </reference>
        </references>
      </pivotArea>
    </format>
    <format dxfId="1326">
      <pivotArea dataOnly="0" labelOnly="1" fieldPosition="0">
        <references count="1">
          <reference field="0" count="1">
            <x v="6"/>
          </reference>
        </references>
      </pivotArea>
    </format>
    <format dxfId="1325">
      <pivotArea dataOnly="0" labelOnly="1" fieldPosition="0">
        <references count="1">
          <reference field="0" count="1">
            <x v="7"/>
          </reference>
        </references>
      </pivotArea>
    </format>
    <format dxfId="1324">
      <pivotArea dataOnly="0" labelOnly="1" fieldPosition="0">
        <references count="1">
          <reference field="0" count="1">
            <x v="8"/>
          </reference>
        </references>
      </pivotArea>
    </format>
    <format dxfId="1323">
      <pivotArea dataOnly="0" labelOnly="1" fieldPosition="0">
        <references count="1">
          <reference field="0" count="1">
            <x v="9"/>
          </reference>
        </references>
      </pivotArea>
    </format>
    <format dxfId="1322">
      <pivotArea dataOnly="0" labelOnly="1" fieldPosition="0">
        <references count="1">
          <reference field="0" count="1">
            <x v="10"/>
          </reference>
        </references>
      </pivotArea>
    </format>
    <format dxfId="1321">
      <pivotArea collapsedLevelsAreSubtotals="1" fieldPosition="0">
        <references count="1">
          <reference field="0" count="0"/>
        </references>
      </pivotArea>
    </format>
    <format dxfId="1320">
      <pivotArea field="0" type="button" dataOnly="0" labelOnly="1" outline="0" axis="axisRow" fieldPosition="0"/>
    </format>
    <format dxfId="1319">
      <pivotArea grandRow="1" outline="0" collapsedLevelsAreSubtotals="1" fieldPosition="0"/>
    </format>
    <format dxfId="1318">
      <pivotArea dataOnly="0" labelOnly="1" grandRow="1" outline="0" fieldPosition="0"/>
    </format>
    <format dxfId="1317">
      <pivotArea dataOnly="0" labelOnly="1" fieldPosition="0">
        <references count="1">
          <reference field="0" count="1">
            <x v="1"/>
          </reference>
        </references>
      </pivotArea>
    </format>
    <format dxfId="1316">
      <pivotArea outline="0" collapsedLevelsAreSubtotals="1" fieldPosition="0"/>
    </format>
    <format dxfId="1315">
      <pivotArea dataOnly="0" labelOnly="1" fieldPosition="0">
        <references count="1">
          <reference field="0" count="1">
            <x v="0"/>
          </reference>
        </references>
      </pivotArea>
    </format>
  </formats>
  <chartFormats count="13">
    <chartFormat chart="14" format="11" series="1">
      <pivotArea type="data" outline="0" fieldPosition="0">
        <references count="1">
          <reference field="4294967294" count="1" selected="0">
            <x v="0"/>
          </reference>
        </references>
      </pivotArea>
    </chartFormat>
    <chartFormat chart="16" format="34" series="1">
      <pivotArea type="data" outline="0" fieldPosition="0">
        <references count="1">
          <reference field="4294967294" count="1" selected="0">
            <x v="0"/>
          </reference>
        </references>
      </pivotArea>
    </chartFormat>
    <chartFormat chart="16" format="35">
      <pivotArea type="data" outline="0" fieldPosition="0">
        <references count="2">
          <reference field="4294967294" count="1" selected="0">
            <x v="0"/>
          </reference>
          <reference field="0" count="1" selected="0">
            <x v="10"/>
          </reference>
        </references>
      </pivotArea>
    </chartFormat>
    <chartFormat chart="16" format="36">
      <pivotArea type="data" outline="0" fieldPosition="0">
        <references count="2">
          <reference field="4294967294" count="1" selected="0">
            <x v="0"/>
          </reference>
          <reference field="0" count="1" selected="0">
            <x v="9"/>
          </reference>
        </references>
      </pivotArea>
    </chartFormat>
    <chartFormat chart="16" format="37">
      <pivotArea type="data" outline="0" fieldPosition="0">
        <references count="2">
          <reference field="4294967294" count="1" selected="0">
            <x v="0"/>
          </reference>
          <reference field="0" count="1" selected="0">
            <x v="8"/>
          </reference>
        </references>
      </pivotArea>
    </chartFormat>
    <chartFormat chart="16" format="38">
      <pivotArea type="data" outline="0" fieldPosition="0">
        <references count="2">
          <reference field="4294967294" count="1" selected="0">
            <x v="0"/>
          </reference>
          <reference field="0" count="1" selected="0">
            <x v="6"/>
          </reference>
        </references>
      </pivotArea>
    </chartFormat>
    <chartFormat chart="16" format="39">
      <pivotArea type="data" outline="0" fieldPosition="0">
        <references count="2">
          <reference field="4294967294" count="1" selected="0">
            <x v="0"/>
          </reference>
          <reference field="0" count="1" selected="0">
            <x v="5"/>
          </reference>
        </references>
      </pivotArea>
    </chartFormat>
    <chartFormat chart="16" format="40">
      <pivotArea type="data" outline="0" fieldPosition="0">
        <references count="2">
          <reference field="4294967294" count="1" selected="0">
            <x v="0"/>
          </reference>
          <reference field="0" count="1" selected="0">
            <x v="3"/>
          </reference>
        </references>
      </pivotArea>
    </chartFormat>
    <chartFormat chart="16" format="41">
      <pivotArea type="data" outline="0" fieldPosition="0">
        <references count="2">
          <reference field="4294967294" count="1" selected="0">
            <x v="0"/>
          </reference>
          <reference field="0" count="1" selected="0">
            <x v="2"/>
          </reference>
        </references>
      </pivotArea>
    </chartFormat>
    <chartFormat chart="16" format="42">
      <pivotArea type="data" outline="0" fieldPosition="0">
        <references count="2">
          <reference field="4294967294" count="1" selected="0">
            <x v="0"/>
          </reference>
          <reference field="0" count="1" selected="0">
            <x v="7"/>
          </reference>
        </references>
      </pivotArea>
    </chartFormat>
    <chartFormat chart="16" format="43">
      <pivotArea type="data" outline="0" fieldPosition="0">
        <references count="2">
          <reference field="4294967294" count="1" selected="0">
            <x v="0"/>
          </reference>
          <reference field="0" count="1" selected="0">
            <x v="1"/>
          </reference>
        </references>
      </pivotArea>
    </chartFormat>
    <chartFormat chart="16" format="44">
      <pivotArea type="data" outline="0" fieldPosition="0">
        <references count="2">
          <reference field="4294967294" count="1" selected="0">
            <x v="0"/>
          </reference>
          <reference field="0" count="1" selected="0">
            <x v="0"/>
          </reference>
        </references>
      </pivotArea>
    </chartFormat>
    <chartFormat chart="16" format="45">
      <pivotArea type="data" outline="0" fieldPosition="0">
        <references count="2">
          <reference field="4294967294" count="1" selected="0">
            <x v="0"/>
          </reference>
          <reference field="0" count="1" selected="0">
            <x v="4"/>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2">
    <rowHierarchyUsage hierarchyUsage="16"/>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3AB6CA2A-E80B-4C5C-AA64-0BFBDAA56DFC}" name="Category-Participants UBC" cacheId="98" applyNumberFormats="0" applyBorderFormats="0" applyFontFormats="0" applyPatternFormats="0" applyAlignmentFormats="0" applyWidthHeightFormats="1" dataCaption="Values" grandTotalCaption="Total" updatedVersion="7" minRefreshableVersion="3" useAutoFormatting="1" subtotalHiddenItems="1" itemPrintTitles="1" createdVersion="6" indent="0" compact="0" compactData="0" multipleFieldFilters="0" chartFormat="17">
  <location ref="B3:D15" firstHeaderRow="0" firstDataRow="1" firstDataCol="1"/>
  <pivotFields count="4">
    <pivotField axis="axisRow" compact="0" allDrilled="1" outline="0" showAll="0" dataSourceSort="1" defaultSubtotal="0" defaultAttributeDrillState="1">
      <items count="11">
        <item x="0"/>
        <item x="1"/>
        <item x="2"/>
        <item x="3"/>
        <item x="4"/>
        <item x="5"/>
        <item x="6"/>
        <item x="7"/>
        <item x="8"/>
        <item x="9"/>
        <item x="10"/>
      </items>
    </pivotField>
    <pivotField dataField="1" compact="0" outline="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 Partisipan" fld="1" subtotal="count" baseField="0" baseItem="0">
      <extLst>
        <ext xmlns:x15="http://schemas.microsoft.com/office/spreadsheetml/2010/11/main" uri="{FABC7310-3BB5-11E1-824E-6D434824019B}">
          <x15:dataField isCountDistinct="1"/>
        </ext>
      </extLst>
    </dataField>
    <dataField name="% Partisipan" fld="2" subtotal="count" showDataAs="percentOfTotal" baseField="0" baseItem="2" numFmtId="10"/>
  </dataFields>
  <formats count="62">
    <format dxfId="1407">
      <pivotArea dataOnly="0" labelOnly="1" outline="0" axis="axisValues" fieldPosition="0"/>
    </format>
    <format dxfId="1406">
      <pivotArea field="0" type="button" dataOnly="0" labelOnly="1" outline="0" axis="axisRow" fieldPosition="0"/>
    </format>
    <format dxfId="1405">
      <pivotArea dataOnly="0" labelOnly="1" outline="0" axis="axisValues" fieldPosition="0"/>
    </format>
    <format dxfId="1404">
      <pivotArea field="0" type="button" dataOnly="0" labelOnly="1" outline="0" axis="axisRow" fieldPosition="0"/>
    </format>
    <format dxfId="1403">
      <pivotArea dataOnly="0" labelOnly="1" outline="0" axis="axisValues" fieldPosition="0"/>
    </format>
    <format dxfId="1402">
      <pivotArea field="0" type="button" dataOnly="0" labelOnly="1" outline="0" axis="axisRow" fieldPosition="0"/>
    </format>
    <format dxfId="1401">
      <pivotArea dataOnly="0" labelOnly="1" outline="0" axis="axisValues" fieldPosition="0"/>
    </format>
    <format dxfId="1400">
      <pivotArea field="0" type="button" dataOnly="0" labelOnly="1" outline="0" axis="axisRow" fieldPosition="0"/>
    </format>
    <format dxfId="1399">
      <pivotArea dataOnly="0" labelOnly="1" outline="0" axis="axisValues" fieldPosition="0"/>
    </format>
    <format dxfId="1398">
      <pivotArea grandRow="1" outline="0" collapsedLevelsAreSubtotals="1" fieldPosition="0"/>
    </format>
    <format dxfId="1397">
      <pivotArea dataOnly="0" labelOnly="1" grandRow="1" outline="0" fieldPosition="0"/>
    </format>
    <format dxfId="1396">
      <pivotArea grandRow="1" outline="0" collapsedLevelsAreSubtotals="1" fieldPosition="0"/>
    </format>
    <format dxfId="1395">
      <pivotArea dataOnly="0" labelOnly="1" grandRow="1" outline="0" fieldPosition="0"/>
    </format>
    <format dxfId="1394">
      <pivotArea outline="0" fieldPosition="0">
        <references count="1">
          <reference field="0" count="0" selected="0"/>
        </references>
      </pivotArea>
    </format>
    <format dxfId="1393">
      <pivotArea field="0" type="button" dataOnly="0" labelOnly="1" outline="0" axis="axisRow" fieldPosition="0"/>
    </format>
    <format dxfId="1392">
      <pivotArea dataOnly="0" labelOnly="1" outline="0" axis="axisValues" fieldPosition="0"/>
    </format>
    <format dxfId="1391">
      <pivotArea grandRow="1" outline="0" collapsedLevelsAreSubtotals="1" fieldPosition="0"/>
    </format>
    <format dxfId="1390">
      <pivotArea dataOnly="0" labelOnly="1" grandRow="1" outline="0" fieldPosition="0"/>
    </format>
    <format dxfId="1389">
      <pivotArea dataOnly="0" outline="0" fieldPosition="0">
        <references count="1">
          <reference field="0" count="0"/>
        </references>
      </pivotArea>
    </format>
    <format dxfId="1388">
      <pivotArea outline="0" fieldPosition="0">
        <references count="1">
          <reference field="4294967294" count="1">
            <x v="1"/>
          </reference>
        </references>
      </pivotArea>
    </format>
    <format dxfId="1387">
      <pivotArea outline="0" fieldPosition="0">
        <references count="2">
          <reference field="4294967294" count="1" selected="0">
            <x v="1"/>
          </reference>
          <reference field="0" count="0" selected="0"/>
        </references>
      </pivotArea>
    </format>
    <format dxfId="1386">
      <pivotArea field="0" type="button" dataOnly="0" labelOnly="1" outline="0" axis="axisRow" fieldPosition="0"/>
    </format>
    <format dxfId="1385">
      <pivotArea dataOnly="0" labelOnly="1" outline="0" fieldPosition="0">
        <references count="1">
          <reference field="4294967294" count="2">
            <x v="0"/>
            <x v="1"/>
          </reference>
        </references>
      </pivotArea>
    </format>
    <format dxfId="1384">
      <pivotArea field="0" type="button" dataOnly="0" labelOnly="1" outline="0" axis="axisRow" fieldPosition="0"/>
    </format>
    <format dxfId="1383">
      <pivotArea dataOnly="0" labelOnly="1" outline="0" fieldPosition="0">
        <references count="1">
          <reference field="4294967294" count="2">
            <x v="0"/>
            <x v="1"/>
          </reference>
        </references>
      </pivotArea>
    </format>
    <format dxfId="1382">
      <pivotArea field="0" type="button" dataOnly="0" labelOnly="1" outline="0" axis="axisRow" fieldPosition="0"/>
    </format>
    <format dxfId="1381">
      <pivotArea dataOnly="0" labelOnly="1" outline="0" fieldPosition="0">
        <references count="1">
          <reference field="4294967294" count="2">
            <x v="0"/>
            <x v="1"/>
          </reference>
        </references>
      </pivotArea>
    </format>
    <format dxfId="1380">
      <pivotArea field="0" type="button" dataOnly="0" labelOnly="1" outline="0" axis="axisRow" fieldPosition="0"/>
    </format>
    <format dxfId="1379">
      <pivotArea dataOnly="0" labelOnly="1" outline="0" fieldPosition="0">
        <references count="1">
          <reference field="4294967294" count="2">
            <x v="0"/>
            <x v="1"/>
          </reference>
        </references>
      </pivotArea>
    </format>
    <format dxfId="1378">
      <pivotArea dataOnly="0" labelOnly="1" outline="0" fieldPosition="0">
        <references count="1">
          <reference field="4294967294" count="2">
            <x v="0"/>
            <x v="1"/>
          </reference>
        </references>
      </pivotArea>
    </format>
    <format dxfId="1377">
      <pivotArea dataOnly="0" labelOnly="1" outline="0" fieldPosition="0">
        <references count="1">
          <reference field="0" count="1">
            <x v="1"/>
          </reference>
        </references>
      </pivotArea>
    </format>
    <format dxfId="1376">
      <pivotArea dataOnly="0" labelOnly="1" outline="0" fieldPosition="0">
        <references count="1">
          <reference field="0" count="1">
            <x v="2"/>
          </reference>
        </references>
      </pivotArea>
    </format>
    <format dxfId="1375">
      <pivotArea dataOnly="0" labelOnly="1" outline="0" fieldPosition="0">
        <references count="1">
          <reference field="0" count="1">
            <x v="4"/>
          </reference>
        </references>
      </pivotArea>
    </format>
    <format dxfId="1374">
      <pivotArea dataOnly="0" labelOnly="1" outline="0" fieldPosition="0">
        <references count="1">
          <reference field="0" count="1">
            <x v="5"/>
          </reference>
        </references>
      </pivotArea>
    </format>
    <format dxfId="1373">
      <pivotArea dataOnly="0" labelOnly="1" outline="0" fieldPosition="0">
        <references count="1">
          <reference field="0" count="1">
            <x v="6"/>
          </reference>
        </references>
      </pivotArea>
    </format>
    <format dxfId="1372">
      <pivotArea dataOnly="0" labelOnly="1" outline="0" fieldPosition="0">
        <references count="1">
          <reference field="0" count="1">
            <x v="7"/>
          </reference>
        </references>
      </pivotArea>
    </format>
    <format dxfId="1371">
      <pivotArea dataOnly="0" labelOnly="1" outline="0" fieldPosition="0">
        <references count="1">
          <reference field="0" count="1">
            <x v="8"/>
          </reference>
        </references>
      </pivotArea>
    </format>
    <format dxfId="1370">
      <pivotArea dataOnly="0" labelOnly="1" outline="0" fieldPosition="0">
        <references count="1">
          <reference field="0" count="1">
            <x v="9"/>
          </reference>
        </references>
      </pivotArea>
    </format>
    <format dxfId="1369">
      <pivotArea dataOnly="0" labelOnly="1" outline="0" fieldPosition="0">
        <references count="1">
          <reference field="0" count="1">
            <x v="10"/>
          </reference>
        </references>
      </pivotArea>
    </format>
    <format dxfId="1368">
      <pivotArea grandRow="1" outline="0" collapsedLevelsAreSubtotals="1" fieldPosition="0"/>
    </format>
    <format dxfId="1367">
      <pivotArea dataOnly="0" labelOnly="1" grandRow="1" outline="0" fieldPosition="0"/>
    </format>
    <format dxfId="1366">
      <pivotArea field="0" type="button" dataOnly="0" labelOnly="1" outline="0" axis="axisRow" fieldPosition="0"/>
    </format>
    <format dxfId="1365">
      <pivotArea dataOnly="0" labelOnly="1" outline="0" fieldPosition="0">
        <references count="1">
          <reference field="4294967294" count="2">
            <x v="0"/>
            <x v="1"/>
          </reference>
        </references>
      </pivotArea>
    </format>
    <format dxfId="1364">
      <pivotArea field="0" type="button" dataOnly="0" labelOnly="1" outline="0" axis="axisRow" fieldPosition="0"/>
    </format>
    <format dxfId="1363">
      <pivotArea dataOnly="0" labelOnly="1" outline="0" fieldPosition="0">
        <references count="1">
          <reference field="4294967294" count="2">
            <x v="0"/>
            <x v="1"/>
          </reference>
        </references>
      </pivotArea>
    </format>
    <format dxfId="1362">
      <pivotArea outline="0" fieldPosition="0">
        <references count="1">
          <reference field="0" count="0" selected="0"/>
        </references>
      </pivotArea>
    </format>
    <format dxfId="1361">
      <pivotArea grandRow="1" outline="0" collapsedLevelsAreSubtotals="1" fieldPosition="0"/>
    </format>
    <format dxfId="1360">
      <pivotArea grandRow="1" outline="0" collapsedLevelsAreSubtotals="1" fieldPosition="0"/>
    </format>
    <format dxfId="1359">
      <pivotArea field="0" type="button" dataOnly="0" labelOnly="1" outline="0" axis="axisRow" fieldPosition="0"/>
    </format>
    <format dxfId="1358">
      <pivotArea dataOnly="0" labelOnly="1" outline="0" fieldPosition="0">
        <references count="1">
          <reference field="4294967294" count="2">
            <x v="0"/>
            <x v="1"/>
          </reference>
        </references>
      </pivotArea>
    </format>
    <format dxfId="1357">
      <pivotArea field="0" type="button" dataOnly="0" labelOnly="1" outline="0" axis="axisRow" fieldPosition="0"/>
    </format>
    <format dxfId="1356">
      <pivotArea dataOnly="0" labelOnly="1" outline="0" fieldPosition="0">
        <references count="1">
          <reference field="4294967294" count="2">
            <x v="0"/>
            <x v="1"/>
          </reference>
        </references>
      </pivotArea>
    </format>
    <format dxfId="1355">
      <pivotArea dataOnly="0" labelOnly="1" outline="0" fieldPosition="0">
        <references count="1">
          <reference field="0" count="0"/>
        </references>
      </pivotArea>
    </format>
    <format dxfId="1354">
      <pivotArea dataOnly="0" labelOnly="1" grandRow="1" outline="0" fieldPosition="0"/>
    </format>
    <format dxfId="1353">
      <pivotArea outline="0" fieldPosition="0">
        <references count="1">
          <reference field="0" count="0" selected="0"/>
        </references>
      </pivotArea>
    </format>
    <format dxfId="1352">
      <pivotArea dataOnly="0" labelOnly="1" outline="0" fieldPosition="0">
        <references count="1">
          <reference field="0" count="0"/>
        </references>
      </pivotArea>
    </format>
    <format dxfId="1351">
      <pivotArea field="0" type="button" dataOnly="0" labelOnly="1" outline="0" axis="axisRow" fieldPosition="0"/>
    </format>
    <format dxfId="1350">
      <pivotArea dataOnly="0" labelOnly="1" outline="0" fieldPosition="0">
        <references count="1">
          <reference field="4294967294" count="2">
            <x v="0"/>
            <x v="1"/>
          </reference>
        </references>
      </pivotArea>
    </format>
    <format dxfId="1349">
      <pivotArea grandRow="1" outline="0" collapsedLevelsAreSubtotals="1" fieldPosition="0"/>
    </format>
    <format dxfId="1348">
      <pivotArea dataOnly="0" labelOnly="1" grandRow="1" outline="0" fieldPosition="0"/>
    </format>
    <format dxfId="1347">
      <pivotArea dataOnly="0" labelOnly="1" outline="0" fieldPosition="0">
        <references count="1">
          <reference field="0" count="1">
            <x v="1"/>
          </reference>
        </references>
      </pivotArea>
    </format>
    <format dxfId="1346">
      <pivotArea dataOnly="0" labelOnly="1" outline="0" fieldPosition="0">
        <references count="1">
          <reference field="0" count="1">
            <x v="0"/>
          </reference>
        </references>
      </pivotArea>
    </format>
  </formats>
  <chartFormats count="4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12" format="5">
      <pivotArea type="data" outline="0" fieldPosition="0">
        <references count="2">
          <reference field="4294967294" count="1" selected="0">
            <x v="0"/>
          </reference>
          <reference field="0" count="1" selected="0">
            <x v="4"/>
          </reference>
        </references>
      </pivotArea>
    </chartFormat>
    <chartFormat chart="12" format="6">
      <pivotArea type="data" outline="0" fieldPosition="0">
        <references count="2">
          <reference field="4294967294" count="1" selected="0">
            <x v="0"/>
          </reference>
          <reference field="0" count="1" selected="0">
            <x v="5"/>
          </reference>
        </references>
      </pivotArea>
    </chartFormat>
    <chartFormat chart="12" format="7">
      <pivotArea type="data" outline="0" fieldPosition="0">
        <references count="2">
          <reference field="4294967294" count="1" selected="0">
            <x v="0"/>
          </reference>
          <reference field="0" count="1" selected="0">
            <x v="6"/>
          </reference>
        </references>
      </pivotArea>
    </chartFormat>
    <chartFormat chart="12" format="8">
      <pivotArea type="data" outline="0" fieldPosition="0">
        <references count="2">
          <reference field="4294967294" count="1" selected="0">
            <x v="0"/>
          </reference>
          <reference field="0" count="1" selected="0">
            <x v="7"/>
          </reference>
        </references>
      </pivotArea>
    </chartFormat>
    <chartFormat chart="12" format="9">
      <pivotArea type="data" outline="0" fieldPosition="0">
        <references count="2">
          <reference field="4294967294" count="1" selected="0">
            <x v="0"/>
          </reference>
          <reference field="0" count="1" selected="0">
            <x v="8"/>
          </reference>
        </references>
      </pivotArea>
    </chartFormat>
    <chartFormat chart="12" format="10">
      <pivotArea type="data" outline="0" fieldPosition="0">
        <references count="2">
          <reference field="4294967294" count="1" selected="0">
            <x v="0"/>
          </reference>
          <reference field="0" count="1" selected="0">
            <x v="9"/>
          </reference>
        </references>
      </pivotArea>
    </chartFormat>
    <chartFormat chart="12" format="11">
      <pivotArea type="data" outline="0" fieldPosition="0">
        <references count="2">
          <reference field="4294967294" count="1" selected="0">
            <x v="0"/>
          </reference>
          <reference field="0" count="1" selected="0">
            <x v="10"/>
          </reference>
        </references>
      </pivotArea>
    </chartFormat>
    <chartFormat chart="16" format="35" series="1">
      <pivotArea type="data" outline="0" fieldPosition="0">
        <references count="1">
          <reference field="4294967294" count="1" selected="0">
            <x v="0"/>
          </reference>
        </references>
      </pivotArea>
    </chartFormat>
    <chartFormat chart="16" format="36">
      <pivotArea type="data" outline="0" fieldPosition="0">
        <references count="2">
          <reference field="4294967294" count="1" selected="0">
            <x v="0"/>
          </reference>
          <reference field="0" count="1" selected="0">
            <x v="1"/>
          </reference>
        </references>
      </pivotArea>
    </chartFormat>
    <chartFormat chart="16" format="37">
      <pivotArea type="data" outline="0" fieldPosition="0">
        <references count="2">
          <reference field="4294967294" count="1" selected="0">
            <x v="0"/>
          </reference>
          <reference field="0" count="1" selected="0">
            <x v="2"/>
          </reference>
        </references>
      </pivotArea>
    </chartFormat>
    <chartFormat chart="16" format="39">
      <pivotArea type="data" outline="0" fieldPosition="0">
        <references count="2">
          <reference field="4294967294" count="1" selected="0">
            <x v="0"/>
          </reference>
          <reference field="0" count="1" selected="0">
            <x v="4"/>
          </reference>
        </references>
      </pivotArea>
    </chartFormat>
    <chartFormat chart="16" format="40">
      <pivotArea type="data" outline="0" fieldPosition="0">
        <references count="2">
          <reference field="4294967294" count="1" selected="0">
            <x v="0"/>
          </reference>
          <reference field="0" count="1" selected="0">
            <x v="5"/>
          </reference>
        </references>
      </pivotArea>
    </chartFormat>
    <chartFormat chart="16" format="41">
      <pivotArea type="data" outline="0" fieldPosition="0">
        <references count="2">
          <reference field="4294967294" count="1" selected="0">
            <x v="0"/>
          </reference>
          <reference field="0" count="1" selected="0">
            <x v="6"/>
          </reference>
        </references>
      </pivotArea>
    </chartFormat>
    <chartFormat chart="16" format="42">
      <pivotArea type="data" outline="0" fieldPosition="0">
        <references count="2">
          <reference field="4294967294" count="1" selected="0">
            <x v="0"/>
          </reference>
          <reference field="0" count="1" selected="0">
            <x v="7"/>
          </reference>
        </references>
      </pivotArea>
    </chartFormat>
    <chartFormat chart="16" format="43">
      <pivotArea type="data" outline="0" fieldPosition="0">
        <references count="2">
          <reference field="4294967294" count="1" selected="0">
            <x v="0"/>
          </reference>
          <reference field="0" count="1" selected="0">
            <x v="8"/>
          </reference>
        </references>
      </pivotArea>
    </chartFormat>
    <chartFormat chart="16" format="44">
      <pivotArea type="data" outline="0" fieldPosition="0">
        <references count="2">
          <reference field="4294967294" count="1" selected="0">
            <x v="0"/>
          </reference>
          <reference field="0" count="1" selected="0">
            <x v="9"/>
          </reference>
        </references>
      </pivotArea>
    </chartFormat>
    <chartFormat chart="16" format="45">
      <pivotArea type="data" outline="0" fieldPosition="0">
        <references count="2">
          <reference field="4294967294" count="1" selected="0">
            <x v="0"/>
          </reference>
          <reference field="0" count="1" selected="0">
            <x v="10"/>
          </reference>
        </references>
      </pivotArea>
    </chartFormat>
    <chartFormat chart="16" format="46" series="1">
      <pivotArea type="data" outline="0" fieldPosition="0">
        <references count="1">
          <reference field="4294967294" count="1" selected="0">
            <x v="1"/>
          </reference>
        </references>
      </pivotArea>
    </chartFormat>
    <chartFormat chart="16" format="47">
      <pivotArea type="data" outline="0" fieldPosition="0">
        <references count="2">
          <reference field="4294967294" count="1" selected="0">
            <x v="1"/>
          </reference>
          <reference field="0" count="1" selected="0">
            <x v="1"/>
          </reference>
        </references>
      </pivotArea>
    </chartFormat>
    <chartFormat chart="16" format="48">
      <pivotArea type="data" outline="0" fieldPosition="0">
        <references count="2">
          <reference field="4294967294" count="1" selected="0">
            <x v="1"/>
          </reference>
          <reference field="0" count="1" selected="0">
            <x v="2"/>
          </reference>
        </references>
      </pivotArea>
    </chartFormat>
    <chartFormat chart="16" format="50">
      <pivotArea type="data" outline="0" fieldPosition="0">
        <references count="2">
          <reference field="4294967294" count="1" selected="0">
            <x v="1"/>
          </reference>
          <reference field="0" count="1" selected="0">
            <x v="4"/>
          </reference>
        </references>
      </pivotArea>
    </chartFormat>
    <chartFormat chart="16" format="51">
      <pivotArea type="data" outline="0" fieldPosition="0">
        <references count="2">
          <reference field="4294967294" count="1" selected="0">
            <x v="1"/>
          </reference>
          <reference field="0" count="1" selected="0">
            <x v="5"/>
          </reference>
        </references>
      </pivotArea>
    </chartFormat>
    <chartFormat chart="16" format="52">
      <pivotArea type="data" outline="0" fieldPosition="0">
        <references count="2">
          <reference field="4294967294" count="1" selected="0">
            <x v="1"/>
          </reference>
          <reference field="0" count="1" selected="0">
            <x v="6"/>
          </reference>
        </references>
      </pivotArea>
    </chartFormat>
    <chartFormat chart="16" format="53">
      <pivotArea type="data" outline="0" fieldPosition="0">
        <references count="2">
          <reference field="4294967294" count="1" selected="0">
            <x v="1"/>
          </reference>
          <reference field="0" count="1" selected="0">
            <x v="7"/>
          </reference>
        </references>
      </pivotArea>
    </chartFormat>
    <chartFormat chart="16" format="54">
      <pivotArea type="data" outline="0" fieldPosition="0">
        <references count="2">
          <reference field="4294967294" count="1" selected="0">
            <x v="1"/>
          </reference>
          <reference field="0" count="1" selected="0">
            <x v="8"/>
          </reference>
        </references>
      </pivotArea>
    </chartFormat>
    <chartFormat chart="16" format="55">
      <pivotArea type="data" outline="0" fieldPosition="0">
        <references count="2">
          <reference field="4294967294" count="1" selected="0">
            <x v="1"/>
          </reference>
          <reference field="0" count="1" selected="0">
            <x v="9"/>
          </reference>
        </references>
      </pivotArea>
    </chartFormat>
    <chartFormat chart="16" format="56">
      <pivotArea type="data" outline="0" fieldPosition="0">
        <references count="2">
          <reference field="4294967294" count="1" selected="0">
            <x v="1"/>
          </reference>
          <reference field="0" count="1" selected="0">
            <x v="10"/>
          </reference>
        </references>
      </pivotArea>
    </chartFormat>
    <chartFormat chart="12" format="13">
      <pivotArea type="data" outline="0" fieldPosition="0">
        <references count="2">
          <reference field="4294967294" count="1" selected="0">
            <x v="1"/>
          </reference>
          <reference field="0" count="1" selected="0">
            <x v="1"/>
          </reference>
        </references>
      </pivotArea>
    </chartFormat>
    <chartFormat chart="12" format="14">
      <pivotArea type="data" outline="0" fieldPosition="0">
        <references count="2">
          <reference field="4294967294" count="1" selected="0">
            <x v="1"/>
          </reference>
          <reference field="0" count="1" selected="0">
            <x v="2"/>
          </reference>
        </references>
      </pivotArea>
    </chartFormat>
    <chartFormat chart="12" format="16">
      <pivotArea type="data" outline="0" fieldPosition="0">
        <references count="2">
          <reference field="4294967294" count="1" selected="0">
            <x v="1"/>
          </reference>
          <reference field="0" count="1" selected="0">
            <x v="4"/>
          </reference>
        </references>
      </pivotArea>
    </chartFormat>
    <chartFormat chart="12" format="17">
      <pivotArea type="data" outline="0" fieldPosition="0">
        <references count="2">
          <reference field="4294967294" count="1" selected="0">
            <x v="1"/>
          </reference>
          <reference field="0" count="1" selected="0">
            <x v="5"/>
          </reference>
        </references>
      </pivotArea>
    </chartFormat>
    <chartFormat chart="12" format="18">
      <pivotArea type="data" outline="0" fieldPosition="0">
        <references count="2">
          <reference field="4294967294" count="1" selected="0">
            <x v="1"/>
          </reference>
          <reference field="0" count="1" selected="0">
            <x v="6"/>
          </reference>
        </references>
      </pivotArea>
    </chartFormat>
    <chartFormat chart="12" format="19">
      <pivotArea type="data" outline="0" fieldPosition="0">
        <references count="2">
          <reference field="4294967294" count="1" selected="0">
            <x v="1"/>
          </reference>
          <reference field="0" count="1" selected="0">
            <x v="7"/>
          </reference>
        </references>
      </pivotArea>
    </chartFormat>
    <chartFormat chart="12" format="20">
      <pivotArea type="data" outline="0" fieldPosition="0">
        <references count="2">
          <reference field="4294967294" count="1" selected="0">
            <x v="1"/>
          </reference>
          <reference field="0" count="1" selected="0">
            <x v="8"/>
          </reference>
        </references>
      </pivotArea>
    </chartFormat>
    <chartFormat chart="12" format="21">
      <pivotArea type="data" outline="0" fieldPosition="0">
        <references count="2">
          <reference field="4294967294" count="1" selected="0">
            <x v="1"/>
          </reference>
          <reference field="0" count="1" selected="0">
            <x v="9"/>
          </reference>
        </references>
      </pivotArea>
    </chartFormat>
    <chartFormat chart="12" format="22">
      <pivotArea type="data" outline="0" fieldPosition="0">
        <references count="2">
          <reference field="4294967294" count="1" selected="0">
            <x v="1"/>
          </reference>
          <reference field="0" count="1" selected="0">
            <x v="10"/>
          </reference>
        </references>
      </pivotArea>
    </chartFormat>
    <chartFormat chart="16" format="57">
      <pivotArea type="data" outline="0" fieldPosition="0">
        <references count="2">
          <reference field="4294967294" count="1" selected="0">
            <x v="0"/>
          </reference>
          <reference field="0" count="1" selected="0">
            <x v="0"/>
          </reference>
        </references>
      </pivotArea>
    </chartFormat>
    <chartFormat chart="16" format="58">
      <pivotArea type="data" outline="0" fieldPosition="0">
        <references count="2">
          <reference field="4294967294" count="1" selected="0">
            <x v="1"/>
          </reference>
          <reference field="0" count="1" selected="0">
            <x v="0"/>
          </reference>
        </references>
      </pivotArea>
    </chartFormat>
    <chartFormat chart="12" format="23">
      <pivotArea type="data" outline="0" fieldPosition="0">
        <references count="2">
          <reference field="4294967294" count="1" selected="0">
            <x v="0"/>
          </reference>
          <reference field="0" count="1" selected="0">
            <x v="0"/>
          </reference>
        </references>
      </pivotArea>
    </chartFormat>
    <chartFormat chart="12" format="24">
      <pivotArea type="data" outline="0" fieldPosition="0">
        <references count="2">
          <reference field="4294967294" count="1" selected="0">
            <x v="1"/>
          </reference>
          <reference field="0" count="1" selected="0">
            <x v="0"/>
          </reference>
        </references>
      </pivotArea>
    </chartFormat>
    <chartFormat chart="16" format="61">
      <pivotArea type="data" outline="0" fieldPosition="0">
        <references count="2">
          <reference field="4294967294" count="1" selected="0">
            <x v="0"/>
          </reference>
          <reference field="0" count="1" selected="0">
            <x v="3"/>
          </reference>
        </references>
      </pivotArea>
    </chartFormat>
    <chartFormat chart="16" format="62">
      <pivotArea type="data" outline="0" fieldPosition="0">
        <references count="2">
          <reference field="4294967294" count="1" selected="0">
            <x v="1"/>
          </reference>
          <reference field="0" count="1" selected="0">
            <x v="3"/>
          </reference>
        </references>
      </pivotArea>
    </chartFormat>
    <chartFormat chart="12" format="27">
      <pivotArea type="data" outline="0" fieldPosition="0">
        <references count="2">
          <reference field="4294967294" count="1" selected="0">
            <x v="0"/>
          </reference>
          <reference field="0" count="1" selected="0">
            <x v="3"/>
          </reference>
        </references>
      </pivotArea>
    </chartFormat>
    <chartFormat chart="12" format="28">
      <pivotArea type="data" outline="0" fieldPosition="0">
        <references count="2">
          <reference field="4294967294" count="1" selected="0">
            <x v="1"/>
          </reference>
          <reference field="0"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Partisipan"/>
    <pivotHierarchy dragToData="1" caption="∑ Partisipa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30B91FF6-02B3-4B68-8925-BB56DF527DE1}" name="PivotTable9" cacheId="89" applyNumberFormats="0" applyBorderFormats="0" applyFontFormats="0" applyPatternFormats="0" applyAlignmentFormats="0" applyWidthHeightFormats="1" dataCaption="Values" missingCaption="0" updatedVersion="7" minRefreshableVersion="3" useAutoFormatting="1" subtotalHiddenItems="1" itemPrintTitles="1" createdVersion="6" indent="0" outline="1" outlineData="1" multipleFieldFilters="0" chartFormat="9">
  <location ref="B3:H10" firstHeaderRow="1" firstDataRow="2" firstDataCol="1"/>
  <pivotFields count="5">
    <pivotField axis="axisCol"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items count="5">
        <item x="0" e="0"/>
        <item x="1" e="0"/>
        <item x="2" e="0"/>
        <item x="3" e="0"/>
        <item x="4" e="0"/>
      </items>
    </pivotField>
    <pivotField dataField="1" subtotalTop="0" showAll="0" defaultSubtotal="0"/>
    <pivotField allDrilled="1" subtotalTop="0" showAll="0" dataSourceSort="1" defaultSubtotal="0" defaultAttributeDrillState="1"/>
  </pivotFields>
  <rowFields count="2">
    <field x="2"/>
    <field x="1"/>
  </rowFields>
  <rowItems count="6">
    <i>
      <x/>
    </i>
    <i>
      <x v="1"/>
    </i>
    <i>
      <x v="2"/>
    </i>
    <i>
      <x v="3"/>
    </i>
    <i>
      <x v="4"/>
    </i>
    <i t="grand">
      <x/>
    </i>
  </rowItems>
  <colFields count="1">
    <field x="0"/>
  </colFields>
  <colItems count="6">
    <i>
      <x/>
    </i>
    <i>
      <x v="1"/>
    </i>
    <i>
      <x v="2"/>
    </i>
    <i>
      <x v="3"/>
    </i>
    <i>
      <x v="4"/>
    </i>
    <i t="grand">
      <x/>
    </i>
  </colItems>
  <dataFields count="1">
    <dataField name="Sum of ∑ KMK (Kg)" fld="3" baseField="0" baseItem="0"/>
  </dataFields>
  <formats count="1">
    <format dxfId="1284">
      <pivotArea dataOnly="0" labelOnly="1" fieldPosition="0">
        <references count="1">
          <reference field="2" count="0"/>
        </references>
      </pivotArea>
    </format>
  </formats>
  <chartFormats count="136">
    <chartFormat chart="1" format="121" series="1">
      <pivotArea type="data" outline="0" fieldPosition="0">
        <references count="2">
          <reference field="4294967294" count="1" selected="0">
            <x v="0"/>
          </reference>
          <reference field="0" count="1" selected="0">
            <x v="5"/>
          </reference>
        </references>
      </pivotArea>
    </chartFormat>
    <chartFormat chart="1" format="122" series="1">
      <pivotArea type="data" outline="0" fieldPosition="0">
        <references count="2">
          <reference field="4294967294" count="1" selected="0">
            <x v="0"/>
          </reference>
          <reference field="0" count="1" selected="0">
            <x v="6"/>
          </reference>
        </references>
      </pivotArea>
    </chartFormat>
    <chartFormat chart="1" format="123" series="1">
      <pivotArea type="data" outline="0" fieldPosition="0">
        <references count="2">
          <reference field="4294967294" count="1" selected="0">
            <x v="0"/>
          </reference>
          <reference field="0" count="1" selected="0">
            <x v="7"/>
          </reference>
        </references>
      </pivotArea>
    </chartFormat>
    <chartFormat chart="1" format="124" series="1">
      <pivotArea type="data" outline="0" fieldPosition="0">
        <references count="2">
          <reference field="4294967294" count="1" selected="0">
            <x v="0"/>
          </reference>
          <reference field="0" count="1" selected="0">
            <x v="8"/>
          </reference>
        </references>
      </pivotArea>
    </chartFormat>
    <chartFormat chart="1" format="125" series="1">
      <pivotArea type="data" outline="0" fieldPosition="0">
        <references count="2">
          <reference field="4294967294" count="1" selected="0">
            <x v="0"/>
          </reference>
          <reference field="0" count="1" selected="0">
            <x v="0"/>
          </reference>
        </references>
      </pivotArea>
    </chartFormat>
    <chartFormat chart="1" format="126" series="1">
      <pivotArea type="data" outline="0" fieldPosition="0">
        <references count="2">
          <reference field="4294967294" count="1" selected="0">
            <x v="0"/>
          </reference>
          <reference field="0" count="1" selected="0">
            <x v="9"/>
          </reference>
        </references>
      </pivotArea>
    </chartFormat>
    <chartFormat chart="1" format="127" series="1">
      <pivotArea type="data" outline="0" fieldPosition="0">
        <references count="2">
          <reference field="4294967294" count="1" selected="0">
            <x v="0"/>
          </reference>
          <reference field="0" count="1" selected="0">
            <x v="10"/>
          </reference>
        </references>
      </pivotArea>
    </chartFormat>
    <chartFormat chart="1" format="128" series="1">
      <pivotArea type="data" outline="0" fieldPosition="0">
        <references count="2">
          <reference field="4294967294" count="1" selected="0">
            <x v="0"/>
          </reference>
          <reference field="0" count="1" selected="0">
            <x v="12"/>
          </reference>
        </references>
      </pivotArea>
    </chartFormat>
    <chartFormat chart="1" format="129" series="1">
      <pivotArea type="data" outline="0" fieldPosition="0">
        <references count="2">
          <reference field="4294967294" count="1" selected="0">
            <x v="0"/>
          </reference>
          <reference field="0" count="1" selected="0">
            <x v="13"/>
          </reference>
        </references>
      </pivotArea>
    </chartFormat>
    <chartFormat chart="1" format="130" series="1">
      <pivotArea type="data" outline="0" fieldPosition="0">
        <references count="2">
          <reference field="4294967294" count="1" selected="0">
            <x v="0"/>
          </reference>
          <reference field="0" count="1" selected="0">
            <x v="14"/>
          </reference>
        </references>
      </pivotArea>
    </chartFormat>
    <chartFormat chart="1" format="131" series="1">
      <pivotArea type="data" outline="0" fieldPosition="0">
        <references count="2">
          <reference field="4294967294" count="1" selected="0">
            <x v="0"/>
          </reference>
          <reference field="0" count="1" selected="0">
            <x v="15"/>
          </reference>
        </references>
      </pivotArea>
    </chartFormat>
    <chartFormat chart="1" format="132" series="1">
      <pivotArea type="data" outline="0" fieldPosition="0">
        <references count="2">
          <reference field="4294967294" count="1" selected="0">
            <x v="0"/>
          </reference>
          <reference field="0" count="1" selected="0">
            <x v="16"/>
          </reference>
        </references>
      </pivotArea>
    </chartFormat>
    <chartFormat chart="1" format="133" series="1">
      <pivotArea type="data" outline="0" fieldPosition="0">
        <references count="2">
          <reference field="4294967294" count="1" selected="0">
            <x v="0"/>
          </reference>
          <reference field="0" count="1" selected="0">
            <x v="17"/>
          </reference>
        </references>
      </pivotArea>
    </chartFormat>
    <chartFormat chart="1" format="134" series="1">
      <pivotArea type="data" outline="0" fieldPosition="0">
        <references count="2">
          <reference field="4294967294" count="1" selected="0">
            <x v="0"/>
          </reference>
          <reference field="0" count="1" selected="0">
            <x v="19"/>
          </reference>
        </references>
      </pivotArea>
    </chartFormat>
    <chartFormat chart="1" format="135" series="1">
      <pivotArea type="data" outline="0" fieldPosition="0">
        <references count="2">
          <reference field="4294967294" count="1" selected="0">
            <x v="0"/>
          </reference>
          <reference field="0" count="1" selected="0">
            <x v="20"/>
          </reference>
        </references>
      </pivotArea>
    </chartFormat>
    <chartFormat chart="1" format="136" series="1">
      <pivotArea type="data" outline="0" fieldPosition="0">
        <references count="2">
          <reference field="4294967294" count="1" selected="0">
            <x v="0"/>
          </reference>
          <reference field="0" count="1" selected="0">
            <x v="21"/>
          </reference>
        </references>
      </pivotArea>
    </chartFormat>
    <chartFormat chart="1" format="137" series="1">
      <pivotArea type="data" outline="0" fieldPosition="0">
        <references count="2">
          <reference field="4294967294" count="1" selected="0">
            <x v="0"/>
          </reference>
          <reference field="0" count="1" selected="0">
            <x v="22"/>
          </reference>
        </references>
      </pivotArea>
    </chartFormat>
    <chartFormat chart="1" format="138" series="1">
      <pivotArea type="data" outline="0" fieldPosition="0">
        <references count="2">
          <reference field="4294967294" count="1" selected="0">
            <x v="0"/>
          </reference>
          <reference field="0" count="1" selected="0">
            <x v="23"/>
          </reference>
        </references>
      </pivotArea>
    </chartFormat>
    <chartFormat chart="1" format="139" series="1">
      <pivotArea type="data" outline="0" fieldPosition="0">
        <references count="2">
          <reference field="4294967294" count="1" selected="0">
            <x v="0"/>
          </reference>
          <reference field="0" count="1" selected="0">
            <x v="25"/>
          </reference>
        </references>
      </pivotArea>
    </chartFormat>
    <chartFormat chart="1" format="140" series="1">
      <pivotArea type="data" outline="0" fieldPosition="0">
        <references count="2">
          <reference field="4294967294" count="1" selected="0">
            <x v="0"/>
          </reference>
          <reference field="0" count="1" selected="0">
            <x v="30"/>
          </reference>
        </references>
      </pivotArea>
    </chartFormat>
    <chartFormat chart="1" format="141" series="1">
      <pivotArea type="data" outline="0" fieldPosition="0">
        <references count="2">
          <reference field="4294967294" count="1" selected="0">
            <x v="0"/>
          </reference>
          <reference field="0" count="1" selected="0">
            <x v="31"/>
          </reference>
        </references>
      </pivotArea>
    </chartFormat>
    <chartFormat chart="1" format="142" series="1">
      <pivotArea type="data" outline="0" fieldPosition="0">
        <references count="2">
          <reference field="4294967294" count="1" selected="0">
            <x v="0"/>
          </reference>
          <reference field="0" count="1" selected="0">
            <x v="33"/>
          </reference>
        </references>
      </pivotArea>
    </chartFormat>
    <chartFormat chart="1" format="143" series="1">
      <pivotArea type="data" outline="0" fieldPosition="0">
        <references count="2">
          <reference field="4294967294" count="1" selected="0">
            <x v="0"/>
          </reference>
          <reference field="0" count="1" selected="0">
            <x v="34"/>
          </reference>
        </references>
      </pivotArea>
    </chartFormat>
    <chartFormat chart="1" format="144" series="1">
      <pivotArea type="data" outline="0" fieldPosition="0">
        <references count="2">
          <reference field="4294967294" count="1" selected="0">
            <x v="0"/>
          </reference>
          <reference field="0" count="1" selected="0">
            <x v="35"/>
          </reference>
        </references>
      </pivotArea>
    </chartFormat>
    <chartFormat chart="1" format="145" series="1">
      <pivotArea type="data" outline="0" fieldPosition="0">
        <references count="2">
          <reference field="4294967294" count="1" selected="0">
            <x v="0"/>
          </reference>
          <reference field="0" count="1" selected="0">
            <x v="36"/>
          </reference>
        </references>
      </pivotArea>
    </chartFormat>
    <chartFormat chart="1" format="146" series="1">
      <pivotArea type="data" outline="0" fieldPosition="0">
        <references count="2">
          <reference field="4294967294" count="1" selected="0">
            <x v="0"/>
          </reference>
          <reference field="0" count="1" selected="0">
            <x v="37"/>
          </reference>
        </references>
      </pivotArea>
    </chartFormat>
    <chartFormat chart="1" format="147" series="1">
      <pivotArea type="data" outline="0" fieldPosition="0">
        <references count="2">
          <reference field="4294967294" count="1" selected="0">
            <x v="0"/>
          </reference>
          <reference field="0" count="1" selected="0">
            <x v="38"/>
          </reference>
        </references>
      </pivotArea>
    </chartFormat>
    <chartFormat chart="1" format="148" series="1">
      <pivotArea type="data" outline="0" fieldPosition="0">
        <references count="2">
          <reference field="4294967294" count="1" selected="0">
            <x v="0"/>
          </reference>
          <reference field="0" count="1" selected="0">
            <x v="39"/>
          </reference>
        </references>
      </pivotArea>
    </chartFormat>
    <chartFormat chart="1" format="149" series="1">
      <pivotArea type="data" outline="0" fieldPosition="0">
        <references count="2">
          <reference field="4294967294" count="1" selected="0">
            <x v="0"/>
          </reference>
          <reference field="0" count="1" selected="0">
            <x v="40"/>
          </reference>
        </references>
      </pivotArea>
    </chartFormat>
    <chartFormat chart="1" format="150" series="1">
      <pivotArea type="data" outline="0" fieldPosition="0">
        <references count="2">
          <reference field="4294967294" count="1" selected="0">
            <x v="0"/>
          </reference>
          <reference field="0" count="1" selected="0">
            <x v="42"/>
          </reference>
        </references>
      </pivotArea>
    </chartFormat>
    <chartFormat chart="1" format="151" series="1">
      <pivotArea type="data" outline="0" fieldPosition="0">
        <references count="2">
          <reference field="4294967294" count="1" selected="0">
            <x v="0"/>
          </reference>
          <reference field="0" count="1" selected="0">
            <x v="43"/>
          </reference>
        </references>
      </pivotArea>
    </chartFormat>
    <chartFormat chart="1" format="152" series="1">
      <pivotArea type="data" outline="0" fieldPosition="0">
        <references count="2">
          <reference field="4294967294" count="1" selected="0">
            <x v="0"/>
          </reference>
          <reference field="0" count="1" selected="0">
            <x v="44"/>
          </reference>
        </references>
      </pivotArea>
    </chartFormat>
    <chartFormat chart="1" format="153" series="1">
      <pivotArea type="data" outline="0" fieldPosition="0">
        <references count="2">
          <reference field="4294967294" count="1" selected="0">
            <x v="0"/>
          </reference>
          <reference field="0" count="1" selected="0">
            <x v="45"/>
          </reference>
        </references>
      </pivotArea>
    </chartFormat>
    <chartFormat chart="1" format="155" series="1">
      <pivotArea type="data" outline="0" fieldPosition="0">
        <references count="2">
          <reference field="4294967294" count="1" selected="0">
            <x v="0"/>
          </reference>
          <reference field="0" count="1" selected="0">
            <x v="47"/>
          </reference>
        </references>
      </pivotArea>
    </chartFormat>
    <chartFormat chart="1" format="156" series="1">
      <pivotArea type="data" outline="0" fieldPosition="0">
        <references count="2">
          <reference field="4294967294" count="1" selected="0">
            <x v="0"/>
          </reference>
          <reference field="0" count="1" selected="0">
            <x v="48"/>
          </reference>
        </references>
      </pivotArea>
    </chartFormat>
    <chartFormat chart="1" format="157" series="1">
      <pivotArea type="data" outline="0" fieldPosition="0">
        <references count="2">
          <reference field="4294967294" count="1" selected="0">
            <x v="0"/>
          </reference>
          <reference field="0" count="1" selected="0">
            <x v="49"/>
          </reference>
        </references>
      </pivotArea>
    </chartFormat>
    <chartFormat chart="1" format="158" series="1">
      <pivotArea type="data" outline="0" fieldPosition="0">
        <references count="2">
          <reference field="4294967294" count="1" selected="0">
            <x v="0"/>
          </reference>
          <reference field="0" count="1" selected="0">
            <x v="50"/>
          </reference>
        </references>
      </pivotArea>
    </chartFormat>
    <chartFormat chart="1" format="159" series="1">
      <pivotArea type="data" outline="0" fieldPosition="0">
        <references count="2">
          <reference field="4294967294" count="1" selected="0">
            <x v="0"/>
          </reference>
          <reference field="0" count="1" selected="0">
            <x v="51"/>
          </reference>
        </references>
      </pivotArea>
    </chartFormat>
    <chartFormat chart="1" format="160" series="1">
      <pivotArea type="data" outline="0" fieldPosition="0">
        <references count="2">
          <reference field="4294967294" count="1" selected="0">
            <x v="0"/>
          </reference>
          <reference field="0" count="1" selected="0">
            <x v="52"/>
          </reference>
        </references>
      </pivotArea>
    </chartFormat>
    <chartFormat chart="1" format="161" series="1">
      <pivotArea type="data" outline="0" fieldPosition="0">
        <references count="2">
          <reference field="4294967294" count="1" selected="0">
            <x v="0"/>
          </reference>
          <reference field="0" count="1" selected="0">
            <x v="53"/>
          </reference>
        </references>
      </pivotArea>
    </chartFormat>
    <chartFormat chart="1" format="162" series="1">
      <pivotArea type="data" outline="0" fieldPosition="0">
        <references count="2">
          <reference field="4294967294" count="1" selected="0">
            <x v="0"/>
          </reference>
          <reference field="0" count="1" selected="0">
            <x v="54"/>
          </reference>
        </references>
      </pivotArea>
    </chartFormat>
    <chartFormat chart="1" format="163" series="1">
      <pivotArea type="data" outline="0" fieldPosition="0">
        <references count="2">
          <reference field="4294967294" count="1" selected="0">
            <x v="0"/>
          </reference>
          <reference field="0" count="1" selected="0">
            <x v="55"/>
          </reference>
        </references>
      </pivotArea>
    </chartFormat>
    <chartFormat chart="1" format="164" series="1">
      <pivotArea type="data" outline="0" fieldPosition="0">
        <references count="2">
          <reference field="4294967294" count="1" selected="0">
            <x v="0"/>
          </reference>
          <reference field="0" count="1" selected="0">
            <x v="57"/>
          </reference>
        </references>
      </pivotArea>
    </chartFormat>
    <chartFormat chart="1" format="165" series="1">
      <pivotArea type="data" outline="0" fieldPosition="0">
        <references count="2">
          <reference field="4294967294" count="1" selected="0">
            <x v="0"/>
          </reference>
          <reference field="0" count="1" selected="0">
            <x v="58"/>
          </reference>
        </references>
      </pivotArea>
    </chartFormat>
    <chartFormat chart="1" format="166" series="1">
      <pivotArea type="data" outline="0" fieldPosition="0">
        <references count="2">
          <reference field="4294967294" count="1" selected="0">
            <x v="0"/>
          </reference>
          <reference field="0" count="1" selected="0">
            <x v="59"/>
          </reference>
        </references>
      </pivotArea>
    </chartFormat>
    <chartFormat chart="1" format="167" series="1">
      <pivotArea type="data" outline="0" fieldPosition="0">
        <references count="2">
          <reference field="4294967294" count="1" selected="0">
            <x v="0"/>
          </reference>
          <reference field="0" count="1" selected="0">
            <x v="60"/>
          </reference>
        </references>
      </pivotArea>
    </chartFormat>
    <chartFormat chart="1" format="168" series="1">
      <pivotArea type="data" outline="0" fieldPosition="0">
        <references count="2">
          <reference field="4294967294" count="1" selected="0">
            <x v="0"/>
          </reference>
          <reference field="0" count="1" selected="0">
            <x v="61"/>
          </reference>
        </references>
      </pivotArea>
    </chartFormat>
    <chartFormat chart="1" format="169" series="1">
      <pivotArea type="data" outline="0" fieldPosition="0">
        <references count="2">
          <reference field="4294967294" count="1" selected="0">
            <x v="0"/>
          </reference>
          <reference field="0" count="1" selected="0">
            <x v="62"/>
          </reference>
        </references>
      </pivotArea>
    </chartFormat>
    <chartFormat chart="1" format="170" series="1">
      <pivotArea type="data" outline="0" fieldPosition="0">
        <references count="2">
          <reference field="4294967294" count="1" selected="0">
            <x v="0"/>
          </reference>
          <reference field="0" count="1" selected="0">
            <x v="64"/>
          </reference>
        </references>
      </pivotArea>
    </chartFormat>
    <chartFormat chart="1" format="171" series="1">
      <pivotArea type="data" outline="0" fieldPosition="0">
        <references count="2">
          <reference field="4294967294" count="1" selected="0">
            <x v="0"/>
          </reference>
          <reference field="0" count="1" selected="0">
            <x v="65"/>
          </reference>
        </references>
      </pivotArea>
    </chartFormat>
    <chartFormat chart="1" format="172" series="1">
      <pivotArea type="data" outline="0" fieldPosition="0">
        <references count="2">
          <reference field="4294967294" count="1" selected="0">
            <x v="0"/>
          </reference>
          <reference field="0" count="1" selected="0">
            <x v="66"/>
          </reference>
        </references>
      </pivotArea>
    </chartFormat>
    <chartFormat chart="1" format="173" series="1">
      <pivotArea type="data" outline="0" fieldPosition="0">
        <references count="2">
          <reference field="4294967294" count="1" selected="0">
            <x v="0"/>
          </reference>
          <reference field="0" count="1" selected="0">
            <x v="1"/>
          </reference>
        </references>
      </pivotArea>
    </chartFormat>
    <chartFormat chart="1" format="174" series="1">
      <pivotArea type="data" outline="0" fieldPosition="0">
        <references count="2">
          <reference field="4294967294" count="1" selected="0">
            <x v="0"/>
          </reference>
          <reference field="0" count="1" selected="0">
            <x v="67"/>
          </reference>
        </references>
      </pivotArea>
    </chartFormat>
    <chartFormat chart="3" format="207" series="1">
      <pivotArea type="data" outline="0" fieldPosition="0">
        <references count="2">
          <reference field="4294967294" count="1" selected="0">
            <x v="0"/>
          </reference>
          <reference field="0" count="1" selected="0">
            <x v="5"/>
          </reference>
        </references>
      </pivotArea>
    </chartFormat>
    <chartFormat chart="3" format="208" series="1">
      <pivotArea type="data" outline="0" fieldPosition="0">
        <references count="2">
          <reference field="4294967294" count="1" selected="0">
            <x v="0"/>
          </reference>
          <reference field="0" count="1" selected="0">
            <x v="6"/>
          </reference>
        </references>
      </pivotArea>
    </chartFormat>
    <chartFormat chart="3" format="209" series="1">
      <pivotArea type="data" outline="0" fieldPosition="0">
        <references count="2">
          <reference field="4294967294" count="1" selected="0">
            <x v="0"/>
          </reference>
          <reference field="0" count="1" selected="0">
            <x v="7"/>
          </reference>
        </references>
      </pivotArea>
    </chartFormat>
    <chartFormat chart="3" format="210" series="1">
      <pivotArea type="data" outline="0" fieldPosition="0">
        <references count="2">
          <reference field="4294967294" count="1" selected="0">
            <x v="0"/>
          </reference>
          <reference field="0" count="1" selected="0">
            <x v="8"/>
          </reference>
        </references>
      </pivotArea>
    </chartFormat>
    <chartFormat chart="3" format="211" series="1">
      <pivotArea type="data" outline="0" fieldPosition="0">
        <references count="2">
          <reference field="4294967294" count="1" selected="0">
            <x v="0"/>
          </reference>
          <reference field="0" count="1" selected="0">
            <x v="0"/>
          </reference>
        </references>
      </pivotArea>
    </chartFormat>
    <chartFormat chart="3" format="212" series="1">
      <pivotArea type="data" outline="0" fieldPosition="0">
        <references count="2">
          <reference field="4294967294" count="1" selected="0">
            <x v="0"/>
          </reference>
          <reference field="0" count="1" selected="0">
            <x v="9"/>
          </reference>
        </references>
      </pivotArea>
    </chartFormat>
    <chartFormat chart="3" format="213" series="1">
      <pivotArea type="data" outline="0" fieldPosition="0">
        <references count="2">
          <reference field="4294967294" count="1" selected="0">
            <x v="0"/>
          </reference>
          <reference field="0" count="1" selected="0">
            <x v="10"/>
          </reference>
        </references>
      </pivotArea>
    </chartFormat>
    <chartFormat chart="3" format="214" series="1">
      <pivotArea type="data" outline="0" fieldPosition="0">
        <references count="2">
          <reference field="4294967294" count="1" selected="0">
            <x v="0"/>
          </reference>
          <reference field="0" count="1" selected="0">
            <x v="12"/>
          </reference>
        </references>
      </pivotArea>
    </chartFormat>
    <chartFormat chart="3" format="215" series="1">
      <pivotArea type="data" outline="0" fieldPosition="0">
        <references count="2">
          <reference field="4294967294" count="1" selected="0">
            <x v="0"/>
          </reference>
          <reference field="0" count="1" selected="0">
            <x v="13"/>
          </reference>
        </references>
      </pivotArea>
    </chartFormat>
    <chartFormat chart="3" format="216" series="1">
      <pivotArea type="data" outline="0" fieldPosition="0">
        <references count="2">
          <reference field="4294967294" count="1" selected="0">
            <x v="0"/>
          </reference>
          <reference field="0" count="1" selected="0">
            <x v="14"/>
          </reference>
        </references>
      </pivotArea>
    </chartFormat>
    <chartFormat chart="3" format="217" series="1">
      <pivotArea type="data" outline="0" fieldPosition="0">
        <references count="2">
          <reference field="4294967294" count="1" selected="0">
            <x v="0"/>
          </reference>
          <reference field="0" count="1" selected="0">
            <x v="15"/>
          </reference>
        </references>
      </pivotArea>
    </chartFormat>
    <chartFormat chart="3" format="218" series="1">
      <pivotArea type="data" outline="0" fieldPosition="0">
        <references count="2">
          <reference field="4294967294" count="1" selected="0">
            <x v="0"/>
          </reference>
          <reference field="0" count="1" selected="0">
            <x v="16"/>
          </reference>
        </references>
      </pivotArea>
    </chartFormat>
    <chartFormat chart="3" format="219" series="1">
      <pivotArea type="data" outline="0" fieldPosition="0">
        <references count="2">
          <reference field="4294967294" count="1" selected="0">
            <x v="0"/>
          </reference>
          <reference field="0" count="1" selected="0">
            <x v="17"/>
          </reference>
        </references>
      </pivotArea>
    </chartFormat>
    <chartFormat chart="3" format="220" series="1">
      <pivotArea type="data" outline="0" fieldPosition="0">
        <references count="2">
          <reference field="4294967294" count="1" selected="0">
            <x v="0"/>
          </reference>
          <reference field="0" count="1" selected="0">
            <x v="19"/>
          </reference>
        </references>
      </pivotArea>
    </chartFormat>
    <chartFormat chart="3" format="221" series="1">
      <pivotArea type="data" outline="0" fieldPosition="0">
        <references count="2">
          <reference field="4294967294" count="1" selected="0">
            <x v="0"/>
          </reference>
          <reference field="0" count="1" selected="0">
            <x v="20"/>
          </reference>
        </references>
      </pivotArea>
    </chartFormat>
    <chartFormat chart="3" format="222" series="1">
      <pivotArea type="data" outline="0" fieldPosition="0">
        <references count="2">
          <reference field="4294967294" count="1" selected="0">
            <x v="0"/>
          </reference>
          <reference field="0" count="1" selected="0">
            <x v="21"/>
          </reference>
        </references>
      </pivotArea>
    </chartFormat>
    <chartFormat chart="3" format="223" series="1">
      <pivotArea type="data" outline="0" fieldPosition="0">
        <references count="2">
          <reference field="4294967294" count="1" selected="0">
            <x v="0"/>
          </reference>
          <reference field="0" count="1" selected="0">
            <x v="22"/>
          </reference>
        </references>
      </pivotArea>
    </chartFormat>
    <chartFormat chart="3" format="224" series="1">
      <pivotArea type="data" outline="0" fieldPosition="0">
        <references count="2">
          <reference field="4294967294" count="1" selected="0">
            <x v="0"/>
          </reference>
          <reference field="0" count="1" selected="0">
            <x v="23"/>
          </reference>
        </references>
      </pivotArea>
    </chartFormat>
    <chartFormat chart="3" format="225" series="1">
      <pivotArea type="data" outline="0" fieldPosition="0">
        <references count="2">
          <reference field="4294967294" count="1" selected="0">
            <x v="0"/>
          </reference>
          <reference field="0" count="1" selected="0">
            <x v="25"/>
          </reference>
        </references>
      </pivotArea>
    </chartFormat>
    <chartFormat chart="3" format="226" series="1">
      <pivotArea type="data" outline="0" fieldPosition="0">
        <references count="2">
          <reference field="4294967294" count="1" selected="0">
            <x v="0"/>
          </reference>
          <reference field="0" count="1" selected="0">
            <x v="30"/>
          </reference>
        </references>
      </pivotArea>
    </chartFormat>
    <chartFormat chart="3" format="227" series="1">
      <pivotArea type="data" outline="0" fieldPosition="0">
        <references count="2">
          <reference field="4294967294" count="1" selected="0">
            <x v="0"/>
          </reference>
          <reference field="0" count="1" selected="0">
            <x v="31"/>
          </reference>
        </references>
      </pivotArea>
    </chartFormat>
    <chartFormat chart="3" format="228" series="1">
      <pivotArea type="data" outline="0" fieldPosition="0">
        <references count="2">
          <reference field="4294967294" count="1" selected="0">
            <x v="0"/>
          </reference>
          <reference field="0" count="1" selected="0">
            <x v="33"/>
          </reference>
        </references>
      </pivotArea>
    </chartFormat>
    <chartFormat chart="3" format="229" series="1">
      <pivotArea type="data" outline="0" fieldPosition="0">
        <references count="2">
          <reference field="4294967294" count="1" selected="0">
            <x v="0"/>
          </reference>
          <reference field="0" count="1" selected="0">
            <x v="34"/>
          </reference>
        </references>
      </pivotArea>
    </chartFormat>
    <chartFormat chart="3" format="230" series="1">
      <pivotArea type="data" outline="0" fieldPosition="0">
        <references count="2">
          <reference field="4294967294" count="1" selected="0">
            <x v="0"/>
          </reference>
          <reference field="0" count="1" selected="0">
            <x v="35"/>
          </reference>
        </references>
      </pivotArea>
    </chartFormat>
    <chartFormat chart="3" format="231" series="1">
      <pivotArea type="data" outline="0" fieldPosition="0">
        <references count="2">
          <reference field="4294967294" count="1" selected="0">
            <x v="0"/>
          </reference>
          <reference field="0" count="1" selected="0">
            <x v="36"/>
          </reference>
        </references>
      </pivotArea>
    </chartFormat>
    <chartFormat chart="3" format="232" series="1">
      <pivotArea type="data" outline="0" fieldPosition="0">
        <references count="2">
          <reference field="4294967294" count="1" selected="0">
            <x v="0"/>
          </reference>
          <reference field="0" count="1" selected="0">
            <x v="37"/>
          </reference>
        </references>
      </pivotArea>
    </chartFormat>
    <chartFormat chart="3" format="233" series="1">
      <pivotArea type="data" outline="0" fieldPosition="0">
        <references count="2">
          <reference field="4294967294" count="1" selected="0">
            <x v="0"/>
          </reference>
          <reference field="0" count="1" selected="0">
            <x v="38"/>
          </reference>
        </references>
      </pivotArea>
    </chartFormat>
    <chartFormat chart="3" format="234" series="1">
      <pivotArea type="data" outline="0" fieldPosition="0">
        <references count="2">
          <reference field="4294967294" count="1" selected="0">
            <x v="0"/>
          </reference>
          <reference field="0" count="1" selected="0">
            <x v="39"/>
          </reference>
        </references>
      </pivotArea>
    </chartFormat>
    <chartFormat chart="3" format="235" series="1">
      <pivotArea type="data" outline="0" fieldPosition="0">
        <references count="2">
          <reference field="4294967294" count="1" selected="0">
            <x v="0"/>
          </reference>
          <reference field="0" count="1" selected="0">
            <x v="40"/>
          </reference>
        </references>
      </pivotArea>
    </chartFormat>
    <chartFormat chart="3" format="236" series="1">
      <pivotArea type="data" outline="0" fieldPosition="0">
        <references count="2">
          <reference field="4294967294" count="1" selected="0">
            <x v="0"/>
          </reference>
          <reference field="0" count="1" selected="0">
            <x v="42"/>
          </reference>
        </references>
      </pivotArea>
    </chartFormat>
    <chartFormat chart="3" format="237" series="1">
      <pivotArea type="data" outline="0" fieldPosition="0">
        <references count="2">
          <reference field="4294967294" count="1" selected="0">
            <x v="0"/>
          </reference>
          <reference field="0" count="1" selected="0">
            <x v="43"/>
          </reference>
        </references>
      </pivotArea>
    </chartFormat>
    <chartFormat chart="3" format="238" series="1">
      <pivotArea type="data" outline="0" fieldPosition="0">
        <references count="2">
          <reference field="4294967294" count="1" selected="0">
            <x v="0"/>
          </reference>
          <reference field="0" count="1" selected="0">
            <x v="44"/>
          </reference>
        </references>
      </pivotArea>
    </chartFormat>
    <chartFormat chart="3" format="239" series="1">
      <pivotArea type="data" outline="0" fieldPosition="0">
        <references count="2">
          <reference field="4294967294" count="1" selected="0">
            <x v="0"/>
          </reference>
          <reference field="0" count="1" selected="0">
            <x v="45"/>
          </reference>
        </references>
      </pivotArea>
    </chartFormat>
    <chartFormat chart="3" format="241" series="1">
      <pivotArea type="data" outline="0" fieldPosition="0">
        <references count="2">
          <reference field="4294967294" count="1" selected="0">
            <x v="0"/>
          </reference>
          <reference field="0" count="1" selected="0">
            <x v="47"/>
          </reference>
        </references>
      </pivotArea>
    </chartFormat>
    <chartFormat chart="3" format="242" series="1">
      <pivotArea type="data" outline="0" fieldPosition="0">
        <references count="2">
          <reference field="4294967294" count="1" selected="0">
            <x v="0"/>
          </reference>
          <reference field="0" count="1" selected="0">
            <x v="48"/>
          </reference>
        </references>
      </pivotArea>
    </chartFormat>
    <chartFormat chart="3" format="243" series="1">
      <pivotArea type="data" outline="0" fieldPosition="0">
        <references count="2">
          <reference field="4294967294" count="1" selected="0">
            <x v="0"/>
          </reference>
          <reference field="0" count="1" selected="0">
            <x v="49"/>
          </reference>
        </references>
      </pivotArea>
    </chartFormat>
    <chartFormat chart="3" format="244" series="1">
      <pivotArea type="data" outline="0" fieldPosition="0">
        <references count="2">
          <reference field="4294967294" count="1" selected="0">
            <x v="0"/>
          </reference>
          <reference field="0" count="1" selected="0">
            <x v="50"/>
          </reference>
        </references>
      </pivotArea>
    </chartFormat>
    <chartFormat chart="3" format="245" series="1">
      <pivotArea type="data" outline="0" fieldPosition="0">
        <references count="2">
          <reference field="4294967294" count="1" selected="0">
            <x v="0"/>
          </reference>
          <reference field="0" count="1" selected="0">
            <x v="51"/>
          </reference>
        </references>
      </pivotArea>
    </chartFormat>
    <chartFormat chart="3" format="246" series="1">
      <pivotArea type="data" outline="0" fieldPosition="0">
        <references count="2">
          <reference field="4294967294" count="1" selected="0">
            <x v="0"/>
          </reference>
          <reference field="0" count="1" selected="0">
            <x v="52"/>
          </reference>
        </references>
      </pivotArea>
    </chartFormat>
    <chartFormat chart="3" format="247" series="1">
      <pivotArea type="data" outline="0" fieldPosition="0">
        <references count="2">
          <reference field="4294967294" count="1" selected="0">
            <x v="0"/>
          </reference>
          <reference field="0" count="1" selected="0">
            <x v="53"/>
          </reference>
        </references>
      </pivotArea>
    </chartFormat>
    <chartFormat chart="3" format="248" series="1">
      <pivotArea type="data" outline="0" fieldPosition="0">
        <references count="2">
          <reference field="4294967294" count="1" selected="0">
            <x v="0"/>
          </reference>
          <reference field="0" count="1" selected="0">
            <x v="54"/>
          </reference>
        </references>
      </pivotArea>
    </chartFormat>
    <chartFormat chart="3" format="249" series="1">
      <pivotArea type="data" outline="0" fieldPosition="0">
        <references count="2">
          <reference field="4294967294" count="1" selected="0">
            <x v="0"/>
          </reference>
          <reference field="0" count="1" selected="0">
            <x v="55"/>
          </reference>
        </references>
      </pivotArea>
    </chartFormat>
    <chartFormat chart="3" format="250" series="1">
      <pivotArea type="data" outline="0" fieldPosition="0">
        <references count="2">
          <reference field="4294967294" count="1" selected="0">
            <x v="0"/>
          </reference>
          <reference field="0" count="1" selected="0">
            <x v="57"/>
          </reference>
        </references>
      </pivotArea>
    </chartFormat>
    <chartFormat chart="3" format="251" series="1">
      <pivotArea type="data" outline="0" fieldPosition="0">
        <references count="2">
          <reference field="4294967294" count="1" selected="0">
            <x v="0"/>
          </reference>
          <reference field="0" count="1" selected="0">
            <x v="58"/>
          </reference>
        </references>
      </pivotArea>
    </chartFormat>
    <chartFormat chart="3" format="252" series="1">
      <pivotArea type="data" outline="0" fieldPosition="0">
        <references count="2">
          <reference field="4294967294" count="1" selected="0">
            <x v="0"/>
          </reference>
          <reference field="0" count="1" selected="0">
            <x v="59"/>
          </reference>
        </references>
      </pivotArea>
    </chartFormat>
    <chartFormat chart="3" format="253" series="1">
      <pivotArea type="data" outline="0" fieldPosition="0">
        <references count="2">
          <reference field="4294967294" count="1" selected="0">
            <x v="0"/>
          </reference>
          <reference field="0" count="1" selected="0">
            <x v="60"/>
          </reference>
        </references>
      </pivotArea>
    </chartFormat>
    <chartFormat chart="3" format="254" series="1">
      <pivotArea type="data" outline="0" fieldPosition="0">
        <references count="2">
          <reference field="4294967294" count="1" selected="0">
            <x v="0"/>
          </reference>
          <reference field="0" count="1" selected="0">
            <x v="61"/>
          </reference>
        </references>
      </pivotArea>
    </chartFormat>
    <chartFormat chart="3" format="255" series="1">
      <pivotArea type="data" outline="0" fieldPosition="0">
        <references count="2">
          <reference field="4294967294" count="1" selected="0">
            <x v="0"/>
          </reference>
          <reference field="0" count="1" selected="0">
            <x v="62"/>
          </reference>
        </references>
      </pivotArea>
    </chartFormat>
    <chartFormat chart="3" format="256" series="1">
      <pivotArea type="data" outline="0" fieldPosition="0">
        <references count="2">
          <reference field="4294967294" count="1" selected="0">
            <x v="0"/>
          </reference>
          <reference field="0" count="1" selected="0">
            <x v="64"/>
          </reference>
        </references>
      </pivotArea>
    </chartFormat>
    <chartFormat chart="3" format="257" series="1">
      <pivotArea type="data" outline="0" fieldPosition="0">
        <references count="2">
          <reference field="4294967294" count="1" selected="0">
            <x v="0"/>
          </reference>
          <reference field="0" count="1" selected="0">
            <x v="65"/>
          </reference>
        </references>
      </pivotArea>
    </chartFormat>
    <chartFormat chart="3" format="258" series="1">
      <pivotArea type="data" outline="0" fieldPosition="0">
        <references count="2">
          <reference field="4294967294" count="1" selected="0">
            <x v="0"/>
          </reference>
          <reference field="0" count="1" selected="0">
            <x v="66"/>
          </reference>
        </references>
      </pivotArea>
    </chartFormat>
    <chartFormat chart="3" format="259" series="1">
      <pivotArea type="data" outline="0" fieldPosition="0">
        <references count="2">
          <reference field="4294967294" count="1" selected="0">
            <x v="0"/>
          </reference>
          <reference field="0" count="1" selected="0">
            <x v="1"/>
          </reference>
        </references>
      </pivotArea>
    </chartFormat>
    <chartFormat chart="3" format="260" series="1">
      <pivotArea type="data" outline="0" fieldPosition="0">
        <references count="2">
          <reference field="4294967294" count="1" selected="0">
            <x v="0"/>
          </reference>
          <reference field="0" count="1" selected="0">
            <x v="67"/>
          </reference>
        </references>
      </pivotArea>
    </chartFormat>
    <chartFormat chart="3" format="264" series="1">
      <pivotArea type="data" outline="0" fieldPosition="0">
        <references count="2">
          <reference field="4294967294" count="1" selected="0">
            <x v="0"/>
          </reference>
          <reference field="0" count="1" selected="0">
            <x v="27"/>
          </reference>
        </references>
      </pivotArea>
    </chartFormat>
    <chartFormat chart="1" format="178" series="1">
      <pivotArea type="data" outline="0" fieldPosition="0">
        <references count="2">
          <reference field="4294967294" count="1" selected="0">
            <x v="0"/>
          </reference>
          <reference field="0" count="1" selected="0">
            <x v="27"/>
          </reference>
        </references>
      </pivotArea>
    </chartFormat>
    <chartFormat chart="3" format="265" series="1">
      <pivotArea type="data" outline="0" fieldPosition="0">
        <references count="2">
          <reference field="4294967294" count="1" selected="0">
            <x v="0"/>
          </reference>
          <reference field="0" count="1" selected="0">
            <x v="32"/>
          </reference>
        </references>
      </pivotArea>
    </chartFormat>
    <chartFormat chart="1" format="179" series="1">
      <pivotArea type="data" outline="0" fieldPosition="0">
        <references count="2">
          <reference field="4294967294" count="1" selected="0">
            <x v="0"/>
          </reference>
          <reference field="0" count="1" selected="0">
            <x v="32"/>
          </reference>
        </references>
      </pivotArea>
    </chartFormat>
    <chartFormat chart="3" format="266" series="1">
      <pivotArea type="data" outline="0" fieldPosition="0">
        <references count="2">
          <reference field="4294967294" count="1" selected="0">
            <x v="0"/>
          </reference>
          <reference field="0" count="1" selected="0">
            <x v="41"/>
          </reference>
        </references>
      </pivotArea>
    </chartFormat>
    <chartFormat chart="3" format="268" series="1">
      <pivotArea type="data" outline="0" fieldPosition="0">
        <references count="2">
          <reference field="4294967294" count="1" selected="0">
            <x v="0"/>
          </reference>
          <reference field="0" count="1" selected="0">
            <x v="56"/>
          </reference>
        </references>
      </pivotArea>
    </chartFormat>
    <chartFormat chart="1" format="180" series="1">
      <pivotArea type="data" outline="0" fieldPosition="0">
        <references count="2">
          <reference field="4294967294" count="1" selected="0">
            <x v="0"/>
          </reference>
          <reference field="0" count="1" selected="0">
            <x v="41"/>
          </reference>
        </references>
      </pivotArea>
    </chartFormat>
    <chartFormat chart="1" format="182" series="1">
      <pivotArea type="data" outline="0" fieldPosition="0">
        <references count="2">
          <reference field="4294967294" count="1" selected="0">
            <x v="0"/>
          </reference>
          <reference field="0" count="1" selected="0">
            <x v="56"/>
          </reference>
        </references>
      </pivotArea>
    </chartFormat>
    <chartFormat chart="3" format="269" series="1">
      <pivotArea type="data" outline="0" fieldPosition="0">
        <references count="2">
          <reference field="4294967294" count="1" selected="0">
            <x v="0"/>
          </reference>
          <reference field="0" count="1" selected="0">
            <x v="11"/>
          </reference>
        </references>
      </pivotArea>
    </chartFormat>
    <chartFormat chart="3" format="270" series="1">
      <pivotArea type="data" outline="0" fieldPosition="0">
        <references count="2">
          <reference field="4294967294" count="1" selected="0">
            <x v="0"/>
          </reference>
          <reference field="0" count="1" selected="0">
            <x v="28"/>
          </reference>
        </references>
      </pivotArea>
    </chartFormat>
    <chartFormat chart="3" format="271" series="1">
      <pivotArea type="data" outline="0" fieldPosition="0">
        <references count="2">
          <reference field="4294967294" count="1" selected="0">
            <x v="0"/>
          </reference>
          <reference field="0" count="1" selected="0">
            <x v="29"/>
          </reference>
        </references>
      </pivotArea>
    </chartFormat>
    <chartFormat chart="3" format="272" series="1">
      <pivotArea type="data" outline="0" fieldPosition="0">
        <references count="2">
          <reference field="4294967294" count="1" selected="0">
            <x v="0"/>
          </reference>
          <reference field="0" count="1" selected="0">
            <x v="46"/>
          </reference>
        </references>
      </pivotArea>
    </chartFormat>
    <chartFormat chart="1" format="183" series="1">
      <pivotArea type="data" outline="0" fieldPosition="0">
        <references count="2">
          <reference field="4294967294" count="1" selected="0">
            <x v="0"/>
          </reference>
          <reference field="0" count="1" selected="0">
            <x v="11"/>
          </reference>
        </references>
      </pivotArea>
    </chartFormat>
    <chartFormat chart="1" format="184" series="1">
      <pivotArea type="data" outline="0" fieldPosition="0">
        <references count="2">
          <reference field="4294967294" count="1" selected="0">
            <x v="0"/>
          </reference>
          <reference field="0" count="1" selected="0">
            <x v="28"/>
          </reference>
        </references>
      </pivotArea>
    </chartFormat>
    <chartFormat chart="1" format="185" series="1">
      <pivotArea type="data" outline="0" fieldPosition="0">
        <references count="2">
          <reference field="4294967294" count="1" selected="0">
            <x v="0"/>
          </reference>
          <reference field="0" count="1" selected="0">
            <x v="29"/>
          </reference>
        </references>
      </pivotArea>
    </chartFormat>
    <chartFormat chart="1" format="186" series="1">
      <pivotArea type="data" outline="0" fieldPosition="0">
        <references count="2">
          <reference field="4294967294" count="1" selected="0">
            <x v="0"/>
          </reference>
          <reference field="0" count="1" selected="0">
            <x v="46"/>
          </reference>
        </references>
      </pivotArea>
    </chartFormat>
    <chartFormat chart="3" format="273" series="1">
      <pivotArea type="data" outline="0" fieldPosition="0">
        <references count="2">
          <reference field="4294967294" count="1" selected="0">
            <x v="0"/>
          </reference>
          <reference field="0" count="1" selected="0">
            <x v="18"/>
          </reference>
        </references>
      </pivotArea>
    </chartFormat>
    <chartFormat chart="3" format="274" series="1">
      <pivotArea type="data" outline="0" fieldPosition="0">
        <references count="2">
          <reference field="4294967294" count="1" selected="0">
            <x v="0"/>
          </reference>
          <reference field="0" count="1" selected="0">
            <x v="63"/>
          </reference>
        </references>
      </pivotArea>
    </chartFormat>
    <chartFormat chart="1" format="187" series="1">
      <pivotArea type="data" outline="0" fieldPosition="0">
        <references count="2">
          <reference field="4294967294" count="1" selected="0">
            <x v="0"/>
          </reference>
          <reference field="0" count="1" selected="0">
            <x v="18"/>
          </reference>
        </references>
      </pivotArea>
    </chartFormat>
    <chartFormat chart="1" format="188" series="1">
      <pivotArea type="data" outline="0" fieldPosition="0">
        <references count="2">
          <reference field="4294967294" count="1" selected="0">
            <x v="0"/>
          </reference>
          <reference field="0" count="1" selected="0">
            <x v="63"/>
          </reference>
        </references>
      </pivotArea>
    </chartFormat>
    <chartFormat chart="3" format="275" series="1">
      <pivotArea type="data" outline="0" fieldPosition="0">
        <references count="2">
          <reference field="4294967294" count="1" selected="0">
            <x v="0"/>
          </reference>
          <reference field="0" count="1" selected="0">
            <x v="2"/>
          </reference>
        </references>
      </pivotArea>
    </chartFormat>
    <chartFormat chart="3" format="276" series="1">
      <pivotArea type="data" outline="0" fieldPosition="0">
        <references count="2">
          <reference field="4294967294" count="1" selected="0">
            <x v="0"/>
          </reference>
          <reference field="0" count="1" selected="0">
            <x v="4"/>
          </reference>
        </references>
      </pivotArea>
    </chartFormat>
    <chartFormat chart="1" format="189" series="1">
      <pivotArea type="data" outline="0" fieldPosition="0">
        <references count="2">
          <reference field="4294967294" count="1" selected="0">
            <x v="0"/>
          </reference>
          <reference field="0" count="1" selected="0">
            <x v="2"/>
          </reference>
        </references>
      </pivotArea>
    </chartFormat>
    <chartFormat chart="1" format="190" series="1">
      <pivotArea type="data" outline="0" fieldPosition="0">
        <references count="2">
          <reference field="4294967294" count="1" selected="0">
            <x v="0"/>
          </reference>
          <reference field="0" count="1" selected="0">
            <x v="4"/>
          </reference>
        </references>
      </pivotArea>
    </chartFormat>
    <chartFormat chart="3" format="277" series="1">
      <pivotArea type="data" outline="0" fieldPosition="0">
        <references count="2">
          <reference field="4294967294" count="1" selected="0">
            <x v="0"/>
          </reference>
          <reference field="0" count="1" selected="0">
            <x v="3"/>
          </reference>
        </references>
      </pivotArea>
    </chartFormat>
    <chartFormat chart="1" format="191" series="1">
      <pivotArea type="data" outline="0" fieldPosition="0">
        <references count="2">
          <reference field="4294967294" count="1" selected="0">
            <x v="0"/>
          </reference>
          <reference field="0" count="1" selected="0">
            <x v="3"/>
          </reference>
        </references>
      </pivotArea>
    </chartFormat>
    <chartFormat chart="3" format="278" series="1">
      <pivotArea type="data" outline="0" fieldPosition="0">
        <references count="2">
          <reference field="4294967294" count="1" selected="0">
            <x v="0"/>
          </reference>
          <reference field="0" count="1" selected="0">
            <x v="24"/>
          </reference>
        </references>
      </pivotArea>
    </chartFormat>
    <chartFormat chart="3" format="279" series="1">
      <pivotArea type="data" outline="0" fieldPosition="0">
        <references count="2">
          <reference field="4294967294" count="1" selected="0">
            <x v="0"/>
          </reference>
          <reference field="0" count="1" selected="0">
            <x v="26"/>
          </reference>
        </references>
      </pivotArea>
    </chartFormat>
    <chartFormat chart="1" format="192" series="1">
      <pivotArea type="data" outline="0" fieldPosition="0">
        <references count="2">
          <reference field="4294967294" count="1" selected="0">
            <x v="0"/>
          </reference>
          <reference field="0" count="1" selected="0">
            <x v="24"/>
          </reference>
        </references>
      </pivotArea>
    </chartFormat>
    <chartFormat chart="1" format="193" series="1">
      <pivotArea type="data" outline="0" fieldPosition="0">
        <references count="2">
          <reference field="4294967294" count="1" selected="0">
            <x v="0"/>
          </reference>
          <reference field="0" count="1" selected="0">
            <x v="26"/>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UBC_MASUK].[Kategori].&amp;[TPS3R]"/>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6" showRowHeaders="1" showColHeaders="1" showRowStripes="0" showColStripes="0" showLastColumn="1"/>
  <rowHierarchiesUsage count="2">
    <rowHierarchyUsage hierarchyUsage="13"/>
    <rowHierarchyUsage hierarchyUsage="10"/>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LAJAR PIVOT TABEL.xlsx!UBC_MASUK">
        <x15:activeTabTopLevelEntity name="[UBC_MASU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8E25476B-446E-4B02-AD27-ABABF7BC0CA5}" name="PivotTable1" cacheId="21"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D3:I9" firstHeaderRow="1" firstDataRow="2" firstDataCol="1"/>
  <pivotFields count="32">
    <pivotField numFmtId="14" showAll="0"/>
    <pivotField axis="axisCol" showAll="0">
      <items count="9">
        <item m="1" x="5"/>
        <item m="1" x="7"/>
        <item m="1" x="6"/>
        <item x="0"/>
        <item x="1"/>
        <item x="2"/>
        <item x="3"/>
        <item m="1" x="4"/>
        <item t="default"/>
      </items>
    </pivotField>
    <pivotField showAll="0"/>
    <pivotField showAll="0"/>
    <pivotField dataField="1" numFmtId="166" showAll="0"/>
    <pivotField numFmtId="166" showAll="0"/>
    <pivotField dataField="1" numFmtId="166" showAll="0"/>
    <pivotField dataField="1" numFmtId="166" showAll="0"/>
    <pivotField numFmtId="164" showAll="0"/>
    <pivotField dataField="1" numFmtId="166" showAll="0"/>
    <pivotField dataField="1" numFmtId="166" showAll="0"/>
    <pivotField showAll="0"/>
    <pivotField showAll="0"/>
    <pivotField numFmtId="167" showAll="0"/>
    <pivotField showAll="0"/>
    <pivotField showAll="0"/>
    <pivotField showAll="0"/>
    <pivotField showAll="0"/>
    <pivotField showAll="0"/>
    <pivotField numFmtId="166"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5">
    <i>
      <x/>
    </i>
    <i i="1">
      <x v="1"/>
    </i>
    <i i="2">
      <x v="2"/>
    </i>
    <i i="3">
      <x v="3"/>
    </i>
    <i i="4">
      <x v="4"/>
    </i>
  </rowItems>
  <colFields count="1">
    <field x="1"/>
  </colFields>
  <colItems count="5">
    <i>
      <x v="3"/>
    </i>
    <i>
      <x v="4"/>
    </i>
    <i>
      <x v="5"/>
    </i>
    <i>
      <x v="6"/>
    </i>
    <i t="grand">
      <x/>
    </i>
  </colItems>
  <dataFields count="5">
    <dataField name="KMK MASUK(Kg)" fld="4" baseField="0" baseItem="0"/>
    <dataField name="KMK KELUAR (Kg)" fld="6" baseField="0" baseItem="0"/>
    <dataField name="Susut ecoBali (Kg)" fld="7" baseField="0" baseItem="0"/>
    <dataField name="KMK Bulan Lalu (Kg)" fld="9" baseField="0" baseItem="0"/>
    <dataField name="KMK untuk bulan depan (Kg)" fld="10" baseField="0" baseItem="0"/>
  </dataFields>
  <formats count="40">
    <format dxfId="1283">
      <pivotArea type="origin" dataOnly="0" labelOnly="1" outline="0" fieldPosition="0"/>
    </format>
    <format dxfId="1282">
      <pivotArea field="1" type="button" dataOnly="0" labelOnly="1" outline="0" axis="axisCol" fieldPosition="0"/>
    </format>
    <format dxfId="1281">
      <pivotArea type="topRight" dataOnly="0" labelOnly="1" outline="0" fieldPosition="0"/>
    </format>
    <format dxfId="1280">
      <pivotArea type="origin" dataOnly="0" labelOnly="1" outline="0" fieldPosition="0"/>
    </format>
    <format dxfId="1279">
      <pivotArea field="1" type="button" dataOnly="0" labelOnly="1" outline="0" axis="axisCol" fieldPosition="0"/>
    </format>
    <format dxfId="1278">
      <pivotArea type="topRight" dataOnly="0" labelOnly="1" outline="0" fieldPosition="0"/>
    </format>
    <format dxfId="1277">
      <pivotArea type="all" dataOnly="0" outline="0" fieldPosition="0"/>
    </format>
    <format dxfId="1276">
      <pivotArea outline="0" collapsedLevelsAreSubtotals="1" fieldPosition="0"/>
    </format>
    <format dxfId="1275">
      <pivotArea type="origin" dataOnly="0" labelOnly="1" outline="0" fieldPosition="0"/>
    </format>
    <format dxfId="1274">
      <pivotArea field="1" type="button" dataOnly="0" labelOnly="1" outline="0" axis="axisCol" fieldPosition="0"/>
    </format>
    <format dxfId="1273">
      <pivotArea type="topRight" dataOnly="0" labelOnly="1" outline="0" fieldPosition="0"/>
    </format>
    <format dxfId="1272">
      <pivotArea field="-2" type="button" dataOnly="0" labelOnly="1" outline="0" axis="axisRow" fieldPosition="0"/>
    </format>
    <format dxfId="1271">
      <pivotArea dataOnly="0" labelOnly="1" outline="0" fieldPosition="0">
        <references count="1">
          <reference field="4294967294" count="1">
            <x v="1"/>
          </reference>
        </references>
      </pivotArea>
    </format>
    <format dxfId="1270">
      <pivotArea dataOnly="0" labelOnly="1" fieldPosition="0">
        <references count="1">
          <reference field="1" count="0"/>
        </references>
      </pivotArea>
    </format>
    <format dxfId="1269">
      <pivotArea dataOnly="0" labelOnly="1" grandCol="1" outline="0" fieldPosition="0"/>
    </format>
    <format dxfId="1268">
      <pivotArea type="all" dataOnly="0" outline="0" fieldPosition="0"/>
    </format>
    <format dxfId="1267">
      <pivotArea outline="0" collapsedLevelsAreSubtotals="1" fieldPosition="0"/>
    </format>
    <format dxfId="1266">
      <pivotArea type="origin" dataOnly="0" labelOnly="1" outline="0" fieldPosition="0"/>
    </format>
    <format dxfId="1265">
      <pivotArea field="1" type="button" dataOnly="0" labelOnly="1" outline="0" axis="axisCol" fieldPosition="0"/>
    </format>
    <format dxfId="1264">
      <pivotArea type="topRight" dataOnly="0" labelOnly="1" outline="0" fieldPosition="0"/>
    </format>
    <format dxfId="1263">
      <pivotArea field="-2" type="button" dataOnly="0" labelOnly="1" outline="0" axis="axisRow" fieldPosition="0"/>
    </format>
    <format dxfId="1262">
      <pivotArea dataOnly="0" labelOnly="1" outline="0" fieldPosition="0">
        <references count="1">
          <reference field="4294967294" count="1">
            <x v="1"/>
          </reference>
        </references>
      </pivotArea>
    </format>
    <format dxfId="1261">
      <pivotArea dataOnly="0" labelOnly="1" fieldPosition="0">
        <references count="1">
          <reference field="1" count="0"/>
        </references>
      </pivotArea>
    </format>
    <format dxfId="1260">
      <pivotArea dataOnly="0" labelOnly="1" grandCol="1" outline="0" fieldPosition="0"/>
    </format>
    <format dxfId="1259">
      <pivotArea dataOnly="0" labelOnly="1" outline="0" fieldPosition="0">
        <references count="1">
          <reference field="4294967294" count="1">
            <x v="1"/>
          </reference>
        </references>
      </pivotArea>
    </format>
    <format dxfId="1258">
      <pivotArea dataOnly="0" labelOnly="1" outline="0" fieldPosition="0">
        <references count="1">
          <reference field="4294967294" count="1">
            <x v="2"/>
          </reference>
        </references>
      </pivotArea>
    </format>
    <format dxfId="1257">
      <pivotArea dataOnly="0" labelOnly="1" outline="0" fieldPosition="0">
        <references count="1">
          <reference field="4294967294" count="1">
            <x v="2"/>
          </reference>
        </references>
      </pivotArea>
    </format>
    <format dxfId="1256">
      <pivotArea dataOnly="0" labelOnly="1" outline="0" fieldPosition="0">
        <references count="1">
          <reference field="4294967294" count="1">
            <x v="2"/>
          </reference>
        </references>
      </pivotArea>
    </format>
    <format dxfId="1255">
      <pivotArea field="-2" type="button" dataOnly="0" labelOnly="1" outline="0" axis="axisRow" fieldPosition="0"/>
    </format>
    <format dxfId="1254">
      <pivotArea dataOnly="0" labelOnly="1" fieldPosition="0">
        <references count="1">
          <reference field="1" count="0"/>
        </references>
      </pivotArea>
    </format>
    <format dxfId="1253">
      <pivotArea dataOnly="0" labelOnly="1" grandCol="1" outline="0" fieldPosition="0"/>
    </format>
    <format dxfId="1252">
      <pivotArea field="-2" type="button" dataOnly="0" labelOnly="1" outline="0" axis="axisRow" fieldPosition="0"/>
    </format>
    <format dxfId="1251">
      <pivotArea dataOnly="0" labelOnly="1" fieldPosition="0">
        <references count="1">
          <reference field="1" count="0"/>
        </references>
      </pivotArea>
    </format>
    <format dxfId="1250">
      <pivotArea dataOnly="0" labelOnly="1" grandCol="1" outline="0" fieldPosition="0"/>
    </format>
    <format dxfId="1249">
      <pivotArea field="-2" type="button" dataOnly="0" labelOnly="1" outline="0" axis="axisRow" fieldPosition="0"/>
    </format>
    <format dxfId="1248">
      <pivotArea dataOnly="0" labelOnly="1" fieldPosition="0">
        <references count="1">
          <reference field="1" count="0"/>
        </references>
      </pivotArea>
    </format>
    <format dxfId="1247">
      <pivotArea dataOnly="0" labelOnly="1" grandCol="1" outline="0" fieldPosition="0"/>
    </format>
    <format dxfId="1246">
      <pivotArea dataOnly="0" labelOnly="1" outline="0" fieldPosition="0">
        <references count="1">
          <reference field="4294967294" count="1">
            <x v="0"/>
          </reference>
        </references>
      </pivotArea>
    </format>
    <format dxfId="1245">
      <pivotArea dataOnly="0" labelOnly="1" outline="0" fieldPosition="0">
        <references count="1">
          <reference field="4294967294" count="1">
            <x v="3"/>
          </reference>
        </references>
      </pivotArea>
    </format>
    <format dxfId="1244">
      <pivotArea dataOnly="0" labelOnly="1" outline="0" fieldPosition="0">
        <references count="1">
          <reference field="4294967294" count="1">
            <x v="4"/>
          </reference>
        </references>
      </pivotArea>
    </format>
  </formats>
  <chartFormats count="13">
    <chartFormat chart="0" format="1" series="1">
      <pivotArea type="data" outline="0" fieldPosition="0">
        <references count="1">
          <reference field="4294967294" count="1" selected="0">
            <x v="1"/>
          </reference>
        </references>
      </pivotArea>
    </chartFormat>
    <chartFormat chart="0" format="4" series="1">
      <pivotArea type="data" outline="0" fieldPosition="0">
        <references count="2">
          <reference field="4294967294" count="1" selected="0">
            <x v="1"/>
          </reference>
          <reference field="1" count="1" selected="0">
            <x v="3"/>
          </reference>
        </references>
      </pivotArea>
    </chartFormat>
    <chartFormat chart="0" format="5" series="1">
      <pivotArea type="data" outline="0" fieldPosition="0">
        <references count="2">
          <reference field="4294967294" count="1" selected="0">
            <x v="1"/>
          </reference>
          <reference field="1" count="1" selected="0">
            <x v="4"/>
          </reference>
        </references>
      </pivotArea>
    </chartFormat>
    <chartFormat chart="0" format="6" series="1">
      <pivotArea type="data" outline="0" fieldPosition="0">
        <references count="2">
          <reference field="4294967294" count="1" selected="0">
            <x v="1"/>
          </reference>
          <reference field="1" count="1" selected="0">
            <x v="5"/>
          </reference>
        </references>
      </pivotArea>
    </chartFormat>
    <chartFormat chart="0" format="7" series="1">
      <pivotArea type="data" outline="0" fieldPosition="0">
        <references count="2">
          <reference field="4294967294" count="1" selected="0">
            <x v="1"/>
          </reference>
          <reference field="1" count="1" selected="0">
            <x v="6"/>
          </reference>
        </references>
      </pivotArea>
    </chartFormat>
    <chartFormat chart="0" format="16" series="1">
      <pivotArea type="data" outline="0" fieldPosition="0">
        <references count="2">
          <reference field="4294967294" count="1" selected="0">
            <x v="2"/>
          </reference>
          <reference field="1" count="1" selected="0">
            <x v="3"/>
          </reference>
        </references>
      </pivotArea>
    </chartFormat>
    <chartFormat chart="0" format="17" series="1">
      <pivotArea type="data" outline="0" fieldPosition="0">
        <references count="2">
          <reference field="4294967294" count="1" selected="0">
            <x v="2"/>
          </reference>
          <reference field="1" count="1" selected="0">
            <x v="4"/>
          </reference>
        </references>
      </pivotArea>
    </chartFormat>
    <chartFormat chart="0" format="18" series="1">
      <pivotArea type="data" outline="0" fieldPosition="0">
        <references count="2">
          <reference field="4294967294" count="1" selected="0">
            <x v="2"/>
          </reference>
          <reference field="1" count="1" selected="0">
            <x v="5"/>
          </reference>
        </references>
      </pivotArea>
    </chartFormat>
    <chartFormat chart="0" format="19" series="1">
      <pivotArea type="data" outline="0" fieldPosition="0">
        <references count="2">
          <reference field="4294967294" count="1" selected="0">
            <x v="2"/>
          </reference>
          <reference field="1" count="1" selected="0">
            <x v="6"/>
          </reference>
        </references>
      </pivotArea>
    </chartFormat>
    <chartFormat chart="0" format="20" series="1">
      <pivotArea type="data" outline="0" fieldPosition="0">
        <references count="2">
          <reference field="4294967294" count="1" selected="0">
            <x v="0"/>
          </reference>
          <reference field="1" count="1" selected="0">
            <x v="3"/>
          </reference>
        </references>
      </pivotArea>
    </chartFormat>
    <chartFormat chart="0" format="21" series="1">
      <pivotArea type="data" outline="0" fieldPosition="0">
        <references count="2">
          <reference field="4294967294" count="1" selected="0">
            <x v="0"/>
          </reference>
          <reference field="1" count="1" selected="0">
            <x v="4"/>
          </reference>
        </references>
      </pivotArea>
    </chartFormat>
    <chartFormat chart="0" format="22" series="1">
      <pivotArea type="data" outline="0" fieldPosition="0">
        <references count="2">
          <reference field="4294967294" count="1" selected="0">
            <x v="0"/>
          </reference>
          <reference field="1" count="1" selected="0">
            <x v="5"/>
          </reference>
        </references>
      </pivotArea>
    </chartFormat>
    <chartFormat chart="0" format="23" series="1">
      <pivotArea type="data" outline="0" fieldPosition="0">
        <references count="2">
          <reference field="4294967294" count="1" selected="0">
            <x v="0"/>
          </reference>
          <reference field="1" count="1" selected="0">
            <x v="6"/>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AF283F-57D8-4430-A827-6E4F7451012B}" name="JUAL-EcoBali-Delivery"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K3:L8" firstHeaderRow="1" firstDataRow="1" firstDataCol="1"/>
  <pivotFields count="32">
    <pivotField showAll="0"/>
    <pivotField axis="axisRow" showAll="0">
      <items count="9">
        <item m="1" x="5"/>
        <item m="1" x="7"/>
        <item m="1" x="6"/>
        <item x="0"/>
        <item x="1"/>
        <item x="2"/>
        <item x="3"/>
        <item m="1" x="4"/>
        <item t="default"/>
      </items>
    </pivotField>
    <pivotField showAll="0"/>
    <pivotField showAll="0"/>
    <pivotField numFmtId="166" showAll="0"/>
    <pivotField numFmtId="166" showAll="0"/>
    <pivotField dataField="1" showAll="0"/>
    <pivotField showAll="0"/>
    <pivotField showAll="0"/>
    <pivotField numFmtId="166" showAll="0"/>
    <pivotField numFmtId="166" showAll="0"/>
    <pivotField showAll="0">
      <items count="3">
        <item x="0"/>
        <item m="1" x="1"/>
        <item t="default"/>
      </items>
    </pivotField>
    <pivotField showAll="0"/>
    <pivotField numFmtId="166" showAll="0"/>
    <pivotField showAll="0"/>
    <pivotField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4"/>
    </i>
    <i>
      <x v="5"/>
    </i>
    <i>
      <x v="6"/>
    </i>
    <i t="grand">
      <x/>
    </i>
  </rowItems>
  <colItems count="1">
    <i/>
  </colItems>
  <dataFields count="1">
    <dataField name="Sum of Delivered to Papermill (Kg)" fld="6" baseField="0" baseItem="0"/>
  </dataFields>
  <formats count="28">
    <format dxfId="2250">
      <pivotArea type="all" dataOnly="0" outline="0" fieldPosition="0"/>
    </format>
    <format dxfId="2249">
      <pivotArea outline="0" collapsedLevelsAreSubtotals="1" fieldPosition="0"/>
    </format>
    <format dxfId="2248">
      <pivotArea field="1" type="button" dataOnly="0" labelOnly="1" outline="0" axis="axisRow" fieldPosition="0"/>
    </format>
    <format dxfId="2247">
      <pivotArea dataOnly="0" labelOnly="1" fieldPosition="0">
        <references count="1">
          <reference field="1" count="0"/>
        </references>
      </pivotArea>
    </format>
    <format dxfId="2246">
      <pivotArea dataOnly="0" labelOnly="1" grandRow="1" outline="0" fieldPosition="0"/>
    </format>
    <format dxfId="2245">
      <pivotArea dataOnly="0" labelOnly="1" outline="0" axis="axisValues" fieldPosition="0"/>
    </format>
    <format dxfId="2244">
      <pivotArea type="all" dataOnly="0" outline="0" fieldPosition="0"/>
    </format>
    <format dxfId="2243">
      <pivotArea field="1" type="button" dataOnly="0" labelOnly="1" outline="0" axis="axisRow" fieldPosition="0"/>
    </format>
    <format dxfId="2242">
      <pivotArea dataOnly="0" labelOnly="1" fieldPosition="0">
        <references count="1">
          <reference field="1" count="0"/>
        </references>
      </pivotArea>
    </format>
    <format dxfId="2241">
      <pivotArea dataOnly="0" labelOnly="1" grandRow="1" outline="0" fieldPosition="0"/>
    </format>
    <format dxfId="2240">
      <pivotArea dataOnly="0" labelOnly="1" outline="0" axis="axisValues" fieldPosition="0"/>
    </format>
    <format dxfId="2239">
      <pivotArea outline="0" collapsedLevelsAreSubtotals="1" fieldPosition="0"/>
    </format>
    <format dxfId="2238">
      <pivotArea outline="0" collapsedLevelsAreSubtotals="1" fieldPosition="0"/>
    </format>
    <format dxfId="2237">
      <pivotArea type="all" dataOnly="0" outline="0" fieldPosition="0"/>
    </format>
    <format dxfId="2236">
      <pivotArea outline="0" collapsedLevelsAreSubtotals="1" fieldPosition="0"/>
    </format>
    <format dxfId="2235">
      <pivotArea dataOnly="0" labelOnly="1" fieldPosition="0">
        <references count="1">
          <reference field="1" count="0"/>
        </references>
      </pivotArea>
    </format>
    <format dxfId="2234">
      <pivotArea dataOnly="0" labelOnly="1" grandRow="1" outline="0" fieldPosition="0"/>
    </format>
    <format dxfId="2233">
      <pivotArea dataOnly="0" labelOnly="1" outline="0" axis="axisValues" fieldPosition="0"/>
    </format>
    <format dxfId="2232">
      <pivotArea outline="0" collapsedLevelsAreSubtotals="1" fieldPosition="0"/>
    </format>
    <format dxfId="2231">
      <pivotArea dataOnly="0" labelOnly="1" outline="0" axis="axisValues" fieldPosition="0"/>
    </format>
    <format dxfId="2230">
      <pivotArea field="1" type="button" dataOnly="0" labelOnly="1" outline="0" axis="axisRow" fieldPosition="0"/>
    </format>
    <format dxfId="2229">
      <pivotArea dataOnly="0" labelOnly="1" outline="0" axis="axisValues" fieldPosition="0"/>
    </format>
    <format dxfId="2228">
      <pivotArea field="1" type="button" dataOnly="0" labelOnly="1" outline="0" axis="axisRow" fieldPosition="0"/>
    </format>
    <format dxfId="2227">
      <pivotArea dataOnly="0" labelOnly="1" outline="0" axis="axisValues" fieldPosition="0"/>
    </format>
    <format dxfId="2226">
      <pivotArea field="1" type="button" dataOnly="0" labelOnly="1" outline="0" axis="axisRow" fieldPosition="0"/>
    </format>
    <format dxfId="2225">
      <pivotArea dataOnly="0" labelOnly="1" outline="0" axis="axisValues" fieldPosition="0"/>
    </format>
    <format dxfId="2224">
      <pivotArea field="1" type="button" dataOnly="0" labelOnly="1" outline="0" axis="axisRow" fieldPosition="0"/>
    </format>
    <format dxfId="2223">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20CEBE-D8F7-413C-BC67-4C096D25D490}" name="JUAL-EcoBali-Collection" cacheId="21" applyNumberFormats="0" applyBorderFormats="0" applyFontFormats="0" applyPatternFormats="0" applyAlignmentFormats="0" applyWidthHeightFormats="1" dataCaption="Values" grandTotalCaption="Total" updatedVersion="7" minRefreshableVersion="3" useAutoFormatting="1" itemPrintTitles="1" createdVersion="6" indent="0" outline="1" outlineData="1" multipleFieldFilters="0" chartFormat="3">
  <location ref="B3:B8" firstHeaderRow="1" firstDataRow="1" firstDataCol="1"/>
  <pivotFields count="32">
    <pivotField showAll="0"/>
    <pivotField axis="axisRow" showAll="0">
      <items count="9">
        <item m="1" x="5"/>
        <item m="1" x="7"/>
        <item m="1" x="6"/>
        <item x="0"/>
        <item x="1"/>
        <item x="2"/>
        <item x="3"/>
        <item m="1" x="4"/>
        <item t="default"/>
      </items>
    </pivotField>
    <pivotField showAll="0"/>
    <pivotField showAll="0"/>
    <pivotField numFmtId="166" showAll="0"/>
    <pivotField numFmtId="166" showAll="0"/>
    <pivotField showAll="0"/>
    <pivotField showAll="0"/>
    <pivotField showAll="0"/>
    <pivotField numFmtId="166" showAll="0"/>
    <pivotField numFmtId="166" showAll="0"/>
    <pivotField showAll="0">
      <items count="3">
        <item x="0"/>
        <item m="1" x="1"/>
        <item t="default"/>
      </items>
    </pivotField>
    <pivotField showAll="0"/>
    <pivotField numFmtId="166" showAll="0"/>
    <pivotField showAll="0"/>
    <pivotField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4"/>
    </i>
    <i>
      <x v="5"/>
    </i>
    <i>
      <x v="6"/>
    </i>
    <i t="grand">
      <x/>
    </i>
  </rowItems>
  <colItems count="1">
    <i/>
  </colItems>
  <formats count="26">
    <format dxfId="2276">
      <pivotArea type="all" dataOnly="0" outline="0" fieldPosition="0"/>
    </format>
    <format dxfId="2275">
      <pivotArea outline="0" collapsedLevelsAreSubtotals="1" fieldPosition="0"/>
    </format>
    <format dxfId="2274">
      <pivotArea field="1" type="button" dataOnly="0" labelOnly="1" outline="0" axis="axisRow" fieldPosition="0"/>
    </format>
    <format dxfId="2273">
      <pivotArea dataOnly="0" labelOnly="1" fieldPosition="0">
        <references count="1">
          <reference field="1" count="0"/>
        </references>
      </pivotArea>
    </format>
    <format dxfId="2272">
      <pivotArea dataOnly="0" labelOnly="1" grandRow="1" outline="0" fieldPosition="0"/>
    </format>
    <format dxfId="2271">
      <pivotArea dataOnly="0" labelOnly="1" outline="0" axis="axisValues" fieldPosition="0"/>
    </format>
    <format dxfId="2270">
      <pivotArea outline="0" collapsedLevelsAreSubtotals="1" fieldPosition="0"/>
    </format>
    <format dxfId="2269">
      <pivotArea dataOnly="0" labelOnly="1" grandRow="1" outline="0" fieldPosition="0"/>
    </format>
    <format dxfId="2268">
      <pivotArea outline="0" collapsedLevelsAreSubtotals="1" fieldPosition="0"/>
    </format>
    <format dxfId="2267">
      <pivotArea type="all" dataOnly="0" outline="0" fieldPosition="0"/>
    </format>
    <format dxfId="2266">
      <pivotArea outline="0" collapsedLevelsAreSubtotals="1" fieldPosition="0"/>
    </format>
    <format dxfId="2265">
      <pivotArea dataOnly="0" labelOnly="1" fieldPosition="0">
        <references count="1">
          <reference field="1" count="0"/>
        </references>
      </pivotArea>
    </format>
    <format dxfId="2264">
      <pivotArea dataOnly="0" labelOnly="1" grandRow="1" outline="0" fieldPosition="0"/>
    </format>
    <format dxfId="2263">
      <pivotArea dataOnly="0" labelOnly="1" outline="0" axis="axisValues" fieldPosition="0"/>
    </format>
    <format dxfId="2262">
      <pivotArea outline="0" collapsedLevelsAreSubtotals="1" fieldPosition="0"/>
    </format>
    <format dxfId="2261">
      <pivotArea dataOnly="0" labelOnly="1" outline="0" axis="axisValues" fieldPosition="0"/>
    </format>
    <format dxfId="2260">
      <pivotArea field="1" type="button" dataOnly="0" labelOnly="1" outline="0" axis="axisRow" fieldPosition="0"/>
    </format>
    <format dxfId="2259">
      <pivotArea dataOnly="0" labelOnly="1" outline="0" axis="axisValues" fieldPosition="0"/>
    </format>
    <format dxfId="2258">
      <pivotArea field="1" type="button" dataOnly="0" labelOnly="1" outline="0" axis="axisRow" fieldPosition="0"/>
    </format>
    <format dxfId="2257">
      <pivotArea dataOnly="0" labelOnly="1" outline="0" axis="axisValues" fieldPosition="0"/>
    </format>
    <format dxfId="2256">
      <pivotArea field="1" type="button" dataOnly="0" labelOnly="1" outline="0" axis="axisRow" fieldPosition="0"/>
    </format>
    <format dxfId="2255">
      <pivotArea dataOnly="0" labelOnly="1" outline="0" axis="axisValues" fieldPosition="0"/>
    </format>
    <format dxfId="2254">
      <pivotArea field="1" type="button" dataOnly="0" labelOnly="1" outline="0" axis="axisRow" fieldPosition="0"/>
    </format>
    <format dxfId="2253">
      <pivotArea dataOnly="0" labelOnly="1" outline="0" axis="axisValues" fieldPosition="0"/>
    </format>
    <format dxfId="2252">
      <pivotArea field="1" type="button" dataOnly="0" labelOnly="1" outline="0" axis="axisRow" fieldPosition="0"/>
    </format>
    <format dxfId="2251">
      <pivotArea dataOnly="0" labelOnly="1" outline="0" axis="axisValues"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898391-B8C3-43F5-A341-B56B4D12BF9C}" name="Jual-EcoBali-Target Tahun Sent"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B3:AD8" firstHeaderRow="0" firstDataRow="1" firstDataCol="1"/>
  <pivotFields count="32">
    <pivotField numFmtId="14" showAll="0"/>
    <pivotField axis="axisRow" showAll="0">
      <items count="9">
        <item m="1" x="5"/>
        <item m="1" x="7"/>
        <item m="1" x="6"/>
        <item x="0"/>
        <item x="1"/>
        <item x="2"/>
        <item x="3"/>
        <item m="1" x="4"/>
        <item t="default"/>
      </items>
    </pivotField>
    <pivotField showAll="0"/>
    <pivotField showAll="0"/>
    <pivotField numFmtId="166" showAll="0"/>
    <pivotField numFmtId="166" showAll="0"/>
    <pivotField dataField="1" numFmtId="166" showAll="0"/>
    <pivotField numFmtId="166" showAll="0"/>
    <pivotField numFmtId="164" showAll="0"/>
    <pivotField numFmtId="166" showAll="0"/>
    <pivotField numFmtId="166" showAll="0"/>
    <pivotField showAll="0"/>
    <pivotField showAll="0"/>
    <pivotField numFmtId="167" showAll="0"/>
    <pivotField showAll="0"/>
    <pivotField showAll="0"/>
    <pivotField showAll="0"/>
    <pivotField showAll="0"/>
    <pivotField showAll="0"/>
    <pivotField numFmtId="166" showAll="0"/>
    <pivotField numFmtId="166" showAll="0"/>
    <pivotField dataField="1"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4"/>
    </i>
    <i>
      <x v="5"/>
    </i>
    <i>
      <x v="6"/>
    </i>
    <i t="grand">
      <x/>
    </i>
  </rowItems>
  <colFields count="1">
    <field x="-2"/>
  </colFields>
  <colItems count="2">
    <i>
      <x/>
    </i>
    <i i="1">
      <x v="1"/>
    </i>
  </colItems>
  <dataFields count="2">
    <dataField name="Sum of Target Tahunan" fld="21" baseField="0" baseItem="0"/>
    <dataField name="Sum of Delivered to Papermill (Kg)" fld="6" baseField="0" baseItem="0"/>
  </dataFields>
  <formats count="18">
    <format dxfId="2294">
      <pivotArea type="all" dataOnly="0" outline="0" fieldPosition="0"/>
    </format>
    <format dxfId="2293">
      <pivotArea outline="0" collapsedLevelsAreSubtotals="1" fieldPosition="0"/>
    </format>
    <format dxfId="2292">
      <pivotArea field="1" type="button" dataOnly="0" labelOnly="1" outline="0" axis="axisRow" fieldPosition="0"/>
    </format>
    <format dxfId="2291">
      <pivotArea dataOnly="0" labelOnly="1" fieldPosition="0">
        <references count="1">
          <reference field="1" count="0"/>
        </references>
      </pivotArea>
    </format>
    <format dxfId="2290">
      <pivotArea dataOnly="0" labelOnly="1" grandRow="1" outline="0" fieldPosition="0"/>
    </format>
    <format dxfId="2289">
      <pivotArea dataOnly="0" labelOnly="1" outline="0" axis="axisValues" fieldPosition="0"/>
    </format>
    <format dxfId="2288">
      <pivotArea field="1" type="button" dataOnly="0" labelOnly="1" outline="0" axis="axisRow" fieldPosition="0"/>
    </format>
    <format dxfId="2287">
      <pivotArea dataOnly="0" labelOnly="1" outline="0" axis="axisValues" fieldPosition="0"/>
    </format>
    <format dxfId="2286">
      <pivotArea field="1" type="button" dataOnly="0" labelOnly="1" outline="0" axis="axisRow" fieldPosition="0"/>
    </format>
    <format dxfId="2285">
      <pivotArea dataOnly="0" labelOnly="1" outline="0" axis="axisValues" fieldPosition="0"/>
    </format>
    <format dxfId="2284">
      <pivotArea type="all" dataOnly="0" outline="0" fieldPosition="0"/>
    </format>
    <format dxfId="2283">
      <pivotArea outline="0" collapsedLevelsAreSubtotals="1" fieldPosition="0"/>
    </format>
    <format dxfId="2282">
      <pivotArea field="1" type="button" dataOnly="0" labelOnly="1" outline="0" axis="axisRow" fieldPosition="0"/>
    </format>
    <format dxfId="2281">
      <pivotArea dataOnly="0" labelOnly="1" fieldPosition="0">
        <references count="1">
          <reference field="1" count="0"/>
        </references>
      </pivotArea>
    </format>
    <format dxfId="2280">
      <pivotArea dataOnly="0" labelOnly="1" grandRow="1" outline="0" fieldPosition="0"/>
    </format>
    <format dxfId="2279">
      <pivotArea dataOnly="0" labelOnly="1" outline="0" axis="axisValues" fieldPosition="0"/>
    </format>
    <format dxfId="2278">
      <pivotArea outline="0" collapsedLevelsAreSubtotals="1" fieldPosition="0"/>
    </format>
    <format dxfId="2277">
      <pivotArea outline="0" collapsedLevelsAreSubtotals="1"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0453DC-FC2A-4B1B-8033-5B23FBD981BE}" name="JUAL-EcoBali-Susut"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J3:AM8" firstHeaderRow="0" firstDataRow="1" firstDataCol="1"/>
  <pivotFields count="32">
    <pivotField showAll="0"/>
    <pivotField axis="axisRow" showAll="0">
      <items count="9">
        <item m="1" x="5"/>
        <item m="1" x="7"/>
        <item m="1" x="6"/>
        <item x="0"/>
        <item x="1"/>
        <item x="2"/>
        <item x="3"/>
        <item m="1" x="4"/>
        <item t="default"/>
      </items>
    </pivotField>
    <pivotField showAll="0"/>
    <pivotField showAll="0"/>
    <pivotField dataField="1" numFmtId="166" showAll="0"/>
    <pivotField numFmtId="166" showAll="0"/>
    <pivotField showAll="0"/>
    <pivotField dataField="1" showAll="0"/>
    <pivotField showAll="0"/>
    <pivotField numFmtId="166" showAll="0"/>
    <pivotField numFmtId="166" showAll="0"/>
    <pivotField showAll="0"/>
    <pivotField showAll="0"/>
    <pivotField numFmtId="166" showAll="0"/>
    <pivotField showAll="0"/>
    <pivotField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5">
    <i>
      <x v="3"/>
    </i>
    <i>
      <x v="4"/>
    </i>
    <i>
      <x v="5"/>
    </i>
    <i>
      <x v="6"/>
    </i>
    <i t="grand">
      <x/>
    </i>
  </rowItems>
  <colFields count="1">
    <field x="-2"/>
  </colFields>
  <colItems count="3">
    <i>
      <x/>
    </i>
    <i i="1">
      <x v="1"/>
    </i>
    <i i="2">
      <x v="2"/>
    </i>
  </colItems>
  <dataFields count="3">
    <dataField name="Sum of Collected by ecoBali (Kg)" fld="4" baseField="0" baseItem="0"/>
    <dataField name="Sum of Weighing scale Gap ecoBali (Kg)" fld="7" baseField="0" baseItem="0" numFmtId="166"/>
    <dataField name="Sum of Before Delivered" fld="31" baseField="0" baseItem="0" numFmtId="166"/>
  </dataFields>
  <formats count="20">
    <format dxfId="2314">
      <pivotArea field="1" type="button" dataOnly="0" labelOnly="1" outline="0" axis="axisRow" fieldPosition="0"/>
    </format>
    <format dxfId="2313">
      <pivotArea dataOnly="0" labelOnly="1" outline="0" fieldPosition="0">
        <references count="1">
          <reference field="4294967294" count="1">
            <x v="1"/>
          </reference>
        </references>
      </pivotArea>
    </format>
    <format dxfId="2312">
      <pivotArea field="1" type="button" dataOnly="0" labelOnly="1" outline="0" axis="axisRow" fieldPosition="0"/>
    </format>
    <format dxfId="2311">
      <pivotArea dataOnly="0" labelOnly="1" outline="0" fieldPosition="0">
        <references count="1">
          <reference field="4294967294" count="1">
            <x v="1"/>
          </reference>
        </references>
      </pivotArea>
    </format>
    <format dxfId="2310">
      <pivotArea field="1" type="button" dataOnly="0" labelOnly="1" outline="0" axis="axisRow" fieldPosition="0"/>
    </format>
    <format dxfId="2309">
      <pivotArea dataOnly="0" labelOnly="1" outline="0" fieldPosition="0">
        <references count="1">
          <reference field="4294967294" count="1">
            <x v="1"/>
          </reference>
        </references>
      </pivotArea>
    </format>
    <format dxfId="2308">
      <pivotArea type="all" dataOnly="0" outline="0" fieldPosition="0"/>
    </format>
    <format dxfId="2307">
      <pivotArea outline="0" collapsedLevelsAreSubtotals="1" fieldPosition="0"/>
    </format>
    <format dxfId="2306">
      <pivotArea field="1" type="button" dataOnly="0" labelOnly="1" outline="0" axis="axisRow" fieldPosition="0"/>
    </format>
    <format dxfId="2305">
      <pivotArea dataOnly="0" labelOnly="1" fieldPosition="0">
        <references count="1">
          <reference field="1" count="0"/>
        </references>
      </pivotArea>
    </format>
    <format dxfId="2304">
      <pivotArea dataOnly="0" labelOnly="1" grandRow="1" outline="0" fieldPosition="0"/>
    </format>
    <format dxfId="2303">
      <pivotArea dataOnly="0" labelOnly="1" outline="0" fieldPosition="0">
        <references count="1">
          <reference field="4294967294" count="1">
            <x v="1"/>
          </reference>
        </references>
      </pivotArea>
    </format>
    <format dxfId="2302">
      <pivotArea outline="0" collapsedLevelsAreSubtotals="1" fieldPosition="0"/>
    </format>
    <format dxfId="2301">
      <pivotArea outline="0" collapsedLevelsAreSubtotals="1" fieldPosition="0"/>
    </format>
    <format dxfId="2300">
      <pivotArea field="1" type="button" dataOnly="0" labelOnly="1" outline="0" axis="axisRow" fieldPosition="0"/>
    </format>
    <format dxfId="2299">
      <pivotArea dataOnly="0" labelOnly="1" outline="0" fieldPosition="0">
        <references count="1">
          <reference field="4294967294" count="1">
            <x v="1"/>
          </reference>
        </references>
      </pivotArea>
    </format>
    <format dxfId="2298">
      <pivotArea field="1" type="button" dataOnly="0" labelOnly="1" outline="0" axis="axisRow" fieldPosition="0"/>
    </format>
    <format dxfId="2297">
      <pivotArea dataOnly="0" labelOnly="1" outline="0" fieldPosition="0">
        <references count="1">
          <reference field="4294967294" count="1">
            <x v="1"/>
          </reference>
        </references>
      </pivotArea>
    </format>
    <format dxfId="2296">
      <pivotArea outline="0" collapsedLevelsAreSubtotals="1" fieldPosition="0">
        <references count="1">
          <reference field="4294967294" count="1" selected="0">
            <x v="1"/>
          </reference>
        </references>
      </pivotArea>
    </format>
    <format dxfId="2295">
      <pivotArea dataOnly="0" labelOnly="1" outline="0" fieldPosition="0">
        <references count="1">
          <reference field="4294967294" count="1">
            <x v="1"/>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6C7C58-EF2F-4882-BC3D-BBC092B12E72}" name="JUAL-EcoBali vs Papermill" cacheId="2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BB3:BD10" firstHeaderRow="0" firstDataRow="1" firstDataCol="1"/>
  <pivotFields count="32">
    <pivotField showAll="0"/>
    <pivotField axis="axisRow" showAll="0">
      <items count="9">
        <item m="1" x="5"/>
        <item m="1" x="7"/>
        <item m="1" x="6"/>
        <item x="0"/>
        <item x="1"/>
        <item x="2"/>
        <item x="3"/>
        <item m="1" x="4"/>
        <item t="default"/>
      </items>
    </pivotField>
    <pivotField axis="axisRow" showAll="0">
      <items count="4">
        <item x="0"/>
        <item x="1"/>
        <item m="1" x="2"/>
        <item t="default"/>
      </items>
    </pivotField>
    <pivotField showAll="0"/>
    <pivotField numFmtId="166" showAll="0"/>
    <pivotField numFmtId="166" showAll="0"/>
    <pivotField dataField="1" showAll="0"/>
    <pivotField showAll="0"/>
    <pivotField showAll="0"/>
    <pivotField numFmtId="166" showAll="0"/>
    <pivotField numFmtId="166" showAll="0"/>
    <pivotField showAll="0">
      <items count="3">
        <item x="0"/>
        <item m="1" x="1"/>
        <item t="default"/>
      </items>
    </pivotField>
    <pivotField dataField="1" showAll="0"/>
    <pivotField numFmtId="167" showAll="0"/>
    <pivotField showAll="0"/>
    <pivotField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2"/>
    <field x="1"/>
  </rowFields>
  <rowItems count="7">
    <i>
      <x/>
    </i>
    <i r="1">
      <x v="3"/>
    </i>
    <i r="1">
      <x v="4"/>
    </i>
    <i r="1">
      <x v="5"/>
    </i>
    <i>
      <x v="1"/>
    </i>
    <i r="1">
      <x v="6"/>
    </i>
    <i t="grand">
      <x/>
    </i>
  </rowItems>
  <colFields count="1">
    <field x="-2"/>
  </colFields>
  <colItems count="2">
    <i>
      <x/>
    </i>
    <i i="1">
      <x v="1"/>
    </i>
  </colItems>
  <dataFields count="2">
    <dataField name="Sum of Delivered to Papermill (Kg)" fld="6" baseField="0" baseItem="0"/>
    <dataField name="Sum of Received at Papermill (Kg)" fld="12" baseField="0" baseItem="0"/>
  </dataFields>
  <formats count="18">
    <format dxfId="2024">
      <pivotArea field="1" type="button" dataOnly="0" labelOnly="1" outline="0" axis="axisRow" fieldPosition="1"/>
    </format>
    <format dxfId="2023">
      <pivotArea field="1" type="button" dataOnly="0" labelOnly="1" outline="0" axis="axisRow" fieldPosition="1"/>
    </format>
    <format dxfId="2022">
      <pivotArea field="1" type="button" dataOnly="0" labelOnly="1" outline="0" axis="axisRow" fieldPosition="1"/>
    </format>
    <format dxfId="2021">
      <pivotArea field="1" type="button" dataOnly="0" labelOnly="1" outline="0" axis="axisRow" fieldPosition="1"/>
    </format>
    <format dxfId="2020">
      <pivotArea field="1" type="button" dataOnly="0" labelOnly="1" outline="0" axis="axisRow" fieldPosition="1"/>
    </format>
    <format dxfId="2019">
      <pivotArea grandRow="1" outline="0" collapsedLevelsAreSubtotals="1" fieldPosition="0"/>
    </format>
    <format dxfId="2018">
      <pivotArea dataOnly="0" labelOnly="1" grandRow="1" outline="0" fieldPosition="0"/>
    </format>
    <format dxfId="2017">
      <pivotArea grandRow="1" outline="0" collapsedLevelsAreSubtotals="1" fieldPosition="0"/>
    </format>
    <format dxfId="2016">
      <pivotArea dataOnly="0" labelOnly="1" grandRow="1" outline="0" fieldPosition="0"/>
    </format>
    <format dxfId="2015">
      <pivotArea grandRow="1" outline="0" collapsedLevelsAreSubtotals="1" fieldPosition="0"/>
    </format>
    <format dxfId="2014">
      <pivotArea dataOnly="0" labelOnly="1" grandRow="1" outline="0" fieldPosition="0"/>
    </format>
    <format dxfId="2013">
      <pivotArea grandRow="1" outline="0" collapsedLevelsAreSubtotals="1" fieldPosition="0"/>
    </format>
    <format dxfId="2012">
      <pivotArea dataOnly="0" labelOnly="1" grandRow="1" outline="0" fieldPosition="0"/>
    </format>
    <format dxfId="2011">
      <pivotArea type="all" dataOnly="0" outline="0" fieldPosition="0"/>
    </format>
    <format dxfId="2010">
      <pivotArea outline="0" collapsedLevelsAreSubtotals="1" fieldPosition="0"/>
    </format>
    <format dxfId="2009">
      <pivotArea field="1" type="button" dataOnly="0" labelOnly="1" outline="0" axis="axisRow" fieldPosition="1"/>
    </format>
    <format dxfId="2008">
      <pivotArea dataOnly="0" labelOnly="1" fieldPosition="0">
        <references count="1">
          <reference field="1" count="0"/>
        </references>
      </pivotArea>
    </format>
    <format dxfId="2007">
      <pivotArea dataOnly="0" labelOnly="1" grandRow="1" outline="0" fieldPosition="0"/>
    </format>
  </formats>
  <chartFormats count="4">
    <chartFormat chart="2" format="3"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1"/>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2EA296-8EE8-44BF-A881-3AE0049502A0}" name="JUAL-Pabrik-Received" cacheId="21" applyNumberFormats="0" applyBorderFormats="0" applyFontFormats="0" applyPatternFormats="0" applyAlignmentFormats="0" applyWidthHeightFormats="1" dataCaption="Values" missingCaption="0" updatedVersion="7" minRefreshableVersion="3" useAutoFormatting="1" itemPrintTitles="1" createdVersion="6" indent="0" outline="1" outlineData="1" multipleFieldFilters="0" chartFormat="3">
  <location ref="B3:C8" firstHeaderRow="1" firstDataRow="1" firstDataCol="1"/>
  <pivotFields count="32">
    <pivotField showAll="0"/>
    <pivotField axis="axisRow" showAll="0">
      <items count="9">
        <item m="1" x="5"/>
        <item m="1" x="7"/>
        <item m="1" x="6"/>
        <item x="0"/>
        <item x="1"/>
        <item x="2"/>
        <item x="3"/>
        <item m="1" x="4"/>
        <item t="default"/>
      </items>
    </pivotField>
    <pivotField showAll="0"/>
    <pivotField showAll="0"/>
    <pivotField numFmtId="166" showAll="0"/>
    <pivotField numFmtId="166" showAll="0"/>
    <pivotField showAll="0"/>
    <pivotField showAll="0"/>
    <pivotField showAll="0"/>
    <pivotField numFmtId="166" showAll="0"/>
    <pivotField numFmtId="166" showAll="0"/>
    <pivotField showAll="0">
      <items count="3">
        <item x="0"/>
        <item m="1" x="1"/>
        <item t="default"/>
      </items>
    </pivotField>
    <pivotField dataField="1" showAll="0"/>
    <pivotField numFmtId="166" showAll="0"/>
    <pivotField showAll="0"/>
    <pivotField showAll="0"/>
    <pivotField showAll="0"/>
    <pivotField showAll="0"/>
    <pivotField showAll="0"/>
    <pivotField numFmtId="166" showAll="0"/>
    <pivotField numFmtId="166" showAll="0"/>
    <pivotField numFmtId="166" showAll="0"/>
    <pivotField numFmtId="166"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v="3"/>
    </i>
    <i>
      <x v="4"/>
    </i>
    <i>
      <x v="5"/>
    </i>
    <i>
      <x v="6"/>
    </i>
    <i t="grand">
      <x/>
    </i>
  </rowItems>
  <colItems count="1">
    <i/>
  </colItems>
  <dataFields count="1">
    <dataField name="Sum of Received at Papermill (Kg)" fld="12" baseField="0" baseItem="0"/>
  </dataFields>
  <formats count="24">
    <format dxfId="2048">
      <pivotArea type="all" dataOnly="0" outline="0" fieldPosition="0"/>
    </format>
    <format dxfId="2047">
      <pivotArea outline="0" collapsedLevelsAreSubtotals="1" fieldPosition="0"/>
    </format>
    <format dxfId="2046">
      <pivotArea field="1" type="button" dataOnly="0" labelOnly="1" outline="0" axis="axisRow" fieldPosition="0"/>
    </format>
    <format dxfId="2045">
      <pivotArea dataOnly="0" labelOnly="1" fieldPosition="0">
        <references count="1">
          <reference field="1" count="0"/>
        </references>
      </pivotArea>
    </format>
    <format dxfId="2044">
      <pivotArea dataOnly="0" labelOnly="1" grandRow="1" outline="0" fieldPosition="0"/>
    </format>
    <format dxfId="2043">
      <pivotArea dataOnly="0" labelOnly="1" outline="0" axis="axisValues" fieldPosition="0"/>
    </format>
    <format dxfId="2042">
      <pivotArea outline="0" collapsedLevelsAreSubtotals="1" fieldPosition="0"/>
    </format>
    <format dxfId="2041">
      <pivotArea type="all" dataOnly="0" outline="0" fieldPosition="0"/>
    </format>
    <format dxfId="2040">
      <pivotArea outline="0" collapsedLevelsAreSubtotals="1" fieldPosition="0"/>
    </format>
    <format dxfId="2039">
      <pivotArea field="1" type="button" dataOnly="0" labelOnly="1" outline="0" axis="axisRow" fieldPosition="0"/>
    </format>
    <format dxfId="2038">
      <pivotArea dataOnly="0" labelOnly="1" fieldPosition="0">
        <references count="1">
          <reference field="1" count="0"/>
        </references>
      </pivotArea>
    </format>
    <format dxfId="2037">
      <pivotArea dataOnly="0" labelOnly="1" grandRow="1" outline="0" fieldPosition="0"/>
    </format>
    <format dxfId="2036">
      <pivotArea dataOnly="0" labelOnly="1" outline="0" axis="axisValues" fieldPosition="0"/>
    </format>
    <format dxfId="2035">
      <pivotArea grandRow="1" outline="0" collapsedLevelsAreSubtotals="1" fieldPosition="0"/>
    </format>
    <format dxfId="2034">
      <pivotArea dataOnly="0" labelOnly="1" grandRow="1" outline="0" fieldPosition="0"/>
    </format>
    <format dxfId="2033">
      <pivotArea field="1" type="button" dataOnly="0" labelOnly="1" outline="0" axis="axisRow" fieldPosition="0"/>
    </format>
    <format dxfId="2032">
      <pivotArea dataOnly="0" labelOnly="1" outline="0" axis="axisValues" fieldPosition="0"/>
    </format>
    <format dxfId="2031">
      <pivotArea field="1" type="button" dataOnly="0" labelOnly="1" outline="0" axis="axisRow" fieldPosition="0"/>
    </format>
    <format dxfId="2030">
      <pivotArea dataOnly="0" labelOnly="1" outline="0" axis="axisValues" fieldPosition="0"/>
    </format>
    <format dxfId="2029">
      <pivotArea dataOnly="0" outline="0" axis="axisValues" fieldPosition="0"/>
    </format>
    <format dxfId="2028">
      <pivotArea field="1" type="button" dataOnly="0" labelOnly="1" outline="0" axis="axisRow" fieldPosition="0"/>
    </format>
    <format dxfId="2027">
      <pivotArea dataOnly="0" labelOnly="1" outline="0" axis="axisValues" fieldPosition="0"/>
    </format>
    <format dxfId="2026">
      <pivotArea outline="0" collapsedLevelsAreSubtotals="1" fieldPosition="0"/>
    </format>
    <format dxfId="2025">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4BCFDAC6-2A2B-4E60-9A4E-C2C42FF3F3B3}" sourceName="[UBC_MASUK].[Bulan]">
  <pivotTables>
    <pivotTable tabId="17" name="Category-UBC"/>
    <pivotTable tabId="20" name="UBC-Data-Monthly"/>
    <pivotTable tabId="17" name="Category-Participants UBC"/>
    <pivotTable tabId="19" name="Region-∑Kabupaten"/>
    <pivotTable tabId="19" name="Region-∑Partisipan"/>
    <pivotTable tabId="22" name="UBC-∑WEEKLY"/>
    <pivotTable tabId="21" name="UBC-Data-Weekly"/>
    <pivotTable tabId="19" name="Region-∑UBC"/>
    <pivotTable tabId="22" name="UBC-Total-Compare"/>
    <pivotTable tabId="17" name="Category-UBC Total"/>
  </pivotTables>
  <data>
    <olap pivotCacheId="2135236994">
      <levels count="2">
        <level uniqueName="[UBC_MASUK].[Bulan].[(All)]" sourceCaption="(All)" count="0"/>
        <level uniqueName="[UBC_MASUK].[Bulan].[Bulan]" sourceCaption="Bulan" count="5">
          <ranges>
            <range startItem="0">
              <i n="[UBC_MASUK].[Bulan].&amp;[(01) JAN]" c="(01) JAN"/>
              <i n="[UBC_MASUK].[Bulan].&amp;[(02) FEB]" c="(02) FEB"/>
              <i n="[UBC_MASUK].[Bulan].&amp;[(03) MAR]" c="(03) MAR"/>
              <i n="[UBC_MASUK].[Bulan].&amp;[(04) APR]" c="(04) APR"/>
              <i n="[UBC_MASUK].[Bulan].&amp;[(05) MEI]" c="(05) MEI"/>
            </range>
          </ranges>
        </level>
      </levels>
      <selections count="1">
        <selection n="[UBC_MASUK].[Bula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9E9D367-97D7-4C36-9017-112C5A686A1D}" sourceName="Month">
  <pivotTables>
    <pivotTable tabId="31" name="Jual-EcoBali-Target Sent"/>
  </pivotTables>
  <data>
    <tabular pivotCacheId="1870690357">
      <items count="8">
        <i x="0" s="1"/>
        <i x="1" s="1"/>
        <i x="2" s="1"/>
        <i x="3" s="1"/>
        <i x="5" s="1" nd="1"/>
        <i x="7" s="1" nd="1"/>
        <i x="6" s="1" nd="1"/>
        <i x="4" s="1"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B203C5AE-A127-45B8-BB3A-D16428F2644A}" sourceName="Month">
  <pivotTables>
    <pivotTable tabId="31" name="Jual-EcoBali-Target Tahun Sent"/>
  </pivotTables>
  <data>
    <tabular pivotCacheId="1870690357">
      <items count="8">
        <i x="0" s="1"/>
        <i x="1" s="1"/>
        <i x="2" s="1"/>
        <i x="3" s="1"/>
        <i x="5" s="1" nd="1"/>
        <i x="7" s="1" nd="1"/>
        <i x="6" s="1" nd="1"/>
        <i x="4" s="1" nd="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permill" xr10:uid="{CE9521F4-900A-4424-AE42-D34D3356B71B}" sourceName="Papermill">
  <pivotTables>
    <pivotTable tabId="30" name="JUAL-Pabrik kontaminan"/>
    <pivotTable tabId="31" name="JUAL-EcoBali-Collection"/>
    <pivotTable tabId="31" name="JUAL-EcoBali-Delivery"/>
    <pivotTable tabId="30" name="JUAL-EcoBali vs Papermill"/>
    <pivotTable tabId="30" name="JUAL-Pabrik total diterima"/>
    <pivotTable tabId="30" name="JUAL-PABRIK-MCC"/>
    <pivotTable tabId="30" name="JUAL-Pabrik-Received"/>
    <pivotTable tabId="30" name="JUAL-Pabrik-Susut"/>
    <pivotTable tabId="31" name="JUAL-ECOBALI-KEPABRIK"/>
  </pivotTables>
  <data>
    <tabular pivotCacheId="1870690357">
      <items count="2">
        <i x="0" s="1"/>
        <i x="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EC80A868-9665-4473-AD34-9AB057B72206}" sourceName="[UBC_AKTIVITAS].[Tahun]">
  <pivotTables>
    <pivotTable tabId="38" name="AKTIVITAS-REKAP"/>
    <pivotTable tabId="38" name="AKTIVITAS-LOCATION ON CATEGORY"/>
    <pivotTable tabId="38" name="AKTIVITAS-MAP"/>
    <pivotTable tabId="38" name="AKTIVITAS-PARTICIPANTS ON PROGRAM"/>
  </pivotTables>
  <data>
    <olap pivotCacheId="1130360182">
      <levels count="2">
        <level uniqueName="[UBC_AKTIVITAS].[Tahun].[(All)]" sourceCaption="(All)" count="0"/>
        <level uniqueName="[UBC_AKTIVITAS].[Tahun].[Tahun]" sourceCaption="Tahun" count="3">
          <ranges>
            <range startItem="0">
              <i n="[UBC_AKTIVITAS].[Tahun].&amp;[2019]" c="2019"/>
              <i n="[UBC_AKTIVITAS].[Tahun].&amp;[2020]" c="2020"/>
              <i n="[UBC_AKTIVITAS].[Tahun].&amp;[2021]" c="2021"/>
            </range>
          </ranges>
        </level>
      </levels>
      <selections count="1">
        <selection n="[UBC_AKTIVITAS].[Tahun].&amp;[2021]"/>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 xr10:uid="{F097F602-CAC3-410F-A637-05F2BE1CD5B7}" sourceName="[UBC_AKTIVITAS].[Program]">
  <pivotTables>
    <pivotTable tabId="38" name="AKTIVITAS-PARTICIPANTS ON PROGRAM"/>
    <pivotTable tabId="38" name="AKTIVITAS-LOCATION ON CATEGORY"/>
    <pivotTable tabId="38" name="AKTIVITAS-MAP"/>
    <pivotTable tabId="38" name="AKTIVITAS-REKAP"/>
  </pivotTables>
  <data>
    <olap pivotCacheId="1130360182">
      <levels count="2">
        <level uniqueName="[UBC_AKTIVITAS].[Program].[(All)]" sourceCaption="(All)" count="0"/>
        <level uniqueName="[UBC_AKTIVITAS].[Program].[Program]" sourceCaption="Program" count="8">
          <ranges>
            <range startItem="0">
              <i n="[UBC_AKTIVITAS].[Program].&amp;[Continous building informal sector]" c="Continous building informal sector"/>
              <i n="[UBC_AKTIVITAS].[Program].&amp;[Dropbox]" c="Dropbox"/>
              <i n="[UBC_AKTIVITAS].[Program].&amp;[Roadshow]" c="Roadshow"/>
              <i n="[UBC_AKTIVITAS].[Program].&amp;[Socialization for School]" c="Socialization for School"/>
              <i n="[UBC_AKTIVITAS].[Program].&amp;[Socialization for waste bank]" c="Socialization for waste bank"/>
              <i n="[UBC_AKTIVITAS].[Program].&amp;[Socialization for Bisnis]" c="Socialization for Bisnis" nd="1"/>
              <i n="[UBC_AKTIVITAS].[Program].&amp;[Training for Hotel]" c="Training for Hotel" nd="1"/>
              <i n="[UBC_AKTIVITAS].[Program].&amp;[Video Competition]" c="Video Competition" nd="1"/>
            </range>
          </ranges>
        </level>
      </levels>
      <selections count="1">
        <selection n="[UBC_AKTIVITAS].[Program].[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bupaten" xr10:uid="{DAF3D927-06D4-466D-ACCA-C2ABCF7E2EBA}" sourceName="[UBC_AKTIVITAS].[Kabupaten]">
  <pivotTables>
    <pivotTable tabId="38" name="AKTIVITAS-MAP"/>
    <pivotTable tabId="38" name="AKTIVITAS-LOCATION ON CATEGORY"/>
    <pivotTable tabId="38" name="AKTIVITAS-PARTICIPANTS ON PROGRAM"/>
    <pivotTable tabId="38" name="AKTIVITAS-REKAP"/>
  </pivotTables>
  <data>
    <olap pivotCacheId="1130360182">
      <levels count="2">
        <level uniqueName="[UBC_AKTIVITAS].[Kabupaten].[(All)]" sourceCaption="(All)" count="0"/>
        <level uniqueName="[UBC_AKTIVITAS].[Kabupaten].[Kabupaten]" sourceCaption="Kabupaten" count="5">
          <ranges>
            <range startItem="0">
              <i n="[UBC_AKTIVITAS].[Kabupaten].&amp;[Badung]" c="Badung"/>
              <i n="[UBC_AKTIVITAS].[Kabupaten].&amp;[Buleleng]" c="Buleleng"/>
              <i n="[UBC_AKTIVITAS].[Kabupaten].&amp;[Denpasar]" c="Denpasar"/>
              <i n="[UBC_AKTIVITAS].[Kabupaten].&amp;[Gianyar]" c="Gianyar"/>
              <i n="[UBC_AKTIVITAS].[Kabupaten].&amp;[Tabanan]" c="Tabanan"/>
            </range>
          </ranges>
        </level>
      </levels>
      <selections count="1">
        <selection n="[UBC_AKTIVITAS].[Kabupaten].[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2" xr10:uid="{FE331742-E2A4-4DF8-A01B-1053C7925E9A}" sourceName="[UBC_AKTIVITAS].[Kategori]">
  <pivotTables>
    <pivotTable tabId="38" name="AKTIVITAS-LOCATION ON CATEGORY"/>
    <pivotTable tabId="38" name="AKTIVITAS-MAP"/>
    <pivotTable tabId="38" name="AKTIVITAS-PARTICIPANTS ON PROGRAM"/>
    <pivotTable tabId="38" name="AKTIVITAS-REKAP"/>
  </pivotTables>
  <data>
    <olap pivotCacheId="1130360182">
      <levels count="2">
        <level uniqueName="[UBC_AKTIVITAS].[Kategori].[(All)]" sourceCaption="(All)" count="0"/>
        <level uniqueName="[UBC_AKTIVITAS].[Kategori].[Kategori]" sourceCaption="Kategori" count="8">
          <ranges>
            <range startItem="0">
              <i n="[UBC_AKTIVITAS].[Kategori].&amp;[Bank Sampah Unit]" c="Bank Sampah Unit"/>
              <i n="[UBC_AKTIVITAS].[Kategori].&amp;[Pemerintah]" c="Pemerintah"/>
              <i n="[UBC_AKTIVITAS].[Kategori].&amp;[Pengepul]" c="Pengepul"/>
              <i n="[UBC_AKTIVITAS].[Kategori].&amp;[Sekolah]" c="Sekolah"/>
              <i n="[UBC_AKTIVITAS].[Kategori].&amp;[TPS3R]" c="TPS3R"/>
              <i n="[UBC_AKTIVITAS].[Kategori].&amp;[Bank Sampah Induk]" c="Bank Sampah Induk" nd="1"/>
              <i n="[UBC_AKTIVITAS].[Kategori].&amp;[Bisnis]" c="Bisnis" nd="1"/>
              <i n="[UBC_AKTIVITAS].[Kategori].&amp;[Hotel]" c="Hotel" nd="1"/>
            </range>
          </ranges>
        </level>
      </levels>
      <selections count="1">
        <selection n="[UBC_AKTIVITAS].[Kategori].[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4" xr10:uid="{6D49D930-EBC8-4143-B0ED-07CC2FFCE53C}" sourceName="[UBC_MASUK].[Bulan]">
  <pivotTables>
    <pivotTable tabId="33" name="TARGET-BULANAN"/>
    <pivotTable tabId="33" name="TARGET-CATEGORY"/>
  </pivotTables>
  <data>
    <olap pivotCacheId="1200622306">
      <levels count="2">
        <level uniqueName="[UBC_MASUK].[Bulan].[(All)]" sourceCaption="(All)" count="0"/>
        <level uniqueName="[UBC_MASUK].[Bulan].[Bulan]" sourceCaption="Bulan" count="5">
          <ranges>
            <range startItem="0">
              <i n="[UBC_MASUK].[Bulan].&amp;[(01) JAN]" c="(01) JAN"/>
              <i n="[UBC_MASUK].[Bulan].&amp;[(02) FEB]" c="(02) FEB"/>
              <i n="[UBC_MASUK].[Bulan].&amp;[(03) MAR]" c="(03) MAR"/>
              <i n="[UBC_MASUK].[Bulan].&amp;[(04) APR]" c="(04) APR"/>
              <i n="[UBC_MASUK].[Bulan].&amp;[(05) MEI]" c="(05) MEI"/>
            </range>
          </ranges>
        </level>
      </levels>
      <selections count="1">
        <selection n="[UBC_MASUK].[Bulan].[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 xr10:uid="{D44EA8D1-74D3-4156-AA41-B543628CC530}" sourceName="[UBC_MASUK].[Tanggal]">
  <pivotTables>
    <pivotTable tabId="21" name="UBC-Data-Weekly"/>
  </pivotTables>
  <data>
    <olap pivotCacheId="2135236994">
      <levels count="2">
        <level uniqueName="[UBC_MASUK].[Tanggal].[(All)]" sourceCaption="(All)" count="0"/>
        <level uniqueName="[UBC_MASUK].[Tanggal].[Tanggal]" sourceCaption="Tanggal" count="31" sortOrder="ascending">
          <ranges>
            <range startItem="0">
              <i n="[UBC_MASUK].[Tanggal].&amp;[1]" c="1"/>
              <i n="[UBC_MASUK].[Tanggal].&amp;[2]" c="2"/>
              <i n="[UBC_MASUK].[Tanggal].&amp;[3]" c="3"/>
              <i n="[UBC_MASUK].[Tanggal].&amp;[4]" c="4"/>
              <i n="[UBC_MASUK].[Tanggal].&amp;[5]" c="5"/>
              <i n="[UBC_MASUK].[Tanggal].&amp;[6]" c="6"/>
              <i n="[UBC_MASUK].[Tanggal].&amp;[7]" c="7"/>
              <i n="[UBC_MASUK].[Tanggal].&amp;[8]" c="8"/>
              <i n="[UBC_MASUK].[Tanggal].&amp;[9]" c="9"/>
              <i n="[UBC_MASUK].[Tanggal].&amp;[10]" c="10"/>
              <i n="[UBC_MASUK].[Tanggal].&amp;[11]" c="11"/>
              <i n="[UBC_MASUK].[Tanggal].&amp;[12]" c="12"/>
              <i n="[UBC_MASUK].[Tanggal].&amp;[13]" c="13"/>
              <i n="[UBC_MASUK].[Tanggal].&amp;[14]" c="14"/>
              <i n="[UBC_MASUK].[Tanggal].&amp;[15]" c="15"/>
              <i n="[UBC_MASUK].[Tanggal].&amp;[16]" c="16"/>
              <i n="[UBC_MASUK].[Tanggal].&amp;[17]" c="17"/>
              <i n="[UBC_MASUK].[Tanggal].&amp;[18]" c="18"/>
              <i n="[UBC_MASUK].[Tanggal].&amp;[19]" c="19"/>
              <i n="[UBC_MASUK].[Tanggal].&amp;[20]" c="20"/>
              <i n="[UBC_MASUK].[Tanggal].&amp;[21]" c="21"/>
              <i n="[UBC_MASUK].[Tanggal].&amp;[22]" c="22"/>
              <i n="[UBC_MASUK].[Tanggal].&amp;[23]" c="23"/>
              <i n="[UBC_MASUK].[Tanggal].&amp;[24]" c="24"/>
              <i n="[UBC_MASUK].[Tanggal].&amp;[25]" c="25"/>
              <i n="[UBC_MASUK].[Tanggal].&amp;[26]" c="26"/>
              <i n="[UBC_MASUK].[Tanggal].&amp;[27]" c="27"/>
              <i n="[UBC_MASUK].[Tanggal].&amp;[28]" c="28"/>
              <i n="[UBC_MASUK].[Tanggal].&amp;[29]" c="29"/>
              <i n="[UBC_MASUK].[Tanggal].&amp;[30]" c="30"/>
              <i n="[UBC_MASUK].[Tanggal].&amp;[31]" c="31"/>
            </range>
          </ranges>
        </level>
      </levels>
      <selections count="1">
        <selection n="[UBC_MASUK].[Tanggal].[All]"/>
      </selections>
    </olap>
  </data>
  <extLst>
    <x:ext xmlns:x15="http://schemas.microsoft.com/office/spreadsheetml/2010/11/main" uri="{470722E0-AACD-4C17-9CDC-17EF765DBC7E}">
      <x15:slicerCacheHideItemsWithNoData count="1">
        <x15:slicerCacheOlapLevelName uniqueName="[UBC_MASUK].[Tanggal].[Tanggal]"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41452627-354B-4C6A-BBAE-F13110A6F8D6}" sourceName="[UBC_MASUK].[Kategori]">
  <pivotTables>
    <pivotTable tabId="17" name="Category-UBC"/>
    <pivotTable tabId="17" name="Category-Participants UBC"/>
    <pivotTable tabId="21" name="UBC-Data-Weekly"/>
    <pivotTable tabId="20" name="UBC-Data-Monthly"/>
    <pivotTable tabId="19" name="Region-∑Kabupaten"/>
    <pivotTable tabId="19" name="Region-∑Partisipan"/>
    <pivotTable tabId="22" name="UBC-∑WEEKLY"/>
    <pivotTable tabId="22" name="UBC-Total-Compare"/>
    <pivotTable tabId="17" name="Category-UBC Total"/>
  </pivotTables>
  <data>
    <olap pivotCacheId="2135236994">
      <levels count="2">
        <level uniqueName="[UBC_MASUK].[Kategori].[(All)]" sourceCaption="(All)" count="0"/>
        <level uniqueName="[UBC_MASUK].[Kategori].[Kategori]" sourceCaption="Kategori" count="11">
          <ranges>
            <range startItem="0">
              <i n="[UBC_MASUK].[Kategori].&amp;[Bank Sampah Induk]" c="Bank Sampah Induk"/>
              <i n="[UBC_MASUK].[Kategori].&amp;[Bank Sampah Unit]" c="Bank Sampah Unit"/>
              <i n="[UBC_MASUK].[Kategori].&amp;[Bisnis]" c="Bisnis"/>
              <i n="[UBC_MASUK].[Kategori].&amp;[EB Residential Service]" c="EB Residential Service"/>
              <i n="[UBC_MASUK].[Kategori].&amp;[Hotel]" c="Hotel"/>
              <i n="[UBC_MASUK].[Kategori].&amp;[Jasa sampah]" c="Jasa sampah"/>
              <i n="[UBC_MASUK].[Kategori].&amp;[Pengepul]" c="Pengepul"/>
              <i n="[UBC_MASUK].[Kategori].&amp;[Sekolah]" c="Sekolah"/>
              <i n="[UBC_MASUK].[Kategori].&amp;[TPA]" c="TPA"/>
              <i n="[UBC_MASUK].[Kategori].&amp;[TPS3R]" c="TPS3R"/>
              <i n="[UBC_MASUK].[Kategori].&amp;[TPST3R]" c="TPST3R"/>
            </range>
          </ranges>
        </level>
      </levels>
      <selections count="1">
        <selection n="[UBC_MASUK].[Kategori].[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layah" xr10:uid="{198C3D93-84A7-4770-846F-FF89E4EB1839}" sourceName="[UBC_MASUK].[Wilayah]">
  <pivotTables>
    <pivotTable tabId="19" name="Region-∑Kabupaten"/>
    <pivotTable tabId="17" name="Category-Participants UBC"/>
    <pivotTable tabId="17" name="Category-UBC"/>
    <pivotTable tabId="21" name="UBC-Data-Weekly"/>
    <pivotTable tabId="20" name="UBC-Data-Monthly"/>
    <pivotTable tabId="19" name="Region-∑Partisipan"/>
    <pivotTable tabId="19" name="Region-∑UBC"/>
    <pivotTable tabId="22" name="UBC-∑WEEKLY"/>
    <pivotTable tabId="22" name="UBC-Total-Compare"/>
    <pivotTable tabId="17" name="Category-UBC Total"/>
  </pivotTables>
  <data>
    <olap pivotCacheId="2135236994">
      <levels count="2">
        <level uniqueName="[UBC_MASUK].[Wilayah].[(All)]" sourceCaption="(All)" count="0"/>
        <level uniqueName="[UBC_MASUK].[Wilayah].[Wilayah]" sourceCaption="Wilayah" count="6">
          <ranges>
            <range startItem="0">
              <i n="[UBC_MASUK].[Wilayah].&amp;[Badung]" c="Badung"/>
              <i n="[UBC_MASUK].[Wilayah].&amp;[Buleleng]" c="Buleleng"/>
              <i n="[UBC_MASUK].[Wilayah].&amp;[Denpasar]" c="Denpasar"/>
              <i n="[UBC_MASUK].[Wilayah].&amp;[Gianyar]" c="Gianyar"/>
              <i n="[UBC_MASUK].[Wilayah].&amp;[Klungkung]" c="Klungkung"/>
              <i n="[UBC_MASUK].[Wilayah].&amp;[Tabanan]" c="Tabanan"/>
            </range>
          </ranges>
        </level>
      </levels>
      <selections count="1">
        <selection n="[UBC_MASUK].[Wilaya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isipan" xr10:uid="{FE28278B-90EE-4B80-A5B0-5EC0CBC3F198}" sourceName="[UBC_MASUK].[Partisipan]">
  <pivotTables>
    <pivotTable tabId="26" name="PivotTable9"/>
  </pivotTables>
  <data>
    <olap pivotCacheId="1117859745">
      <levels count="2">
        <level uniqueName="[UBC_MASUK].[Partisipan].[(All)]" sourceCaption="(All)" count="0"/>
        <level uniqueName="[UBC_MASUK].[Partisipan].[Partisipan]" sourceCaption="Partisipan" count="68">
          <ranges>
            <range startItem="0">
              <i n="[UBC_MASUK].[Partisipan].&amp;[Bantas Lestari]" c="Bantas Lestari"/>
              <i n="[UBC_MASUK].[Partisipan].&amp;[Tambyak Lestari]" c="Tambyak Lestari"/>
              <i n="[UBC_MASUK].[Partisipan].&amp;[TPS3R Bayu Suci]" c="TPS3R Bayu Suci"/>
              <i n="[UBC_MASUK].[Partisipan].&amp;[TPS3R Bindu]" c="TPS3R Bindu"/>
              <i n="[UBC_MASUK].[Partisipan].&amp;[TPS3R Rumah Hijau]" c="TPS3R Rumah Hijau"/>
              <i n="[UBC_MASUK].[Partisipan].&amp;[Aid hub]" c="Aid hub" nd="1"/>
              <i n="[UBC_MASUK].[Partisipan].&amp;[Alila ubud]" c="Alila ubud" nd="1"/>
              <i n="[UBC_MASUK].[Partisipan].&amp;[Alila uluwatu]" c="Alila uluwatu" nd="1"/>
              <i n="[UBC_MASUK].[Partisipan].&amp;[Bali Wastu Lestari]" c="Bali Wastu Lestari" nd="1"/>
              <i n="[UBC_MASUK].[Partisipan].&amp;[BIS (Bali Island School)]" c="BIS (Bali Island School)" nd="1"/>
              <i n="[UBC_MASUK].[Partisipan].&amp;[Br Aseman Kangin Tibubeneng]" c="Br Aseman Kangin Tibubeneng" nd="1"/>
              <i n="[UBC_MASUK].[Partisipan].&amp;[Br Aseman Kawan Tibubeneng]" c="Br Aseman Kawan Tibubeneng" nd="1"/>
              <i n="[UBC_MASUK].[Partisipan].&amp;[Br Canggu Canggu]" c="Br Canggu Canggu" nd="1"/>
              <i n="[UBC_MASUK].[Partisipan].&amp;[Br Dukuh Pandean Munggu]" c="Br Dukuh Pandean Munggu" nd="1"/>
              <i n="[UBC_MASUK].[Partisipan].&amp;[Br Dukuh Sengguan Munggu]" c="Br Dukuh Sengguan Munggu" nd="1"/>
              <i n="[UBC_MASUK].[Partisipan].&amp;[Br Gambang Munggu]" c="Br Gambang Munggu" nd="1"/>
              <i n="[UBC_MASUK].[Partisipan].&amp;[Br Kaja Kangin Cemagi]" c="Br Kaja Kangin Cemagi" nd="1"/>
              <i n="[UBC_MASUK].[Partisipan].&amp;[Br Kayu Tulang Canggu]" c="Br Kayu Tulang Canggu" nd="1"/>
              <i n="[UBC_MASUK].[Partisipan].&amp;[Br Keliki Cemagi]" c="Br Keliki Cemagi" nd="1"/>
              <i n="[UBC_MASUK].[Partisipan].&amp;[Br Krisnantara Tibubeneng]" c="Br Krisnantara Tibubeneng" nd="1"/>
              <i n="[UBC_MASUK].[Partisipan].&amp;[Br Kulibul Kangin Tibubeneng]" c="Br Kulibul Kangin Tibubeneng" nd="1"/>
              <i n="[UBC_MASUK].[Partisipan].&amp;[Br Padang Linjong Canggu]" c="Br Padang Linjong Canggu" nd="1"/>
              <i n="[UBC_MASUK].[Partisipan].&amp;[Br Pande Pemaron Munggu]" c="Br Pande Pemaron Munggu" nd="1"/>
              <i n="[UBC_MASUK].[Partisipan].&amp;[Br Pempatan Munggu]" c="Br Pempatan Munggu" nd="1"/>
              <i n="[UBC_MASUK].[Partisipan].&amp;[Br Petapan]" c="Br Petapan" nd="1"/>
              <i n="[UBC_MASUK].[Partisipan].&amp;[Br Sangiangan Cemagi]" c="Br Sangiangan Cemagi" nd="1"/>
              <i n="[UBC_MASUK].[Partisipan].&amp;[Br Seseh]" c="Br Seseh" nd="1"/>
              <i n="[UBC_MASUK].[Partisipan].&amp;[Br Seseh Cemagi]" c="Br Seseh Cemagi" nd="1"/>
              <i n="[UBC_MASUK].[Partisipan].&amp;[Br Sogsogan Cemagi]" c="Br Sogsogan Cemagi" nd="1"/>
              <i n="[UBC_MASUK].[Partisipan].&amp;[Br Tandeg Tibubeneng]" c="Br Tandeg Tibubeneng" nd="1"/>
              <i n="[UBC_MASUK].[Partisipan].&amp;[Br Uma Buluh Canggu]" c="Br Uma Buluh Canggu" nd="1"/>
              <i n="[UBC_MASUK].[Partisipan].&amp;[Br Umabuluh Munggu]" c="Br Umabuluh Munggu" nd="1"/>
              <i n="[UBC_MASUK].[Partisipan].&amp;[BSI Bali Bersih]" c="BSI Bali Bersih" nd="1"/>
              <i n="[UBC_MASUK].[Partisipan].&amp;[BSI E-darling Buleleng]" c="BSI E-darling Buleleng" nd="1"/>
              <i n="[UBC_MASUK].[Partisipan].&amp;[ecoBali]" c="ecoBali" nd="1"/>
              <i n="[UBC_MASUK].[Partisipan].&amp;[Four season ubud]" c="Four season ubud" nd="1"/>
              <i n="[UBC_MASUK].[Partisipan].&amp;[Gelato factory]" c="Gelato factory" nd="1"/>
              <i n="[UBC_MASUK].[Partisipan].&amp;[Green School]" c="Green School" nd="1"/>
              <i n="[UBC_MASUK].[Partisipan].&amp;[Griya Luhu]" c="Griya Luhu" nd="1"/>
              <i n="[UBC_MASUK].[Partisipan].&amp;[Gusto gelato]" c="Gusto gelato" nd="1"/>
              <i n="[UBC_MASUK].[Partisipan].&amp;[Ibu Awi]" c="Ibu Awi" nd="1"/>
              <i n="[UBC_MASUK].[Partisipan].&amp;[Ibu Nia]" c="Ibu Nia" nd="1"/>
              <i n="[UBC_MASUK].[Partisipan].&amp;[LF Bali]" c="LF Bali" nd="1"/>
              <i n="[UBC_MASUK].[Partisipan].&amp;[Milk up]" c="Milk up" nd="1"/>
              <i n="[UBC_MASUK].[Partisipan].&amp;[Mitra Gianyar Bagus]" c="Mitra Gianyar Bagus" nd="1"/>
              <i n="[UBC_MASUK].[Partisipan].&amp;[Monsieur spoon]" c="Monsieur spoon" nd="1"/>
              <i n="[UBC_MASUK].[Partisipan].&amp;[One People]" c="One People" nd="1"/>
              <i n="[UBC_MASUK].[Partisipan].&amp;[Pak Bob]" c="Pak Bob" nd="1"/>
              <i n="[UBC_MASUK].[Partisipan].&amp;[Pak Jero mangku]" c="Pak Jero mangku" nd="1"/>
              <i n="[UBC_MASUK].[Partisipan].&amp;[Pak Kidul]" c="Pak Kidul" nd="1"/>
              <i n="[UBC_MASUK].[Partisipan].&amp;[Pak Komang pemelisan]" c="Pak Komang pemelisan" nd="1"/>
              <i n="[UBC_MASUK].[Partisipan].&amp;[Pak Legito]" c="Pak Legito" nd="1"/>
              <i n="[UBC_MASUK].[Partisipan].&amp;[Pak Moyo]" c="Pak Moyo" nd="1"/>
              <i n="[UBC_MASUK].[Partisipan].&amp;[Pak Rono]" c="Pak Rono" nd="1"/>
              <i n="[UBC_MASUK].[Partisipan].&amp;[Pak Sidik]" c="Pak Sidik" nd="1"/>
              <i n="[UBC_MASUK].[Partisipan].&amp;[Pak Sueb]" c="Pak Sueb" nd="1"/>
              <i n="[UBC_MASUK].[Partisipan].&amp;[Pak Vina]" c="Pak Vina" nd="1"/>
              <i n="[UBC_MASUK].[Partisipan].&amp;[Pak Yusuf]" c="Pak Yusuf" nd="1"/>
              <i n="[UBC_MASUK].[Partisipan].&amp;[Paletas wey]" c="Paletas wey" nd="1"/>
              <i n="[UBC_MASUK].[Partisipan].&amp;[PT Berkat Daur Ulang]" c="PT Berkat Daur Ulang" nd="1"/>
              <i n="[UBC_MASUK].[Partisipan].&amp;[Role Foundation]" c="Role Foundation" nd="1"/>
              <i n="[UBC_MASUK].[Partisipan].&amp;[Rumah kompos padang tegal]" c="Rumah kompos padang tegal" nd="1"/>
              <i n="[UBC_MASUK].[Partisipan].&amp;[Seminyak Clean]" c="Seminyak Clean" nd="1"/>
              <i n="[UBC_MASUK].[Partisipan].&amp;[Serenity]" c="Serenity" nd="1"/>
              <i n="[UBC_MASUK].[Partisipan].&amp;[Sersan Kopi]" c="Sersan Kopi" nd="1"/>
              <i n="[UBC_MASUK].[Partisipan].&amp;[sundays coffee]" c="sundays coffee" nd="1"/>
              <i n="[UBC_MASUK].[Partisipan].&amp;[Sungai Watch]" c="Sungai Watch" nd="1"/>
              <i n="[UBC_MASUK].[Partisipan].&amp;[The Samaya Ubud]" c="The Samaya Ubud" nd="1"/>
            </range>
          </ranges>
        </level>
      </levels>
      <selections count="1">
        <selection n="[UBC_MASUK].[Partisipa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1" xr10:uid="{DE6D3C48-E613-4A25-AB16-59E2ADF428DE}" sourceName="[UBC_MASUK].[Kategori]">
  <pivotTables>
    <pivotTable tabId="26" name="PivotTable9"/>
  </pivotTables>
  <data>
    <olap pivotCacheId="1117859745">
      <levels count="2">
        <level uniqueName="[UBC_MASUK].[Kategori].[(All)]" sourceCaption="(All)" count="0"/>
        <level uniqueName="[UBC_MASUK].[Kategori].[Kategori]" sourceCaption="Kategori" count="11">
          <ranges>
            <range startItem="0">
              <i n="[UBC_MASUK].[Kategori].&amp;[Bank Sampah Induk]" c="Bank Sampah Induk"/>
              <i n="[UBC_MASUK].[Kategori].&amp;[Bank Sampah Unit]" c="Bank Sampah Unit"/>
              <i n="[UBC_MASUK].[Kategori].&amp;[Bisnis]" c="Bisnis"/>
              <i n="[UBC_MASUK].[Kategori].&amp;[EB Residential Service]" c="EB Residential Service"/>
              <i n="[UBC_MASUK].[Kategori].&amp;[Hotel]" c="Hotel"/>
              <i n="[UBC_MASUK].[Kategori].&amp;[Jasa sampah]" c="Jasa sampah"/>
              <i n="[UBC_MASUK].[Kategori].&amp;[Pengepul]" c="Pengepul"/>
              <i n="[UBC_MASUK].[Kategori].&amp;[Sekolah]" c="Sekolah"/>
              <i n="[UBC_MASUK].[Kategori].&amp;[TPA]" c="TPA"/>
              <i n="[UBC_MASUK].[Kategori].&amp;[TPS3R]" c="TPS3R"/>
              <i n="[UBC_MASUK].[Kategori].&amp;[TPST3R]" c="TPST3R"/>
            </range>
          </ranges>
        </level>
      </levels>
      <selections count="1">
        <selection n="[UBC_MASUK].[Kategori].&amp;[TPS3R]"/>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layah1" xr10:uid="{77C6BC9B-BB0B-4C05-B77B-71B640DB45F7}" sourceName="[UBC_MASUK].[Wilayah]">
  <pivotTables>
    <pivotTable tabId="26" name="PivotTable9"/>
  </pivotTables>
  <data>
    <olap pivotCacheId="1117859745">
      <levels count="2">
        <level uniqueName="[UBC_MASUK].[Wilayah].[(All)]" sourceCaption="(All)" count="0"/>
        <level uniqueName="[UBC_MASUK].[Wilayah].[Wilayah]" sourceCaption="Wilayah" count="6">
          <ranges>
            <range startItem="0">
              <i n="[UBC_MASUK].[Wilayah].&amp;[Badung]" c="Badung"/>
              <i n="[UBC_MASUK].[Wilayah].&amp;[Tabanan]" c="Tabanan"/>
              <i n="[UBC_MASUK].[Wilayah].&amp;[Buleleng]" c="Buleleng" nd="1"/>
              <i n="[UBC_MASUK].[Wilayah].&amp;[Denpasar]" c="Denpasar" nd="1"/>
              <i n="[UBC_MASUK].[Wilayah].&amp;[Gianyar]" c="Gianyar" nd="1"/>
              <i n="[UBC_MASUK].[Wilayah].&amp;[Klungkung]" c="Klungkung" nd="1"/>
            </range>
          </ranges>
        </level>
      </levels>
      <selections count="1">
        <selection n="[UBC_MASUK].[Wilayah].[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1" xr10:uid="{5A05E17C-4A2B-4DD5-9178-CC874FF737F5}" sourceName="[UBC_MASUK].[Bulan]">
  <pivotTables>
    <pivotTable tabId="26" name="PivotTable9"/>
  </pivotTables>
  <data>
    <olap pivotCacheId="1117859745">
      <levels count="2">
        <level uniqueName="[UBC_MASUK].[Bulan].[(All)]" sourceCaption="(All)" count="0"/>
        <level uniqueName="[UBC_MASUK].[Bulan].[Bulan]" sourceCaption="Bulan" count="5">
          <ranges>
            <range startItem="0">
              <i n="[UBC_MASUK].[Bulan].&amp;[(01) JAN]" c="(01) JAN"/>
              <i n="[UBC_MASUK].[Bulan].&amp;[(02) FEB]" c="(02) FEB"/>
              <i n="[UBC_MASUK].[Bulan].&amp;[(03) MAR]" c="(03) MAR"/>
              <i n="[UBC_MASUK].[Bulan].&amp;[(04) APR]" c="(04) APR"/>
              <i n="[UBC_MASUK].[Bulan].&amp;[(05) MEI]" c="(05) MEI"/>
            </range>
          </ranges>
        </level>
      </levels>
      <selections count="1">
        <selection n="[UBC_MASUK].[Bulan].[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2" xr10:uid="{75C4EA4A-9A4A-440F-A3EC-7FCF9611D4BF}" sourceName="[UBC_MASUK].[Bulan]">
  <pivotTables>
    <pivotTable tabId="33" name="Target-Category Bulanan"/>
  </pivotTables>
  <data>
    <olap pivotCacheId="1359284706">
      <levels count="2">
        <level uniqueName="[UBC_MASUK].[Bulan].[(All)]" sourceCaption="(All)" count="0"/>
        <level uniqueName="[UBC_MASUK].[Bulan].[Bulan]" sourceCaption="Bulan" count="5">
          <ranges>
            <range startItem="0">
              <i n="[UBC_MASUK].[Bulan].&amp;[(01) JAN]" c="(01) JAN"/>
              <i n="[UBC_MASUK].[Bulan].&amp;[(02) FEB]" c="(02) FEB"/>
              <i n="[UBC_MASUK].[Bulan].&amp;[(03) MAR]" c="(03) MAR"/>
              <i n="[UBC_MASUK].[Bulan].&amp;[(04) APR]" c="(04) APR"/>
              <i n="[UBC_MASUK].[Bulan].&amp;[(05) MEI]" c="(05) MEI"/>
            </range>
          </ranges>
        </level>
      </levels>
      <selections count="1">
        <selection n="[UBC_MASUK].[Bulan].&amp;[(03) MAR]"/>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8380B9E-D42B-4B3B-9318-EBBBCCE0E052}" sourceName="Month">
  <pivotTables>
    <pivotTable tabId="31" name="JUAL-EcoBali-Collection"/>
    <pivotTable tabId="31" name="JUAL-EcoBali-Delivery"/>
    <pivotTable tabId="31" name="JUAL-EcoBali-Susut"/>
    <pivotTable tabId="30" name="JUAL-Pabrik-Received"/>
    <pivotTable tabId="30" name="JUAL-Pabrik-Susut"/>
    <pivotTable tabId="30" name="JUAL-EcoBali vs Papermill"/>
    <pivotTable tabId="30" name="JUAL-Pabrik kontaminan"/>
    <pivotTable tabId="30" name="JUAL-Pabrik total diterima"/>
    <pivotTable tabId="30" name="JUAL-PABRIK-MCC"/>
    <pivotTable tabId="31" name="JUAL-ECOBALI-KEPABRIK"/>
  </pivotTables>
  <data>
    <tabular pivotCacheId="1870690357">
      <items count="8">
        <i x="0" s="1"/>
        <i x="1" s="1"/>
        <i x="2" s="1"/>
        <i x="3" s="1"/>
        <i x="5" s="1" nd="1"/>
        <i x="7" s="1" nd="1"/>
        <i x="6"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2EB662B-28CF-41CE-9DD6-909E1BD0C70E}" cache="Slicer_Bulan" caption="Month" columnCount="2" level="1" style="UBC-SLICER" rowHeight="241300"/>
  <slicer name="Kategori 1" xr10:uid="{FCF819AC-BD5E-4CAD-9147-9D2AC08CBD49}" cache="Slicer_Kategori" caption="Category" level="1" style="UBC-SLICER" rowHeight="241300"/>
  <slicer name="Wilayah" xr10:uid="{39FFCCB2-9445-45DB-9A00-EF64867000DF}" cache="Slicer_Wilayah" caption="Regency" level="1" style="UBC-SLICER" rowHeight="241300"/>
  <slicer name="Tanggal" xr10:uid="{6950D3BE-9617-4DEA-A69C-93D9A1A315CF}" cache="Slicer_Tanggal" caption="Tanggal" columnCount="4" level="1" style="UBC-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isipan 1" xr10:uid="{E7C1EEAC-E142-44FB-A03A-6D0B7A842611}" cache="Slicer_Partisipan" caption="Partisipan" columnCount="2" level="1" style="UBC-SLICER 2 2" rowHeight="241300"/>
  <slicer name="Kategori 3" xr10:uid="{68473171-CBFC-4473-B45F-84C79F629718}" cache="Slicer_Kategori1" caption="Kategori" startItem="1" level="1" style="UBC-SLICER 2 2" rowHeight="241300"/>
  <slicer name="Wilayah 2" xr10:uid="{223E8D27-E59A-4D96-8113-BE8EB8F7FBC2}" cache="Slicer_Wilayah1" caption="Regency" level="1" style="UBC-SLICER 2 2" rowHeight="241300"/>
  <slicer name="Bulan" xr10:uid="{7523AECB-B3D4-4974-9316-D67B4EAB8676}" cache="Slicer_Bulan1" caption="Bulan" startItem="2" level="1" style="UBC-SLICER 2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76CD202B-7A6E-4480-8A1F-979987294B3F}" cache="Slicer_Month1" caption="Month" style="UBC-SLICER 2X" rowHeight="241300"/>
  <slicer name="Bulan 3" xr10:uid="{71C8C858-1B08-4787-8A01-0BAD37DF5F31}" cache="Slicer_Bulan4" caption="Month" startItem="1" level="1" style="UBC-SLICER 2X"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126DD02-61D3-44C0-B5C3-CF22A213B745}" cache="Slicer_Month" caption="Month" style="UBC-SLICER 2X" rowHeight="241300"/>
  <slicer name="Papermill" xr10:uid="{7BCA4D2D-D225-4888-B5AF-1386892858F9}" cache="Slicer_Papermill" caption="Papermill" style="UBC-SLICER 2X"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1" xr10:uid="{105FF38C-2C22-4B73-BB54-31E7D0BED288}" cache="Slicer_Tahun" caption="Year" level="1" style="UBC-SLICER 2X" rowHeight="241300"/>
  <slicer name="Program 1" xr10:uid="{82C978B5-5D3C-4008-BC58-2B9BF1215595}" cache="Slicer_Program" caption="Program" level="1" style="UBC-SLICER 2X" rowHeight="241300"/>
  <slicer name="Kabupaten 1" xr10:uid="{8B56B2D4-F2CE-40DB-8218-423824CD5D89}" cache="Slicer_Kabupaten" caption="Regency" columnCount="2" level="1" style="UBC-SLICER 2X" rowHeight="241300"/>
  <slicer name="Kategori 2" xr10:uid="{8EA233E2-A67A-460D-9B73-16D2047DDFA3}" cache="Slicer_Kategori2" caption="Category" level="1" style="UBC-SLICER 2X"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5" xr10:uid="{989E107F-4FCC-4BAB-AAF9-170E0CE616F5}" cache="Slicer_Month" caption="Month" rowHeight="241300"/>
  <slicer name="Month 2" xr10:uid="{2FAA0995-C06E-49B5-B3C3-EDEE2E6402C4}" cache="Slicer_Month2" caption="Month"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hun" xr10:uid="{FD12A64A-1149-4EDA-A32D-91CC4F33C55B}" cache="Slicer_Tahun" caption="Tahun" level="1" rowHeight="241300"/>
  <slicer name="Program" xr10:uid="{26CF5839-0BC7-4A19-8669-E77EA37B90AB}" cache="Slicer_Program" caption="Program" startItem="3" level="1" rowHeight="241300"/>
  <slicer name="Kabupaten" xr10:uid="{21EF7C17-A416-45AB-984B-41FC7277ECC6}" cache="Slicer_Kabupaten" caption="Kabupaten" level="1" rowHeight="241300"/>
  <slicer name="Kategori" xr10:uid="{A349590B-E874-4DBA-BD0E-7ECF56E44211}" cache="Slicer_Kategori2" caption="Kategori" level="1"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1" xr10:uid="{A448934C-179C-4FFB-B61C-D4A18E00B7C0}" cache="Slicer_Bulan2" caption="Bula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232155-1003-40C4-A9DD-EF65AB6E5C9C}" name="UBC_MASUK" displayName="UBC_MASUK" ref="B3:O392" totalsRowShown="0" headerRowDxfId="2380" dataDxfId="2379">
  <autoFilter ref="B3:O392" xr:uid="{436526DB-DF6C-4D9E-899A-37EA23CDCF78}"/>
  <tableColumns count="14">
    <tableColumn id="1" xr3:uid="{61C1B93A-CD69-4524-ABE0-F082AFE3C75B}" name="Date" dataDxfId="2378"/>
    <tableColumn id="2" xr3:uid="{DA455A7A-9985-4F5D-8A22-1D06B417B0C2}" name="Minggu" dataDxfId="2377"/>
    <tableColumn id="10" xr3:uid="{0CD1FD01-A563-4B76-B4FF-828BDC853B64}" name="Kuartal" dataDxfId="2376">
      <calculatedColumnFormula>IF(F:F="(01) JAN","Q1",IF(F:F="(02) FEB","Q1",IF(F:F="(03) MAR","Q1",IF(F:F="(04) APR","Q2",IF(F:F="(05) MEI","Q2",IF(F:F="(06) JUN","Q2",IF(F:F="(07) JUL","Q3",IF(F:F="(08) AGU","Q3",IF(F:F="(09) SEP","Q3",IF(F:F="(10) OKT","Q4",IF(F:F="(11) NOV","Q4",IF(F:F="(12) DES","Q4"))))))))))))</calculatedColumnFormula>
    </tableColumn>
    <tableColumn id="3" xr3:uid="{75D11A05-DDE1-436C-A328-B46F5F833500}" name="Tanggal" dataDxfId="2375"/>
    <tableColumn id="4" xr3:uid="{8EF87A43-1227-4ECA-8A4E-6A81E5528B15}" name="Bulan" dataDxfId="2374"/>
    <tableColumn id="5" xr3:uid="{1A1D6032-DF6B-48B5-BE9D-EEF5E789C0C4}" name="Tahun" dataDxfId="2373"/>
    <tableColumn id="6" xr3:uid="{52BB4DBF-B8AA-416A-BE6D-BAC6584915A9}" name="Partisipan" dataDxfId="2372"/>
    <tableColumn id="7" xr3:uid="{6272ABA1-4B99-4C85-92A4-17B6E67597F0}" name="Kategori" dataDxfId="2371"/>
    <tableColumn id="8" xr3:uid="{2D2DB201-552C-467A-8326-CA34957F29F3}" name="Wilayah" dataDxfId="2370"/>
    <tableColumn id="9" xr3:uid="{5A7BA589-0C49-4F55-8C2F-45F69A0B3C98}" name="∑ KMK (Kg)" dataDxfId="2369"/>
    <tableColumn id="11" xr3:uid="{59E23D8E-59E6-4A14-A750-A63C4C879B70}" name="Target Bulan" dataDxfId="2368" dataCellStyle="Comma [0]">
      <calculatedColumnFormula>UBC_MASUK[[#This Row],[Tg Bulan]]/SUM(COUNTIFS(F:F,"(01) JAN",I:I,"TPS3R"))</calculatedColumnFormula>
    </tableColumn>
    <tableColumn id="12" xr3:uid="{AC7F4EE3-1903-4493-836A-093623D67BEB}" name="Tg Bulan" dataDxfId="2367" dataCellStyle="Comma [0]">
      <calculatedColumnFormula>IF(I:I="TPS3R","391,433333333333",IF(I:I="TPST3R","1222,225",IF(I:I="TPA","878,975",IF(I:I="Sekolah","64,775",IF(I:I="Pengepul","11981,20833",IF(I:I="Jasa sampah","3712,433333",IF(I:I="Hotel","201,4083333",IF(I:I="EB Residential Service","863,7333333",IF(I:I="Bisnis","1158,2",IF(I:I="Bank Sampah Unit","79,46666667",IF(I:I="Bank Sampah Induk","279,475")))))))))))</calculatedColumnFormula>
    </tableColumn>
    <tableColumn id="13" xr3:uid="{6A84095A-8EB7-4873-B88C-22D67E09F2CD}" name="Target Tahun" dataDxfId="2366" dataCellStyle="Comma [0]"/>
    <tableColumn id="14" xr3:uid="{42E1FAF9-F017-437F-BD5D-2E44F0416BDE}" name="Tg Tahun" dataDxfId="2365">
      <calculatedColumnFormula>IF(I:I="TPS3R","4607,2",IF(I:I="TPST3R","14666,7",IF(I:I="TPA","10547,7",IF(I:I="Sekolah","777,3",IF(I:I="Pengepul","143774,5",IF(I:I="Jasa sampah","44549,2",IF(I:I="Hotel","2416,9",IF(I:I="EB Residential Service","10364,8",IF(I:I="Bisnis","13898,4",IF(I:I="Bank Sampah Unit","953,6",IF(I:I="Bank Sampah Induk","3353,7")))))))))))</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F7980A-125F-4833-AECC-4B51D4FA76E5}" name="UBC_KELUAR" displayName="UBC_KELUAR" ref="B3:X7" totalsRowShown="0" headerRowDxfId="2364" dataDxfId="2362" headerRowBorderDxfId="2363" tableBorderDxfId="2361" totalsRowBorderDxfId="2360">
  <autoFilter ref="B3:X7" xr:uid="{2B87D889-E4C3-4683-9DBA-15462B1960A6}"/>
  <tableColumns count="23">
    <tableColumn id="1" xr3:uid="{8948E903-E90D-4E05-A7EE-37DA8D615A16}" name="Date" dataDxfId="2359"/>
    <tableColumn id="2" xr3:uid="{E6B44CDC-598C-43DC-B5A5-D035989D9336}" name="Month" dataDxfId="2358"/>
    <tableColumn id="18" xr3:uid="{74333115-79EB-4D5F-99C8-087CFDA37299}" name="Quartal" dataDxfId="2357"/>
    <tableColumn id="3" xr3:uid="{C2A3F08C-E160-47F8-9064-DE1B5389B2F7}" name="Year" dataDxfId="2356"/>
    <tableColumn id="4" xr3:uid="{2E0508AA-6D5D-4862-8B59-6EBC5B00EFA4}" name="Collected by ecoBali (Kg)" dataDxfId="2355"/>
    <tableColumn id="23" xr3:uid="{F59433D9-ADDB-4E8C-B553-88FEF53B3545}" name="Collected H-1 Sell (Kg)" dataDxfId="2354"/>
    <tableColumn id="5" xr3:uid="{F49D169A-21DB-4DFA-96B6-B61CB7D02836}" name="Delivered to Papermill (Kg)" dataDxfId="2353"/>
    <tableColumn id="6" xr3:uid="{D127DC36-0C2B-4861-8FFB-5561D555DAF0}" name="Weighing scale Gap ecoBali (Kg)" dataDxfId="2352">
      <calculatedColumnFormula>UBC_KELUAR[[#This Row],[Collected H-1 Sell (Kg)]]+UBC_KELUAR[[#This Row],[Sisa KMK Bulan Lalu (Kg)]]-UBC_KELUAR[[#This Row],[Delivered to Papermill (Kg)]]</calculatedColumnFormula>
    </tableColumn>
    <tableColumn id="7" xr3:uid="{827A62CA-36E8-42C8-A25C-23E962F91A8B}" name="% Weighing scale Gap ecoBali" dataDxfId="2351">
      <calculatedColumnFormula>I4/(UBC_KELUAR[[#This Row],[Collected H-1 Sell (Kg)]]+UBC_KELUAR[[#This Row],[Sisa KMK Bulan Lalu (Kg)]])</calculatedColumnFormula>
    </tableColumn>
    <tableColumn id="8" xr3:uid="{E310D157-44F0-4B0A-8AE6-65F04454CB42}" name="Sisa KMK Bulan Lalu (Kg)" dataDxfId="2350">
      <calculatedColumnFormula>L3</calculatedColumnFormula>
    </tableColumn>
    <tableColumn id="9" xr3:uid="{CF7AC050-E1E2-43DC-BC5C-309C1843F141}" name="Sisa KMK untuk bulan depan (Kg)" dataDxfId="2349"/>
    <tableColumn id="19" xr3:uid="{07A12120-2F54-4D12-83AB-656F7EE7E149}" name="Papermill" dataDxfId="2348"/>
    <tableColumn id="10" xr3:uid="{0286E6E1-AFFC-46D1-88C2-245F8A50839B}" name="Received at Papermill (Kg)" dataDxfId="2347"/>
    <tableColumn id="11" xr3:uid="{A03F48E2-0254-461B-8161-A9018EC9829E}" name="Weighing scale Gap papermill (Kg)" dataDxfId="2346">
      <calculatedColumnFormula>H4-N4</calculatedColumnFormula>
    </tableColumn>
    <tableColumn id="12" xr3:uid="{FCBB3F2B-3FA7-4AF2-BF1B-0AB52C7777C0}" name="% Weighing scale Gap papermill" dataDxfId="2345"/>
    <tableColumn id="13" xr3:uid="{08ECA888-800D-4E8C-B629-9B05629896B1}" name="Moisture Content and Contaminant (Kg)" dataDxfId="2344"/>
    <tableColumn id="14" xr3:uid="{73B180A5-1881-4E95-85E6-6A9C0EE36484}" name="% Moisture Content and Contaminant " dataDxfId="2343"/>
    <tableColumn id="15" xr3:uid="{32E96774-C699-4EDA-9EB8-AE1C135EF9C5}" name="Total Gap / Deduction (Kg)" dataDxfId="2342"/>
    <tableColumn id="16" xr3:uid="{69A4C33F-55F3-42CE-86B5-88F499778FE3}" name="% Total Gap / Deduction" dataDxfId="2341"/>
    <tableColumn id="17" xr3:uid="{0DA0F077-604F-4C19-9329-500C8240F8BE}" name="Total Weight Accepted" dataDxfId="2340">
      <calculatedColumnFormula>UBC_KELUAR[[#This Row],[Received at Papermill (Kg)]]-UBC_KELUAR[[#This Row],[Moisture Content and Contaminant (Kg)]]</calculatedColumnFormula>
    </tableColumn>
    <tableColumn id="20" xr3:uid="{69E8EC17-9009-491F-BBB9-CD3DDD5C17F0}" name="Target Bulanan" dataDxfId="2339"/>
    <tableColumn id="21" xr3:uid="{BA12144B-A545-4514-AB70-D493CC9882D2}" name="Target Tahunan" dataDxfId="2338"/>
    <tableColumn id="22" xr3:uid="{0EEC87A2-FE3E-4EC1-9EEA-463A70FC9CEA}" name="Tg Tahun" dataDxfId="233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16C9E6-F49D-4767-B644-95021CB80868}" name="UBC_AKTIVITAS" displayName="UBC_AKTIVITAS" ref="B3:J88" totalsRowShown="0" dataDxfId="2336">
  <autoFilter ref="B3:J88" xr:uid="{9BC04C71-5447-4299-BAC4-6DE48D422D73}"/>
  <tableColumns count="9">
    <tableColumn id="1" xr3:uid="{48B620F3-173B-4C46-8B60-4053A410D24A}" name="Date" dataDxfId="2335"/>
    <tableColumn id="2" xr3:uid="{CCB57AD1-48ED-4E59-9C6F-7471EE40B267}" name="Bulan" dataDxfId="2334"/>
    <tableColumn id="3" xr3:uid="{C7E0075C-916B-44EA-91D4-A7521B395215}" name="Tahun" dataDxfId="2333"/>
    <tableColumn id="4" xr3:uid="{52832776-772D-4455-AA09-60C0A69A93C9}" name="Program" dataDxfId="2332"/>
    <tableColumn id="5" xr3:uid="{DDC2C58A-A2AC-447B-BCC4-2D16BC301231}" name="Kegiatan" dataDxfId="2331"/>
    <tableColumn id="6" xr3:uid="{A0C107DA-ADD4-47CD-A5A9-50E39C866569}" name="Lokasi" dataDxfId="2330"/>
    <tableColumn id="9" xr3:uid="{C30C1389-47A8-4F0A-AF0E-11683AA5F40D}" name="Kategori" dataDxfId="2329"/>
    <tableColumn id="7" xr3:uid="{4CD9BA94-5839-4AA7-AA37-4F523814FDD7}" name="Kabupaten" dataDxfId="2328"/>
    <tableColumn id="8" xr3:uid="{1DF68D2A-B529-440C-961C-92EF1BA42688}" name="Jumlah Partisipan" dataDxfId="23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microsoft.com/office/2007/relationships/slicer" Target="../slicers/slicer7.xml"/><Relationship Id="rId5" Type="http://schemas.openxmlformats.org/officeDocument/2006/relationships/drawing" Target="../drawings/drawing8.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7.bin"/><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15.xml.rels><?xml version="1.0" encoding="UTF-8" standalone="yes"?>
<Relationships xmlns="http://schemas.openxmlformats.org/package/2006/relationships"><Relationship Id="rId8" Type="http://schemas.openxmlformats.org/officeDocument/2006/relationships/drawing" Target="../drawings/drawing11.xml"/><Relationship Id="rId3" Type="http://schemas.openxmlformats.org/officeDocument/2006/relationships/pivotTable" Target="../pivotTables/pivotTable25.xml"/><Relationship Id="rId7" Type="http://schemas.openxmlformats.org/officeDocument/2006/relationships/printerSettings" Target="../printerSettings/printerSettings8.bin"/><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pivotTable" Target="../pivotTables/pivotTable28.xml"/><Relationship Id="rId5" Type="http://schemas.openxmlformats.org/officeDocument/2006/relationships/pivotTable" Target="../pivotTables/pivotTable27.xml"/><Relationship Id="rId4" Type="http://schemas.openxmlformats.org/officeDocument/2006/relationships/pivotTable" Target="../pivotTables/pivotTable26.xml"/><Relationship Id="rId9" Type="http://schemas.microsoft.com/office/2007/relationships/slicer" Target="../slicers/slicer8.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1.xml"/><Relationship Id="rId2" Type="http://schemas.openxmlformats.org/officeDocument/2006/relationships/pivotTable" Target="../pivotTables/pivotTable30.xml"/><Relationship Id="rId1" Type="http://schemas.openxmlformats.org/officeDocument/2006/relationships/pivotTable" Target="../pivotTables/pivotTable29.xml"/><Relationship Id="rId6" Type="http://schemas.openxmlformats.org/officeDocument/2006/relationships/drawing" Target="../drawings/drawing12.xml"/><Relationship Id="rId5" Type="http://schemas.openxmlformats.org/officeDocument/2006/relationships/printerSettings" Target="../printerSettings/printerSettings9.bin"/><Relationship Id="rId4" Type="http://schemas.openxmlformats.org/officeDocument/2006/relationships/pivotTable" Target="../pivotTables/pivotTable32.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5" Type="http://schemas.openxmlformats.org/officeDocument/2006/relationships/drawing" Target="../drawings/drawing13.xm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3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37.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6.xml"/><Relationship Id="rId4" Type="http://schemas.openxmlformats.org/officeDocument/2006/relationships/pivotTable" Target="../pivotTables/pivotTable4.xml"/><Relationship Id="rId9"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363B-60D5-43AE-A06A-406E3CE8D39F}">
  <sheetPr>
    <tabColor rgb="FF002060"/>
  </sheetPr>
  <dimension ref="B7:I1048576"/>
  <sheetViews>
    <sheetView showGridLines="0" zoomScale="55" zoomScaleNormal="55" workbookViewId="0">
      <selection activeCell="AJ27" sqref="AJ27"/>
    </sheetView>
  </sheetViews>
  <sheetFormatPr defaultRowHeight="15" x14ac:dyDescent="0.25"/>
  <sheetData>
    <row r="7" spans="3:3" x14ac:dyDescent="0.25">
      <c r="C7" s="7"/>
    </row>
    <row r="1048575" spans="2:9" x14ac:dyDescent="0.25">
      <c r="B1048575" t="s">
        <v>64</v>
      </c>
      <c r="C1048575" s="103">
        <f>GETPIVOTDATA("[Measures].[Sum of ∑ KMK (Kg)]",'MASUK-DATA'!$B$3)</f>
        <v>40645.47</v>
      </c>
      <c r="E1048575" t="s">
        <v>4</v>
      </c>
      <c r="F1048575">
        <f>GETPIVOTDATA("[Measures].[Distinct Count of Partisipan]",'MASUK-CATEGORY'!$B$3)</f>
        <v>68</v>
      </c>
      <c r="H1048575" t="s">
        <v>67</v>
      </c>
      <c r="I1048575">
        <f>GETPIVOTDATA("[Measures].[Distinct Count of Wilayah]",'MASUK-REGION'!$F$3)</f>
        <v>6</v>
      </c>
    </row>
    <row r="1048576" spans="2:9" x14ac:dyDescent="0.25">
      <c r="B1048576" t="s">
        <v>63</v>
      </c>
      <c r="C1048576" s="7">
        <f>C1048575/1000</f>
        <v>40.645470000000003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F5F4-E13D-4D6D-8AB5-DE67689B978A}">
  <sheetPr>
    <tabColor theme="5"/>
  </sheetPr>
  <dimension ref="B1:BP10"/>
  <sheetViews>
    <sheetView showGridLines="0" topLeftCell="C1" zoomScale="80" zoomScaleNormal="80" workbookViewId="0">
      <selection activeCell="CF13" sqref="CF13"/>
    </sheetView>
  </sheetViews>
  <sheetFormatPr defaultRowHeight="15" x14ac:dyDescent="0.25"/>
  <cols>
    <col min="2" max="2" width="17.140625" bestFit="1" customWidth="1"/>
    <col min="3" max="3" width="18.42578125" style="103" bestFit="1" customWidth="1"/>
    <col min="4" max="4" width="35.5703125" bestFit="1" customWidth="1"/>
    <col min="5" max="5" width="17.28515625" style="103" customWidth="1"/>
    <col min="7" max="7" width="14.140625" bestFit="1" customWidth="1"/>
    <col min="8" max="10" width="12.7109375" customWidth="1"/>
    <col min="11" max="11" width="17.140625" bestFit="1" customWidth="1"/>
    <col min="12" max="12" width="34.140625" style="120" bestFit="1" customWidth="1"/>
    <col min="13" max="13" width="25.28515625" style="120" bestFit="1" customWidth="1"/>
    <col min="15" max="15" width="12.42578125" bestFit="1" customWidth="1"/>
    <col min="16" max="16" width="14.7109375" style="120" customWidth="1"/>
    <col min="17" max="17" width="11.28515625" bestFit="1" customWidth="1"/>
    <col min="23" max="23" width="17.140625" bestFit="1" customWidth="1"/>
    <col min="24" max="24" width="34.140625" bestFit="1" customWidth="1"/>
    <col min="25" max="25" width="24.42578125" bestFit="1" customWidth="1"/>
    <col min="27" max="27" width="35.140625" bestFit="1" customWidth="1"/>
    <col min="28" max="28" width="18.7109375" customWidth="1"/>
    <col min="33" max="33" width="18.85546875" bestFit="1" customWidth="1"/>
    <col min="34" max="34" width="21.140625" style="120" bestFit="1" customWidth="1"/>
    <col min="35" max="35" width="30" bestFit="1" customWidth="1"/>
    <col min="36" max="36" width="14.42578125" customWidth="1"/>
    <col min="37" max="37" width="10.140625" bestFit="1" customWidth="1"/>
    <col min="44" max="44" width="18.140625" bestFit="1" customWidth="1"/>
    <col min="45" max="45" width="15.28515625" bestFit="1" customWidth="1"/>
    <col min="46" max="46" width="19.28515625" bestFit="1" customWidth="1"/>
    <col min="47" max="47" width="19.85546875" bestFit="1" customWidth="1"/>
    <col min="48" max="49" width="17.85546875" bestFit="1" customWidth="1"/>
    <col min="50" max="50" width="23.7109375" customWidth="1"/>
    <col min="54" max="54" width="19.42578125" bestFit="1" customWidth="1"/>
    <col min="55" max="55" width="34.5703125" bestFit="1" customWidth="1"/>
    <col min="56" max="56" width="34.140625" bestFit="1" customWidth="1"/>
    <col min="57" max="57" width="9" bestFit="1" customWidth="1"/>
    <col min="67" max="67" width="17.85546875" bestFit="1" customWidth="1"/>
    <col min="68" max="68" width="24" bestFit="1" customWidth="1"/>
  </cols>
  <sheetData>
    <row r="1" spans="2:68" ht="51" customHeight="1" x14ac:dyDescent="0.25">
      <c r="B1" s="494" t="s">
        <v>111</v>
      </c>
      <c r="C1" s="494"/>
      <c r="D1" s="153" t="s">
        <v>110</v>
      </c>
      <c r="E1" s="216">
        <f>GETPIVOTDATA("Received at Papermill (Kg)",$B$3)</f>
        <v>38370</v>
      </c>
      <c r="F1" s="150">
        <f>E1/1000</f>
        <v>38.369999999999997</v>
      </c>
      <c r="K1" s="495" t="s">
        <v>112</v>
      </c>
      <c r="L1" s="495"/>
      <c r="M1" s="495"/>
      <c r="AG1" s="494" t="s">
        <v>136</v>
      </c>
      <c r="AH1" s="494"/>
      <c r="AI1" s="154" t="s">
        <v>116</v>
      </c>
      <c r="AJ1" s="166">
        <f>GETPIVOTDATA("Total Weight Accepted",$AG$3)</f>
        <v>35627</v>
      </c>
      <c r="AK1" s="166">
        <f>GETPIVOTDATA("Total Weight Accepted",$AG$3)/1000</f>
        <v>35.627000000000002</v>
      </c>
      <c r="AR1" s="496" t="s">
        <v>134</v>
      </c>
      <c r="AS1" s="496"/>
      <c r="AT1" s="496"/>
      <c r="AU1" s="496"/>
      <c r="AV1" s="496"/>
      <c r="AW1" s="496"/>
      <c r="AX1" s="496"/>
      <c r="BB1" s="493" t="s">
        <v>133</v>
      </c>
      <c r="BC1" s="493"/>
      <c r="BD1" s="493"/>
    </row>
    <row r="3" spans="2:68" ht="78.75" x14ac:dyDescent="0.25">
      <c r="B3" s="140" t="s">
        <v>77</v>
      </c>
      <c r="C3" s="162" t="s">
        <v>329</v>
      </c>
      <c r="K3" s="140" t="s">
        <v>77</v>
      </c>
      <c r="L3" s="199" t="s">
        <v>329</v>
      </c>
      <c r="M3" s="374" t="s">
        <v>103</v>
      </c>
      <c r="O3" s="139" t="s">
        <v>107</v>
      </c>
      <c r="P3" s="146" t="s">
        <v>108</v>
      </c>
      <c r="W3" s="140" t="s">
        <v>77</v>
      </c>
      <c r="X3" s="199" t="s">
        <v>329</v>
      </c>
      <c r="Y3" s="141" t="s">
        <v>114</v>
      </c>
      <c r="AA3" s="139" t="s">
        <v>107</v>
      </c>
      <c r="AB3" s="146" t="s">
        <v>108</v>
      </c>
      <c r="AG3" s="165" t="s">
        <v>77</v>
      </c>
      <c r="AH3" s="143" t="s">
        <v>117</v>
      </c>
      <c r="AR3" s="187" t="s">
        <v>77</v>
      </c>
      <c r="AS3" s="188" t="s">
        <v>103</v>
      </c>
      <c r="AT3" s="188" t="s">
        <v>114</v>
      </c>
      <c r="AU3" s="188" t="s">
        <v>113</v>
      </c>
      <c r="AV3" s="191" t="s">
        <v>117</v>
      </c>
      <c r="BB3" s="195" t="s">
        <v>77</v>
      </c>
      <c r="BC3" s="88" t="s">
        <v>135</v>
      </c>
      <c r="BD3" s="88" t="s">
        <v>329</v>
      </c>
      <c r="BO3" s="220" t="s">
        <v>77</v>
      </c>
      <c r="BP3" s="200" t="s">
        <v>114</v>
      </c>
    </row>
    <row r="4" spans="2:68" ht="24" x14ac:dyDescent="0.35">
      <c r="B4" s="130" t="s">
        <v>140</v>
      </c>
      <c r="C4" s="163">
        <v>9300</v>
      </c>
      <c r="K4" s="130" t="s">
        <v>140</v>
      </c>
      <c r="L4" s="133">
        <v>9300</v>
      </c>
      <c r="M4" s="133">
        <v>-30</v>
      </c>
      <c r="O4" s="137" t="s">
        <v>101</v>
      </c>
      <c r="P4" s="147">
        <f>GETPIVOTDATA("Sum of Weighing scale Gap papermill (Kg)",$K$3)</f>
        <v>16</v>
      </c>
      <c r="Q4" s="144" t="e">
        <f>GETPIVOTDATA("Sum of Weighing scale Gap papermill (Kg)",$K$3)/GETPIVOTDATA("Sum of EcoBali's UBC Delivery (Kg)",$K$3)</f>
        <v>#REF!</v>
      </c>
      <c r="W4" s="130" t="s">
        <v>140</v>
      </c>
      <c r="X4" s="167">
        <v>9300</v>
      </c>
      <c r="Y4" s="167">
        <v>372</v>
      </c>
      <c r="AA4" s="151" t="s">
        <v>143</v>
      </c>
      <c r="AB4" s="79">
        <f>GETPIVOTDATA("Sum of Moisture Content and Contaminant (Kg)",$W$3)</f>
        <v>2743</v>
      </c>
      <c r="AC4" s="198">
        <f>AB4/AB6</f>
        <v>7.1488141777430278E-2</v>
      </c>
      <c r="AG4" s="119" t="s">
        <v>140</v>
      </c>
      <c r="AH4" s="102">
        <v>8928</v>
      </c>
      <c r="AR4" s="189" t="s">
        <v>140</v>
      </c>
      <c r="AS4" s="190">
        <v>-30</v>
      </c>
      <c r="AT4" s="190">
        <v>372</v>
      </c>
      <c r="AU4" s="190">
        <v>342</v>
      </c>
      <c r="AV4" s="190">
        <v>8928</v>
      </c>
      <c r="BB4" s="119" t="s">
        <v>120</v>
      </c>
      <c r="BC4" s="186">
        <v>30013</v>
      </c>
      <c r="BD4" s="186">
        <v>30030</v>
      </c>
      <c r="BO4" s="219" t="s">
        <v>120</v>
      </c>
      <c r="BP4" s="225">
        <v>2093</v>
      </c>
    </row>
    <row r="5" spans="2:68" ht="24" x14ac:dyDescent="0.35">
      <c r="B5" s="130" t="s">
        <v>141</v>
      </c>
      <c r="C5" s="163">
        <v>11800</v>
      </c>
      <c r="K5" s="130" t="s">
        <v>141</v>
      </c>
      <c r="L5" s="133">
        <v>11800</v>
      </c>
      <c r="M5" s="133">
        <v>-42</v>
      </c>
      <c r="O5" s="137" t="s">
        <v>102</v>
      </c>
      <c r="P5" s="147">
        <f>GETPIVOTDATA("Sum of Received at Papermill (Kg)",$K$3)-P4</f>
        <v>38354</v>
      </c>
      <c r="W5" s="130" t="s">
        <v>141</v>
      </c>
      <c r="X5" s="167">
        <v>11800</v>
      </c>
      <c r="Y5" s="167">
        <v>944</v>
      </c>
      <c r="AA5" s="151" t="s">
        <v>118</v>
      </c>
      <c r="AB5" s="79">
        <f>GETPIVOTDATA("Sum of Received at Papermill (Kg)",$W$3)-AB4</f>
        <v>35627</v>
      </c>
      <c r="AG5" s="119" t="s">
        <v>141</v>
      </c>
      <c r="AH5" s="102">
        <v>10856</v>
      </c>
      <c r="AR5" s="189" t="s">
        <v>141</v>
      </c>
      <c r="AS5" s="190">
        <v>-42</v>
      </c>
      <c r="AT5" s="190">
        <v>944</v>
      </c>
      <c r="AU5" s="190">
        <v>902</v>
      </c>
      <c r="AV5" s="190">
        <v>10856</v>
      </c>
      <c r="BB5" s="90" t="s">
        <v>140</v>
      </c>
      <c r="BC5" s="186">
        <v>9270</v>
      </c>
      <c r="BD5" s="186">
        <v>9300</v>
      </c>
      <c r="BO5" s="219" t="s">
        <v>140</v>
      </c>
      <c r="BP5" s="225">
        <v>372</v>
      </c>
    </row>
    <row r="6" spans="2:68" ht="24" x14ac:dyDescent="0.35">
      <c r="B6" s="130" t="s">
        <v>142</v>
      </c>
      <c r="C6" s="163">
        <v>8930</v>
      </c>
      <c r="K6" s="130" t="s">
        <v>142</v>
      </c>
      <c r="L6" s="133">
        <v>8930</v>
      </c>
      <c r="M6" s="133">
        <v>55</v>
      </c>
      <c r="O6" s="138" t="s">
        <v>70</v>
      </c>
      <c r="P6" s="148">
        <f>GETPIVOTDATA("Sum of Received at Papermill (Kg)",$K$3)</f>
        <v>38370</v>
      </c>
      <c r="W6" s="130" t="s">
        <v>142</v>
      </c>
      <c r="X6" s="167">
        <v>8930</v>
      </c>
      <c r="Y6" s="167">
        <v>777</v>
      </c>
      <c r="AA6" s="152" t="s">
        <v>70</v>
      </c>
      <c r="AB6" s="168">
        <f>GETPIVOTDATA("Sum of Received at Papermill (Kg)",$W$3)</f>
        <v>38370</v>
      </c>
      <c r="AG6" s="119" t="s">
        <v>142</v>
      </c>
      <c r="AH6" s="102">
        <v>8153</v>
      </c>
      <c r="AR6" s="189" t="s">
        <v>142</v>
      </c>
      <c r="AS6" s="190">
        <v>55</v>
      </c>
      <c r="AT6" s="190">
        <v>777</v>
      </c>
      <c r="AU6" s="190">
        <v>832</v>
      </c>
      <c r="AV6" s="190">
        <v>8153</v>
      </c>
      <c r="BB6" s="90" t="s">
        <v>141</v>
      </c>
      <c r="BC6" s="186">
        <v>11758</v>
      </c>
      <c r="BD6" s="186">
        <v>11800</v>
      </c>
      <c r="BO6" s="219" t="s">
        <v>141</v>
      </c>
      <c r="BP6" s="225">
        <v>944</v>
      </c>
    </row>
    <row r="7" spans="2:68" ht="24" x14ac:dyDescent="0.35">
      <c r="B7" s="130" t="s">
        <v>180</v>
      </c>
      <c r="C7" s="163">
        <v>8340</v>
      </c>
      <c r="K7" s="130" t="s">
        <v>180</v>
      </c>
      <c r="L7" s="133">
        <v>8340</v>
      </c>
      <c r="M7" s="133">
        <v>33</v>
      </c>
      <c r="W7" s="130" t="s">
        <v>180</v>
      </c>
      <c r="X7" s="167">
        <v>8340</v>
      </c>
      <c r="Y7" s="167">
        <v>650</v>
      </c>
      <c r="AG7" s="119" t="s">
        <v>180</v>
      </c>
      <c r="AH7" s="102">
        <v>7690</v>
      </c>
      <c r="AR7" s="189" t="s">
        <v>180</v>
      </c>
      <c r="AS7" s="190">
        <v>33</v>
      </c>
      <c r="AT7" s="190">
        <v>650</v>
      </c>
      <c r="AU7" s="190">
        <v>683</v>
      </c>
      <c r="AV7" s="190">
        <v>7690</v>
      </c>
      <c r="BB7" s="90" t="s">
        <v>142</v>
      </c>
      <c r="BC7" s="186">
        <v>8985</v>
      </c>
      <c r="BD7" s="186">
        <v>8930</v>
      </c>
      <c r="BO7" s="219" t="s">
        <v>142</v>
      </c>
      <c r="BP7" s="225">
        <v>777</v>
      </c>
    </row>
    <row r="8" spans="2:68" ht="23.25" x14ac:dyDescent="0.35">
      <c r="B8" s="149" t="s">
        <v>11</v>
      </c>
      <c r="C8" s="164">
        <v>38370</v>
      </c>
      <c r="K8" s="149" t="s">
        <v>11</v>
      </c>
      <c r="L8" s="133">
        <v>38370</v>
      </c>
      <c r="M8" s="133">
        <v>16</v>
      </c>
      <c r="W8" s="130" t="s">
        <v>11</v>
      </c>
      <c r="X8" s="167">
        <v>38370</v>
      </c>
      <c r="Y8" s="167">
        <v>2743</v>
      </c>
      <c r="AG8" s="110" t="s">
        <v>11</v>
      </c>
      <c r="AH8" s="136">
        <v>35627</v>
      </c>
      <c r="AR8" s="189" t="s">
        <v>11</v>
      </c>
      <c r="AS8" s="190">
        <v>16</v>
      </c>
      <c r="AT8" s="190">
        <v>2743</v>
      </c>
      <c r="AU8" s="190">
        <v>2759</v>
      </c>
      <c r="AV8" s="190">
        <v>35627</v>
      </c>
      <c r="BB8" s="119" t="s">
        <v>179</v>
      </c>
      <c r="BC8" s="186">
        <v>8373</v>
      </c>
      <c r="BD8" s="186">
        <v>8340</v>
      </c>
      <c r="BO8" s="219" t="s">
        <v>179</v>
      </c>
      <c r="BP8" s="225">
        <v>650</v>
      </c>
    </row>
    <row r="9" spans="2:68" ht="21" x14ac:dyDescent="0.25">
      <c r="BB9" s="90" t="s">
        <v>180</v>
      </c>
      <c r="BC9" s="186">
        <v>8373</v>
      </c>
      <c r="BD9" s="186">
        <v>8340</v>
      </c>
      <c r="BO9" s="219" t="s">
        <v>180</v>
      </c>
      <c r="BP9" s="225">
        <v>650</v>
      </c>
    </row>
    <row r="10" spans="2:68" ht="21" x14ac:dyDescent="0.25">
      <c r="BB10" s="196" t="s">
        <v>11</v>
      </c>
      <c r="BC10" s="197">
        <v>38386</v>
      </c>
      <c r="BD10" s="197">
        <v>38370</v>
      </c>
      <c r="BO10" s="219" t="s">
        <v>11</v>
      </c>
      <c r="BP10" s="225">
        <v>2743</v>
      </c>
    </row>
  </sheetData>
  <mergeCells count="5">
    <mergeCell ref="BB1:BD1"/>
    <mergeCell ref="B1:C1"/>
    <mergeCell ref="K1:M1"/>
    <mergeCell ref="AG1:AH1"/>
    <mergeCell ref="AR1:AX1"/>
  </mergeCells>
  <pageMargins left="0.7" right="0.7" top="0.75" bottom="0.75" header="0.3" footer="0.3"/>
  <pageSetup paperSize="9" orientation="portrait" verticalDpi="0" r:id="rId8"/>
  <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F9056-A514-4A57-B953-8871FBE4A175}">
  <dimension ref="B1:AF9"/>
  <sheetViews>
    <sheetView topLeftCell="Q1" workbookViewId="0">
      <selection activeCell="AL32" sqref="AL32"/>
    </sheetView>
  </sheetViews>
  <sheetFormatPr defaultRowHeight="15" x14ac:dyDescent="0.25"/>
  <cols>
    <col min="2" max="2" width="30.42578125" bestFit="1" customWidth="1"/>
    <col min="3" max="3" width="4.42578125" bestFit="1" customWidth="1"/>
    <col min="4" max="4" width="22" bestFit="1" customWidth="1"/>
    <col min="7" max="7" width="17" bestFit="1" customWidth="1"/>
    <col min="8" max="8" width="16.140625" bestFit="1" customWidth="1"/>
    <col min="10" max="10" width="11.140625" bestFit="1" customWidth="1"/>
    <col min="20" max="20" width="16.140625" bestFit="1" customWidth="1"/>
    <col min="21" max="21" width="14.7109375" bestFit="1" customWidth="1"/>
    <col min="31" max="31" width="17" bestFit="1" customWidth="1"/>
    <col min="32" max="32" width="9.42578125" bestFit="1" customWidth="1"/>
    <col min="33" max="33" width="9" bestFit="1" customWidth="1"/>
  </cols>
  <sheetData>
    <row r="1" spans="2:32" ht="35.25" customHeight="1" x14ac:dyDescent="0.35">
      <c r="B1" s="497" t="s">
        <v>256</v>
      </c>
      <c r="C1" s="497"/>
      <c r="G1" s="498" t="s">
        <v>257</v>
      </c>
      <c r="H1" s="498"/>
      <c r="T1" s="499" t="s">
        <v>258</v>
      </c>
      <c r="U1" s="499"/>
    </row>
    <row r="3" spans="2:32" ht="47.25" x14ac:dyDescent="0.25">
      <c r="B3" s="261" t="s">
        <v>130</v>
      </c>
      <c r="C3" s="262"/>
      <c r="G3" s="187" t="s">
        <v>77</v>
      </c>
      <c r="H3" s="188" t="s">
        <v>254</v>
      </c>
      <c r="T3" s="243" t="s">
        <v>77</v>
      </c>
      <c r="U3" s="200" t="s">
        <v>254</v>
      </c>
      <c r="AE3" s="187" t="s">
        <v>77</v>
      </c>
      <c r="AF3" s="188" t="s">
        <v>255</v>
      </c>
    </row>
    <row r="4" spans="2:32" ht="45" x14ac:dyDescent="0.35">
      <c r="B4" s="263" t="s">
        <v>255</v>
      </c>
      <c r="C4" s="264">
        <v>10</v>
      </c>
      <c r="E4" s="265">
        <f>GETPIVOTDATA("[Measures].[Distinct Count of Lokasi]",$B$3)</f>
        <v>10</v>
      </c>
      <c r="G4" s="251" t="s">
        <v>8</v>
      </c>
      <c r="H4" s="266">
        <v>370</v>
      </c>
      <c r="J4" s="108" t="str">
        <f>G4</f>
        <v>Badung</v>
      </c>
      <c r="K4" s="108">
        <f>GETPIVOTDATA("[Measures].[Sum of Jumlah Partisipan]",$G$3,"[UBC_AKTIVITAS].[Kabupaten]","[UBC_AKTIVITAS].[Kabupaten].&amp;[Badung]")</f>
        <v>370</v>
      </c>
      <c r="T4" s="268" t="s">
        <v>251</v>
      </c>
      <c r="U4" s="269">
        <v>17</v>
      </c>
      <c r="AE4" s="270" t="s">
        <v>37</v>
      </c>
      <c r="AF4" s="269">
        <v>2</v>
      </c>
    </row>
    <row r="5" spans="2:32" ht="21" x14ac:dyDescent="0.35">
      <c r="B5" s="263" t="s">
        <v>253</v>
      </c>
      <c r="C5" s="264">
        <v>5</v>
      </c>
      <c r="E5" s="265">
        <f>GETPIVOTDATA("[Measures].[Distinct Count of Kabupaten]",$B$3)</f>
        <v>5</v>
      </c>
      <c r="G5" s="251" t="s">
        <v>161</v>
      </c>
      <c r="H5" s="266">
        <v>50</v>
      </c>
      <c r="J5" s="108" t="str">
        <f>G5</f>
        <v>Buleleng</v>
      </c>
      <c r="K5" s="108">
        <f>GETPIVOTDATA("[Measures].[Sum of Jumlah Partisipan]",$G$3,"[UBC_AKTIVITAS].[Kabupaten]","[UBC_AKTIVITAS].[Kabupaten].&amp;[Buleleng]")</f>
        <v>50</v>
      </c>
      <c r="T5" s="268" t="s">
        <v>192</v>
      </c>
      <c r="U5" s="269">
        <v>455</v>
      </c>
      <c r="AE5" s="270" t="s">
        <v>250</v>
      </c>
      <c r="AF5" s="269">
        <v>3</v>
      </c>
    </row>
    <row r="6" spans="2:32" ht="21" x14ac:dyDescent="0.35">
      <c r="B6" s="263" t="s">
        <v>254</v>
      </c>
      <c r="C6" s="264">
        <v>593</v>
      </c>
      <c r="E6" s="265">
        <f>GETPIVOTDATA("[Measures].[Sum of Jumlah Partisipan]",$B$3)</f>
        <v>593</v>
      </c>
      <c r="G6" s="251" t="s">
        <v>19</v>
      </c>
      <c r="H6" s="266">
        <v>0</v>
      </c>
      <c r="J6" s="108" t="str">
        <f>G6</f>
        <v>Denpasar</v>
      </c>
      <c r="K6" s="108">
        <f>GETPIVOTDATA("[Measures].[Sum of Jumlah Partisipan]",$G$3,"[UBC_AKTIVITAS].[Kabupaten]","[UBC_AKTIVITAS].[Kabupaten].&amp;[Denpasar]")</f>
        <v>0</v>
      </c>
      <c r="T6" s="268" t="s">
        <v>200</v>
      </c>
      <c r="U6" s="269">
        <v>0</v>
      </c>
      <c r="AE6" s="270" t="s">
        <v>18</v>
      </c>
      <c r="AF6" s="269">
        <v>1</v>
      </c>
    </row>
    <row r="7" spans="2:32" ht="30" x14ac:dyDescent="0.35">
      <c r="G7" s="251" t="s">
        <v>14</v>
      </c>
      <c r="H7" s="266">
        <v>142</v>
      </c>
      <c r="J7" s="108" t="str">
        <f>G7</f>
        <v>Gianyar</v>
      </c>
      <c r="K7" s="108">
        <f>GETPIVOTDATA("[Measures].[Sum of Jumlah Partisipan]",$G$3,"[UBC_AKTIVITAS].[Kabupaten]","[UBC_AKTIVITAS].[Kabupaten].&amp;[Gianyar]")</f>
        <v>142</v>
      </c>
      <c r="T7" s="268" t="s">
        <v>264</v>
      </c>
      <c r="U7" s="269">
        <v>45</v>
      </c>
      <c r="AE7" s="270" t="s">
        <v>36</v>
      </c>
      <c r="AF7" s="269">
        <v>3</v>
      </c>
    </row>
    <row r="8" spans="2:32" ht="30" x14ac:dyDescent="0.35">
      <c r="G8" s="251" t="s">
        <v>9</v>
      </c>
      <c r="H8" s="266">
        <v>31</v>
      </c>
      <c r="J8" s="108" t="str">
        <f>G8</f>
        <v>Tabanan</v>
      </c>
      <c r="K8">
        <f>GETPIVOTDATA("[Measures].[Sum of Jumlah Partisipan]",$G$3,"[UBC_AKTIVITAS].[Kabupaten]","[UBC_AKTIVITAS].[Kabupaten].&amp;[Tabanan]")</f>
        <v>31</v>
      </c>
      <c r="T8" s="268" t="s">
        <v>261</v>
      </c>
      <c r="U8" s="269">
        <v>76</v>
      </c>
      <c r="AE8" s="270" t="s">
        <v>7</v>
      </c>
      <c r="AF8" s="269">
        <v>1</v>
      </c>
    </row>
    <row r="9" spans="2:32" ht="18.75" x14ac:dyDescent="0.3">
      <c r="G9" s="251" t="s">
        <v>11</v>
      </c>
      <c r="H9" s="267">
        <v>593</v>
      </c>
      <c r="T9" s="268" t="s">
        <v>11</v>
      </c>
      <c r="U9" s="269">
        <v>593</v>
      </c>
      <c r="AE9" s="270" t="s">
        <v>11</v>
      </c>
      <c r="AF9" s="269">
        <v>10</v>
      </c>
    </row>
  </sheetData>
  <mergeCells count="3">
    <mergeCell ref="B1:C1"/>
    <mergeCell ref="G1:H1"/>
    <mergeCell ref="T1:U1"/>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46DA-A95F-4E7C-8E1F-CFBCF1138E58}">
  <sheetPr>
    <tabColor theme="8" tint="0.59999389629810485"/>
  </sheetPr>
  <dimension ref="B1:AB86"/>
  <sheetViews>
    <sheetView showGridLines="0" topLeftCell="A3" zoomScale="50" zoomScaleNormal="50" workbookViewId="0">
      <pane xSplit="2" ySplit="4" topLeftCell="C62" activePane="bottomRight" state="frozen"/>
      <selection activeCell="A3" sqref="A3"/>
      <selection pane="topRight" activeCell="C3" sqref="C3"/>
      <selection pane="bottomLeft" activeCell="A7" sqref="A7"/>
      <selection pane="bottomRight" activeCell="A67" sqref="A67:XFD67"/>
    </sheetView>
  </sheetViews>
  <sheetFormatPr defaultRowHeight="33.75" x14ac:dyDescent="0.25"/>
  <cols>
    <col min="1" max="1" width="9.140625" style="305"/>
    <col min="2" max="2" width="32.28515625" style="68" bestFit="1" customWidth="1"/>
    <col min="3" max="3" width="19.28515625" style="68" bestFit="1" customWidth="1"/>
    <col min="4" max="4" width="9" style="68" bestFit="1" customWidth="1"/>
    <col min="5" max="5" width="10.85546875" style="68" bestFit="1" customWidth="1"/>
    <col min="6" max="6" width="12.7109375" style="68" bestFit="1" customWidth="1"/>
    <col min="7" max="7" width="9" style="342" bestFit="1" customWidth="1"/>
    <col min="8" max="8" width="19.42578125" style="343" bestFit="1" customWidth="1"/>
    <col min="9" max="9" width="10.85546875" style="68" bestFit="1" customWidth="1"/>
    <col min="10" max="11" width="12.7109375" style="68" bestFit="1" customWidth="1"/>
    <col min="12" max="12" width="3.5703125" style="342" bestFit="1" customWidth="1"/>
    <col min="13" max="13" width="21" style="344" bestFit="1" customWidth="1"/>
    <col min="14" max="15" width="9" style="305" bestFit="1" customWidth="1"/>
    <col min="16" max="16" width="12.7109375" style="305" bestFit="1" customWidth="1"/>
    <col min="17" max="17" width="10.85546875" style="306" bestFit="1" customWidth="1"/>
    <col min="18" max="18" width="20" style="305" bestFit="1" customWidth="1"/>
    <col min="19" max="19" width="12.7109375" style="305" bestFit="1" customWidth="1"/>
    <col min="20" max="20" width="14.7109375" style="305" bestFit="1" customWidth="1"/>
    <col min="21" max="22" width="12.7109375" style="305" bestFit="1" customWidth="1"/>
    <col min="23" max="23" width="19.28515625" style="305" bestFit="1" customWidth="1"/>
    <col min="24" max="26" width="10.85546875" style="305" bestFit="1" customWidth="1"/>
    <col min="27" max="27" width="9" style="305" bestFit="1" customWidth="1"/>
    <col min="28" max="28" width="21.5703125" style="305" bestFit="1" customWidth="1"/>
    <col min="29" max="16384" width="9.140625" style="305"/>
  </cols>
  <sheetData>
    <row r="1" spans="2:28" ht="33.75" customHeight="1" x14ac:dyDescent="0.25">
      <c r="B1" s="500" t="s">
        <v>331</v>
      </c>
      <c r="C1" s="500"/>
      <c r="D1" s="500"/>
      <c r="E1" s="500"/>
      <c r="F1" s="500"/>
      <c r="G1" s="500"/>
      <c r="H1" s="500"/>
      <c r="I1" s="500"/>
      <c r="J1" s="500"/>
      <c r="K1" s="500"/>
      <c r="L1" s="500"/>
      <c r="M1" s="500"/>
    </row>
    <row r="2" spans="2:28" ht="34.5" thickBot="1" x14ac:dyDescent="0.3">
      <c r="G2" s="68"/>
      <c r="H2" s="68"/>
      <c r="L2" s="68"/>
      <c r="M2" s="307"/>
    </row>
    <row r="3" spans="2:28" s="309" customFormat="1" ht="15.75" thickBot="1" x14ac:dyDescent="0.3">
      <c r="B3" s="80" t="s">
        <v>330</v>
      </c>
      <c r="C3" s="308" t="s">
        <v>78</v>
      </c>
      <c r="D3" s="308"/>
      <c r="E3" s="308"/>
      <c r="F3" s="308"/>
      <c r="G3" s="308"/>
      <c r="H3" s="308"/>
      <c r="I3" s="308"/>
      <c r="J3" s="308"/>
      <c r="K3" s="308"/>
      <c r="L3" s="308"/>
      <c r="M3" s="308"/>
      <c r="N3" s="441"/>
      <c r="O3" s="441"/>
      <c r="P3" s="441"/>
      <c r="Q3" s="441"/>
      <c r="R3" s="441"/>
      <c r="S3" s="441"/>
      <c r="T3" s="441"/>
      <c r="U3" s="441"/>
      <c r="V3" s="441"/>
      <c r="W3" s="441"/>
      <c r="X3" s="441"/>
      <c r="Y3" s="441"/>
      <c r="Z3" s="441"/>
      <c r="AA3" s="441"/>
      <c r="AB3" s="441"/>
    </row>
    <row r="4" spans="2:28" ht="56.25" thickBot="1" x14ac:dyDescent="0.3">
      <c r="B4" s="202"/>
      <c r="C4" s="310">
        <v>2021</v>
      </c>
      <c r="D4" s="311"/>
      <c r="E4" s="311"/>
      <c r="F4" s="311"/>
      <c r="G4" s="312"/>
      <c r="H4" s="311"/>
      <c r="I4" s="311"/>
      <c r="J4" s="311"/>
      <c r="K4" s="311"/>
      <c r="L4" s="311"/>
      <c r="M4" s="311"/>
      <c r="N4" s="311"/>
      <c r="O4" s="311"/>
      <c r="P4" s="311"/>
      <c r="Q4" s="311"/>
      <c r="R4" s="311"/>
      <c r="S4" s="311"/>
      <c r="T4" s="311"/>
      <c r="U4" s="311"/>
      <c r="V4" s="311"/>
      <c r="W4" s="311"/>
      <c r="X4" s="311"/>
      <c r="Y4" s="311"/>
      <c r="Z4" s="311"/>
      <c r="AA4" s="312"/>
      <c r="AB4" s="116" t="s">
        <v>79</v>
      </c>
    </row>
    <row r="5" spans="2:28" s="106" customFormat="1" ht="29.25" thickBot="1" x14ac:dyDescent="0.3">
      <c r="B5" s="203"/>
      <c r="C5" s="440" t="s">
        <v>140</v>
      </c>
      <c r="D5" s="271"/>
      <c r="E5" s="271"/>
      <c r="F5" s="271"/>
      <c r="G5" s="419"/>
      <c r="H5" s="271" t="s">
        <v>141</v>
      </c>
      <c r="I5" s="271"/>
      <c r="J5" s="271"/>
      <c r="K5" s="271"/>
      <c r="L5" s="419"/>
      <c r="M5" s="271" t="s">
        <v>142</v>
      </c>
      <c r="N5" s="271"/>
      <c r="O5" s="271"/>
      <c r="P5" s="271"/>
      <c r="Q5" s="419"/>
      <c r="R5" s="271" t="s">
        <v>180</v>
      </c>
      <c r="S5" s="271"/>
      <c r="T5" s="271"/>
      <c r="U5" s="271"/>
      <c r="V5" s="271"/>
      <c r="W5" s="271" t="s">
        <v>347</v>
      </c>
      <c r="X5" s="271"/>
      <c r="Y5" s="271"/>
      <c r="Z5" s="271"/>
      <c r="AA5" s="271"/>
      <c r="AB5" s="117"/>
    </row>
    <row r="6" spans="2:28" s="105" customFormat="1" ht="30.75" thickTop="1" thickBot="1" x14ac:dyDescent="0.3">
      <c r="B6" s="204" t="s">
        <v>4</v>
      </c>
      <c r="C6" s="418">
        <v>1</v>
      </c>
      <c r="D6" s="203">
        <v>2</v>
      </c>
      <c r="E6" s="203">
        <v>3</v>
      </c>
      <c r="F6" s="203">
        <v>4</v>
      </c>
      <c r="G6" s="420">
        <v>5</v>
      </c>
      <c r="H6" s="203">
        <v>1</v>
      </c>
      <c r="I6" s="203">
        <v>2</v>
      </c>
      <c r="J6" s="203">
        <v>3</v>
      </c>
      <c r="K6" s="420">
        <v>4</v>
      </c>
      <c r="L6" s="199">
        <v>5</v>
      </c>
      <c r="M6" s="203">
        <v>1</v>
      </c>
      <c r="N6" s="203">
        <v>2</v>
      </c>
      <c r="O6" s="203">
        <v>3</v>
      </c>
      <c r="P6" s="203">
        <v>4</v>
      </c>
      <c r="Q6" s="420">
        <v>5</v>
      </c>
      <c r="R6" s="199">
        <v>1</v>
      </c>
      <c r="S6" s="199">
        <v>2</v>
      </c>
      <c r="T6" s="199">
        <v>3</v>
      </c>
      <c r="U6" s="199">
        <v>4</v>
      </c>
      <c r="V6" s="199">
        <v>5</v>
      </c>
      <c r="W6" s="199">
        <v>1</v>
      </c>
      <c r="X6" s="199">
        <v>2</v>
      </c>
      <c r="Y6" s="199">
        <v>3</v>
      </c>
      <c r="Z6" s="199">
        <v>4</v>
      </c>
      <c r="AA6" s="199">
        <v>5</v>
      </c>
      <c r="AB6" s="104"/>
    </row>
    <row r="7" spans="2:28" ht="34.5" thickBot="1" x14ac:dyDescent="0.3">
      <c r="B7" s="229" t="s">
        <v>160</v>
      </c>
      <c r="C7" s="442"/>
      <c r="D7" s="421"/>
      <c r="E7" s="421"/>
      <c r="F7" s="421"/>
      <c r="G7" s="422"/>
      <c r="H7" s="421"/>
      <c r="I7" s="421"/>
      <c r="J7" s="421"/>
      <c r="K7" s="422"/>
      <c r="L7" s="313"/>
      <c r="M7" s="421"/>
      <c r="N7" s="421"/>
      <c r="O7" s="421"/>
      <c r="P7" s="421"/>
      <c r="Q7" s="422"/>
      <c r="R7" s="483"/>
      <c r="S7" s="483"/>
      <c r="T7" s="483"/>
      <c r="U7" s="483"/>
      <c r="V7" s="484"/>
      <c r="W7" s="313"/>
      <c r="X7" s="313"/>
      <c r="Y7" s="313"/>
      <c r="Z7" s="313"/>
      <c r="AA7" s="313"/>
      <c r="AB7" s="314"/>
    </row>
    <row r="8" spans="2:28" x14ac:dyDescent="0.25">
      <c r="B8" s="130" t="s">
        <v>181</v>
      </c>
      <c r="C8" s="443"/>
      <c r="D8" s="315"/>
      <c r="E8" s="315"/>
      <c r="F8" s="315"/>
      <c r="G8" s="423"/>
      <c r="H8" s="315"/>
      <c r="I8" s="315"/>
      <c r="J8" s="315"/>
      <c r="K8" s="423"/>
      <c r="L8" s="316"/>
      <c r="M8" s="315"/>
      <c r="N8" s="315"/>
      <c r="O8" s="315"/>
      <c r="P8" s="315"/>
      <c r="Q8" s="423"/>
      <c r="R8" s="315">
        <v>160</v>
      </c>
      <c r="S8" s="315"/>
      <c r="T8" s="315"/>
      <c r="U8" s="315"/>
      <c r="V8" s="423"/>
      <c r="W8" s="316"/>
      <c r="X8" s="316"/>
      <c r="Y8" s="316"/>
      <c r="Z8" s="316"/>
      <c r="AA8" s="316"/>
      <c r="AB8" s="317">
        <v>160</v>
      </c>
    </row>
    <row r="9" spans="2:28" x14ac:dyDescent="0.25">
      <c r="B9" s="130" t="s">
        <v>159</v>
      </c>
      <c r="C9" s="443"/>
      <c r="D9" s="315"/>
      <c r="E9" s="315"/>
      <c r="F9" s="315"/>
      <c r="G9" s="423">
        <v>0</v>
      </c>
      <c r="H9" s="315"/>
      <c r="I9" s="315"/>
      <c r="J9" s="315"/>
      <c r="K9" s="423"/>
      <c r="L9" s="316">
        <v>0</v>
      </c>
      <c r="M9" s="315"/>
      <c r="N9" s="315"/>
      <c r="O9" s="315"/>
      <c r="P9" s="315">
        <v>38.5</v>
      </c>
      <c r="Q9" s="423"/>
      <c r="R9" s="315"/>
      <c r="S9" s="315"/>
      <c r="T9" s="315"/>
      <c r="U9" s="315">
        <v>0</v>
      </c>
      <c r="V9" s="423"/>
      <c r="W9" s="316"/>
      <c r="X9" s="316"/>
      <c r="Y9" s="316"/>
      <c r="Z9" s="316"/>
      <c r="AA9" s="316">
        <v>0</v>
      </c>
      <c r="AB9" s="317">
        <v>38.5</v>
      </c>
    </row>
    <row r="10" spans="2:28" x14ac:dyDescent="0.25">
      <c r="B10" s="130" t="s">
        <v>348</v>
      </c>
      <c r="C10" s="443"/>
      <c r="D10" s="315"/>
      <c r="E10" s="315"/>
      <c r="F10" s="315"/>
      <c r="G10" s="423"/>
      <c r="H10" s="315"/>
      <c r="I10" s="315"/>
      <c r="J10" s="315"/>
      <c r="K10" s="423"/>
      <c r="L10" s="316"/>
      <c r="M10" s="315"/>
      <c r="N10" s="315"/>
      <c r="O10" s="315"/>
      <c r="P10" s="315"/>
      <c r="Q10" s="423"/>
      <c r="R10" s="315"/>
      <c r="S10" s="315"/>
      <c r="T10" s="315"/>
      <c r="U10" s="315"/>
      <c r="V10" s="423"/>
      <c r="W10" s="316">
        <v>57</v>
      </c>
      <c r="X10" s="316"/>
      <c r="Y10" s="316"/>
      <c r="Z10" s="316"/>
      <c r="AA10" s="316"/>
      <c r="AB10" s="317">
        <v>57</v>
      </c>
    </row>
    <row r="11" spans="2:28" ht="34.5" thickBot="1" x14ac:dyDescent="0.3">
      <c r="B11" s="130" t="s">
        <v>314</v>
      </c>
      <c r="C11" s="443"/>
      <c r="D11" s="315"/>
      <c r="E11" s="315"/>
      <c r="F11" s="315"/>
      <c r="G11" s="423"/>
      <c r="H11" s="315"/>
      <c r="I11" s="315"/>
      <c r="J11" s="315"/>
      <c r="K11" s="423"/>
      <c r="L11" s="316"/>
      <c r="M11" s="315"/>
      <c r="N11" s="315"/>
      <c r="O11" s="315"/>
      <c r="P11" s="315"/>
      <c r="Q11" s="423"/>
      <c r="R11" s="315"/>
      <c r="S11" s="315"/>
      <c r="T11" s="315"/>
      <c r="U11" s="315">
        <v>22</v>
      </c>
      <c r="V11" s="423"/>
      <c r="W11" s="316"/>
      <c r="X11" s="316"/>
      <c r="Y11" s="316"/>
      <c r="Z11" s="316"/>
      <c r="AA11" s="316"/>
      <c r="AB11" s="317">
        <v>22</v>
      </c>
    </row>
    <row r="12" spans="2:28" ht="34.5" thickBot="1" x14ac:dyDescent="0.3">
      <c r="B12" s="205" t="s">
        <v>37</v>
      </c>
      <c r="C12" s="444"/>
      <c r="D12" s="318"/>
      <c r="E12" s="318"/>
      <c r="F12" s="318"/>
      <c r="G12" s="424"/>
      <c r="H12" s="318"/>
      <c r="I12" s="318"/>
      <c r="J12" s="318"/>
      <c r="K12" s="424"/>
      <c r="L12" s="318"/>
      <c r="M12" s="318"/>
      <c r="N12" s="318"/>
      <c r="O12" s="318"/>
      <c r="P12" s="318"/>
      <c r="Q12" s="424"/>
      <c r="R12" s="318"/>
      <c r="S12" s="318"/>
      <c r="T12" s="318"/>
      <c r="U12" s="318"/>
      <c r="V12" s="424"/>
      <c r="W12" s="318"/>
      <c r="X12" s="318"/>
      <c r="Y12" s="318"/>
      <c r="Z12" s="318"/>
      <c r="AA12" s="318"/>
      <c r="AB12" s="319"/>
    </row>
    <row r="13" spans="2:28" x14ac:dyDescent="0.25">
      <c r="B13" s="130" t="s">
        <v>154</v>
      </c>
      <c r="C13" s="443"/>
      <c r="D13" s="315"/>
      <c r="E13" s="315"/>
      <c r="F13" s="315"/>
      <c r="G13" s="423"/>
      <c r="H13" s="315"/>
      <c r="I13" s="315"/>
      <c r="J13" s="315"/>
      <c r="K13" s="423">
        <v>10</v>
      </c>
      <c r="L13" s="316"/>
      <c r="M13" s="315"/>
      <c r="N13" s="315"/>
      <c r="O13" s="315"/>
      <c r="P13" s="315">
        <v>6.8</v>
      </c>
      <c r="Q13" s="423"/>
      <c r="R13" s="315"/>
      <c r="S13" s="315"/>
      <c r="T13" s="315">
        <v>7</v>
      </c>
      <c r="U13" s="315"/>
      <c r="V13" s="423"/>
      <c r="W13" s="316"/>
      <c r="X13" s="316"/>
      <c r="Y13" s="316">
        <v>6</v>
      </c>
      <c r="Z13" s="316"/>
      <c r="AA13" s="316"/>
      <c r="AB13" s="317">
        <v>29.8</v>
      </c>
    </row>
    <row r="14" spans="2:28" x14ac:dyDescent="0.25">
      <c r="B14" s="130" t="s">
        <v>149</v>
      </c>
      <c r="C14" s="443"/>
      <c r="D14" s="315"/>
      <c r="E14" s="315">
        <v>1</v>
      </c>
      <c r="F14" s="315"/>
      <c r="G14" s="423"/>
      <c r="H14" s="315"/>
      <c r="I14" s="315"/>
      <c r="J14" s="315"/>
      <c r="K14" s="423">
        <v>0.5</v>
      </c>
      <c r="L14" s="316"/>
      <c r="M14" s="315"/>
      <c r="N14" s="315"/>
      <c r="O14" s="315"/>
      <c r="P14" s="315">
        <v>1.5</v>
      </c>
      <c r="Q14" s="423"/>
      <c r="R14" s="315"/>
      <c r="S14" s="315"/>
      <c r="T14" s="315">
        <v>1.3</v>
      </c>
      <c r="U14" s="315"/>
      <c r="V14" s="423"/>
      <c r="W14" s="316"/>
      <c r="X14" s="316"/>
      <c r="Y14" s="316"/>
      <c r="Z14" s="316"/>
      <c r="AA14" s="316"/>
      <c r="AB14" s="317">
        <v>4.3</v>
      </c>
    </row>
    <row r="15" spans="2:28" x14ac:dyDescent="0.25">
      <c r="B15" s="130" t="s">
        <v>146</v>
      </c>
      <c r="C15" s="443"/>
      <c r="D15" s="315"/>
      <c r="E15" s="315">
        <v>0.5</v>
      </c>
      <c r="F15" s="315"/>
      <c r="G15" s="423"/>
      <c r="H15" s="315"/>
      <c r="I15" s="315"/>
      <c r="J15" s="315">
        <v>0.2</v>
      </c>
      <c r="K15" s="423"/>
      <c r="L15" s="316"/>
      <c r="M15" s="315"/>
      <c r="N15" s="315"/>
      <c r="O15" s="315"/>
      <c r="P15" s="315"/>
      <c r="Q15" s="423"/>
      <c r="R15" s="315"/>
      <c r="S15" s="315"/>
      <c r="T15" s="315"/>
      <c r="U15" s="315"/>
      <c r="V15" s="423"/>
      <c r="W15" s="316"/>
      <c r="X15" s="316"/>
      <c r="Y15" s="316">
        <v>3.2</v>
      </c>
      <c r="Z15" s="316"/>
      <c r="AA15" s="316"/>
      <c r="AB15" s="317">
        <v>3.9</v>
      </c>
    </row>
    <row r="16" spans="2:28" x14ac:dyDescent="0.25">
      <c r="B16" s="130" t="s">
        <v>162</v>
      </c>
      <c r="C16" s="443"/>
      <c r="D16" s="315"/>
      <c r="E16" s="315"/>
      <c r="F16" s="315"/>
      <c r="G16" s="423"/>
      <c r="H16" s="315"/>
      <c r="I16" s="315"/>
      <c r="J16" s="315"/>
      <c r="K16" s="423"/>
      <c r="L16" s="316"/>
      <c r="M16" s="315"/>
      <c r="N16" s="315"/>
      <c r="O16" s="315"/>
      <c r="P16" s="315"/>
      <c r="Q16" s="423">
        <v>0.4</v>
      </c>
      <c r="R16" s="315"/>
      <c r="S16" s="315"/>
      <c r="T16" s="315"/>
      <c r="U16" s="315"/>
      <c r="V16" s="423"/>
      <c r="W16" s="316"/>
      <c r="X16" s="316"/>
      <c r="Y16" s="316"/>
      <c r="Z16" s="316"/>
      <c r="AA16" s="316"/>
      <c r="AB16" s="317">
        <v>0.4</v>
      </c>
    </row>
    <row r="17" spans="2:28" x14ac:dyDescent="0.25">
      <c r="B17" s="130" t="s">
        <v>151</v>
      </c>
      <c r="C17" s="443"/>
      <c r="D17" s="315"/>
      <c r="E17" s="315"/>
      <c r="F17" s="315">
        <v>9</v>
      </c>
      <c r="G17" s="423"/>
      <c r="H17" s="315"/>
      <c r="I17" s="315"/>
      <c r="J17" s="315"/>
      <c r="K17" s="423">
        <v>0.5</v>
      </c>
      <c r="L17" s="316"/>
      <c r="M17" s="315"/>
      <c r="N17" s="315"/>
      <c r="O17" s="315"/>
      <c r="P17" s="315"/>
      <c r="Q17" s="423"/>
      <c r="R17" s="315"/>
      <c r="S17" s="315"/>
      <c r="T17" s="315"/>
      <c r="U17" s="315"/>
      <c r="V17" s="423"/>
      <c r="W17" s="316"/>
      <c r="X17" s="316"/>
      <c r="Y17" s="316"/>
      <c r="Z17" s="316">
        <v>4.8</v>
      </c>
      <c r="AA17" s="316"/>
      <c r="AB17" s="317">
        <v>14.3</v>
      </c>
    </row>
    <row r="18" spans="2:28" x14ac:dyDescent="0.25">
      <c r="B18" s="130" t="s">
        <v>153</v>
      </c>
      <c r="C18" s="443"/>
      <c r="D18" s="315"/>
      <c r="E18" s="315"/>
      <c r="F18" s="315"/>
      <c r="G18" s="423"/>
      <c r="H18" s="315"/>
      <c r="I18" s="315"/>
      <c r="J18" s="315"/>
      <c r="K18" s="423">
        <v>0.3</v>
      </c>
      <c r="L18" s="316"/>
      <c r="M18" s="315"/>
      <c r="N18" s="315"/>
      <c r="O18" s="315"/>
      <c r="P18" s="315"/>
      <c r="Q18" s="423"/>
      <c r="R18" s="315"/>
      <c r="S18" s="315"/>
      <c r="T18" s="315"/>
      <c r="U18" s="315"/>
      <c r="V18" s="423"/>
      <c r="W18" s="316"/>
      <c r="X18" s="316"/>
      <c r="Y18" s="316"/>
      <c r="Z18" s="316"/>
      <c r="AA18" s="316"/>
      <c r="AB18" s="317">
        <v>0.3</v>
      </c>
    </row>
    <row r="19" spans="2:28" x14ac:dyDescent="0.25">
      <c r="B19" s="130" t="s">
        <v>145</v>
      </c>
      <c r="C19" s="443">
        <v>4.5</v>
      </c>
      <c r="D19" s="315"/>
      <c r="E19" s="315"/>
      <c r="F19" s="315"/>
      <c r="G19" s="423"/>
      <c r="H19" s="315"/>
      <c r="I19" s="315"/>
      <c r="J19" s="315"/>
      <c r="K19" s="423"/>
      <c r="L19" s="316"/>
      <c r="M19" s="315"/>
      <c r="N19" s="315"/>
      <c r="O19" s="315"/>
      <c r="P19" s="315"/>
      <c r="Q19" s="423"/>
      <c r="R19" s="315"/>
      <c r="S19" s="315"/>
      <c r="T19" s="315"/>
      <c r="U19" s="315"/>
      <c r="V19" s="423"/>
      <c r="W19" s="316"/>
      <c r="X19" s="316"/>
      <c r="Y19" s="316"/>
      <c r="Z19" s="316"/>
      <c r="AA19" s="316"/>
      <c r="AB19" s="317">
        <v>4.5</v>
      </c>
    </row>
    <row r="20" spans="2:28" x14ac:dyDescent="0.25">
      <c r="B20" s="130" t="s">
        <v>148</v>
      </c>
      <c r="C20" s="443"/>
      <c r="D20" s="315"/>
      <c r="E20" s="315">
        <v>8.4</v>
      </c>
      <c r="F20" s="315"/>
      <c r="G20" s="423"/>
      <c r="H20" s="315"/>
      <c r="I20" s="315"/>
      <c r="J20" s="315"/>
      <c r="K20" s="423"/>
      <c r="L20" s="316"/>
      <c r="M20" s="315"/>
      <c r="N20" s="315">
        <v>5.3</v>
      </c>
      <c r="O20" s="315"/>
      <c r="P20" s="315"/>
      <c r="Q20" s="423"/>
      <c r="R20" s="315"/>
      <c r="S20" s="315"/>
      <c r="T20" s="315"/>
      <c r="U20" s="315"/>
      <c r="V20" s="423"/>
      <c r="W20" s="316"/>
      <c r="X20" s="316">
        <v>8</v>
      </c>
      <c r="Y20" s="316"/>
      <c r="Z20" s="316"/>
      <c r="AA20" s="316"/>
      <c r="AB20" s="317">
        <v>21.7</v>
      </c>
    </row>
    <row r="21" spans="2:28" x14ac:dyDescent="0.25">
      <c r="B21" s="130" t="s">
        <v>155</v>
      </c>
      <c r="C21" s="443"/>
      <c r="D21" s="315"/>
      <c r="E21" s="315"/>
      <c r="F21" s="315"/>
      <c r="G21" s="423"/>
      <c r="H21" s="315"/>
      <c r="I21" s="315"/>
      <c r="J21" s="315"/>
      <c r="K21" s="423">
        <v>0.5</v>
      </c>
      <c r="L21" s="316"/>
      <c r="M21" s="315"/>
      <c r="N21" s="315"/>
      <c r="O21" s="315"/>
      <c r="P21" s="315"/>
      <c r="Q21" s="423"/>
      <c r="R21" s="315"/>
      <c r="S21" s="315"/>
      <c r="T21" s="315"/>
      <c r="U21" s="315"/>
      <c r="V21" s="423"/>
      <c r="W21" s="316"/>
      <c r="X21" s="316"/>
      <c r="Y21" s="316"/>
      <c r="Z21" s="316"/>
      <c r="AA21" s="316"/>
      <c r="AB21" s="317">
        <v>0.5</v>
      </c>
    </row>
    <row r="22" spans="2:28" x14ac:dyDescent="0.25">
      <c r="B22" s="130" t="s">
        <v>152</v>
      </c>
      <c r="C22" s="443"/>
      <c r="D22" s="315"/>
      <c r="E22" s="315"/>
      <c r="F22" s="315">
        <v>5.3</v>
      </c>
      <c r="G22" s="423"/>
      <c r="H22" s="315"/>
      <c r="I22" s="315"/>
      <c r="J22" s="315"/>
      <c r="K22" s="423">
        <v>1.8</v>
      </c>
      <c r="L22" s="316"/>
      <c r="M22" s="315"/>
      <c r="N22" s="315"/>
      <c r="O22" s="315"/>
      <c r="P22" s="315"/>
      <c r="Q22" s="423"/>
      <c r="R22" s="315"/>
      <c r="S22" s="315"/>
      <c r="T22" s="315"/>
      <c r="U22" s="315"/>
      <c r="V22" s="423"/>
      <c r="W22" s="316"/>
      <c r="X22" s="316"/>
      <c r="Y22" s="316">
        <v>4.5999999999999996</v>
      </c>
      <c r="Z22" s="316"/>
      <c r="AA22" s="316"/>
      <c r="AB22" s="317">
        <v>11.7</v>
      </c>
    </row>
    <row r="23" spans="2:28" x14ac:dyDescent="0.25">
      <c r="B23" s="130" t="s">
        <v>144</v>
      </c>
      <c r="C23" s="443">
        <v>0.9</v>
      </c>
      <c r="D23" s="315"/>
      <c r="E23" s="315"/>
      <c r="F23" s="315"/>
      <c r="G23" s="423"/>
      <c r="H23" s="315"/>
      <c r="I23" s="315"/>
      <c r="J23" s="315"/>
      <c r="K23" s="423"/>
      <c r="L23" s="316"/>
      <c r="M23" s="315"/>
      <c r="N23" s="315"/>
      <c r="O23" s="315"/>
      <c r="P23" s="315"/>
      <c r="Q23" s="423"/>
      <c r="R23" s="315"/>
      <c r="S23" s="315"/>
      <c r="T23" s="315"/>
      <c r="U23" s="315"/>
      <c r="V23" s="423"/>
      <c r="W23" s="316"/>
      <c r="X23" s="316"/>
      <c r="Y23" s="316"/>
      <c r="Z23" s="316"/>
      <c r="AA23" s="316"/>
      <c r="AB23" s="317">
        <v>0.9</v>
      </c>
    </row>
    <row r="24" spans="2:28" x14ac:dyDescent="0.25">
      <c r="B24" s="130" t="s">
        <v>147</v>
      </c>
      <c r="C24" s="443"/>
      <c r="D24" s="315"/>
      <c r="E24" s="315">
        <v>10</v>
      </c>
      <c r="F24" s="315"/>
      <c r="G24" s="423"/>
      <c r="H24" s="315"/>
      <c r="I24" s="315"/>
      <c r="J24" s="315"/>
      <c r="K24" s="423"/>
      <c r="L24" s="316"/>
      <c r="M24" s="315"/>
      <c r="N24" s="315">
        <v>2</v>
      </c>
      <c r="O24" s="315"/>
      <c r="P24" s="315"/>
      <c r="Q24" s="423"/>
      <c r="R24" s="315"/>
      <c r="S24" s="315"/>
      <c r="T24" s="315"/>
      <c r="U24" s="315"/>
      <c r="V24" s="423"/>
      <c r="W24" s="316"/>
      <c r="X24" s="316">
        <v>5</v>
      </c>
      <c r="Y24" s="316"/>
      <c r="Z24" s="316"/>
      <c r="AA24" s="316"/>
      <c r="AB24" s="317">
        <v>17</v>
      </c>
    </row>
    <row r="25" spans="2:28" x14ac:dyDescent="0.25">
      <c r="B25" s="130" t="s">
        <v>150</v>
      </c>
      <c r="C25" s="443"/>
      <c r="D25" s="315"/>
      <c r="E25" s="315"/>
      <c r="F25" s="315">
        <v>14.2</v>
      </c>
      <c r="G25" s="423"/>
      <c r="H25" s="315"/>
      <c r="I25" s="315"/>
      <c r="J25" s="315"/>
      <c r="K25" s="423"/>
      <c r="L25" s="316"/>
      <c r="M25" s="315"/>
      <c r="N25" s="315"/>
      <c r="O25" s="315"/>
      <c r="P25" s="315"/>
      <c r="Q25" s="423"/>
      <c r="R25" s="315"/>
      <c r="S25" s="315"/>
      <c r="T25" s="315"/>
      <c r="U25" s="315"/>
      <c r="V25" s="423"/>
      <c r="W25" s="316"/>
      <c r="X25" s="316"/>
      <c r="Y25" s="316"/>
      <c r="Z25" s="316"/>
      <c r="AA25" s="316"/>
      <c r="AB25" s="317">
        <v>14.2</v>
      </c>
    </row>
    <row r="26" spans="2:28" x14ac:dyDescent="0.25">
      <c r="B26" s="130" t="s">
        <v>157</v>
      </c>
      <c r="C26" s="443"/>
      <c r="D26" s="315"/>
      <c r="E26" s="315"/>
      <c r="F26" s="315"/>
      <c r="G26" s="423"/>
      <c r="H26" s="315"/>
      <c r="I26" s="315"/>
      <c r="J26" s="315"/>
      <c r="K26" s="423"/>
      <c r="L26" s="316"/>
      <c r="M26" s="315"/>
      <c r="N26" s="315"/>
      <c r="O26" s="315"/>
      <c r="P26" s="315">
        <v>6</v>
      </c>
      <c r="Q26" s="423"/>
      <c r="R26" s="315"/>
      <c r="S26" s="315"/>
      <c r="T26" s="315"/>
      <c r="U26" s="315"/>
      <c r="V26" s="423"/>
      <c r="W26" s="316"/>
      <c r="X26" s="316"/>
      <c r="Y26" s="316"/>
      <c r="Z26" s="316">
        <v>4</v>
      </c>
      <c r="AA26" s="316"/>
      <c r="AB26" s="317">
        <v>10</v>
      </c>
    </row>
    <row r="27" spans="2:28" x14ac:dyDescent="0.25">
      <c r="B27" s="130" t="s">
        <v>352</v>
      </c>
      <c r="C27" s="443"/>
      <c r="D27" s="315"/>
      <c r="E27" s="315"/>
      <c r="F27" s="315"/>
      <c r="G27" s="423"/>
      <c r="H27" s="315"/>
      <c r="I27" s="315"/>
      <c r="J27" s="315"/>
      <c r="K27" s="423"/>
      <c r="L27" s="316"/>
      <c r="M27" s="315"/>
      <c r="N27" s="315"/>
      <c r="O27" s="315"/>
      <c r="P27" s="315"/>
      <c r="Q27" s="423"/>
      <c r="R27" s="315"/>
      <c r="S27" s="315"/>
      <c r="T27" s="315"/>
      <c r="U27" s="315"/>
      <c r="V27" s="423"/>
      <c r="W27" s="316"/>
      <c r="X27" s="316"/>
      <c r="Y27" s="316">
        <v>2.6</v>
      </c>
      <c r="Z27" s="316"/>
      <c r="AA27" s="316"/>
      <c r="AB27" s="317">
        <v>2.6</v>
      </c>
    </row>
    <row r="28" spans="2:28" x14ac:dyDescent="0.25">
      <c r="B28" s="130" t="s">
        <v>358</v>
      </c>
      <c r="C28" s="443"/>
      <c r="D28" s="315"/>
      <c r="E28" s="315"/>
      <c r="F28" s="315"/>
      <c r="G28" s="423"/>
      <c r="H28" s="315"/>
      <c r="I28" s="315"/>
      <c r="J28" s="315"/>
      <c r="K28" s="423"/>
      <c r="L28" s="316"/>
      <c r="M28" s="315"/>
      <c r="N28" s="315"/>
      <c r="O28" s="315"/>
      <c r="P28" s="315"/>
      <c r="Q28" s="423"/>
      <c r="R28" s="315"/>
      <c r="S28" s="315"/>
      <c r="T28" s="315"/>
      <c r="U28" s="315"/>
      <c r="V28" s="423"/>
      <c r="W28" s="316"/>
      <c r="X28" s="316"/>
      <c r="Y28" s="316">
        <v>2.2000000000000002</v>
      </c>
      <c r="Z28" s="316"/>
      <c r="AA28" s="316"/>
      <c r="AB28" s="317">
        <v>2.2000000000000002</v>
      </c>
    </row>
    <row r="29" spans="2:28" x14ac:dyDescent="0.25">
      <c r="B29" s="130" t="s">
        <v>316</v>
      </c>
      <c r="C29" s="443"/>
      <c r="D29" s="315"/>
      <c r="E29" s="315"/>
      <c r="F29" s="315"/>
      <c r="G29" s="423"/>
      <c r="H29" s="315"/>
      <c r="I29" s="315"/>
      <c r="J29" s="315"/>
      <c r="K29" s="423"/>
      <c r="L29" s="316"/>
      <c r="M29" s="315"/>
      <c r="N29" s="315"/>
      <c r="O29" s="315"/>
      <c r="P29" s="315"/>
      <c r="Q29" s="423"/>
      <c r="R29" s="315"/>
      <c r="S29" s="315"/>
      <c r="T29" s="315"/>
      <c r="U29" s="315">
        <v>2.4</v>
      </c>
      <c r="V29" s="423"/>
      <c r="W29" s="316"/>
      <c r="X29" s="316"/>
      <c r="Y29" s="316"/>
      <c r="Z29" s="316"/>
      <c r="AA29" s="316"/>
      <c r="AB29" s="317">
        <v>2.4</v>
      </c>
    </row>
    <row r="30" spans="2:28" x14ac:dyDescent="0.25">
      <c r="B30" s="130" t="s">
        <v>362</v>
      </c>
      <c r="C30" s="443"/>
      <c r="D30" s="315"/>
      <c r="E30" s="315"/>
      <c r="F30" s="315"/>
      <c r="G30" s="423"/>
      <c r="H30" s="315"/>
      <c r="I30" s="315"/>
      <c r="J30" s="315"/>
      <c r="K30" s="423"/>
      <c r="L30" s="316"/>
      <c r="M30" s="315"/>
      <c r="N30" s="315"/>
      <c r="O30" s="315"/>
      <c r="P30" s="315"/>
      <c r="Q30" s="423"/>
      <c r="R30" s="315"/>
      <c r="S30" s="315"/>
      <c r="T30" s="315"/>
      <c r="U30" s="315"/>
      <c r="V30" s="423"/>
      <c r="W30" s="316"/>
      <c r="X30" s="316"/>
      <c r="Y30" s="316"/>
      <c r="Z30" s="316">
        <v>2</v>
      </c>
      <c r="AA30" s="316"/>
      <c r="AB30" s="317">
        <v>2</v>
      </c>
    </row>
    <row r="31" spans="2:28" x14ac:dyDescent="0.25">
      <c r="B31" s="130" t="s">
        <v>363</v>
      </c>
      <c r="C31" s="443"/>
      <c r="D31" s="315"/>
      <c r="E31" s="315"/>
      <c r="F31" s="315"/>
      <c r="G31" s="423"/>
      <c r="H31" s="315"/>
      <c r="I31" s="315"/>
      <c r="J31" s="315"/>
      <c r="K31" s="423"/>
      <c r="L31" s="316"/>
      <c r="M31" s="315"/>
      <c r="N31" s="315"/>
      <c r="O31" s="315"/>
      <c r="P31" s="315"/>
      <c r="Q31" s="423"/>
      <c r="R31" s="315"/>
      <c r="S31" s="315"/>
      <c r="T31" s="315"/>
      <c r="U31" s="315"/>
      <c r="V31" s="423"/>
      <c r="W31" s="316"/>
      <c r="X31" s="316"/>
      <c r="Y31" s="316"/>
      <c r="Z31" s="316"/>
      <c r="AA31" s="316">
        <v>1</v>
      </c>
      <c r="AB31" s="317">
        <v>1</v>
      </c>
    </row>
    <row r="32" spans="2:28" x14ac:dyDescent="0.25">
      <c r="B32" s="130" t="s">
        <v>336</v>
      </c>
      <c r="C32" s="443"/>
      <c r="D32" s="315"/>
      <c r="E32" s="315"/>
      <c r="F32" s="315"/>
      <c r="G32" s="423"/>
      <c r="H32" s="315"/>
      <c r="I32" s="315"/>
      <c r="J32" s="315"/>
      <c r="K32" s="423"/>
      <c r="L32" s="316"/>
      <c r="M32" s="315"/>
      <c r="N32" s="315"/>
      <c r="O32" s="315"/>
      <c r="P32" s="315"/>
      <c r="Q32" s="423"/>
      <c r="R32" s="315"/>
      <c r="S32" s="315"/>
      <c r="T32" s="315"/>
      <c r="U32" s="315"/>
      <c r="V32" s="423">
        <v>0.3</v>
      </c>
      <c r="W32" s="316"/>
      <c r="X32" s="316"/>
      <c r="Y32" s="316"/>
      <c r="Z32" s="316"/>
      <c r="AA32" s="316"/>
      <c r="AB32" s="317">
        <v>0.3</v>
      </c>
    </row>
    <row r="33" spans="2:28" x14ac:dyDescent="0.25">
      <c r="B33" s="130" t="s">
        <v>354</v>
      </c>
      <c r="C33" s="443"/>
      <c r="D33" s="315"/>
      <c r="E33" s="315"/>
      <c r="F33" s="315"/>
      <c r="G33" s="423"/>
      <c r="H33" s="315"/>
      <c r="I33" s="315"/>
      <c r="J33" s="315"/>
      <c r="K33" s="423"/>
      <c r="L33" s="316"/>
      <c r="M33" s="315"/>
      <c r="N33" s="315"/>
      <c r="O33" s="315"/>
      <c r="P33" s="315"/>
      <c r="Q33" s="423"/>
      <c r="R33" s="315"/>
      <c r="S33" s="315"/>
      <c r="T33" s="315"/>
      <c r="U33" s="315"/>
      <c r="V33" s="423"/>
      <c r="W33" s="316"/>
      <c r="X33" s="316">
        <v>1.3</v>
      </c>
      <c r="Y33" s="316"/>
      <c r="Z33" s="316"/>
      <c r="AA33" s="316"/>
      <c r="AB33" s="317">
        <v>1.3</v>
      </c>
    </row>
    <row r="34" spans="2:28" ht="34.5" thickBot="1" x14ac:dyDescent="0.3">
      <c r="B34" s="130" t="s">
        <v>353</v>
      </c>
      <c r="C34" s="443"/>
      <c r="D34" s="315"/>
      <c r="E34" s="315"/>
      <c r="F34" s="315"/>
      <c r="G34" s="423"/>
      <c r="H34" s="315"/>
      <c r="I34" s="315"/>
      <c r="J34" s="315"/>
      <c r="K34" s="423"/>
      <c r="L34" s="316"/>
      <c r="M34" s="315"/>
      <c r="N34" s="315"/>
      <c r="O34" s="315"/>
      <c r="P34" s="315"/>
      <c r="Q34" s="423"/>
      <c r="R34" s="315"/>
      <c r="S34" s="315"/>
      <c r="T34" s="315"/>
      <c r="U34" s="315"/>
      <c r="V34" s="423"/>
      <c r="W34" s="316"/>
      <c r="X34" s="316"/>
      <c r="Y34" s="316">
        <v>3.6</v>
      </c>
      <c r="Z34" s="316"/>
      <c r="AA34" s="316"/>
      <c r="AB34" s="317">
        <v>3.6</v>
      </c>
    </row>
    <row r="35" spans="2:28" ht="34.5" thickBot="1" x14ac:dyDescent="0.3">
      <c r="B35" s="206" t="s">
        <v>31</v>
      </c>
      <c r="C35" s="445"/>
      <c r="D35" s="320"/>
      <c r="E35" s="320"/>
      <c r="F35" s="320"/>
      <c r="G35" s="425"/>
      <c r="H35" s="320"/>
      <c r="I35" s="320"/>
      <c r="J35" s="320"/>
      <c r="K35" s="425"/>
      <c r="L35" s="320"/>
      <c r="M35" s="320"/>
      <c r="N35" s="320"/>
      <c r="O35" s="320"/>
      <c r="P35" s="320"/>
      <c r="Q35" s="425"/>
      <c r="R35" s="320"/>
      <c r="S35" s="320"/>
      <c r="T35" s="320"/>
      <c r="U35" s="320"/>
      <c r="V35" s="425"/>
      <c r="W35" s="320"/>
      <c r="X35" s="320"/>
      <c r="Y35" s="320"/>
      <c r="Z35" s="320"/>
      <c r="AA35" s="320"/>
      <c r="AB35" s="321"/>
    </row>
    <row r="36" spans="2:28" x14ac:dyDescent="0.25">
      <c r="B36" s="214" t="s">
        <v>41</v>
      </c>
      <c r="C36" s="446"/>
      <c r="D36" s="322"/>
      <c r="E36" s="322"/>
      <c r="F36" s="322"/>
      <c r="G36" s="426"/>
      <c r="H36" s="322"/>
      <c r="I36" s="322">
        <v>1</v>
      </c>
      <c r="J36" s="322"/>
      <c r="K36" s="426">
        <v>0.6</v>
      </c>
      <c r="L36" s="322"/>
      <c r="M36" s="322">
        <v>0.2</v>
      </c>
      <c r="N36" s="322"/>
      <c r="O36" s="322">
        <v>0.8</v>
      </c>
      <c r="P36" s="322"/>
      <c r="Q36" s="426">
        <v>4.0999999999999996</v>
      </c>
      <c r="R36" s="322">
        <v>0.9</v>
      </c>
      <c r="S36" s="322">
        <v>2.5</v>
      </c>
      <c r="T36" s="322">
        <v>2</v>
      </c>
      <c r="U36" s="322">
        <v>1.9</v>
      </c>
      <c r="V36" s="426"/>
      <c r="W36" s="322">
        <v>2.8</v>
      </c>
      <c r="X36" s="322">
        <v>3</v>
      </c>
      <c r="Y36" s="322">
        <v>3.2</v>
      </c>
      <c r="Z36" s="322"/>
      <c r="AA36" s="322">
        <v>0.8</v>
      </c>
      <c r="AB36" s="323">
        <v>23.8</v>
      </c>
    </row>
    <row r="37" spans="2:28" x14ac:dyDescent="0.25">
      <c r="B37" s="201" t="s">
        <v>27</v>
      </c>
      <c r="C37" s="447">
        <v>22</v>
      </c>
      <c r="D37" s="324">
        <v>23</v>
      </c>
      <c r="E37" s="324"/>
      <c r="F37" s="324"/>
      <c r="G37" s="427">
        <v>41</v>
      </c>
      <c r="H37" s="324"/>
      <c r="I37" s="324">
        <v>12</v>
      </c>
      <c r="J37" s="324">
        <v>12</v>
      </c>
      <c r="K37" s="427">
        <v>11</v>
      </c>
      <c r="L37" s="324"/>
      <c r="M37" s="324">
        <v>5</v>
      </c>
      <c r="N37" s="324">
        <v>34</v>
      </c>
      <c r="O37" s="324">
        <v>12</v>
      </c>
      <c r="P37" s="324">
        <v>8</v>
      </c>
      <c r="Q37" s="427"/>
      <c r="R37" s="324">
        <v>2.2000000000000002</v>
      </c>
      <c r="S37" s="324"/>
      <c r="T37" s="324">
        <v>35</v>
      </c>
      <c r="U37" s="324">
        <v>28</v>
      </c>
      <c r="V37" s="427"/>
      <c r="W37" s="324">
        <v>36</v>
      </c>
      <c r="X37" s="324">
        <v>11</v>
      </c>
      <c r="Y37" s="324">
        <v>23</v>
      </c>
      <c r="Z37" s="324"/>
      <c r="AA37" s="324">
        <v>10</v>
      </c>
      <c r="AB37" s="325">
        <v>325.2</v>
      </c>
    </row>
    <row r="38" spans="2:28" x14ac:dyDescent="0.25">
      <c r="B38" s="201" t="s">
        <v>29</v>
      </c>
      <c r="C38" s="447">
        <v>114</v>
      </c>
      <c r="D38" s="324">
        <v>30</v>
      </c>
      <c r="E38" s="324">
        <v>30</v>
      </c>
      <c r="F38" s="324"/>
      <c r="G38" s="427"/>
      <c r="H38" s="324">
        <v>41</v>
      </c>
      <c r="I38" s="324">
        <v>34</v>
      </c>
      <c r="J38" s="324">
        <v>43</v>
      </c>
      <c r="K38" s="427">
        <v>46</v>
      </c>
      <c r="L38" s="324"/>
      <c r="M38" s="324">
        <v>37</v>
      </c>
      <c r="N38" s="324"/>
      <c r="O38" s="324">
        <v>70</v>
      </c>
      <c r="P38" s="324"/>
      <c r="Q38" s="427">
        <v>78</v>
      </c>
      <c r="R38" s="324">
        <v>58</v>
      </c>
      <c r="S38" s="324"/>
      <c r="T38" s="324">
        <v>76</v>
      </c>
      <c r="U38" s="324">
        <v>51</v>
      </c>
      <c r="V38" s="427">
        <v>46</v>
      </c>
      <c r="W38" s="324">
        <v>29</v>
      </c>
      <c r="X38" s="324">
        <v>56.9</v>
      </c>
      <c r="Y38" s="324">
        <v>90</v>
      </c>
      <c r="Z38" s="324"/>
      <c r="AA38" s="324">
        <v>47</v>
      </c>
      <c r="AB38" s="325">
        <v>976.9</v>
      </c>
    </row>
    <row r="39" spans="2:28" x14ac:dyDescent="0.25">
      <c r="B39" s="201" t="s">
        <v>28</v>
      </c>
      <c r="C39" s="447">
        <v>72</v>
      </c>
      <c r="D39" s="324">
        <v>78</v>
      </c>
      <c r="E39" s="324">
        <v>36</v>
      </c>
      <c r="F39" s="324">
        <v>58</v>
      </c>
      <c r="G39" s="427">
        <v>52</v>
      </c>
      <c r="H39" s="324">
        <v>77</v>
      </c>
      <c r="I39" s="324">
        <v>88</v>
      </c>
      <c r="J39" s="324">
        <v>54</v>
      </c>
      <c r="K39" s="427">
        <v>80</v>
      </c>
      <c r="L39" s="324"/>
      <c r="M39" s="324">
        <v>72</v>
      </c>
      <c r="N39" s="324">
        <v>66</v>
      </c>
      <c r="O39" s="324">
        <v>34</v>
      </c>
      <c r="P39" s="324">
        <v>123</v>
      </c>
      <c r="Q39" s="427">
        <v>12</v>
      </c>
      <c r="R39" s="324">
        <v>69</v>
      </c>
      <c r="S39" s="324">
        <v>52</v>
      </c>
      <c r="T39" s="324">
        <v>80</v>
      </c>
      <c r="U39" s="324">
        <v>78</v>
      </c>
      <c r="V39" s="427">
        <v>56</v>
      </c>
      <c r="W39" s="324">
        <v>84</v>
      </c>
      <c r="X39" s="324">
        <v>68</v>
      </c>
      <c r="Y39" s="324">
        <v>100</v>
      </c>
      <c r="Z39" s="324">
        <v>39</v>
      </c>
      <c r="AA39" s="324">
        <v>32</v>
      </c>
      <c r="AB39" s="325">
        <v>1560</v>
      </c>
    </row>
    <row r="40" spans="2:28" x14ac:dyDescent="0.25">
      <c r="B40" s="201" t="s">
        <v>30</v>
      </c>
      <c r="C40" s="447"/>
      <c r="D40" s="324"/>
      <c r="E40" s="324"/>
      <c r="F40" s="324">
        <v>50</v>
      </c>
      <c r="G40" s="427"/>
      <c r="H40" s="324"/>
      <c r="I40" s="324"/>
      <c r="J40" s="324"/>
      <c r="K40" s="427"/>
      <c r="L40" s="324"/>
      <c r="M40" s="324"/>
      <c r="N40" s="324"/>
      <c r="O40" s="324">
        <v>56</v>
      </c>
      <c r="P40" s="324"/>
      <c r="Q40" s="427"/>
      <c r="R40" s="324"/>
      <c r="S40" s="324"/>
      <c r="T40" s="324">
        <v>51</v>
      </c>
      <c r="U40" s="324"/>
      <c r="V40" s="427"/>
      <c r="W40" s="324"/>
      <c r="X40" s="324"/>
      <c r="Y40" s="324">
        <v>12</v>
      </c>
      <c r="Z40" s="324">
        <v>37</v>
      </c>
      <c r="AA40" s="324"/>
      <c r="AB40" s="325">
        <v>206</v>
      </c>
    </row>
    <row r="41" spans="2:28" ht="34.5" thickBot="1" x14ac:dyDescent="0.3">
      <c r="B41" s="215" t="s">
        <v>42</v>
      </c>
      <c r="C41" s="448"/>
      <c r="D41" s="326"/>
      <c r="E41" s="326"/>
      <c r="F41" s="326"/>
      <c r="G41" s="428">
        <v>0</v>
      </c>
      <c r="H41" s="326"/>
      <c r="I41" s="326"/>
      <c r="J41" s="326">
        <v>121.1</v>
      </c>
      <c r="K41" s="428"/>
      <c r="L41" s="326">
        <v>0</v>
      </c>
      <c r="M41" s="326"/>
      <c r="N41" s="326"/>
      <c r="O41" s="326"/>
      <c r="P41" s="326"/>
      <c r="Q41" s="428">
        <v>0</v>
      </c>
      <c r="R41" s="326"/>
      <c r="S41" s="326"/>
      <c r="T41" s="326">
        <v>183</v>
      </c>
      <c r="U41" s="326"/>
      <c r="V41" s="428"/>
      <c r="W41" s="326"/>
      <c r="X41" s="326"/>
      <c r="Y41" s="326"/>
      <c r="Z41" s="326"/>
      <c r="AA41" s="326">
        <v>0</v>
      </c>
      <c r="AB41" s="327">
        <v>304.10000000000002</v>
      </c>
    </row>
    <row r="42" spans="2:28" x14ac:dyDescent="0.25">
      <c r="B42" s="130" t="s">
        <v>289</v>
      </c>
      <c r="C42" s="443"/>
      <c r="D42" s="315"/>
      <c r="E42" s="315"/>
      <c r="F42" s="315"/>
      <c r="G42" s="423"/>
      <c r="H42" s="315"/>
      <c r="I42" s="315"/>
      <c r="J42" s="315"/>
      <c r="K42" s="423"/>
      <c r="L42" s="316"/>
      <c r="M42" s="315"/>
      <c r="N42" s="315"/>
      <c r="O42" s="315"/>
      <c r="P42" s="315"/>
      <c r="Q42" s="423"/>
      <c r="R42" s="315">
        <v>4</v>
      </c>
      <c r="S42" s="315"/>
      <c r="T42" s="315"/>
      <c r="U42" s="315"/>
      <c r="V42" s="423"/>
      <c r="W42" s="316"/>
      <c r="X42" s="316"/>
      <c r="Y42" s="316"/>
      <c r="Z42" s="316"/>
      <c r="AA42" s="316"/>
      <c r="AB42" s="317">
        <v>4</v>
      </c>
    </row>
    <row r="43" spans="2:28" x14ac:dyDescent="0.25">
      <c r="B43" s="201" t="s">
        <v>121</v>
      </c>
      <c r="C43" s="443">
        <v>10</v>
      </c>
      <c r="D43" s="315"/>
      <c r="E43" s="315"/>
      <c r="F43" s="315">
        <v>11</v>
      </c>
      <c r="G43" s="423"/>
      <c r="H43" s="315"/>
      <c r="I43" s="315"/>
      <c r="J43" s="315">
        <v>11</v>
      </c>
      <c r="K43" s="423"/>
      <c r="L43" s="316"/>
      <c r="M43" s="315">
        <v>8</v>
      </c>
      <c r="N43" s="315"/>
      <c r="O43" s="315">
        <v>6.2</v>
      </c>
      <c r="P43" s="315"/>
      <c r="Q43" s="423"/>
      <c r="R43" s="315"/>
      <c r="S43" s="315">
        <v>12.3</v>
      </c>
      <c r="T43" s="315"/>
      <c r="U43" s="315"/>
      <c r="V43" s="423">
        <v>10</v>
      </c>
      <c r="W43" s="316"/>
      <c r="X43" s="316"/>
      <c r="Y43" s="316">
        <v>14</v>
      </c>
      <c r="Z43" s="316"/>
      <c r="AA43" s="316"/>
      <c r="AB43" s="317">
        <v>82.5</v>
      </c>
    </row>
    <row r="44" spans="2:28" x14ac:dyDescent="0.25">
      <c r="B44" s="201" t="s">
        <v>84</v>
      </c>
      <c r="C44" s="443"/>
      <c r="D44" s="315"/>
      <c r="E44" s="315"/>
      <c r="F44" s="315"/>
      <c r="G44" s="423"/>
      <c r="H44" s="315"/>
      <c r="I44" s="315"/>
      <c r="J44" s="315"/>
      <c r="K44" s="423"/>
      <c r="L44" s="316"/>
      <c r="M44" s="315">
        <v>34.4</v>
      </c>
      <c r="N44" s="315"/>
      <c r="O44" s="315"/>
      <c r="P44" s="315"/>
      <c r="Q44" s="423"/>
      <c r="R44" s="315"/>
      <c r="S44" s="315"/>
      <c r="T44" s="315"/>
      <c r="U44" s="315"/>
      <c r="V44" s="423"/>
      <c r="W44" s="316"/>
      <c r="X44" s="316"/>
      <c r="Y44" s="316"/>
      <c r="Z44" s="316"/>
      <c r="AA44" s="316"/>
      <c r="AB44" s="317">
        <v>34.4</v>
      </c>
    </row>
    <row r="45" spans="2:28" x14ac:dyDescent="0.25">
      <c r="B45" s="130" t="s">
        <v>308</v>
      </c>
      <c r="C45" s="443"/>
      <c r="D45" s="315"/>
      <c r="E45" s="315"/>
      <c r="F45" s="315"/>
      <c r="G45" s="423">
        <v>1</v>
      </c>
      <c r="H45" s="315"/>
      <c r="I45" s="315"/>
      <c r="J45" s="315"/>
      <c r="K45" s="423">
        <v>3</v>
      </c>
      <c r="L45" s="316"/>
      <c r="M45" s="315">
        <v>2</v>
      </c>
      <c r="N45" s="315"/>
      <c r="O45" s="315">
        <v>2</v>
      </c>
      <c r="P45" s="315"/>
      <c r="Q45" s="423"/>
      <c r="R45" s="315"/>
      <c r="S45" s="315">
        <v>3</v>
      </c>
      <c r="T45" s="315"/>
      <c r="U45" s="315">
        <v>3.5</v>
      </c>
      <c r="V45" s="423"/>
      <c r="W45" s="316">
        <v>2</v>
      </c>
      <c r="X45" s="316"/>
      <c r="Y45" s="316"/>
      <c r="Z45" s="316"/>
      <c r="AA45" s="316"/>
      <c r="AB45" s="317">
        <v>16.5</v>
      </c>
    </row>
    <row r="46" spans="2:28" x14ac:dyDescent="0.25">
      <c r="B46" s="130" t="s">
        <v>355</v>
      </c>
      <c r="C46" s="443"/>
      <c r="D46" s="315"/>
      <c r="E46" s="315"/>
      <c r="F46" s="315"/>
      <c r="G46" s="423"/>
      <c r="H46" s="315"/>
      <c r="I46" s="315"/>
      <c r="J46" s="315"/>
      <c r="K46" s="423"/>
      <c r="L46" s="316"/>
      <c r="M46" s="315"/>
      <c r="N46" s="315"/>
      <c r="O46" s="315"/>
      <c r="P46" s="315"/>
      <c r="Q46" s="423"/>
      <c r="R46" s="315"/>
      <c r="S46" s="315"/>
      <c r="T46" s="315"/>
      <c r="U46" s="315"/>
      <c r="V46" s="423"/>
      <c r="W46" s="316"/>
      <c r="X46" s="316"/>
      <c r="Y46" s="316">
        <v>2</v>
      </c>
      <c r="Z46" s="316"/>
      <c r="AA46" s="316"/>
      <c r="AB46" s="317">
        <v>2</v>
      </c>
    </row>
    <row r="47" spans="2:28" x14ac:dyDescent="0.25">
      <c r="B47" s="130" t="s">
        <v>356</v>
      </c>
      <c r="C47" s="443"/>
      <c r="D47" s="315"/>
      <c r="E47" s="315"/>
      <c r="F47" s="315"/>
      <c r="G47" s="423"/>
      <c r="H47" s="315"/>
      <c r="I47" s="315"/>
      <c r="J47" s="315"/>
      <c r="K47" s="423"/>
      <c r="L47" s="316"/>
      <c r="M47" s="315"/>
      <c r="N47" s="315"/>
      <c r="O47" s="315"/>
      <c r="P47" s="315"/>
      <c r="Q47" s="423"/>
      <c r="R47" s="315"/>
      <c r="S47" s="315"/>
      <c r="T47" s="315"/>
      <c r="U47" s="315"/>
      <c r="V47" s="423"/>
      <c r="W47" s="316"/>
      <c r="X47" s="316"/>
      <c r="Y47" s="316">
        <v>2</v>
      </c>
      <c r="Z47" s="316"/>
      <c r="AA47" s="316"/>
      <c r="AB47" s="317">
        <v>2</v>
      </c>
    </row>
    <row r="48" spans="2:28" ht="34.5" thickBot="1" x14ac:dyDescent="0.3">
      <c r="B48" s="130" t="s">
        <v>315</v>
      </c>
      <c r="C48" s="443"/>
      <c r="D48" s="315"/>
      <c r="E48" s="315"/>
      <c r="F48" s="315"/>
      <c r="G48" s="423"/>
      <c r="H48" s="315"/>
      <c r="I48" s="315"/>
      <c r="J48" s="315"/>
      <c r="K48" s="423"/>
      <c r="L48" s="316"/>
      <c r="M48" s="315"/>
      <c r="N48" s="315"/>
      <c r="O48" s="315"/>
      <c r="P48" s="315"/>
      <c r="Q48" s="423"/>
      <c r="R48" s="315"/>
      <c r="S48" s="315"/>
      <c r="T48" s="315"/>
      <c r="U48" s="315">
        <v>1.7</v>
      </c>
      <c r="V48" s="423"/>
      <c r="W48" s="316"/>
      <c r="X48" s="316">
        <v>1</v>
      </c>
      <c r="Y48" s="316"/>
      <c r="Z48" s="316">
        <v>1.5</v>
      </c>
      <c r="AA48" s="316"/>
      <c r="AB48" s="317">
        <v>4.2</v>
      </c>
    </row>
    <row r="49" spans="2:28" ht="34.5" thickBot="1" x14ac:dyDescent="0.3">
      <c r="B49" s="470" t="s">
        <v>290</v>
      </c>
      <c r="C49" s="471"/>
      <c r="D49" s="472"/>
      <c r="E49" s="472"/>
      <c r="F49" s="472"/>
      <c r="G49" s="473"/>
      <c r="H49" s="472"/>
      <c r="I49" s="472"/>
      <c r="J49" s="472"/>
      <c r="K49" s="473"/>
      <c r="L49" s="472"/>
      <c r="M49" s="472"/>
      <c r="N49" s="472"/>
      <c r="O49" s="472"/>
      <c r="P49" s="472"/>
      <c r="Q49" s="473"/>
      <c r="R49" s="472"/>
      <c r="S49" s="472"/>
      <c r="T49" s="472"/>
      <c r="U49" s="472"/>
      <c r="V49" s="473"/>
      <c r="W49" s="472"/>
      <c r="X49" s="472"/>
      <c r="Y49" s="472"/>
      <c r="Z49" s="472"/>
      <c r="AA49" s="472"/>
      <c r="AB49" s="474"/>
    </row>
    <row r="50" spans="2:28" ht="34.5" thickBot="1" x14ac:dyDescent="0.3">
      <c r="B50" s="130" t="s">
        <v>38</v>
      </c>
      <c r="C50" s="443">
        <v>125</v>
      </c>
      <c r="D50" s="315">
        <v>111</v>
      </c>
      <c r="E50" s="315">
        <v>88</v>
      </c>
      <c r="F50" s="315">
        <v>144</v>
      </c>
      <c r="G50" s="423">
        <v>37</v>
      </c>
      <c r="H50" s="315">
        <v>71</v>
      </c>
      <c r="I50" s="315">
        <v>141</v>
      </c>
      <c r="J50" s="315">
        <v>148</v>
      </c>
      <c r="K50" s="423">
        <v>143</v>
      </c>
      <c r="L50" s="316"/>
      <c r="M50" s="315">
        <v>127</v>
      </c>
      <c r="N50" s="315">
        <v>156.19999999999999</v>
      </c>
      <c r="O50" s="315">
        <v>123</v>
      </c>
      <c r="P50" s="315">
        <v>63</v>
      </c>
      <c r="Q50" s="423">
        <v>1</v>
      </c>
      <c r="R50" s="315">
        <v>86</v>
      </c>
      <c r="S50" s="315">
        <v>125</v>
      </c>
      <c r="T50" s="315">
        <v>87</v>
      </c>
      <c r="U50" s="315">
        <v>92</v>
      </c>
      <c r="V50" s="423">
        <v>55</v>
      </c>
      <c r="W50" s="316">
        <v>119</v>
      </c>
      <c r="X50" s="316">
        <v>134</v>
      </c>
      <c r="Y50" s="316">
        <v>41</v>
      </c>
      <c r="Z50" s="316"/>
      <c r="AA50" s="316"/>
      <c r="AB50" s="317">
        <v>2217.1999999999998</v>
      </c>
    </row>
    <row r="51" spans="2:28" ht="34.5" thickBot="1" x14ac:dyDescent="0.3">
      <c r="B51" s="207" t="s">
        <v>34</v>
      </c>
      <c r="C51" s="449"/>
      <c r="D51" s="328"/>
      <c r="E51" s="328"/>
      <c r="F51" s="328"/>
      <c r="G51" s="429"/>
      <c r="H51" s="328"/>
      <c r="I51" s="328"/>
      <c r="J51" s="328"/>
      <c r="K51" s="429"/>
      <c r="L51" s="328"/>
      <c r="M51" s="328"/>
      <c r="N51" s="328"/>
      <c r="O51" s="328"/>
      <c r="P51" s="328"/>
      <c r="Q51" s="429"/>
      <c r="R51" s="328"/>
      <c r="S51" s="328"/>
      <c r="T51" s="328"/>
      <c r="U51" s="328"/>
      <c r="V51" s="429"/>
      <c r="W51" s="328"/>
      <c r="X51" s="328"/>
      <c r="Y51" s="328"/>
      <c r="Z51" s="328"/>
      <c r="AA51" s="328"/>
      <c r="AB51" s="329"/>
    </row>
    <row r="52" spans="2:28" ht="34.5" thickBot="1" x14ac:dyDescent="0.3">
      <c r="B52" s="130" t="s">
        <v>138</v>
      </c>
      <c r="C52" s="443"/>
      <c r="D52" s="315"/>
      <c r="E52" s="315"/>
      <c r="F52" s="315"/>
      <c r="G52" s="423"/>
      <c r="H52" s="315"/>
      <c r="I52" s="315"/>
      <c r="J52" s="315"/>
      <c r="K52" s="423"/>
      <c r="L52" s="316"/>
      <c r="M52" s="315"/>
      <c r="N52" s="315"/>
      <c r="O52" s="315">
        <v>6</v>
      </c>
      <c r="P52" s="315"/>
      <c r="Q52" s="423"/>
      <c r="R52" s="315"/>
      <c r="S52" s="315"/>
      <c r="T52" s="315"/>
      <c r="U52" s="315">
        <v>2</v>
      </c>
      <c r="V52" s="423"/>
      <c r="W52" s="316"/>
      <c r="X52" s="316"/>
      <c r="Y52" s="316"/>
      <c r="Z52" s="316"/>
      <c r="AA52" s="316"/>
      <c r="AB52" s="317">
        <v>8</v>
      </c>
    </row>
    <row r="53" spans="2:28" x14ac:dyDescent="0.25">
      <c r="B53" s="214" t="s">
        <v>44</v>
      </c>
      <c r="C53" s="446"/>
      <c r="D53" s="322"/>
      <c r="E53" s="322"/>
      <c r="F53" s="322"/>
      <c r="G53" s="426"/>
      <c r="H53" s="322"/>
      <c r="I53" s="322">
        <v>1.8</v>
      </c>
      <c r="J53" s="322"/>
      <c r="K53" s="426"/>
      <c r="L53" s="322"/>
      <c r="M53" s="322">
        <v>5.0999999999999996</v>
      </c>
      <c r="N53" s="322"/>
      <c r="O53" s="322"/>
      <c r="P53" s="322"/>
      <c r="Q53" s="426"/>
      <c r="R53" s="322"/>
      <c r="S53" s="322"/>
      <c r="T53" s="322"/>
      <c r="U53" s="322"/>
      <c r="V53" s="426"/>
      <c r="W53" s="322"/>
      <c r="X53" s="322"/>
      <c r="Y53" s="322">
        <v>4</v>
      </c>
      <c r="Z53" s="322"/>
      <c r="AA53" s="322"/>
      <c r="AB53" s="323">
        <v>10.9</v>
      </c>
    </row>
    <row r="54" spans="2:28" x14ac:dyDescent="0.25">
      <c r="B54" s="201" t="s">
        <v>33</v>
      </c>
      <c r="C54" s="447"/>
      <c r="D54" s="324"/>
      <c r="E54" s="324">
        <v>1.5</v>
      </c>
      <c r="F54" s="324"/>
      <c r="G54" s="427"/>
      <c r="H54" s="324"/>
      <c r="I54" s="324"/>
      <c r="J54" s="324"/>
      <c r="K54" s="427"/>
      <c r="L54" s="324"/>
      <c r="M54" s="324"/>
      <c r="N54" s="324"/>
      <c r="O54" s="324"/>
      <c r="P54" s="324"/>
      <c r="Q54" s="427"/>
      <c r="R54" s="324"/>
      <c r="S54" s="324"/>
      <c r="T54" s="324"/>
      <c r="U54" s="324"/>
      <c r="V54" s="427"/>
      <c r="W54" s="324"/>
      <c r="X54" s="324"/>
      <c r="Y54" s="324"/>
      <c r="Z54" s="324"/>
      <c r="AA54" s="324"/>
      <c r="AB54" s="325">
        <v>1.5</v>
      </c>
    </row>
    <row r="55" spans="2:28" ht="34.5" thickBot="1" x14ac:dyDescent="0.3">
      <c r="B55" s="215" t="s">
        <v>45</v>
      </c>
      <c r="C55" s="448"/>
      <c r="D55" s="326"/>
      <c r="E55" s="326"/>
      <c r="F55" s="326"/>
      <c r="G55" s="428"/>
      <c r="H55" s="326"/>
      <c r="I55" s="326">
        <v>1.5</v>
      </c>
      <c r="J55" s="326"/>
      <c r="K55" s="428"/>
      <c r="L55" s="326"/>
      <c r="M55" s="326"/>
      <c r="N55" s="326"/>
      <c r="O55" s="326"/>
      <c r="P55" s="326"/>
      <c r="Q55" s="428"/>
      <c r="R55" s="326"/>
      <c r="S55" s="326"/>
      <c r="T55" s="326"/>
      <c r="U55" s="326"/>
      <c r="V55" s="428"/>
      <c r="W55" s="326"/>
      <c r="X55" s="326"/>
      <c r="Y55" s="326"/>
      <c r="Z55" s="326"/>
      <c r="AA55" s="326"/>
      <c r="AB55" s="327">
        <v>1.5</v>
      </c>
    </row>
    <row r="56" spans="2:28" ht="34.5" thickBot="1" x14ac:dyDescent="0.3">
      <c r="B56" s="208" t="s">
        <v>21</v>
      </c>
      <c r="C56" s="450"/>
      <c r="D56" s="330"/>
      <c r="E56" s="330"/>
      <c r="F56" s="330"/>
      <c r="G56" s="430"/>
      <c r="H56" s="330"/>
      <c r="I56" s="330"/>
      <c r="J56" s="330"/>
      <c r="K56" s="430"/>
      <c r="L56" s="330"/>
      <c r="M56" s="330"/>
      <c r="N56" s="330"/>
      <c r="O56" s="330"/>
      <c r="P56" s="330"/>
      <c r="Q56" s="430"/>
      <c r="R56" s="330"/>
      <c r="S56" s="330"/>
      <c r="T56" s="330"/>
      <c r="U56" s="330"/>
      <c r="V56" s="430"/>
      <c r="W56" s="330"/>
      <c r="X56" s="330"/>
      <c r="Y56" s="330"/>
      <c r="Z56" s="330"/>
      <c r="AA56" s="330"/>
      <c r="AB56" s="331"/>
    </row>
    <row r="57" spans="2:28" x14ac:dyDescent="0.25">
      <c r="B57" s="272" t="s">
        <v>20</v>
      </c>
      <c r="C57" s="446"/>
      <c r="D57" s="322">
        <v>46</v>
      </c>
      <c r="E57" s="322"/>
      <c r="F57" s="322">
        <v>36</v>
      </c>
      <c r="G57" s="426"/>
      <c r="H57" s="322"/>
      <c r="I57" s="322"/>
      <c r="J57" s="322"/>
      <c r="K57" s="426"/>
      <c r="L57" s="322"/>
      <c r="M57" s="322">
        <v>120</v>
      </c>
      <c r="N57" s="322"/>
      <c r="O57" s="322">
        <v>74</v>
      </c>
      <c r="P57" s="322"/>
      <c r="Q57" s="426"/>
      <c r="R57" s="322"/>
      <c r="S57" s="322"/>
      <c r="T57" s="322">
        <v>40</v>
      </c>
      <c r="U57" s="322">
        <v>25</v>
      </c>
      <c r="V57" s="426"/>
      <c r="W57" s="322"/>
      <c r="X57" s="322"/>
      <c r="Y57" s="322"/>
      <c r="Z57" s="322"/>
      <c r="AA57" s="322"/>
      <c r="AB57" s="323">
        <v>341</v>
      </c>
    </row>
    <row r="58" spans="2:28" ht="34.5" thickBot="1" x14ac:dyDescent="0.3">
      <c r="B58" s="274" t="s">
        <v>24</v>
      </c>
      <c r="C58" s="448">
        <v>471</v>
      </c>
      <c r="D58" s="326">
        <v>64</v>
      </c>
      <c r="E58" s="326"/>
      <c r="F58" s="326">
        <v>71</v>
      </c>
      <c r="G58" s="428"/>
      <c r="H58" s="326">
        <v>319</v>
      </c>
      <c r="I58" s="326"/>
      <c r="J58" s="326"/>
      <c r="K58" s="428"/>
      <c r="L58" s="326"/>
      <c r="M58" s="326">
        <v>211</v>
      </c>
      <c r="N58" s="326"/>
      <c r="O58" s="326">
        <v>787</v>
      </c>
      <c r="P58" s="326"/>
      <c r="Q58" s="428">
        <v>102</v>
      </c>
      <c r="R58" s="326"/>
      <c r="S58" s="326"/>
      <c r="T58" s="326">
        <v>547</v>
      </c>
      <c r="U58" s="326">
        <v>48</v>
      </c>
      <c r="V58" s="428"/>
      <c r="W58" s="326"/>
      <c r="X58" s="326"/>
      <c r="Y58" s="326"/>
      <c r="Z58" s="326">
        <v>457</v>
      </c>
      <c r="AA58" s="326"/>
      <c r="AB58" s="327">
        <v>3077</v>
      </c>
    </row>
    <row r="59" spans="2:28" ht="34.5" thickBot="1" x14ac:dyDescent="0.3">
      <c r="B59" s="273" t="s">
        <v>83</v>
      </c>
      <c r="C59" s="443"/>
      <c r="D59" s="315"/>
      <c r="E59" s="315"/>
      <c r="F59" s="315"/>
      <c r="G59" s="423"/>
      <c r="H59" s="315"/>
      <c r="I59" s="315"/>
      <c r="J59" s="315"/>
      <c r="K59" s="423"/>
      <c r="L59" s="316"/>
      <c r="M59" s="315">
        <v>147</v>
      </c>
      <c r="N59" s="315"/>
      <c r="O59" s="315"/>
      <c r="P59" s="315"/>
      <c r="Q59" s="423"/>
      <c r="R59" s="315"/>
      <c r="S59" s="315"/>
      <c r="T59" s="315"/>
      <c r="U59" s="315"/>
      <c r="V59" s="423">
        <v>77</v>
      </c>
      <c r="W59" s="316"/>
      <c r="X59" s="316"/>
      <c r="Y59" s="316"/>
      <c r="Z59" s="316"/>
      <c r="AA59" s="316"/>
      <c r="AB59" s="317">
        <v>224</v>
      </c>
    </row>
    <row r="60" spans="2:28" x14ac:dyDescent="0.25">
      <c r="B60" s="214" t="s">
        <v>40</v>
      </c>
      <c r="C60" s="446"/>
      <c r="D60" s="322"/>
      <c r="E60" s="322"/>
      <c r="F60" s="322"/>
      <c r="G60" s="426"/>
      <c r="H60" s="322"/>
      <c r="I60" s="322"/>
      <c r="J60" s="322">
        <v>75</v>
      </c>
      <c r="K60" s="426"/>
      <c r="L60" s="322"/>
      <c r="M60" s="322"/>
      <c r="N60" s="322"/>
      <c r="O60" s="322"/>
      <c r="P60" s="322"/>
      <c r="Q60" s="426"/>
      <c r="R60" s="322"/>
      <c r="S60" s="322"/>
      <c r="T60" s="322"/>
      <c r="U60" s="322"/>
      <c r="V60" s="426"/>
      <c r="W60" s="322"/>
      <c r="X60" s="322"/>
      <c r="Y60" s="322"/>
      <c r="Z60" s="322"/>
      <c r="AA60" s="322"/>
      <c r="AB60" s="323">
        <v>75</v>
      </c>
    </row>
    <row r="61" spans="2:28" ht="34.5" thickBot="1" x14ac:dyDescent="0.3">
      <c r="B61" s="215" t="s">
        <v>39</v>
      </c>
      <c r="C61" s="448"/>
      <c r="D61" s="326"/>
      <c r="E61" s="326"/>
      <c r="F61" s="326"/>
      <c r="G61" s="428"/>
      <c r="H61" s="326">
        <v>169</v>
      </c>
      <c r="I61" s="326"/>
      <c r="J61" s="326"/>
      <c r="K61" s="428"/>
      <c r="L61" s="326"/>
      <c r="M61" s="326"/>
      <c r="N61" s="326"/>
      <c r="O61" s="326">
        <v>153</v>
      </c>
      <c r="P61" s="326"/>
      <c r="Q61" s="428"/>
      <c r="R61" s="326"/>
      <c r="S61" s="326"/>
      <c r="T61" s="326"/>
      <c r="U61" s="326"/>
      <c r="V61" s="428"/>
      <c r="W61" s="326"/>
      <c r="X61" s="326">
        <v>114</v>
      </c>
      <c r="Y61" s="326"/>
      <c r="Z61" s="326"/>
      <c r="AA61" s="326"/>
      <c r="AB61" s="327">
        <v>436</v>
      </c>
    </row>
    <row r="62" spans="2:28" x14ac:dyDescent="0.25">
      <c r="B62" s="130" t="s">
        <v>350</v>
      </c>
      <c r="C62" s="443"/>
      <c r="D62" s="315"/>
      <c r="E62" s="315"/>
      <c r="F62" s="315"/>
      <c r="G62" s="423"/>
      <c r="H62" s="315"/>
      <c r="I62" s="315"/>
      <c r="J62" s="315"/>
      <c r="K62" s="423"/>
      <c r="L62" s="316"/>
      <c r="M62" s="315"/>
      <c r="N62" s="315"/>
      <c r="O62" s="315"/>
      <c r="P62" s="315"/>
      <c r="Q62" s="423"/>
      <c r="R62" s="315"/>
      <c r="S62" s="315"/>
      <c r="T62" s="315"/>
      <c r="U62" s="315"/>
      <c r="V62" s="423"/>
      <c r="W62" s="316"/>
      <c r="X62" s="316">
        <v>110</v>
      </c>
      <c r="Y62" s="316"/>
      <c r="Z62" s="316"/>
      <c r="AA62" s="316"/>
      <c r="AB62" s="317">
        <v>110</v>
      </c>
    </row>
    <row r="63" spans="2:28" ht="34.5" thickBot="1" x14ac:dyDescent="0.3">
      <c r="B63" s="130" t="s">
        <v>351</v>
      </c>
      <c r="C63" s="443"/>
      <c r="D63" s="315"/>
      <c r="E63" s="315"/>
      <c r="F63" s="315"/>
      <c r="G63" s="423"/>
      <c r="H63" s="315"/>
      <c r="I63" s="315"/>
      <c r="J63" s="315"/>
      <c r="K63" s="423"/>
      <c r="L63" s="316"/>
      <c r="M63" s="315"/>
      <c r="N63" s="315"/>
      <c r="O63" s="315"/>
      <c r="P63" s="315"/>
      <c r="Q63" s="423"/>
      <c r="R63" s="315"/>
      <c r="S63" s="315"/>
      <c r="T63" s="315"/>
      <c r="U63" s="315"/>
      <c r="V63" s="423"/>
      <c r="W63" s="316"/>
      <c r="X63" s="316">
        <v>69</v>
      </c>
      <c r="Y63" s="316"/>
      <c r="Z63" s="316"/>
      <c r="AA63" s="316"/>
      <c r="AB63" s="317">
        <v>69</v>
      </c>
    </row>
    <row r="64" spans="2:28" ht="34.5" thickBot="1" x14ac:dyDescent="0.3">
      <c r="B64" s="209" t="s">
        <v>18</v>
      </c>
      <c r="C64" s="451"/>
      <c r="D64" s="332"/>
      <c r="E64" s="332"/>
      <c r="F64" s="332"/>
      <c r="G64" s="431"/>
      <c r="H64" s="332"/>
      <c r="I64" s="332"/>
      <c r="J64" s="332"/>
      <c r="K64" s="431"/>
      <c r="L64" s="332"/>
      <c r="M64" s="332"/>
      <c r="N64" s="332"/>
      <c r="O64" s="332"/>
      <c r="P64" s="332"/>
      <c r="Q64" s="431"/>
      <c r="R64" s="332"/>
      <c r="S64" s="332"/>
      <c r="T64" s="332"/>
      <c r="U64" s="332"/>
      <c r="V64" s="431"/>
      <c r="W64" s="332"/>
      <c r="X64" s="332"/>
      <c r="Y64" s="332"/>
      <c r="Z64" s="332"/>
      <c r="AA64" s="332"/>
      <c r="AB64" s="333"/>
    </row>
    <row r="65" spans="2:28" x14ac:dyDescent="0.25">
      <c r="B65" s="214" t="s">
        <v>25</v>
      </c>
      <c r="C65" s="446">
        <v>429</v>
      </c>
      <c r="D65" s="322"/>
      <c r="E65" s="322"/>
      <c r="F65" s="322"/>
      <c r="G65" s="426"/>
      <c r="H65" s="322">
        <v>302</v>
      </c>
      <c r="I65" s="322"/>
      <c r="J65" s="322">
        <v>162</v>
      </c>
      <c r="K65" s="426"/>
      <c r="L65" s="322"/>
      <c r="M65" s="322"/>
      <c r="N65" s="322">
        <v>217</v>
      </c>
      <c r="O65" s="322"/>
      <c r="P65" s="322"/>
      <c r="Q65" s="426"/>
      <c r="R65" s="322">
        <v>326</v>
      </c>
      <c r="S65" s="322"/>
      <c r="T65" s="322"/>
      <c r="U65" s="322">
        <v>300</v>
      </c>
      <c r="V65" s="426"/>
      <c r="W65" s="322"/>
      <c r="X65" s="322"/>
      <c r="Y65" s="322"/>
      <c r="Z65" s="322"/>
      <c r="AA65" s="322"/>
      <c r="AB65" s="323">
        <v>1736</v>
      </c>
    </row>
    <row r="66" spans="2:28" x14ac:dyDescent="0.25">
      <c r="B66" s="201" t="s">
        <v>23</v>
      </c>
      <c r="C66" s="447"/>
      <c r="D66" s="324"/>
      <c r="E66" s="324">
        <v>340</v>
      </c>
      <c r="F66" s="324"/>
      <c r="G66" s="427"/>
      <c r="H66" s="324"/>
      <c r="I66" s="324"/>
      <c r="J66" s="324">
        <v>459</v>
      </c>
      <c r="K66" s="427"/>
      <c r="L66" s="324"/>
      <c r="M66" s="324"/>
      <c r="N66" s="324"/>
      <c r="O66" s="324"/>
      <c r="P66" s="324"/>
      <c r="Q66" s="427"/>
      <c r="R66" s="324">
        <v>514</v>
      </c>
      <c r="S66" s="324"/>
      <c r="T66" s="324"/>
      <c r="U66" s="324"/>
      <c r="V66" s="427"/>
      <c r="W66" s="324">
        <v>496</v>
      </c>
      <c r="X66" s="324"/>
      <c r="Y66" s="324"/>
      <c r="Z66" s="324"/>
      <c r="AA66" s="324"/>
      <c r="AB66" s="325">
        <v>1809</v>
      </c>
    </row>
    <row r="67" spans="2:28" x14ac:dyDescent="0.25">
      <c r="B67" s="273" t="s">
        <v>17</v>
      </c>
      <c r="C67" s="447"/>
      <c r="D67" s="324">
        <v>339</v>
      </c>
      <c r="E67" s="324"/>
      <c r="F67" s="324"/>
      <c r="G67" s="427">
        <v>608</v>
      </c>
      <c r="H67" s="324"/>
      <c r="I67" s="324"/>
      <c r="J67" s="324"/>
      <c r="K67" s="427"/>
      <c r="L67" s="324"/>
      <c r="M67" s="324"/>
      <c r="N67" s="324">
        <v>319</v>
      </c>
      <c r="O67" s="324"/>
      <c r="P67" s="324"/>
      <c r="Q67" s="427"/>
      <c r="R67" s="324"/>
      <c r="S67" s="324"/>
      <c r="T67" s="324"/>
      <c r="U67" s="324">
        <v>257</v>
      </c>
      <c r="V67" s="427"/>
      <c r="W67" s="324"/>
      <c r="X67" s="324"/>
      <c r="Y67" s="324">
        <v>415</v>
      </c>
      <c r="Z67" s="324"/>
      <c r="AA67" s="324"/>
      <c r="AB67" s="325">
        <v>1938</v>
      </c>
    </row>
    <row r="68" spans="2:28" x14ac:dyDescent="0.25">
      <c r="B68" s="201" t="s">
        <v>22</v>
      </c>
      <c r="C68" s="447"/>
      <c r="D68" s="324">
        <v>1485</v>
      </c>
      <c r="E68" s="324"/>
      <c r="F68" s="324">
        <v>2460</v>
      </c>
      <c r="G68" s="427">
        <v>890</v>
      </c>
      <c r="H68" s="324">
        <v>931</v>
      </c>
      <c r="I68" s="324"/>
      <c r="J68" s="324">
        <v>2218</v>
      </c>
      <c r="K68" s="427">
        <v>1072</v>
      </c>
      <c r="L68" s="324"/>
      <c r="M68" s="324">
        <v>1126</v>
      </c>
      <c r="N68" s="324">
        <v>1490</v>
      </c>
      <c r="O68" s="324">
        <v>1444</v>
      </c>
      <c r="P68" s="324">
        <v>1242</v>
      </c>
      <c r="Q68" s="427"/>
      <c r="R68" s="324">
        <v>1274</v>
      </c>
      <c r="S68" s="324">
        <v>1343</v>
      </c>
      <c r="T68" s="324"/>
      <c r="U68" s="324">
        <v>1740</v>
      </c>
      <c r="V68" s="427">
        <v>1213</v>
      </c>
      <c r="W68" s="324">
        <v>887</v>
      </c>
      <c r="X68" s="324"/>
      <c r="Y68" s="324"/>
      <c r="Z68" s="324"/>
      <c r="AA68" s="324"/>
      <c r="AB68" s="325">
        <v>20815</v>
      </c>
    </row>
    <row r="69" spans="2:28" ht="34.5" thickBot="1" x14ac:dyDescent="0.3">
      <c r="B69" s="215" t="s">
        <v>26</v>
      </c>
      <c r="C69" s="448"/>
      <c r="D69" s="326">
        <v>48</v>
      </c>
      <c r="E69" s="326"/>
      <c r="F69" s="326"/>
      <c r="G69" s="428"/>
      <c r="H69" s="326"/>
      <c r="I69" s="326"/>
      <c r="J69" s="326"/>
      <c r="K69" s="428"/>
      <c r="L69" s="326"/>
      <c r="M69" s="326"/>
      <c r="N69" s="326"/>
      <c r="O69" s="326">
        <v>69</v>
      </c>
      <c r="P69" s="326"/>
      <c r="Q69" s="428"/>
      <c r="R69" s="326"/>
      <c r="S69" s="326"/>
      <c r="T69" s="326"/>
      <c r="U69" s="326"/>
      <c r="V69" s="428"/>
      <c r="W69" s="326"/>
      <c r="X69" s="326"/>
      <c r="Y69" s="326"/>
      <c r="Z69" s="326"/>
      <c r="AA69" s="326"/>
      <c r="AB69" s="327">
        <v>117</v>
      </c>
    </row>
    <row r="70" spans="2:28" ht="34.5" thickBot="1" x14ac:dyDescent="0.3">
      <c r="B70" s="130" t="s">
        <v>313</v>
      </c>
      <c r="C70" s="443"/>
      <c r="D70" s="315"/>
      <c r="E70" s="315"/>
      <c r="F70" s="315"/>
      <c r="G70" s="423"/>
      <c r="H70" s="315"/>
      <c r="I70" s="315"/>
      <c r="J70" s="315"/>
      <c r="K70" s="423"/>
      <c r="L70" s="316"/>
      <c r="M70" s="315"/>
      <c r="N70" s="315"/>
      <c r="O70" s="315"/>
      <c r="P70" s="315"/>
      <c r="Q70" s="423"/>
      <c r="R70" s="315"/>
      <c r="S70" s="315"/>
      <c r="T70" s="315"/>
      <c r="U70" s="315">
        <v>308</v>
      </c>
      <c r="V70" s="423"/>
      <c r="W70" s="316"/>
      <c r="X70" s="316"/>
      <c r="Y70" s="316"/>
      <c r="Z70" s="316"/>
      <c r="AA70" s="316"/>
      <c r="AB70" s="317">
        <v>308</v>
      </c>
    </row>
    <row r="71" spans="2:28" ht="34.5" thickBot="1" x14ac:dyDescent="0.3">
      <c r="B71" s="210" t="s">
        <v>36</v>
      </c>
      <c r="C71" s="452"/>
      <c r="D71" s="334"/>
      <c r="E71" s="334"/>
      <c r="F71" s="334"/>
      <c r="G71" s="432"/>
      <c r="H71" s="334"/>
      <c r="I71" s="334"/>
      <c r="J71" s="334"/>
      <c r="K71" s="432"/>
      <c r="L71" s="334"/>
      <c r="M71" s="334"/>
      <c r="N71" s="334"/>
      <c r="O71" s="334"/>
      <c r="P71" s="334"/>
      <c r="Q71" s="432"/>
      <c r="R71" s="334"/>
      <c r="S71" s="334"/>
      <c r="T71" s="334"/>
      <c r="U71" s="334"/>
      <c r="V71" s="432"/>
      <c r="W71" s="334"/>
      <c r="X71" s="334"/>
      <c r="Y71" s="334"/>
      <c r="Z71" s="334"/>
      <c r="AA71" s="334"/>
      <c r="AB71" s="335"/>
    </row>
    <row r="72" spans="2:28" x14ac:dyDescent="0.25">
      <c r="B72" s="214" t="s">
        <v>47</v>
      </c>
      <c r="C72" s="446"/>
      <c r="D72" s="322"/>
      <c r="E72" s="322"/>
      <c r="F72" s="322"/>
      <c r="G72" s="426"/>
      <c r="H72" s="322">
        <v>5</v>
      </c>
      <c r="I72" s="322"/>
      <c r="J72" s="322"/>
      <c r="K72" s="426"/>
      <c r="L72" s="322"/>
      <c r="M72" s="322"/>
      <c r="N72" s="322"/>
      <c r="O72" s="322"/>
      <c r="P72" s="322"/>
      <c r="Q72" s="426"/>
      <c r="R72" s="322"/>
      <c r="S72" s="322"/>
      <c r="T72" s="322">
        <v>2</v>
      </c>
      <c r="U72" s="322"/>
      <c r="V72" s="426"/>
      <c r="W72" s="322"/>
      <c r="X72" s="322"/>
      <c r="Y72" s="322"/>
      <c r="Z72" s="322"/>
      <c r="AA72" s="322"/>
      <c r="AB72" s="323">
        <v>7</v>
      </c>
    </row>
    <row r="73" spans="2:28" x14ac:dyDescent="0.25">
      <c r="B73" s="201" t="s">
        <v>35</v>
      </c>
      <c r="C73" s="447"/>
      <c r="D73" s="324">
        <v>7</v>
      </c>
      <c r="E73" s="324">
        <v>4</v>
      </c>
      <c r="F73" s="324"/>
      <c r="G73" s="427">
        <v>9</v>
      </c>
      <c r="H73" s="324">
        <v>3</v>
      </c>
      <c r="I73" s="324"/>
      <c r="J73" s="324">
        <v>8</v>
      </c>
      <c r="K73" s="427">
        <v>7</v>
      </c>
      <c r="L73" s="324"/>
      <c r="M73" s="324">
        <v>3</v>
      </c>
      <c r="N73" s="324">
        <v>9</v>
      </c>
      <c r="O73" s="324"/>
      <c r="P73" s="324">
        <v>7</v>
      </c>
      <c r="Q73" s="427"/>
      <c r="R73" s="324">
        <v>7</v>
      </c>
      <c r="S73" s="324">
        <v>4</v>
      </c>
      <c r="T73" s="324">
        <v>3</v>
      </c>
      <c r="U73" s="324"/>
      <c r="V73" s="427">
        <v>17</v>
      </c>
      <c r="W73" s="324">
        <v>5</v>
      </c>
      <c r="X73" s="324">
        <v>4</v>
      </c>
      <c r="Y73" s="324">
        <v>3</v>
      </c>
      <c r="Z73" s="324">
        <v>8</v>
      </c>
      <c r="AA73" s="324"/>
      <c r="AB73" s="325">
        <v>108</v>
      </c>
    </row>
    <row r="74" spans="2:28" ht="34.5" thickBot="1" x14ac:dyDescent="0.3">
      <c r="B74" s="215" t="s">
        <v>46</v>
      </c>
      <c r="C74" s="448"/>
      <c r="D74" s="326"/>
      <c r="E74" s="326"/>
      <c r="F74" s="326"/>
      <c r="G74" s="428"/>
      <c r="H74" s="326">
        <v>2.5</v>
      </c>
      <c r="I74" s="326"/>
      <c r="J74" s="326"/>
      <c r="K74" s="428"/>
      <c r="L74" s="326"/>
      <c r="M74" s="326"/>
      <c r="N74" s="326"/>
      <c r="O74" s="326"/>
      <c r="P74" s="326"/>
      <c r="Q74" s="428"/>
      <c r="R74" s="326"/>
      <c r="S74" s="326"/>
      <c r="T74" s="326"/>
      <c r="U74" s="326"/>
      <c r="V74" s="428"/>
      <c r="W74" s="326"/>
      <c r="X74" s="326"/>
      <c r="Y74" s="326"/>
      <c r="Z74" s="326"/>
      <c r="AA74" s="326"/>
      <c r="AB74" s="327">
        <v>2.5</v>
      </c>
    </row>
    <row r="75" spans="2:28" ht="34.5" thickBot="1" x14ac:dyDescent="0.3">
      <c r="B75" s="378" t="s">
        <v>16</v>
      </c>
      <c r="C75" s="453"/>
      <c r="D75" s="398"/>
      <c r="E75" s="398"/>
      <c r="F75" s="398"/>
      <c r="G75" s="433"/>
      <c r="H75" s="398"/>
      <c r="I75" s="398"/>
      <c r="J75" s="398"/>
      <c r="K75" s="433"/>
      <c r="L75" s="398"/>
      <c r="M75" s="398"/>
      <c r="N75" s="398"/>
      <c r="O75" s="398"/>
      <c r="P75" s="398"/>
      <c r="Q75" s="433"/>
      <c r="R75" s="398"/>
      <c r="S75" s="398"/>
      <c r="T75" s="398"/>
      <c r="U75" s="398"/>
      <c r="V75" s="433"/>
      <c r="W75" s="398"/>
      <c r="X75" s="398"/>
      <c r="Y75" s="398"/>
      <c r="Z75" s="398"/>
      <c r="AA75" s="398"/>
      <c r="AB75" s="399"/>
    </row>
    <row r="76" spans="2:28" ht="34.5" thickBot="1" x14ac:dyDescent="0.3">
      <c r="B76" s="213" t="s">
        <v>15</v>
      </c>
      <c r="C76" s="443"/>
      <c r="D76" s="315">
        <v>548</v>
      </c>
      <c r="E76" s="315"/>
      <c r="F76" s="315"/>
      <c r="G76" s="423"/>
      <c r="H76" s="315">
        <v>536</v>
      </c>
      <c r="I76" s="315"/>
      <c r="J76" s="315">
        <v>206</v>
      </c>
      <c r="K76" s="423"/>
      <c r="L76" s="315"/>
      <c r="M76" s="315"/>
      <c r="N76" s="315"/>
      <c r="O76" s="315"/>
      <c r="P76" s="315">
        <v>185</v>
      </c>
      <c r="Q76" s="423"/>
      <c r="R76" s="315"/>
      <c r="S76" s="315"/>
      <c r="T76" s="315"/>
      <c r="U76" s="315"/>
      <c r="V76" s="423">
        <v>0</v>
      </c>
      <c r="W76" s="315"/>
      <c r="X76" s="315"/>
      <c r="Y76" s="315"/>
      <c r="Z76" s="315"/>
      <c r="AA76" s="315">
        <v>0</v>
      </c>
      <c r="AB76" s="317">
        <v>1475</v>
      </c>
    </row>
    <row r="77" spans="2:28" ht="34.5" thickBot="1" x14ac:dyDescent="0.3">
      <c r="B77" s="211" t="s">
        <v>7</v>
      </c>
      <c r="C77" s="454"/>
      <c r="D77" s="336"/>
      <c r="E77" s="336"/>
      <c r="F77" s="336"/>
      <c r="G77" s="434"/>
      <c r="H77" s="336"/>
      <c r="I77" s="336"/>
      <c r="J77" s="336"/>
      <c r="K77" s="434"/>
      <c r="L77" s="336"/>
      <c r="M77" s="336"/>
      <c r="N77" s="336"/>
      <c r="O77" s="336"/>
      <c r="P77" s="336"/>
      <c r="Q77" s="434"/>
      <c r="R77" s="336"/>
      <c r="S77" s="336"/>
      <c r="T77" s="336"/>
      <c r="U77" s="336"/>
      <c r="V77" s="434"/>
      <c r="W77" s="336"/>
      <c r="X77" s="336"/>
      <c r="Y77" s="336"/>
      <c r="Z77" s="336"/>
      <c r="AA77" s="336"/>
      <c r="AB77" s="337"/>
    </row>
    <row r="78" spans="2:28" ht="34.5" thickBot="1" x14ac:dyDescent="0.3">
      <c r="B78" s="490" t="s">
        <v>10</v>
      </c>
      <c r="C78" s="443"/>
      <c r="D78" s="315"/>
      <c r="E78" s="315">
        <v>110</v>
      </c>
      <c r="F78" s="315"/>
      <c r="G78" s="423"/>
      <c r="H78" s="315"/>
      <c r="I78" s="315"/>
      <c r="J78" s="315"/>
      <c r="K78" s="423"/>
      <c r="L78" s="315"/>
      <c r="M78" s="315">
        <v>66</v>
      </c>
      <c r="N78" s="315"/>
      <c r="O78" s="315"/>
      <c r="P78" s="315"/>
      <c r="Q78" s="423"/>
      <c r="R78" s="315"/>
      <c r="S78" s="315"/>
      <c r="T78" s="315"/>
      <c r="U78" s="315"/>
      <c r="V78" s="423"/>
      <c r="W78" s="315"/>
      <c r="X78" s="315"/>
      <c r="Y78" s="315"/>
      <c r="Z78" s="315"/>
      <c r="AA78" s="315"/>
      <c r="AB78" s="317">
        <v>176</v>
      </c>
    </row>
    <row r="79" spans="2:28" x14ac:dyDescent="0.25">
      <c r="B79" s="130" t="s">
        <v>359</v>
      </c>
      <c r="C79" s="443"/>
      <c r="D79" s="315">
        <v>16</v>
      </c>
      <c r="E79" s="315"/>
      <c r="F79" s="315"/>
      <c r="G79" s="423"/>
      <c r="H79" s="315"/>
      <c r="I79" s="315"/>
      <c r="J79" s="315"/>
      <c r="K79" s="423"/>
      <c r="L79" s="316">
        <v>0</v>
      </c>
      <c r="M79" s="315"/>
      <c r="N79" s="315"/>
      <c r="O79" s="315"/>
      <c r="P79" s="315"/>
      <c r="Q79" s="423">
        <v>0</v>
      </c>
      <c r="R79" s="315"/>
      <c r="S79" s="315"/>
      <c r="T79" s="315"/>
      <c r="U79" s="315"/>
      <c r="V79" s="423"/>
      <c r="W79" s="316"/>
      <c r="X79" s="316"/>
      <c r="Y79" s="316"/>
      <c r="Z79" s="316">
        <v>60</v>
      </c>
      <c r="AA79" s="316"/>
      <c r="AB79" s="317">
        <v>76</v>
      </c>
    </row>
    <row r="80" spans="2:28" x14ac:dyDescent="0.25">
      <c r="B80" s="130" t="s">
        <v>360</v>
      </c>
      <c r="C80" s="443"/>
      <c r="D80" s="315">
        <v>19</v>
      </c>
      <c r="E80" s="315"/>
      <c r="F80" s="315"/>
      <c r="G80" s="423"/>
      <c r="H80" s="315"/>
      <c r="I80" s="315"/>
      <c r="J80" s="315"/>
      <c r="K80" s="423"/>
      <c r="L80" s="316"/>
      <c r="M80" s="315"/>
      <c r="N80" s="315"/>
      <c r="O80" s="315"/>
      <c r="P80" s="315"/>
      <c r="Q80" s="423"/>
      <c r="R80" s="315"/>
      <c r="S80" s="315"/>
      <c r="T80" s="315"/>
      <c r="U80" s="315"/>
      <c r="V80" s="423"/>
      <c r="W80" s="316"/>
      <c r="X80" s="316"/>
      <c r="Y80" s="316"/>
      <c r="Z80" s="316">
        <v>23</v>
      </c>
      <c r="AA80" s="316"/>
      <c r="AB80" s="317">
        <v>42</v>
      </c>
    </row>
    <row r="81" spans="2:28" x14ac:dyDescent="0.25">
      <c r="B81" s="130" t="s">
        <v>307</v>
      </c>
      <c r="C81" s="443"/>
      <c r="D81" s="315"/>
      <c r="E81" s="315"/>
      <c r="F81" s="315"/>
      <c r="G81" s="423"/>
      <c r="H81" s="315"/>
      <c r="I81" s="315"/>
      <c r="J81" s="315"/>
      <c r="K81" s="423"/>
      <c r="L81" s="316"/>
      <c r="M81" s="315"/>
      <c r="N81" s="315"/>
      <c r="O81" s="315"/>
      <c r="P81" s="315"/>
      <c r="Q81" s="423"/>
      <c r="R81" s="315"/>
      <c r="S81" s="315"/>
      <c r="T81" s="315">
        <v>50.87</v>
      </c>
      <c r="U81" s="315"/>
      <c r="V81" s="423"/>
      <c r="W81" s="316"/>
      <c r="X81" s="316"/>
      <c r="Y81" s="316"/>
      <c r="Z81" s="316"/>
      <c r="AA81" s="316"/>
      <c r="AB81" s="317">
        <v>50.87</v>
      </c>
    </row>
    <row r="82" spans="2:28" ht="34.5" thickBot="1" x14ac:dyDescent="0.3">
      <c r="B82" s="130" t="s">
        <v>361</v>
      </c>
      <c r="C82" s="443"/>
      <c r="D82" s="315"/>
      <c r="E82" s="315"/>
      <c r="F82" s="315"/>
      <c r="G82" s="423"/>
      <c r="H82" s="315"/>
      <c r="I82" s="315"/>
      <c r="J82" s="315"/>
      <c r="K82" s="423">
        <v>18</v>
      </c>
      <c r="L82" s="316"/>
      <c r="M82" s="315"/>
      <c r="N82" s="315"/>
      <c r="O82" s="315"/>
      <c r="P82" s="315"/>
      <c r="Q82" s="423"/>
      <c r="R82" s="315"/>
      <c r="S82" s="315"/>
      <c r="T82" s="315"/>
      <c r="U82" s="315"/>
      <c r="V82" s="423"/>
      <c r="W82" s="316"/>
      <c r="X82" s="316">
        <v>10</v>
      </c>
      <c r="Y82" s="316"/>
      <c r="Z82" s="316"/>
      <c r="AA82" s="316"/>
      <c r="AB82" s="317">
        <v>28</v>
      </c>
    </row>
    <row r="83" spans="2:28" ht="34.5" thickBot="1" x14ac:dyDescent="0.3">
      <c r="B83" s="212" t="s">
        <v>13</v>
      </c>
      <c r="C83" s="455"/>
      <c r="D83" s="338"/>
      <c r="E83" s="338"/>
      <c r="F83" s="338"/>
      <c r="G83" s="435"/>
      <c r="H83" s="338"/>
      <c r="I83" s="338"/>
      <c r="J83" s="338"/>
      <c r="K83" s="435"/>
      <c r="L83" s="338"/>
      <c r="M83" s="338"/>
      <c r="N83" s="338"/>
      <c r="O83" s="338"/>
      <c r="P83" s="338"/>
      <c r="Q83" s="435"/>
      <c r="R83" s="338"/>
      <c r="S83" s="338"/>
      <c r="T83" s="338"/>
      <c r="U83" s="338"/>
      <c r="V83" s="435"/>
      <c r="W83" s="338"/>
      <c r="X83" s="338"/>
      <c r="Y83" s="338"/>
      <c r="Z83" s="338"/>
      <c r="AA83" s="338"/>
      <c r="AB83" s="339"/>
    </row>
    <row r="84" spans="2:28" ht="34.5" thickBot="1" x14ac:dyDescent="0.3">
      <c r="B84" s="213" t="s">
        <v>12</v>
      </c>
      <c r="C84" s="443"/>
      <c r="D84" s="315">
        <v>153</v>
      </c>
      <c r="E84" s="315"/>
      <c r="F84" s="315"/>
      <c r="G84" s="423">
        <v>157</v>
      </c>
      <c r="H84" s="315"/>
      <c r="I84" s="315"/>
      <c r="J84" s="315">
        <v>216.5</v>
      </c>
      <c r="K84" s="423"/>
      <c r="L84" s="315"/>
      <c r="M84" s="315"/>
      <c r="N84" s="315">
        <v>190.5</v>
      </c>
      <c r="O84" s="315"/>
      <c r="P84" s="315">
        <v>109</v>
      </c>
      <c r="Q84" s="423"/>
      <c r="R84" s="315"/>
      <c r="S84" s="315"/>
      <c r="T84" s="315">
        <v>233</v>
      </c>
      <c r="U84" s="315">
        <v>94</v>
      </c>
      <c r="V84" s="423"/>
      <c r="W84" s="315"/>
      <c r="X84" s="315"/>
      <c r="Y84" s="315"/>
      <c r="Z84" s="315"/>
      <c r="AA84" s="315">
        <v>0</v>
      </c>
      <c r="AB84" s="317">
        <v>1153</v>
      </c>
    </row>
    <row r="85" spans="2:28" ht="34.5" thickBot="1" x14ac:dyDescent="0.3">
      <c r="B85" s="130" t="s">
        <v>137</v>
      </c>
      <c r="C85" s="443"/>
      <c r="D85" s="315">
        <v>68</v>
      </c>
      <c r="E85" s="315"/>
      <c r="F85" s="315"/>
      <c r="G85" s="423"/>
      <c r="H85" s="315"/>
      <c r="I85" s="315"/>
      <c r="J85" s="315"/>
      <c r="K85" s="423">
        <v>104</v>
      </c>
      <c r="L85" s="316"/>
      <c r="M85" s="315"/>
      <c r="N85" s="315"/>
      <c r="O85" s="315"/>
      <c r="P85" s="315"/>
      <c r="Q85" s="423"/>
      <c r="R85" s="315">
        <v>93</v>
      </c>
      <c r="S85" s="315"/>
      <c r="T85" s="315"/>
      <c r="U85" s="315"/>
      <c r="V85" s="423"/>
      <c r="W85" s="316"/>
      <c r="X85" s="316"/>
      <c r="Y85" s="316"/>
      <c r="Z85" s="316"/>
      <c r="AA85" s="316"/>
      <c r="AB85" s="317">
        <v>265</v>
      </c>
    </row>
    <row r="86" spans="2:28" ht="34.5" thickBot="1" x14ac:dyDescent="0.3">
      <c r="B86" s="213" t="s">
        <v>79</v>
      </c>
      <c r="C86" s="456">
        <v>1248.4000000000001</v>
      </c>
      <c r="D86" s="436">
        <v>3035</v>
      </c>
      <c r="E86" s="436">
        <v>629.4</v>
      </c>
      <c r="F86" s="436">
        <v>2858.5</v>
      </c>
      <c r="G86" s="437">
        <v>1795</v>
      </c>
      <c r="H86" s="436">
        <v>2456.5</v>
      </c>
      <c r="I86" s="436">
        <v>279.3</v>
      </c>
      <c r="J86" s="436">
        <v>3733.8</v>
      </c>
      <c r="K86" s="437">
        <v>1498.2</v>
      </c>
      <c r="L86" s="340">
        <v>0</v>
      </c>
      <c r="M86" s="436">
        <v>1963.7</v>
      </c>
      <c r="N86" s="436">
        <v>2489</v>
      </c>
      <c r="O86" s="436">
        <v>2837</v>
      </c>
      <c r="P86" s="436">
        <v>1789.8</v>
      </c>
      <c r="Q86" s="437">
        <v>197.5</v>
      </c>
      <c r="R86" s="436">
        <v>2594.1</v>
      </c>
      <c r="S86" s="436">
        <v>1541.8</v>
      </c>
      <c r="T86" s="436">
        <v>1398.17</v>
      </c>
      <c r="U86" s="436">
        <v>3054.5</v>
      </c>
      <c r="V86" s="437">
        <v>1474.3</v>
      </c>
      <c r="W86" s="340">
        <v>1717.8</v>
      </c>
      <c r="X86" s="340">
        <v>595.20000000000005</v>
      </c>
      <c r="Y86" s="340">
        <v>731.4</v>
      </c>
      <c r="Z86" s="340">
        <v>636.29999999999995</v>
      </c>
      <c r="AA86" s="340">
        <v>90.8</v>
      </c>
      <c r="AB86" s="341">
        <v>40645.47</v>
      </c>
    </row>
  </sheetData>
  <mergeCells count="1">
    <mergeCell ref="B1:M1"/>
  </mergeCell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753AC-F1C3-4596-94D6-86FE5AC7A2A0}">
  <sheetPr>
    <tabColor rgb="FFB9D4ED"/>
  </sheetPr>
  <dimension ref="B1:K90"/>
  <sheetViews>
    <sheetView showGridLines="0" topLeftCell="A61" zoomScale="70" zoomScaleNormal="70" workbookViewId="0">
      <selection activeCell="B79" sqref="B79"/>
    </sheetView>
  </sheetViews>
  <sheetFormatPr defaultRowHeight="15" x14ac:dyDescent="0.25"/>
  <cols>
    <col min="2" max="2" width="45.85546875" bestFit="1" customWidth="1"/>
    <col min="3" max="3" width="13" bestFit="1" customWidth="1"/>
    <col min="4" max="4" width="13.42578125" bestFit="1" customWidth="1"/>
    <col min="5" max="5" width="14.28515625" bestFit="1" customWidth="1"/>
    <col min="6" max="6" width="13.5703125" bestFit="1" customWidth="1"/>
    <col min="7" max="7" width="13.140625" bestFit="1" customWidth="1"/>
    <col min="8" max="8" width="12.85546875" bestFit="1" customWidth="1"/>
  </cols>
  <sheetData>
    <row r="1" spans="2:8" ht="27" customHeight="1" x14ac:dyDescent="0.25">
      <c r="B1" s="501" t="s">
        <v>76</v>
      </c>
      <c r="C1" s="501"/>
      <c r="D1" s="501"/>
      <c r="E1" s="501"/>
    </row>
    <row r="2" spans="2:8" s="40" customFormat="1" ht="20.25" x14ac:dyDescent="0.3">
      <c r="B2" s="60" t="s">
        <v>330</v>
      </c>
      <c r="C2" s="65" t="s">
        <v>73</v>
      </c>
      <c r="D2" s="60"/>
      <c r="E2" s="60"/>
      <c r="F2" s="60"/>
      <c r="G2" s="60"/>
      <c r="H2" s="60"/>
    </row>
    <row r="3" spans="2:8" s="41" customFormat="1" ht="26.25" x14ac:dyDescent="0.4">
      <c r="B3" s="66"/>
      <c r="C3" s="67">
        <v>2021</v>
      </c>
      <c r="D3" s="67"/>
      <c r="E3" s="67"/>
      <c r="F3" s="67"/>
      <c r="G3" s="67"/>
      <c r="H3" s="46" t="s">
        <v>70</v>
      </c>
    </row>
    <row r="4" spans="2:8" ht="21" x14ac:dyDescent="0.25">
      <c r="B4" s="45" t="s">
        <v>4</v>
      </c>
      <c r="C4" s="46" t="s">
        <v>140</v>
      </c>
      <c r="D4" s="46" t="s">
        <v>141</v>
      </c>
      <c r="E4" s="46" t="s">
        <v>142</v>
      </c>
      <c r="F4" s="46" t="s">
        <v>180</v>
      </c>
      <c r="G4" s="46" t="s">
        <v>347</v>
      </c>
      <c r="H4" s="46"/>
    </row>
    <row r="5" spans="2:8" ht="20.25" x14ac:dyDescent="0.3">
      <c r="B5" s="228" t="s">
        <v>160</v>
      </c>
      <c r="C5" s="389"/>
      <c r="D5" s="389"/>
      <c r="E5" s="389"/>
      <c r="F5" s="389"/>
      <c r="G5" s="389"/>
      <c r="H5" s="389"/>
    </row>
    <row r="6" spans="2:8" ht="21" thickBot="1" x14ac:dyDescent="0.35">
      <c r="B6" s="91" t="s">
        <v>181</v>
      </c>
      <c r="C6" s="379"/>
      <c r="D6" s="379"/>
      <c r="E6" s="379"/>
      <c r="F6" s="379">
        <v>160</v>
      </c>
      <c r="G6" s="379"/>
      <c r="H6" s="379">
        <v>160</v>
      </c>
    </row>
    <row r="7" spans="2:8" ht="21" thickBot="1" x14ac:dyDescent="0.35">
      <c r="B7" s="91" t="s">
        <v>348</v>
      </c>
      <c r="C7" s="379"/>
      <c r="D7" s="379"/>
      <c r="E7" s="379"/>
      <c r="F7" s="379"/>
      <c r="G7" s="379">
        <v>57</v>
      </c>
      <c r="H7" s="379">
        <v>57</v>
      </c>
    </row>
    <row r="8" spans="2:8" ht="20.25" x14ac:dyDescent="0.3">
      <c r="B8" s="91" t="s">
        <v>159</v>
      </c>
      <c r="C8" s="379">
        <v>0</v>
      </c>
      <c r="D8" s="379">
        <v>0</v>
      </c>
      <c r="E8" s="379">
        <v>38.5</v>
      </c>
      <c r="F8" s="379">
        <v>0</v>
      </c>
      <c r="G8" s="379">
        <v>0</v>
      </c>
      <c r="H8" s="379">
        <v>38.5</v>
      </c>
    </row>
    <row r="9" spans="2:8" ht="21" thickBot="1" x14ac:dyDescent="0.35">
      <c r="B9" s="91" t="s">
        <v>314</v>
      </c>
      <c r="C9" s="379"/>
      <c r="D9" s="379"/>
      <c r="E9" s="379"/>
      <c r="F9" s="379">
        <v>22</v>
      </c>
      <c r="G9" s="379"/>
      <c r="H9" s="379">
        <v>22</v>
      </c>
    </row>
    <row r="10" spans="2:8" ht="21" thickBot="1" x14ac:dyDescent="0.35">
      <c r="B10" s="69" t="s">
        <v>37</v>
      </c>
      <c r="C10" s="400"/>
      <c r="D10" s="400"/>
      <c r="E10" s="400"/>
      <c r="F10" s="400"/>
      <c r="G10" s="400"/>
      <c r="H10" s="401"/>
    </row>
    <row r="11" spans="2:8" ht="20.25" x14ac:dyDescent="0.3">
      <c r="B11" s="91" t="s">
        <v>146</v>
      </c>
      <c r="C11" s="379">
        <v>0.5</v>
      </c>
      <c r="D11" s="379">
        <v>0.2</v>
      </c>
      <c r="E11" s="379"/>
      <c r="F11" s="379"/>
      <c r="G11" s="379">
        <v>3.2</v>
      </c>
      <c r="H11" s="379">
        <v>3.9</v>
      </c>
    </row>
    <row r="12" spans="2:8" ht="21" thickBot="1" x14ac:dyDescent="0.35">
      <c r="B12" s="91" t="s">
        <v>352</v>
      </c>
      <c r="C12" s="379"/>
      <c r="D12" s="379"/>
      <c r="E12" s="379"/>
      <c r="F12" s="379"/>
      <c r="G12" s="379">
        <v>2.6</v>
      </c>
      <c r="H12" s="379">
        <v>2.6</v>
      </c>
    </row>
    <row r="13" spans="2:8" ht="21" thickBot="1" x14ac:dyDescent="0.35">
      <c r="B13" s="91" t="s">
        <v>162</v>
      </c>
      <c r="C13" s="379"/>
      <c r="D13" s="379"/>
      <c r="E13" s="379">
        <v>0.4</v>
      </c>
      <c r="F13" s="379"/>
      <c r="G13" s="379"/>
      <c r="H13" s="379">
        <v>0.4</v>
      </c>
    </row>
    <row r="14" spans="2:8" ht="21" thickBot="1" x14ac:dyDescent="0.35">
      <c r="B14" s="91" t="s">
        <v>151</v>
      </c>
      <c r="C14" s="379">
        <v>9</v>
      </c>
      <c r="D14" s="379">
        <v>0.5</v>
      </c>
      <c r="E14" s="379"/>
      <c r="F14" s="379"/>
      <c r="G14" s="379">
        <v>4.8</v>
      </c>
      <c r="H14" s="379">
        <v>14.3</v>
      </c>
    </row>
    <row r="15" spans="2:8" ht="20.25" x14ac:dyDescent="0.3">
      <c r="B15" s="91" t="s">
        <v>153</v>
      </c>
      <c r="C15" s="379"/>
      <c r="D15" s="379">
        <v>0.3</v>
      </c>
      <c r="E15" s="379"/>
      <c r="F15" s="379"/>
      <c r="G15" s="379"/>
      <c r="H15" s="379">
        <v>0.3</v>
      </c>
    </row>
    <row r="16" spans="2:8" ht="21" thickBot="1" x14ac:dyDescent="0.35">
      <c r="B16" s="91" t="s">
        <v>145</v>
      </c>
      <c r="C16" s="379">
        <v>4.5</v>
      </c>
      <c r="D16" s="379"/>
      <c r="E16" s="379"/>
      <c r="F16" s="379"/>
      <c r="G16" s="379"/>
      <c r="H16" s="379">
        <v>4.5</v>
      </c>
    </row>
    <row r="17" spans="2:8" ht="21" thickBot="1" x14ac:dyDescent="0.35">
      <c r="B17" s="91" t="s">
        <v>148</v>
      </c>
      <c r="C17" s="379">
        <v>8.4</v>
      </c>
      <c r="D17" s="379"/>
      <c r="E17" s="379">
        <v>5.3</v>
      </c>
      <c r="F17" s="379"/>
      <c r="G17" s="379">
        <v>8</v>
      </c>
      <c r="H17" s="379">
        <v>21.7</v>
      </c>
    </row>
    <row r="18" spans="2:8" ht="20.25" x14ac:dyDescent="0.3">
      <c r="B18" s="91" t="s">
        <v>154</v>
      </c>
      <c r="C18" s="379"/>
      <c r="D18" s="379">
        <v>10</v>
      </c>
      <c r="E18" s="379">
        <v>6.8</v>
      </c>
      <c r="F18" s="379">
        <v>7</v>
      </c>
      <c r="G18" s="379">
        <v>6</v>
      </c>
      <c r="H18" s="379">
        <v>29.8</v>
      </c>
    </row>
    <row r="19" spans="2:8" ht="21" thickBot="1" x14ac:dyDescent="0.35">
      <c r="B19" s="91" t="s">
        <v>358</v>
      </c>
      <c r="C19" s="379"/>
      <c r="D19" s="379"/>
      <c r="E19" s="379"/>
      <c r="F19" s="379"/>
      <c r="G19" s="379">
        <v>2.2000000000000002</v>
      </c>
      <c r="H19" s="379">
        <v>2.2000000000000002</v>
      </c>
    </row>
    <row r="20" spans="2:8" ht="21" thickBot="1" x14ac:dyDescent="0.35">
      <c r="B20" s="91" t="s">
        <v>149</v>
      </c>
      <c r="C20" s="379">
        <v>1</v>
      </c>
      <c r="D20" s="379">
        <v>0.5</v>
      </c>
      <c r="E20" s="379">
        <v>1.5</v>
      </c>
      <c r="F20" s="379">
        <v>1.3</v>
      </c>
      <c r="G20" s="379"/>
      <c r="H20" s="379">
        <v>4.3</v>
      </c>
    </row>
    <row r="21" spans="2:8" ht="21" thickBot="1" x14ac:dyDescent="0.35">
      <c r="B21" s="91" t="s">
        <v>155</v>
      </c>
      <c r="C21" s="379"/>
      <c r="D21" s="379">
        <v>0.5</v>
      </c>
      <c r="E21" s="379"/>
      <c r="F21" s="379"/>
      <c r="G21" s="379"/>
      <c r="H21" s="379">
        <v>0.5</v>
      </c>
    </row>
    <row r="22" spans="2:8" ht="21" thickBot="1" x14ac:dyDescent="0.35">
      <c r="B22" s="91" t="s">
        <v>316</v>
      </c>
      <c r="C22" s="379"/>
      <c r="D22" s="379"/>
      <c r="E22" s="379"/>
      <c r="F22" s="379">
        <v>2.4</v>
      </c>
      <c r="G22" s="379"/>
      <c r="H22" s="379">
        <v>2.4</v>
      </c>
    </row>
    <row r="23" spans="2:8" ht="20.25" x14ac:dyDescent="0.3">
      <c r="B23" s="91" t="s">
        <v>152</v>
      </c>
      <c r="C23" s="379">
        <v>5.3</v>
      </c>
      <c r="D23" s="379">
        <v>1.8</v>
      </c>
      <c r="E23" s="379"/>
      <c r="F23" s="379"/>
      <c r="G23" s="379">
        <v>4.5999999999999996</v>
      </c>
      <c r="H23" s="379">
        <v>11.7</v>
      </c>
    </row>
    <row r="24" spans="2:8" ht="21" thickBot="1" x14ac:dyDescent="0.35">
      <c r="B24" s="91" t="s">
        <v>144</v>
      </c>
      <c r="C24" s="379">
        <v>0.9</v>
      </c>
      <c r="D24" s="379"/>
      <c r="E24" s="379"/>
      <c r="F24" s="379"/>
      <c r="G24" s="379"/>
      <c r="H24" s="379">
        <v>0.9</v>
      </c>
    </row>
    <row r="25" spans="2:8" ht="21" thickBot="1" x14ac:dyDescent="0.35">
      <c r="B25" s="91" t="s">
        <v>362</v>
      </c>
      <c r="C25" s="379"/>
      <c r="D25" s="379"/>
      <c r="E25" s="379"/>
      <c r="F25" s="379"/>
      <c r="G25" s="379">
        <v>2</v>
      </c>
      <c r="H25" s="379">
        <v>2</v>
      </c>
    </row>
    <row r="26" spans="2:8" ht="21" thickBot="1" x14ac:dyDescent="0.35">
      <c r="B26" s="91" t="s">
        <v>147</v>
      </c>
      <c r="C26" s="379">
        <v>10</v>
      </c>
      <c r="D26" s="379"/>
      <c r="E26" s="379">
        <v>2</v>
      </c>
      <c r="F26" s="379"/>
      <c r="G26" s="379">
        <v>5</v>
      </c>
      <c r="H26" s="379">
        <v>17</v>
      </c>
    </row>
    <row r="27" spans="2:8" ht="21" thickBot="1" x14ac:dyDescent="0.35">
      <c r="B27" s="91" t="s">
        <v>363</v>
      </c>
      <c r="C27" s="379"/>
      <c r="D27" s="379"/>
      <c r="E27" s="379"/>
      <c r="F27" s="379"/>
      <c r="G27" s="379">
        <v>1</v>
      </c>
      <c r="H27" s="379">
        <v>1</v>
      </c>
    </row>
    <row r="28" spans="2:8" ht="21" thickBot="1" x14ac:dyDescent="0.35">
      <c r="B28" s="91" t="s">
        <v>336</v>
      </c>
      <c r="C28" s="379"/>
      <c r="D28" s="379"/>
      <c r="E28" s="379"/>
      <c r="F28" s="379">
        <v>0.3</v>
      </c>
      <c r="G28" s="379"/>
      <c r="H28" s="379">
        <v>0.3</v>
      </c>
    </row>
    <row r="29" spans="2:8" ht="21" thickBot="1" x14ac:dyDescent="0.35">
      <c r="B29" s="91" t="s">
        <v>354</v>
      </c>
      <c r="C29" s="379"/>
      <c r="D29" s="379"/>
      <c r="E29" s="379"/>
      <c r="F29" s="379"/>
      <c r="G29" s="379">
        <v>1.3</v>
      </c>
      <c r="H29" s="379">
        <v>1.3</v>
      </c>
    </row>
    <row r="30" spans="2:8" ht="20.25" x14ac:dyDescent="0.3">
      <c r="B30" s="91" t="s">
        <v>353</v>
      </c>
      <c r="C30" s="379"/>
      <c r="D30" s="379"/>
      <c r="E30" s="379"/>
      <c r="F30" s="379"/>
      <c r="G30" s="379">
        <v>3.6</v>
      </c>
      <c r="H30" s="379">
        <v>3.6</v>
      </c>
    </row>
    <row r="31" spans="2:8" ht="21" thickBot="1" x14ac:dyDescent="0.35">
      <c r="B31" s="91" t="s">
        <v>150</v>
      </c>
      <c r="C31" s="379">
        <v>14.2</v>
      </c>
      <c r="D31" s="379"/>
      <c r="E31" s="379"/>
      <c r="F31" s="379"/>
      <c r="G31" s="379"/>
      <c r="H31" s="379">
        <v>14.2</v>
      </c>
    </row>
    <row r="32" spans="2:8" ht="21" thickBot="1" x14ac:dyDescent="0.35">
      <c r="B32" s="91" t="s">
        <v>157</v>
      </c>
      <c r="C32" s="379"/>
      <c r="D32" s="379"/>
      <c r="E32" s="379">
        <v>6</v>
      </c>
      <c r="F32" s="379"/>
      <c r="G32" s="379">
        <v>4</v>
      </c>
      <c r="H32" s="379">
        <v>10</v>
      </c>
    </row>
    <row r="33" spans="2:8" ht="21" thickBot="1" x14ac:dyDescent="0.35">
      <c r="B33" s="70" t="s">
        <v>31</v>
      </c>
      <c r="C33" s="381"/>
      <c r="D33" s="381"/>
      <c r="E33" s="381"/>
      <c r="F33" s="381"/>
      <c r="G33" s="381"/>
      <c r="H33" s="390"/>
    </row>
    <row r="34" spans="2:8" ht="20.25" x14ac:dyDescent="0.3">
      <c r="B34" s="61" t="s">
        <v>41</v>
      </c>
      <c r="C34" s="25"/>
      <c r="D34" s="25">
        <v>1.6</v>
      </c>
      <c r="E34" s="25">
        <v>5.0999999999999996</v>
      </c>
      <c r="F34" s="25">
        <v>7.3</v>
      </c>
      <c r="G34" s="25">
        <v>9.8000000000000007</v>
      </c>
      <c r="H34" s="25">
        <v>23.8</v>
      </c>
    </row>
    <row r="35" spans="2:8" ht="21" thickBot="1" x14ac:dyDescent="0.35">
      <c r="B35" s="62" t="s">
        <v>27</v>
      </c>
      <c r="C35" s="26">
        <v>86</v>
      </c>
      <c r="D35" s="26">
        <v>35</v>
      </c>
      <c r="E35" s="26">
        <v>59</v>
      </c>
      <c r="F35" s="26">
        <v>65.2</v>
      </c>
      <c r="G35" s="26">
        <v>80</v>
      </c>
      <c r="H35" s="26">
        <v>325.2</v>
      </c>
    </row>
    <row r="36" spans="2:8" ht="21" thickBot="1" x14ac:dyDescent="0.35">
      <c r="B36" s="62" t="s">
        <v>29</v>
      </c>
      <c r="C36" s="26">
        <v>174</v>
      </c>
      <c r="D36" s="26">
        <v>164</v>
      </c>
      <c r="E36" s="26">
        <v>185</v>
      </c>
      <c r="F36" s="26">
        <v>231</v>
      </c>
      <c r="G36" s="26">
        <v>222.9</v>
      </c>
      <c r="H36" s="26">
        <v>976.9</v>
      </c>
    </row>
    <row r="37" spans="2:8" ht="21" thickBot="1" x14ac:dyDescent="0.35">
      <c r="B37" s="63" t="s">
        <v>28</v>
      </c>
      <c r="C37" s="27">
        <v>296</v>
      </c>
      <c r="D37" s="27">
        <v>299</v>
      </c>
      <c r="E37" s="27">
        <v>307</v>
      </c>
      <c r="F37" s="27">
        <v>335</v>
      </c>
      <c r="G37" s="27">
        <v>323</v>
      </c>
      <c r="H37" s="27">
        <v>1560</v>
      </c>
    </row>
    <row r="38" spans="2:8" ht="21" thickBot="1" x14ac:dyDescent="0.35">
      <c r="B38" s="91" t="s">
        <v>121</v>
      </c>
      <c r="C38" s="379">
        <v>21</v>
      </c>
      <c r="D38" s="379">
        <v>11</v>
      </c>
      <c r="E38" s="379">
        <v>14.2</v>
      </c>
      <c r="F38" s="379">
        <v>22.3</v>
      </c>
      <c r="G38" s="379">
        <v>14</v>
      </c>
      <c r="H38" s="379">
        <v>82.5</v>
      </c>
    </row>
    <row r="39" spans="2:8" ht="21" thickBot="1" x14ac:dyDescent="0.35">
      <c r="B39" s="91" t="s">
        <v>355</v>
      </c>
      <c r="C39" s="379"/>
      <c r="D39" s="379"/>
      <c r="E39" s="379"/>
      <c r="F39" s="379"/>
      <c r="G39" s="379">
        <v>2</v>
      </c>
      <c r="H39" s="379">
        <v>2</v>
      </c>
    </row>
    <row r="40" spans="2:8" ht="21" thickBot="1" x14ac:dyDescent="0.35">
      <c r="B40" s="61" t="s">
        <v>30</v>
      </c>
      <c r="C40" s="25">
        <v>50</v>
      </c>
      <c r="D40" s="25"/>
      <c r="E40" s="25">
        <v>56</v>
      </c>
      <c r="F40" s="25">
        <v>51</v>
      </c>
      <c r="G40" s="25">
        <v>49</v>
      </c>
      <c r="H40" s="25">
        <v>206</v>
      </c>
    </row>
    <row r="41" spans="2:8" ht="21" thickBot="1" x14ac:dyDescent="0.35">
      <c r="B41" s="63" t="s">
        <v>42</v>
      </c>
      <c r="C41" s="27">
        <v>0</v>
      </c>
      <c r="D41" s="27">
        <v>121.1</v>
      </c>
      <c r="E41" s="27">
        <v>0</v>
      </c>
      <c r="F41" s="27">
        <v>183</v>
      </c>
      <c r="G41" s="27">
        <v>0</v>
      </c>
      <c r="H41" s="27">
        <v>304.10000000000002</v>
      </c>
    </row>
    <row r="42" spans="2:8" ht="21" thickBot="1" x14ac:dyDescent="0.35">
      <c r="B42" s="91" t="s">
        <v>289</v>
      </c>
      <c r="C42" s="379"/>
      <c r="D42" s="379"/>
      <c r="E42" s="379"/>
      <c r="F42" s="379">
        <v>4</v>
      </c>
      <c r="G42" s="379"/>
      <c r="H42" s="379">
        <v>4</v>
      </c>
    </row>
    <row r="43" spans="2:8" ht="20.25" x14ac:dyDescent="0.3">
      <c r="B43" s="91" t="s">
        <v>356</v>
      </c>
      <c r="C43" s="379"/>
      <c r="D43" s="379"/>
      <c r="E43" s="379"/>
      <c r="F43" s="379"/>
      <c r="G43" s="379">
        <v>2</v>
      </c>
      <c r="H43" s="379">
        <v>2</v>
      </c>
    </row>
    <row r="44" spans="2:8" ht="20.25" x14ac:dyDescent="0.3">
      <c r="B44" s="91" t="s">
        <v>315</v>
      </c>
      <c r="C44" s="379"/>
      <c r="D44" s="379"/>
      <c r="E44" s="379"/>
      <c r="F44" s="379">
        <v>1.7</v>
      </c>
      <c r="G44" s="379">
        <v>2.5</v>
      </c>
      <c r="H44" s="379">
        <v>4.2</v>
      </c>
    </row>
    <row r="45" spans="2:8" ht="21" thickBot="1" x14ac:dyDescent="0.35">
      <c r="B45" s="91" t="s">
        <v>308</v>
      </c>
      <c r="C45" s="379">
        <v>1</v>
      </c>
      <c r="D45" s="379">
        <v>3</v>
      </c>
      <c r="E45" s="379">
        <v>4</v>
      </c>
      <c r="F45" s="379">
        <v>6.5</v>
      </c>
      <c r="G45" s="379">
        <v>2</v>
      </c>
      <c r="H45" s="379">
        <v>16.5</v>
      </c>
    </row>
    <row r="46" spans="2:8" ht="21" thickBot="1" x14ac:dyDescent="0.35">
      <c r="B46" s="91" t="s">
        <v>84</v>
      </c>
      <c r="C46" s="379"/>
      <c r="D46" s="379"/>
      <c r="E46" s="379">
        <v>34.4</v>
      </c>
      <c r="F46" s="379"/>
      <c r="G46" s="379"/>
      <c r="H46" s="379">
        <v>34.4</v>
      </c>
    </row>
    <row r="47" spans="2:8" ht="20.25" x14ac:dyDescent="0.3">
      <c r="B47" s="239" t="s">
        <v>290</v>
      </c>
      <c r="C47" s="379"/>
      <c r="D47" s="379"/>
      <c r="E47" s="379"/>
      <c r="F47" s="379"/>
      <c r="G47" s="379"/>
      <c r="H47" s="379"/>
    </row>
    <row r="48" spans="2:8" ht="21" thickBot="1" x14ac:dyDescent="0.35">
      <c r="B48" s="91" t="s">
        <v>38</v>
      </c>
      <c r="C48" s="379">
        <v>505</v>
      </c>
      <c r="D48" s="379">
        <v>503</v>
      </c>
      <c r="E48" s="379">
        <v>470.2</v>
      </c>
      <c r="F48" s="379">
        <v>445</v>
      </c>
      <c r="G48" s="379">
        <v>294</v>
      </c>
      <c r="H48" s="379">
        <v>2217.1999999999998</v>
      </c>
    </row>
    <row r="49" spans="2:11" ht="21" thickBot="1" x14ac:dyDescent="0.35">
      <c r="B49" s="71" t="s">
        <v>34</v>
      </c>
      <c r="C49" s="382"/>
      <c r="D49" s="382"/>
      <c r="E49" s="382"/>
      <c r="F49" s="382"/>
      <c r="G49" s="382"/>
      <c r="H49" s="391"/>
    </row>
    <row r="50" spans="2:11" ht="20.25" x14ac:dyDescent="0.3">
      <c r="B50" s="61" t="s">
        <v>44</v>
      </c>
      <c r="C50" s="25"/>
      <c r="D50" s="25">
        <v>1.8</v>
      </c>
      <c r="E50" s="25">
        <v>5.0999999999999996</v>
      </c>
      <c r="F50" s="25"/>
      <c r="G50" s="25">
        <v>4</v>
      </c>
      <c r="H50" s="25">
        <v>10.9</v>
      </c>
    </row>
    <row r="51" spans="2:11" ht="21" thickBot="1" x14ac:dyDescent="0.35">
      <c r="B51" s="62" t="s">
        <v>33</v>
      </c>
      <c r="C51" s="26">
        <v>1.5</v>
      </c>
      <c r="D51" s="26"/>
      <c r="E51" s="26"/>
      <c r="F51" s="26"/>
      <c r="G51" s="26"/>
      <c r="H51" s="26">
        <v>1.5</v>
      </c>
    </row>
    <row r="52" spans="2:11" ht="20.25" x14ac:dyDescent="0.3">
      <c r="B52" s="63" t="s">
        <v>45</v>
      </c>
      <c r="C52" s="27"/>
      <c r="D52" s="27">
        <v>1.5</v>
      </c>
      <c r="E52" s="27"/>
      <c r="F52" s="27"/>
      <c r="G52" s="27"/>
      <c r="H52" s="27">
        <v>1.5</v>
      </c>
    </row>
    <row r="53" spans="2:11" ht="21" thickBot="1" x14ac:dyDescent="0.35">
      <c r="B53" s="91" t="s">
        <v>138</v>
      </c>
      <c r="C53" s="379"/>
      <c r="D53" s="379"/>
      <c r="E53" s="379">
        <v>6</v>
      </c>
      <c r="F53" s="379">
        <v>2</v>
      </c>
      <c r="G53" s="379"/>
      <c r="H53" s="379">
        <v>8</v>
      </c>
    </row>
    <row r="54" spans="2:11" ht="21" thickBot="1" x14ac:dyDescent="0.35">
      <c r="B54" s="72" t="s">
        <v>21</v>
      </c>
      <c r="C54" s="383"/>
      <c r="D54" s="383"/>
      <c r="E54" s="383"/>
      <c r="F54" s="383"/>
      <c r="G54" s="383"/>
      <c r="H54" s="392"/>
    </row>
    <row r="55" spans="2:11" ht="20.25" x14ac:dyDescent="0.3">
      <c r="B55" s="91" t="s">
        <v>350</v>
      </c>
      <c r="C55" s="379"/>
      <c r="D55" s="379"/>
      <c r="E55" s="379"/>
      <c r="F55" s="379"/>
      <c r="G55" s="379">
        <v>110</v>
      </c>
      <c r="H55" s="379">
        <v>110</v>
      </c>
    </row>
    <row r="56" spans="2:11" ht="20.25" x14ac:dyDescent="0.3">
      <c r="B56" s="91" t="s">
        <v>83</v>
      </c>
      <c r="C56" s="379"/>
      <c r="D56" s="379"/>
      <c r="E56" s="379">
        <v>147</v>
      </c>
      <c r="F56" s="379">
        <v>77</v>
      </c>
      <c r="G56" s="379"/>
      <c r="H56" s="379">
        <v>224</v>
      </c>
    </row>
    <row r="57" spans="2:11" s="9" customFormat="1" ht="21.75" thickBot="1" x14ac:dyDescent="0.4">
      <c r="B57" s="61" t="s">
        <v>20</v>
      </c>
      <c r="C57" s="25">
        <v>82</v>
      </c>
      <c r="D57" s="25"/>
      <c r="E57" s="25">
        <v>194</v>
      </c>
      <c r="F57" s="25">
        <v>65</v>
      </c>
      <c r="G57" s="25"/>
      <c r="H57" s="25">
        <v>341</v>
      </c>
    </row>
    <row r="58" spans="2:11" ht="21" thickBot="1" x14ac:dyDescent="0.35">
      <c r="B58" s="62" t="s">
        <v>40</v>
      </c>
      <c r="C58" s="26"/>
      <c r="D58" s="26">
        <v>75</v>
      </c>
      <c r="E58" s="26"/>
      <c r="F58" s="26"/>
      <c r="G58" s="26"/>
      <c r="H58" s="26">
        <v>75</v>
      </c>
    </row>
    <row r="59" spans="2:11" ht="21" thickBot="1" x14ac:dyDescent="0.35">
      <c r="B59" s="62" t="s">
        <v>39</v>
      </c>
      <c r="C59" s="26"/>
      <c r="D59" s="26">
        <v>169</v>
      </c>
      <c r="E59" s="26">
        <v>153</v>
      </c>
      <c r="F59" s="26"/>
      <c r="G59" s="26">
        <v>114</v>
      </c>
      <c r="H59" s="26">
        <v>436</v>
      </c>
    </row>
    <row r="60" spans="2:11" ht="21" thickBot="1" x14ac:dyDescent="0.35">
      <c r="B60" s="63" t="s">
        <v>24</v>
      </c>
      <c r="C60" s="27">
        <v>606</v>
      </c>
      <c r="D60" s="27">
        <v>319</v>
      </c>
      <c r="E60" s="27">
        <v>1100</v>
      </c>
      <c r="F60" s="27">
        <v>595</v>
      </c>
      <c r="G60" s="27">
        <v>457</v>
      </c>
      <c r="H60" s="27">
        <v>3077</v>
      </c>
      <c r="K60" t="s">
        <v>73</v>
      </c>
    </row>
    <row r="61" spans="2:11" ht="21" thickBot="1" x14ac:dyDescent="0.35">
      <c r="B61" s="91" t="s">
        <v>351</v>
      </c>
      <c r="C61" s="379"/>
      <c r="D61" s="379"/>
      <c r="E61" s="379"/>
      <c r="F61" s="379"/>
      <c r="G61" s="379">
        <v>69</v>
      </c>
      <c r="H61" s="379">
        <v>69</v>
      </c>
    </row>
    <row r="62" spans="2:11" ht="21" thickBot="1" x14ac:dyDescent="0.35">
      <c r="B62" s="73" t="s">
        <v>18</v>
      </c>
      <c r="C62" s="384"/>
      <c r="D62" s="384"/>
      <c r="E62" s="384"/>
      <c r="F62" s="384"/>
      <c r="G62" s="384"/>
      <c r="H62" s="393"/>
    </row>
    <row r="63" spans="2:11" ht="20.25" x14ac:dyDescent="0.3">
      <c r="B63" s="61" t="s">
        <v>25</v>
      </c>
      <c r="C63" s="25">
        <v>429</v>
      </c>
      <c r="D63" s="25">
        <v>464</v>
      </c>
      <c r="E63" s="25">
        <v>217</v>
      </c>
      <c r="F63" s="25">
        <v>626</v>
      </c>
      <c r="G63" s="25"/>
      <c r="H63" s="25">
        <v>1736</v>
      </c>
    </row>
    <row r="64" spans="2:11" ht="20.25" x14ac:dyDescent="0.3">
      <c r="B64" s="62" t="s">
        <v>23</v>
      </c>
      <c r="C64" s="26">
        <v>340</v>
      </c>
      <c r="D64" s="26">
        <v>459</v>
      </c>
      <c r="E64" s="26"/>
      <c r="F64" s="26">
        <v>514</v>
      </c>
      <c r="G64" s="26">
        <v>496</v>
      </c>
      <c r="H64" s="26">
        <v>1809</v>
      </c>
    </row>
    <row r="65" spans="2:8" ht="20.25" x14ac:dyDescent="0.3">
      <c r="B65" s="62" t="s">
        <v>17</v>
      </c>
      <c r="C65" s="26">
        <v>947</v>
      </c>
      <c r="D65" s="26"/>
      <c r="E65" s="26">
        <v>319</v>
      </c>
      <c r="F65" s="26">
        <v>257</v>
      </c>
      <c r="G65" s="26">
        <v>415</v>
      </c>
      <c r="H65" s="26">
        <v>1938</v>
      </c>
    </row>
    <row r="66" spans="2:8" ht="21" thickBot="1" x14ac:dyDescent="0.35">
      <c r="B66" s="62" t="s">
        <v>26</v>
      </c>
      <c r="C66" s="26">
        <v>48</v>
      </c>
      <c r="D66" s="26"/>
      <c r="E66" s="26">
        <v>69</v>
      </c>
      <c r="F66" s="26"/>
      <c r="G66" s="26"/>
      <c r="H66" s="26">
        <v>117</v>
      </c>
    </row>
    <row r="67" spans="2:8" ht="21" thickBot="1" x14ac:dyDescent="0.35">
      <c r="B67" s="63" t="s">
        <v>22</v>
      </c>
      <c r="C67" s="27">
        <v>4835</v>
      </c>
      <c r="D67" s="27">
        <v>4221</v>
      </c>
      <c r="E67" s="27">
        <v>5302</v>
      </c>
      <c r="F67" s="27">
        <v>5570</v>
      </c>
      <c r="G67" s="27">
        <v>887</v>
      </c>
      <c r="H67" s="27">
        <v>20815</v>
      </c>
    </row>
    <row r="68" spans="2:8" ht="21" thickBot="1" x14ac:dyDescent="0.35">
      <c r="B68" s="91" t="s">
        <v>313</v>
      </c>
      <c r="C68" s="379"/>
      <c r="D68" s="379"/>
      <c r="E68" s="379"/>
      <c r="F68" s="379">
        <v>308</v>
      </c>
      <c r="G68" s="379"/>
      <c r="H68" s="379">
        <v>308</v>
      </c>
    </row>
    <row r="69" spans="2:8" ht="21" thickBot="1" x14ac:dyDescent="0.35">
      <c r="B69" s="74" t="s">
        <v>36</v>
      </c>
      <c r="C69" s="385"/>
      <c r="D69" s="385"/>
      <c r="E69" s="385"/>
      <c r="F69" s="385"/>
      <c r="G69" s="385"/>
      <c r="H69" s="394"/>
    </row>
    <row r="70" spans="2:8" ht="20.25" x14ac:dyDescent="0.3">
      <c r="B70" s="61" t="s">
        <v>47</v>
      </c>
      <c r="C70" s="25"/>
      <c r="D70" s="25">
        <v>5</v>
      </c>
      <c r="E70" s="25"/>
      <c r="F70" s="25">
        <v>2</v>
      </c>
      <c r="G70" s="25"/>
      <c r="H70" s="25">
        <v>7</v>
      </c>
    </row>
    <row r="71" spans="2:8" ht="21" thickBot="1" x14ac:dyDescent="0.35">
      <c r="B71" s="62" t="s">
        <v>35</v>
      </c>
      <c r="C71" s="26">
        <v>20</v>
      </c>
      <c r="D71" s="26">
        <v>18</v>
      </c>
      <c r="E71" s="26">
        <v>19</v>
      </c>
      <c r="F71" s="26">
        <v>31</v>
      </c>
      <c r="G71" s="26">
        <v>20</v>
      </c>
      <c r="H71" s="26">
        <v>108</v>
      </c>
    </row>
    <row r="72" spans="2:8" ht="21" thickBot="1" x14ac:dyDescent="0.35">
      <c r="B72" s="63" t="s">
        <v>46</v>
      </c>
      <c r="C72" s="27"/>
      <c r="D72" s="27">
        <v>2.5</v>
      </c>
      <c r="E72" s="27"/>
      <c r="F72" s="27"/>
      <c r="G72" s="27"/>
      <c r="H72" s="27">
        <v>2.5</v>
      </c>
    </row>
    <row r="73" spans="2:8" ht="21" thickBot="1" x14ac:dyDescent="0.35">
      <c r="B73" s="376" t="s">
        <v>16</v>
      </c>
      <c r="C73" s="386"/>
      <c r="D73" s="386"/>
      <c r="E73" s="386"/>
      <c r="F73" s="386"/>
      <c r="G73" s="386"/>
      <c r="H73" s="395"/>
    </row>
    <row r="74" spans="2:8" ht="21" thickBot="1" x14ac:dyDescent="0.35">
      <c r="B74" s="64" t="s">
        <v>15</v>
      </c>
      <c r="C74" s="380">
        <v>548</v>
      </c>
      <c r="D74" s="380">
        <v>742</v>
      </c>
      <c r="E74" s="380">
        <v>185</v>
      </c>
      <c r="F74" s="380">
        <v>0</v>
      </c>
      <c r="G74" s="380">
        <v>0</v>
      </c>
      <c r="H74" s="380">
        <v>1475</v>
      </c>
    </row>
    <row r="75" spans="2:8" ht="21" thickBot="1" x14ac:dyDescent="0.35">
      <c r="B75" s="75" t="s">
        <v>7</v>
      </c>
      <c r="C75" s="387"/>
      <c r="D75" s="387"/>
      <c r="E75" s="387"/>
      <c r="F75" s="387"/>
      <c r="G75" s="387"/>
      <c r="H75" s="396"/>
    </row>
    <row r="76" spans="2:8" ht="20.25" x14ac:dyDescent="0.3">
      <c r="B76" s="91" t="s">
        <v>307</v>
      </c>
      <c r="C76" s="379"/>
      <c r="D76" s="379"/>
      <c r="E76" s="379"/>
      <c r="F76" s="379">
        <v>50.87</v>
      </c>
      <c r="G76" s="379"/>
      <c r="H76" s="379">
        <v>50.87</v>
      </c>
    </row>
    <row r="77" spans="2:8" ht="21" thickBot="1" x14ac:dyDescent="0.35">
      <c r="B77" s="64" t="s">
        <v>10</v>
      </c>
      <c r="C77" s="380">
        <v>110</v>
      </c>
      <c r="D77" s="380"/>
      <c r="E77" s="380">
        <v>66</v>
      </c>
      <c r="F77" s="380"/>
      <c r="G77" s="380"/>
      <c r="H77" s="380">
        <v>176</v>
      </c>
    </row>
    <row r="78" spans="2:8" ht="21" thickBot="1" x14ac:dyDescent="0.35">
      <c r="B78" s="91" t="s">
        <v>359</v>
      </c>
      <c r="C78" s="379">
        <v>16</v>
      </c>
      <c r="D78" s="379">
        <v>0</v>
      </c>
      <c r="E78" s="379">
        <v>0</v>
      </c>
      <c r="F78" s="379"/>
      <c r="G78" s="379">
        <v>60</v>
      </c>
      <c r="H78" s="379">
        <v>76</v>
      </c>
    </row>
    <row r="79" spans="2:8" ht="21" thickBot="1" x14ac:dyDescent="0.35">
      <c r="B79" s="91" t="s">
        <v>361</v>
      </c>
      <c r="C79" s="379"/>
      <c r="D79" s="379">
        <v>18</v>
      </c>
      <c r="E79" s="379"/>
      <c r="F79" s="379"/>
      <c r="G79" s="379">
        <v>10</v>
      </c>
      <c r="H79" s="379">
        <v>28</v>
      </c>
    </row>
    <row r="80" spans="2:8" ht="21" thickBot="1" x14ac:dyDescent="0.35">
      <c r="B80" s="91" t="s">
        <v>360</v>
      </c>
      <c r="C80" s="379">
        <v>19</v>
      </c>
      <c r="D80" s="379"/>
      <c r="E80" s="379"/>
      <c r="F80" s="379"/>
      <c r="G80" s="379">
        <v>23</v>
      </c>
      <c r="H80" s="379">
        <v>42</v>
      </c>
    </row>
    <row r="81" spans="2:8" ht="21" thickBot="1" x14ac:dyDescent="0.35">
      <c r="B81" s="76" t="s">
        <v>13</v>
      </c>
      <c r="C81" s="388"/>
      <c r="D81" s="388"/>
      <c r="E81" s="388"/>
      <c r="F81" s="388"/>
      <c r="G81" s="388"/>
      <c r="H81" s="397"/>
    </row>
    <row r="82" spans="2:8" ht="20.25" x14ac:dyDescent="0.3">
      <c r="B82" s="64" t="s">
        <v>12</v>
      </c>
      <c r="C82" s="380">
        <v>310</v>
      </c>
      <c r="D82" s="380">
        <v>216.5</v>
      </c>
      <c r="E82" s="380">
        <v>299.5</v>
      </c>
      <c r="F82" s="380">
        <v>327</v>
      </c>
      <c r="G82" s="380">
        <v>0</v>
      </c>
      <c r="H82" s="380">
        <v>1153</v>
      </c>
    </row>
    <row r="83" spans="2:8" ht="21" thickBot="1" x14ac:dyDescent="0.35">
      <c r="B83" s="91" t="s">
        <v>137</v>
      </c>
      <c r="C83" s="379">
        <v>68</v>
      </c>
      <c r="D83" s="379">
        <v>104</v>
      </c>
      <c r="E83" s="379"/>
      <c r="F83" s="379">
        <v>93</v>
      </c>
      <c r="G83" s="379"/>
      <c r="H83" s="379">
        <v>265</v>
      </c>
    </row>
    <row r="84" spans="2:8" ht="21.75" thickBot="1" x14ac:dyDescent="0.4">
      <c r="B84" s="59" t="s">
        <v>70</v>
      </c>
      <c r="C84" s="183">
        <v>9566.2999999999993</v>
      </c>
      <c r="D84" s="183">
        <v>7967.8</v>
      </c>
      <c r="E84" s="183">
        <v>9277</v>
      </c>
      <c r="F84" s="183">
        <v>10062.870000000001</v>
      </c>
      <c r="G84" s="183">
        <v>3771.5</v>
      </c>
      <c r="H84" s="183">
        <v>40645.47</v>
      </c>
    </row>
    <row r="85" spans="2:8" ht="15.75" thickBot="1" x14ac:dyDescent="0.3"/>
    <row r="86" spans="2:8" ht="15.75" thickBot="1" x14ac:dyDescent="0.3"/>
    <row r="87" spans="2:8" ht="15.75" thickBot="1" x14ac:dyDescent="0.3"/>
    <row r="88" spans="2:8" ht="15.75" thickBot="1" x14ac:dyDescent="0.3"/>
    <row r="89" spans="2:8" ht="15.75" thickBot="1" x14ac:dyDescent="0.3"/>
    <row r="90" spans="2:8" ht="15.75" thickBot="1" x14ac:dyDescent="0.3"/>
  </sheetData>
  <mergeCells count="1">
    <mergeCell ref="B1:E1"/>
  </mergeCell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68116-D18B-42D2-824D-DFA6E154BB32}">
  <sheetPr>
    <tabColor rgb="FFA8CBEA"/>
  </sheetPr>
  <dimension ref="B1:R34"/>
  <sheetViews>
    <sheetView showGridLines="0" zoomScale="60" zoomScaleNormal="60" workbookViewId="0">
      <selection activeCell="Q5" sqref="Q5"/>
    </sheetView>
  </sheetViews>
  <sheetFormatPr defaultRowHeight="18.75" x14ac:dyDescent="0.3"/>
  <cols>
    <col min="1" max="1" width="3.42578125" customWidth="1"/>
    <col min="2" max="2" width="14.85546875" bestFit="1" customWidth="1"/>
    <col min="3" max="3" width="36.42578125" bestFit="1" customWidth="1"/>
    <col min="16" max="16" width="6.28515625" customWidth="1"/>
    <col min="17" max="17" width="14.85546875" bestFit="1" customWidth="1"/>
    <col min="18" max="18" width="25.28515625" style="115" bestFit="1" customWidth="1"/>
  </cols>
  <sheetData>
    <row r="1" spans="2:18" ht="66" customHeight="1" x14ac:dyDescent="0.25">
      <c r="B1" s="502" t="s">
        <v>332</v>
      </c>
      <c r="C1" s="502"/>
      <c r="Q1" s="502" t="s">
        <v>81</v>
      </c>
      <c r="R1" s="502"/>
    </row>
    <row r="2" spans="2:18" ht="26.25" customHeight="1" x14ac:dyDescent="0.3"/>
    <row r="3" spans="2:18" ht="26.25" x14ac:dyDescent="0.4">
      <c r="B3" s="112" t="s">
        <v>2</v>
      </c>
      <c r="C3" s="67" t="s">
        <v>330</v>
      </c>
      <c r="Q3" s="107" t="s">
        <v>2</v>
      </c>
      <c r="R3" s="111" t="s">
        <v>330</v>
      </c>
    </row>
    <row r="4" spans="2:18" ht="19.5" x14ac:dyDescent="0.35">
      <c r="B4" s="218" t="s">
        <v>140</v>
      </c>
      <c r="C4" s="280"/>
      <c r="Q4" s="218" t="s">
        <v>140</v>
      </c>
      <c r="R4" s="402"/>
    </row>
    <row r="5" spans="2:18" ht="19.5" x14ac:dyDescent="0.35">
      <c r="B5" s="109">
        <v>1</v>
      </c>
      <c r="C5" s="280">
        <v>1248.4000000000001</v>
      </c>
      <c r="Q5" s="109">
        <v>1</v>
      </c>
      <c r="R5" s="402">
        <v>1248.4000000000001</v>
      </c>
    </row>
    <row r="6" spans="2:18" ht="19.5" x14ac:dyDescent="0.35">
      <c r="B6" s="109">
        <v>2</v>
      </c>
      <c r="C6" s="280">
        <v>3035</v>
      </c>
      <c r="Q6" s="109">
        <v>2</v>
      </c>
      <c r="R6" s="402">
        <v>3035</v>
      </c>
    </row>
    <row r="7" spans="2:18" ht="19.5" x14ac:dyDescent="0.35">
      <c r="B7" s="109">
        <v>3</v>
      </c>
      <c r="C7" s="280">
        <v>629.4</v>
      </c>
      <c r="Q7" s="109">
        <v>3</v>
      </c>
      <c r="R7" s="402">
        <v>629.4</v>
      </c>
    </row>
    <row r="8" spans="2:18" ht="19.5" x14ac:dyDescent="0.35">
      <c r="B8" s="109">
        <v>4</v>
      </c>
      <c r="C8" s="280">
        <v>2858.5</v>
      </c>
      <c r="Q8" s="109">
        <v>4</v>
      </c>
      <c r="R8" s="402">
        <v>2858.5</v>
      </c>
    </row>
    <row r="9" spans="2:18" ht="19.5" x14ac:dyDescent="0.35">
      <c r="B9" s="109">
        <v>5</v>
      </c>
      <c r="C9" s="280">
        <v>1795</v>
      </c>
      <c r="Q9" s="109">
        <v>5</v>
      </c>
      <c r="R9" s="402">
        <v>1795</v>
      </c>
    </row>
    <row r="10" spans="2:18" ht="19.5" x14ac:dyDescent="0.35">
      <c r="B10" s="218" t="s">
        <v>141</v>
      </c>
      <c r="C10" s="280"/>
      <c r="Q10" s="218" t="s">
        <v>141</v>
      </c>
      <c r="R10" s="402"/>
    </row>
    <row r="11" spans="2:18" ht="19.5" x14ac:dyDescent="0.35">
      <c r="B11" s="109">
        <v>1</v>
      </c>
      <c r="C11" s="280">
        <v>2456.5</v>
      </c>
      <c r="Q11" s="109">
        <v>1</v>
      </c>
      <c r="R11" s="402">
        <v>2456.5</v>
      </c>
    </row>
    <row r="12" spans="2:18" ht="19.5" x14ac:dyDescent="0.35">
      <c r="B12" s="109">
        <v>2</v>
      </c>
      <c r="C12" s="280">
        <v>279.3</v>
      </c>
      <c r="Q12" s="109">
        <v>2</v>
      </c>
      <c r="R12" s="402">
        <v>279.3</v>
      </c>
    </row>
    <row r="13" spans="2:18" ht="19.5" x14ac:dyDescent="0.35">
      <c r="B13" s="109">
        <v>3</v>
      </c>
      <c r="C13" s="280">
        <v>3733.8</v>
      </c>
      <c r="Q13" s="109">
        <v>3</v>
      </c>
      <c r="R13" s="402">
        <v>3733.8</v>
      </c>
    </row>
    <row r="14" spans="2:18" ht="19.5" x14ac:dyDescent="0.35">
      <c r="B14" s="109">
        <v>4</v>
      </c>
      <c r="C14" s="280">
        <v>1498.2</v>
      </c>
      <c r="Q14" s="109">
        <v>4</v>
      </c>
      <c r="R14" s="402">
        <v>1498.2</v>
      </c>
    </row>
    <row r="15" spans="2:18" ht="19.5" x14ac:dyDescent="0.35">
      <c r="B15" s="109">
        <v>5</v>
      </c>
      <c r="C15" s="280">
        <v>0</v>
      </c>
      <c r="Q15" s="109">
        <v>5</v>
      </c>
      <c r="R15" s="402">
        <v>0</v>
      </c>
    </row>
    <row r="16" spans="2:18" ht="19.5" x14ac:dyDescent="0.35">
      <c r="B16" s="218" t="s">
        <v>142</v>
      </c>
      <c r="C16" s="280"/>
      <c r="Q16" s="218" t="s">
        <v>142</v>
      </c>
      <c r="R16" s="402"/>
    </row>
    <row r="17" spans="2:18" ht="19.5" x14ac:dyDescent="0.35">
      <c r="B17" s="109">
        <v>1</v>
      </c>
      <c r="C17" s="280">
        <v>1963.7</v>
      </c>
      <c r="Q17" s="109">
        <v>1</v>
      </c>
      <c r="R17" s="402">
        <v>1963.7</v>
      </c>
    </row>
    <row r="18" spans="2:18" ht="19.5" x14ac:dyDescent="0.35">
      <c r="B18" s="109">
        <v>2</v>
      </c>
      <c r="C18" s="280">
        <v>2489</v>
      </c>
      <c r="Q18" s="109">
        <v>2</v>
      </c>
      <c r="R18" s="402">
        <v>2489</v>
      </c>
    </row>
    <row r="19" spans="2:18" ht="19.5" x14ac:dyDescent="0.35">
      <c r="B19" s="109">
        <v>3</v>
      </c>
      <c r="C19" s="280">
        <v>2837</v>
      </c>
      <c r="Q19" s="109">
        <v>3</v>
      </c>
      <c r="R19" s="402">
        <v>2837</v>
      </c>
    </row>
    <row r="20" spans="2:18" ht="19.5" x14ac:dyDescent="0.35">
      <c r="B20" s="109">
        <v>4</v>
      </c>
      <c r="C20" s="280">
        <v>1789.8</v>
      </c>
      <c r="Q20" s="109">
        <v>4</v>
      </c>
      <c r="R20" s="402">
        <v>1789.8</v>
      </c>
    </row>
    <row r="21" spans="2:18" ht="19.5" x14ac:dyDescent="0.35">
      <c r="B21" s="109">
        <v>5</v>
      </c>
      <c r="C21" s="280">
        <v>197.5</v>
      </c>
      <c r="Q21" s="109">
        <v>5</v>
      </c>
      <c r="R21" s="402">
        <v>197.5</v>
      </c>
    </row>
    <row r="22" spans="2:18" ht="19.5" x14ac:dyDescent="0.35">
      <c r="B22" s="218" t="s">
        <v>180</v>
      </c>
      <c r="C22" s="280"/>
      <c r="Q22" s="218" t="s">
        <v>180</v>
      </c>
      <c r="R22" s="402"/>
    </row>
    <row r="23" spans="2:18" ht="19.5" x14ac:dyDescent="0.35">
      <c r="B23" s="109">
        <v>1</v>
      </c>
      <c r="C23" s="280">
        <v>2594.1</v>
      </c>
      <c r="Q23" s="109">
        <v>1</v>
      </c>
      <c r="R23" s="402">
        <v>2594.1</v>
      </c>
    </row>
    <row r="24" spans="2:18" ht="19.5" x14ac:dyDescent="0.35">
      <c r="B24" s="109">
        <v>2</v>
      </c>
      <c r="C24" s="280">
        <v>1541.8</v>
      </c>
      <c r="Q24" s="109">
        <v>2</v>
      </c>
      <c r="R24" s="402">
        <v>1541.8</v>
      </c>
    </row>
    <row r="25" spans="2:18" ht="19.5" x14ac:dyDescent="0.35">
      <c r="B25" s="109">
        <v>3</v>
      </c>
      <c r="C25" s="280">
        <v>1398.17</v>
      </c>
      <c r="Q25" s="109">
        <v>3</v>
      </c>
      <c r="R25" s="402">
        <v>1398.17</v>
      </c>
    </row>
    <row r="26" spans="2:18" ht="19.5" x14ac:dyDescent="0.35">
      <c r="B26" s="109">
        <v>4</v>
      </c>
      <c r="C26" s="280">
        <v>3054.5</v>
      </c>
      <c r="Q26" s="109">
        <v>4</v>
      </c>
      <c r="R26" s="402">
        <v>3054.5</v>
      </c>
    </row>
    <row r="27" spans="2:18" ht="19.5" x14ac:dyDescent="0.35">
      <c r="B27" s="109">
        <v>5</v>
      </c>
      <c r="C27" s="280">
        <v>1474.3</v>
      </c>
      <c r="Q27" s="109">
        <v>5</v>
      </c>
      <c r="R27" s="402">
        <v>1474.3</v>
      </c>
    </row>
    <row r="28" spans="2:18" ht="19.5" x14ac:dyDescent="0.35">
      <c r="B28" s="218" t="s">
        <v>347</v>
      </c>
      <c r="C28" s="280"/>
      <c r="Q28" s="218" t="s">
        <v>347</v>
      </c>
      <c r="R28" s="402"/>
    </row>
    <row r="29" spans="2:18" ht="19.5" x14ac:dyDescent="0.35">
      <c r="B29" s="109">
        <v>1</v>
      </c>
      <c r="C29" s="280">
        <v>1717.8</v>
      </c>
      <c r="Q29" s="109">
        <v>1</v>
      </c>
      <c r="R29" s="402">
        <v>1717.8</v>
      </c>
    </row>
    <row r="30" spans="2:18" ht="19.5" x14ac:dyDescent="0.35">
      <c r="B30" s="109">
        <v>2</v>
      </c>
      <c r="C30" s="280">
        <v>595.20000000000005</v>
      </c>
      <c r="Q30" s="109">
        <v>2</v>
      </c>
      <c r="R30" s="402">
        <v>595.20000000000005</v>
      </c>
    </row>
    <row r="31" spans="2:18" ht="19.5" x14ac:dyDescent="0.35">
      <c r="B31" s="109">
        <v>3</v>
      </c>
      <c r="C31" s="280">
        <v>731.4</v>
      </c>
      <c r="Q31" s="109">
        <v>3</v>
      </c>
      <c r="R31" s="402">
        <v>731.4</v>
      </c>
    </row>
    <row r="32" spans="2:18" ht="19.5" x14ac:dyDescent="0.35">
      <c r="B32" s="109">
        <v>4</v>
      </c>
      <c r="C32" s="280">
        <v>636.29999999999995</v>
      </c>
      <c r="Q32" s="109">
        <v>4</v>
      </c>
      <c r="R32" s="402">
        <v>636.29999999999995</v>
      </c>
    </row>
    <row r="33" spans="2:18" ht="19.5" x14ac:dyDescent="0.35">
      <c r="B33" s="109">
        <v>5</v>
      </c>
      <c r="C33" s="280">
        <v>90.8</v>
      </c>
      <c r="Q33" s="109">
        <v>5</v>
      </c>
      <c r="R33" s="402">
        <v>90.8</v>
      </c>
    </row>
    <row r="34" spans="2:18" ht="27.75" x14ac:dyDescent="0.4">
      <c r="B34" s="110" t="s">
        <v>70</v>
      </c>
      <c r="C34" s="373">
        <v>40645.47</v>
      </c>
      <c r="Q34" s="113" t="s">
        <v>70</v>
      </c>
      <c r="R34" s="403">
        <v>40645.47</v>
      </c>
    </row>
  </sheetData>
  <mergeCells count="2">
    <mergeCell ref="B1:C1"/>
    <mergeCell ref="Q1:R1"/>
  </mergeCells>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FE5B-C617-41E4-9682-4E5A00FB0A58}">
  <sheetPr>
    <tabColor theme="8" tint="0.39997558519241921"/>
  </sheetPr>
  <dimension ref="B1:BZ15"/>
  <sheetViews>
    <sheetView showGridLines="0" topLeftCell="AV1" zoomScale="60" zoomScaleNormal="60" workbookViewId="0">
      <selection activeCell="BB4" sqref="BB4"/>
    </sheetView>
  </sheetViews>
  <sheetFormatPr defaultRowHeight="15" x14ac:dyDescent="0.25"/>
  <cols>
    <col min="2" max="2" width="24.42578125" bestFit="1" customWidth="1"/>
    <col min="3" max="3" width="21.140625" bestFit="1" customWidth="1"/>
    <col min="5" max="5" width="30.85546875" customWidth="1"/>
    <col min="6" max="6" width="17.85546875" bestFit="1" customWidth="1"/>
    <col min="7" max="7" width="20.7109375" style="120" bestFit="1" customWidth="1"/>
    <col min="8" max="8" width="21.42578125" bestFit="1" customWidth="1"/>
    <col min="19" max="20" width="17.85546875" bestFit="1" customWidth="1"/>
    <col min="29" max="29" width="24.42578125" bestFit="1" customWidth="1"/>
    <col min="30" max="30" width="20.5703125" bestFit="1" customWidth="1"/>
    <col min="32" max="32" width="15.85546875" bestFit="1" customWidth="1"/>
    <col min="33" max="33" width="17.85546875" bestFit="1" customWidth="1"/>
    <col min="42" max="42" width="16.85546875" bestFit="1" customWidth="1"/>
    <col min="43" max="43" width="21.140625" bestFit="1" customWidth="1"/>
    <col min="52" max="52" width="18.42578125" bestFit="1" customWidth="1"/>
    <col min="53" max="53" width="19.140625" style="103" bestFit="1" customWidth="1"/>
    <col min="54" max="54" width="17.85546875" bestFit="1" customWidth="1"/>
    <col min="56" max="56" width="15.85546875" bestFit="1" customWidth="1"/>
    <col min="57" max="57" width="17.85546875" bestFit="1" customWidth="1"/>
    <col min="64" max="64" width="22.28515625" bestFit="1" customWidth="1"/>
    <col min="65" max="65" width="25.42578125" bestFit="1" customWidth="1"/>
    <col min="66" max="66" width="32.28515625" bestFit="1" customWidth="1"/>
    <col min="68" max="68" width="15.85546875" bestFit="1" customWidth="1"/>
    <col min="69" max="69" width="17.85546875" bestFit="1" customWidth="1"/>
    <col min="76" max="76" width="24.42578125" bestFit="1" customWidth="1"/>
    <col min="77" max="77" width="16.85546875" style="120" bestFit="1" customWidth="1"/>
    <col min="78" max="78" width="11.140625" bestFit="1" customWidth="1"/>
  </cols>
  <sheetData>
    <row r="1" spans="2:78" ht="21" x14ac:dyDescent="0.35">
      <c r="B1" s="503" t="s">
        <v>158</v>
      </c>
      <c r="C1" s="504"/>
      <c r="S1" s="503" t="s">
        <v>126</v>
      </c>
      <c r="T1" s="504"/>
      <c r="AF1" s="503" t="s">
        <v>127</v>
      </c>
      <c r="AG1" s="504"/>
      <c r="AZ1" s="283" t="s">
        <v>295</v>
      </c>
      <c r="BA1" s="284"/>
      <c r="BB1" s="283"/>
      <c r="BF1" s="253">
        <f>BE4/BE6</f>
        <v>0.39021068749506732</v>
      </c>
      <c r="BL1" s="283" t="s">
        <v>296</v>
      </c>
      <c r="BM1" s="284"/>
      <c r="BN1" s="283"/>
      <c r="BR1" s="277">
        <f>BQ4/BQ6</f>
        <v>0.16264043055500044</v>
      </c>
    </row>
    <row r="2" spans="2:78" ht="21" x14ac:dyDescent="0.25">
      <c r="E2" s="179" t="s">
        <v>5</v>
      </c>
      <c r="F2" s="179" t="s">
        <v>124</v>
      </c>
      <c r="G2" s="180" t="s">
        <v>122</v>
      </c>
      <c r="H2" s="179" t="s">
        <v>123</v>
      </c>
    </row>
    <row r="3" spans="2:78" ht="32.25" x14ac:dyDescent="0.4">
      <c r="B3" s="169" t="s">
        <v>77</v>
      </c>
      <c r="C3" s="88" t="s">
        <v>330</v>
      </c>
      <c r="E3" s="360" t="s">
        <v>160</v>
      </c>
      <c r="F3" s="77" t="e">
        <f>GETPIVOTDATA("[Measures].[Sum of ∑ UBC (Kg)]",$B$3,"[UBC_MASUK].[Kategori]","[UBC_MASUK].[Kategori].&amp;[Bank Sampah Induk]")</f>
        <v>#REF!</v>
      </c>
      <c r="G3" s="181">
        <f>H3/12</f>
        <v>279.47499999999997</v>
      </c>
      <c r="H3" s="77">
        <v>3353.7</v>
      </c>
      <c r="S3" s="179" t="s">
        <v>107</v>
      </c>
      <c r="T3" s="179" t="s">
        <v>124</v>
      </c>
      <c r="AC3" s="42" t="s">
        <v>77</v>
      </c>
      <c r="AF3" s="179" t="s">
        <v>107</v>
      </c>
      <c r="AG3" s="179" t="s">
        <v>124</v>
      </c>
      <c r="AP3" s="42" t="s">
        <v>77</v>
      </c>
      <c r="AQ3" t="s">
        <v>330</v>
      </c>
      <c r="AU3" t="s">
        <v>128</v>
      </c>
      <c r="AV3" t="s">
        <v>129</v>
      </c>
      <c r="AZ3" s="281" t="s">
        <v>77</v>
      </c>
      <c r="BA3" s="282" t="s">
        <v>122</v>
      </c>
      <c r="BB3" s="108" t="s">
        <v>364</v>
      </c>
      <c r="BD3" s="179" t="s">
        <v>107</v>
      </c>
      <c r="BE3" s="179" t="s">
        <v>124</v>
      </c>
      <c r="BL3" s="285" t="s">
        <v>77</v>
      </c>
      <c r="BM3" s="286" t="s">
        <v>123</v>
      </c>
      <c r="BN3" s="286" t="s">
        <v>330</v>
      </c>
      <c r="BP3" s="179" t="s">
        <v>107</v>
      </c>
      <c r="BQ3" s="179" t="s">
        <v>124</v>
      </c>
      <c r="BX3" s="288" t="s">
        <v>77</v>
      </c>
      <c r="BY3" s="292" t="s">
        <v>122</v>
      </c>
      <c r="BZ3" s="289" t="s">
        <v>330</v>
      </c>
    </row>
    <row r="4" spans="2:78" ht="24" x14ac:dyDescent="0.4">
      <c r="B4" s="119" t="s">
        <v>160</v>
      </c>
      <c r="C4" s="183">
        <v>38.5</v>
      </c>
      <c r="E4" s="360" t="s">
        <v>37</v>
      </c>
      <c r="F4" s="77" t="e">
        <f>GETPIVOTDATA("[Measures].[Sum of ∑ UBC (Kg)]",$B$3,"[UBC_MASUK].[Kategori]","[UBC_MASUK].[Kategori].&amp;[Bank Sampah Unit]")</f>
        <v>#REF!</v>
      </c>
      <c r="G4" s="181">
        <f>H4/12</f>
        <v>79.466666666666669</v>
      </c>
      <c r="H4" s="77">
        <v>953.6</v>
      </c>
      <c r="S4" s="178" t="s">
        <v>82</v>
      </c>
      <c r="T4" s="178" t="e">
        <f>GETPIVOTDATA("[Measures].[Sum of ∑ UBC (Kg)]",$B$3)</f>
        <v>#REF!</v>
      </c>
      <c r="U4" s="185" t="e">
        <f>T4/T6</f>
        <v>#REF!</v>
      </c>
      <c r="AC4" s="43" t="s">
        <v>37</v>
      </c>
      <c r="AF4" s="178" t="s">
        <v>82</v>
      </c>
      <c r="AG4" s="178" t="e">
        <f>GETPIVOTDATA("∑ UBC (Kg)",$AC$3)</f>
        <v>#REF!</v>
      </c>
      <c r="AH4" s="185" t="e">
        <f>AG4/AG6</f>
        <v>#REF!</v>
      </c>
      <c r="AP4" s="43" t="s">
        <v>120</v>
      </c>
      <c r="AQ4" s="2"/>
      <c r="AR4">
        <v>20800</v>
      </c>
      <c r="AT4" t="str">
        <f>AP5</f>
        <v>(01) JAN</v>
      </c>
      <c r="AU4">
        <v>20800</v>
      </c>
      <c r="AV4">
        <f>GETPIVOTDATA("[Measures].[Sum of ∑ KMK (Kg)]",$AP$3,"[UBC_MASUK].[Bulan]","[UBC_MASUK].[Bulan].&amp;[(01) JAN]","[UBC_MASUK].[Kuartal]","[UBC_MASUK].[Kuartal].&amp;[Q1]")</f>
        <v>9566.2999999999993</v>
      </c>
      <c r="AZ4" s="279" t="s">
        <v>120</v>
      </c>
      <c r="BA4" s="278"/>
      <c r="BB4" s="280"/>
      <c r="BD4" s="178" t="s">
        <v>82</v>
      </c>
      <c r="BE4" s="178">
        <f>GETPIVOTDATA("[Measures].[Sum of ∑ KMK (Kg)]",$AZ$3)</f>
        <v>40645.47</v>
      </c>
      <c r="BL4" s="44">
        <v>2021</v>
      </c>
      <c r="BM4" s="287">
        <v>249909.99999999904</v>
      </c>
      <c r="BN4" s="287">
        <v>40645.47</v>
      </c>
      <c r="BP4" s="178" t="s">
        <v>82</v>
      </c>
      <c r="BQ4" s="178">
        <f>GETPIVOTDATA("[Measures].[Sum of ∑ KMK (Kg)]",$BL$3)</f>
        <v>40645.47</v>
      </c>
      <c r="BX4" s="244" t="s">
        <v>160</v>
      </c>
      <c r="BY4" s="292">
        <v>1397.375</v>
      </c>
      <c r="BZ4" s="290">
        <v>277.5</v>
      </c>
    </row>
    <row r="5" spans="2:78" ht="24" x14ac:dyDescent="0.4">
      <c r="B5" s="119" t="s">
        <v>37</v>
      </c>
      <c r="C5" s="183">
        <v>22</v>
      </c>
      <c r="E5" s="360" t="s">
        <v>31</v>
      </c>
      <c r="F5" s="77" t="e">
        <f>GETPIVOTDATA("[Measures].[Sum of ∑ UBC (Kg)]",$B$3,"[UBC_MASUK].[Kategori]","[UBC_MASUK].[Kategori].&amp;[Bisnis]")</f>
        <v>#REF!</v>
      </c>
      <c r="G5" s="181">
        <f t="shared" ref="G5:G13" si="0">H5/12</f>
        <v>1158.2</v>
      </c>
      <c r="H5" s="77">
        <v>13898.4</v>
      </c>
      <c r="S5" s="178" t="s">
        <v>125</v>
      </c>
      <c r="T5" s="178" t="e">
        <f>20800-T4</f>
        <v>#REF!</v>
      </c>
      <c r="AC5" s="43" t="s">
        <v>31</v>
      </c>
      <c r="AF5" s="178" t="s">
        <v>125</v>
      </c>
      <c r="AG5" s="178" t="e">
        <f>250000-AG4</f>
        <v>#REF!</v>
      </c>
      <c r="AP5" s="89" t="s">
        <v>140</v>
      </c>
      <c r="AQ5" s="2">
        <v>9566.2999999999993</v>
      </c>
      <c r="AR5">
        <v>20800</v>
      </c>
      <c r="AT5" t="str">
        <f>AP6</f>
        <v>(02) FEB</v>
      </c>
      <c r="AU5">
        <v>20800</v>
      </c>
      <c r="AV5">
        <f>GETPIVOTDATA("[Measures].[Sum of ∑ KMK (Kg)]",$AP$3,"[UBC_MASUK].[Bulan]","[UBC_MASUK].[Bulan].&amp;[(02) FEB]","[UBC_MASUK].[Kuartal]","[UBC_MASUK].[Kuartal].&amp;[Q1]")</f>
        <v>7967.8</v>
      </c>
      <c r="AZ5" s="109" t="s">
        <v>366</v>
      </c>
      <c r="BA5" s="278">
        <v>20833.33332960332</v>
      </c>
      <c r="BB5" s="280">
        <v>9566.2999999999993</v>
      </c>
      <c r="BD5" s="178" t="s">
        <v>125</v>
      </c>
      <c r="BE5" s="275">
        <f>GETPIVOTDATA("[Measures].[Sum of Target Bulan]",$AZ$3)-GETPIVOTDATA("[Measures].[Sum of ∑ KMK (Kg)]",$AZ$3)</f>
        <v>63517.412521032442</v>
      </c>
      <c r="BL5" s="44" t="s">
        <v>11</v>
      </c>
      <c r="BM5" s="287">
        <v>249909.99999999904</v>
      </c>
      <c r="BN5" s="287">
        <v>40645.47</v>
      </c>
      <c r="BP5" s="178" t="s">
        <v>125</v>
      </c>
      <c r="BQ5" s="178">
        <f>GETPIVOTDATA("[Measures].[Sum of Target Tahun]",$BL$3)-GETPIVOTDATA("[Measures].[Sum of ∑ KMK (Kg)]",$BL$3)</f>
        <v>209264.52999999904</v>
      </c>
      <c r="BX5" s="244" t="s">
        <v>37</v>
      </c>
      <c r="BY5" s="292">
        <v>393.54920636571455</v>
      </c>
      <c r="BZ5" s="290">
        <v>148.9</v>
      </c>
    </row>
    <row r="6" spans="2:78" ht="21" x14ac:dyDescent="0.35">
      <c r="B6" s="119" t="s">
        <v>31</v>
      </c>
      <c r="C6" s="183">
        <v>664.7</v>
      </c>
      <c r="E6" s="360" t="s">
        <v>290</v>
      </c>
      <c r="F6" s="77" t="e">
        <f>GETPIVOTDATA("[Measures].[Sum of ∑ UBC (Kg)]",$B$3,"[UBC_MASUK].[Kategori]","[UBC_MASUK].[Kategori].&amp;[ecoBali]")</f>
        <v>#REF!</v>
      </c>
      <c r="G6" s="181">
        <f t="shared" si="0"/>
        <v>863.73333333333323</v>
      </c>
      <c r="H6" s="77">
        <v>10364.799999999999</v>
      </c>
      <c r="S6" s="179" t="s">
        <v>70</v>
      </c>
      <c r="T6" s="184" t="e">
        <f>SUM(T4:T5)</f>
        <v>#REF!</v>
      </c>
      <c r="AC6" s="43" t="s">
        <v>34</v>
      </c>
      <c r="AF6" s="179" t="s">
        <v>70</v>
      </c>
      <c r="AG6" s="184" t="e">
        <f>SUM(AG4:AG5)</f>
        <v>#REF!</v>
      </c>
      <c r="AP6" s="89" t="s">
        <v>141</v>
      </c>
      <c r="AQ6" s="2">
        <v>7967.8</v>
      </c>
      <c r="AR6">
        <v>20800</v>
      </c>
      <c r="AT6" t="str">
        <f>AP7</f>
        <v>(03) MAR</v>
      </c>
      <c r="AU6">
        <v>20800</v>
      </c>
      <c r="AV6">
        <f>GETPIVOTDATA("[Measures].[Sum of ∑ KMK (Kg)]",$AP$3,"[UBC_MASUK].[Bulan]","[UBC_MASUK].[Bulan].&amp;[(03) MAR]","[UBC_MASUK].[Kuartal]","[UBC_MASUK].[Kuartal].&amp;[Q1]")</f>
        <v>9277</v>
      </c>
      <c r="AZ6" s="109" t="s">
        <v>367</v>
      </c>
      <c r="BA6" s="278">
        <v>20833.333329603342</v>
      </c>
      <c r="BB6" s="280">
        <v>7967.8</v>
      </c>
      <c r="BD6" s="179" t="s">
        <v>70</v>
      </c>
      <c r="BE6" s="276">
        <f>SUM(BE4:BE5)</f>
        <v>104162.88252103244</v>
      </c>
      <c r="BP6" s="179" t="s">
        <v>70</v>
      </c>
      <c r="BQ6" s="184">
        <f>SUM(BQ4:BQ5)</f>
        <v>249909.99999999904</v>
      </c>
      <c r="BX6" s="244" t="s">
        <v>31</v>
      </c>
      <c r="BY6" s="292">
        <v>5790.9999999999955</v>
      </c>
      <c r="BZ6" s="290">
        <v>3541.6</v>
      </c>
    </row>
    <row r="7" spans="2:78" ht="21" x14ac:dyDescent="0.35">
      <c r="B7" s="119" t="s">
        <v>290</v>
      </c>
      <c r="C7" s="183">
        <v>470.2</v>
      </c>
      <c r="E7" s="360" t="s">
        <v>34</v>
      </c>
      <c r="F7" s="77" t="e">
        <f>GETPIVOTDATA("[Measures].[Sum of ∑ UBC (Kg)]",$B$3,"[UBC_MASUK].[Kategori]","[UBC_MASUK].[Kategori].&amp;[Hotel]")</f>
        <v>#REF!</v>
      </c>
      <c r="G7" s="181">
        <f t="shared" si="0"/>
        <v>201.40833333333333</v>
      </c>
      <c r="H7" s="77">
        <v>2416.9</v>
      </c>
      <c r="AC7" s="43" t="s">
        <v>21</v>
      </c>
      <c r="AP7" s="89" t="s">
        <v>142</v>
      </c>
      <c r="AQ7" s="2">
        <v>9277</v>
      </c>
      <c r="AZ7" s="109" t="s">
        <v>368</v>
      </c>
      <c r="BA7" s="278">
        <v>20829.54920261903</v>
      </c>
      <c r="BB7" s="280">
        <v>9277</v>
      </c>
      <c r="BX7" s="244" t="s">
        <v>290</v>
      </c>
      <c r="BY7" s="292">
        <v>4318.6666664999984</v>
      </c>
      <c r="BZ7" s="290">
        <v>2217.1999999999998</v>
      </c>
    </row>
    <row r="8" spans="2:78" ht="21" x14ac:dyDescent="0.35">
      <c r="B8" s="119" t="s">
        <v>34</v>
      </c>
      <c r="C8" s="183">
        <v>11.1</v>
      </c>
      <c r="E8" s="360" t="s">
        <v>21</v>
      </c>
      <c r="F8" s="77" t="e">
        <f>GETPIVOTDATA("[Measures].[Sum of ∑ UBC (Kg)]",$B$3,"[UBC_MASUK].[Kategori]","[UBC_MASUK].[Kategori].&amp;[Jasa sampah]")</f>
        <v>#REF!</v>
      </c>
      <c r="G8" s="181">
        <f t="shared" si="0"/>
        <v>3712.4333333333329</v>
      </c>
      <c r="H8" s="77">
        <v>44549.2</v>
      </c>
      <c r="AC8" s="43" t="s">
        <v>18</v>
      </c>
      <c r="AP8" s="43" t="s">
        <v>179</v>
      </c>
      <c r="AQ8" s="2"/>
      <c r="AZ8" s="279" t="s">
        <v>179</v>
      </c>
      <c r="BA8" s="278"/>
      <c r="BB8" s="280"/>
      <c r="BX8" s="244" t="s">
        <v>34</v>
      </c>
      <c r="BY8" s="292">
        <v>1007.0416665</v>
      </c>
      <c r="BZ8" s="290">
        <v>21.9</v>
      </c>
    </row>
    <row r="9" spans="2:78" ht="21" x14ac:dyDescent="0.35">
      <c r="B9" s="119" t="s">
        <v>21</v>
      </c>
      <c r="C9" s="183">
        <v>1594</v>
      </c>
      <c r="E9" s="360" t="s">
        <v>18</v>
      </c>
      <c r="F9" s="77" t="e">
        <f>GETPIVOTDATA("[Measures].[Sum of ∑ UBC (Kg)]",$B$3,"[UBC_MASUK].[Kategori]","[UBC_MASUK].[Kategori].&amp;[Pengepul]")</f>
        <v>#REF!</v>
      </c>
      <c r="G9" s="181">
        <f t="shared" si="0"/>
        <v>11981.208333333334</v>
      </c>
      <c r="H9" s="182">
        <v>143774.5</v>
      </c>
      <c r="AC9" s="43" t="s">
        <v>36</v>
      </c>
      <c r="AP9" s="89" t="s">
        <v>180</v>
      </c>
      <c r="AQ9" s="2">
        <v>10062.870000000001</v>
      </c>
      <c r="AZ9" s="109" t="s">
        <v>369</v>
      </c>
      <c r="BA9" s="278">
        <v>20833.333329603352</v>
      </c>
      <c r="BB9" s="280">
        <v>10062.870000000001</v>
      </c>
      <c r="BX9" s="244" t="s">
        <v>21</v>
      </c>
      <c r="BY9" s="292">
        <v>18562.166664999997</v>
      </c>
      <c r="BZ9" s="290">
        <v>4332</v>
      </c>
    </row>
    <row r="10" spans="2:78" ht="21" x14ac:dyDescent="0.35">
      <c r="B10" s="119" t="s">
        <v>18</v>
      </c>
      <c r="C10" s="183">
        <v>5907</v>
      </c>
      <c r="E10" s="360" t="s">
        <v>36</v>
      </c>
      <c r="F10" s="77" t="e">
        <f>GETPIVOTDATA("[Measures].[Sum of ∑ UBC (Kg)]",$B$3,"[UBC_MASUK].[Kategori]","[UBC_MASUK].[Kategori].&amp;[Sekolah]")</f>
        <v>#REF!</v>
      </c>
      <c r="G10" s="181">
        <f t="shared" si="0"/>
        <v>64.774999999999991</v>
      </c>
      <c r="H10" s="77">
        <v>777.3</v>
      </c>
      <c r="AC10" s="43" t="s">
        <v>16</v>
      </c>
      <c r="AP10" s="89" t="s">
        <v>347</v>
      </c>
      <c r="AQ10" s="2">
        <v>3771.5</v>
      </c>
      <c r="AZ10" s="109" t="s">
        <v>349</v>
      </c>
      <c r="BA10" s="278">
        <v>20833.333329603312</v>
      </c>
      <c r="BB10" s="280">
        <v>3771.5</v>
      </c>
      <c r="BX10" s="244" t="s">
        <v>18</v>
      </c>
      <c r="BY10" s="292">
        <v>59906.041649999999</v>
      </c>
      <c r="BZ10" s="290">
        <v>26723</v>
      </c>
    </row>
    <row r="11" spans="2:78" ht="21" x14ac:dyDescent="0.35">
      <c r="B11" s="119" t="s">
        <v>36</v>
      </c>
      <c r="C11" s="183">
        <v>19</v>
      </c>
      <c r="E11" s="360" t="s">
        <v>16</v>
      </c>
      <c r="F11" s="77" t="e">
        <f>GETPIVOTDATA("[Measures].[Sum of ∑ UBC (Kg)]",$B$3,"[UBC_MASUK].[Kategori]","[UBC_MASUK].[Kategori].&amp;[TPA]")</f>
        <v>#REF!</v>
      </c>
      <c r="G11" s="181">
        <f t="shared" si="0"/>
        <v>878.97500000000002</v>
      </c>
      <c r="H11" s="77">
        <v>10547.7</v>
      </c>
      <c r="AC11" s="43" t="s">
        <v>7</v>
      </c>
      <c r="AP11" s="43" t="s">
        <v>11</v>
      </c>
      <c r="AQ11" s="2">
        <v>40645.47</v>
      </c>
      <c r="AZ11" s="279" t="s">
        <v>11</v>
      </c>
      <c r="BA11" s="278">
        <v>104162.88252103244</v>
      </c>
      <c r="BB11" s="280">
        <v>40645.47</v>
      </c>
      <c r="BX11" s="244" t="s">
        <v>36</v>
      </c>
      <c r="BY11" s="292">
        <v>323.87500000000017</v>
      </c>
      <c r="BZ11" s="290">
        <v>117.5</v>
      </c>
    </row>
    <row r="12" spans="2:78" ht="21" x14ac:dyDescent="0.35">
      <c r="B12" s="119" t="s">
        <v>16</v>
      </c>
      <c r="C12" s="183">
        <v>185</v>
      </c>
      <c r="E12" s="360" t="s">
        <v>7</v>
      </c>
      <c r="F12" s="77" t="e">
        <f>GETPIVOTDATA("[Measures].[Sum of ∑ UBC (Kg)]",$B$3,"[UBC_MASUK].[Kategori]","[UBC_MASUK].[Kategori].&amp;[TPS3R]")</f>
        <v>#REF!</v>
      </c>
      <c r="G12" s="181">
        <f t="shared" si="0"/>
        <v>391.43333333333334</v>
      </c>
      <c r="H12" s="77">
        <v>4697.2</v>
      </c>
      <c r="AC12" s="43" t="s">
        <v>13</v>
      </c>
      <c r="BA12"/>
      <c r="BX12" s="244" t="s">
        <v>16</v>
      </c>
      <c r="BY12" s="292">
        <v>4394.875</v>
      </c>
      <c r="BZ12" s="290">
        <v>1475</v>
      </c>
    </row>
    <row r="13" spans="2:78" ht="21" x14ac:dyDescent="0.35">
      <c r="B13" s="119" t="s">
        <v>7</v>
      </c>
      <c r="C13" s="183">
        <v>66</v>
      </c>
      <c r="E13" s="360" t="s">
        <v>13</v>
      </c>
      <c r="F13" s="77" t="e">
        <f>GETPIVOTDATA("[Measures].[Sum of ∑ UBC (Kg)]",$B$3,"[UBC_MASUK].[Kategori]","[UBC_MASUK].[Kategori].&amp;[TPST3R]")</f>
        <v>#REF!</v>
      </c>
      <c r="G13" s="181">
        <f t="shared" si="0"/>
        <v>1222.2250000000001</v>
      </c>
      <c r="H13" s="77">
        <v>14666.7</v>
      </c>
      <c r="AC13" s="43" t="s">
        <v>160</v>
      </c>
      <c r="BA13"/>
      <c r="BX13" s="244" t="s">
        <v>7</v>
      </c>
      <c r="BY13" s="292">
        <v>1957.1666666666649</v>
      </c>
      <c r="BZ13" s="290">
        <v>372.87</v>
      </c>
    </row>
    <row r="14" spans="2:78" ht="21" x14ac:dyDescent="0.35">
      <c r="B14" s="119" t="s">
        <v>13</v>
      </c>
      <c r="C14" s="183">
        <v>299.5</v>
      </c>
      <c r="G14" s="114"/>
      <c r="AC14" s="43" t="s">
        <v>290</v>
      </c>
      <c r="BX14" s="244" t="s">
        <v>13</v>
      </c>
      <c r="BY14" s="292">
        <v>6111.125</v>
      </c>
      <c r="BZ14" s="290">
        <v>1418</v>
      </c>
    </row>
    <row r="15" spans="2:78" ht="21" x14ac:dyDescent="0.35">
      <c r="B15" s="119" t="s">
        <v>11</v>
      </c>
      <c r="C15" s="183">
        <v>9277</v>
      </c>
      <c r="AC15" s="43" t="s">
        <v>11</v>
      </c>
      <c r="BX15" s="244" t="s">
        <v>11</v>
      </c>
      <c r="BY15" s="293">
        <v>104162.88252103244</v>
      </c>
      <c r="BZ15" s="291">
        <v>40645.47</v>
      </c>
    </row>
  </sheetData>
  <mergeCells count="3">
    <mergeCell ref="S1:T1"/>
    <mergeCell ref="AF1:AG1"/>
    <mergeCell ref="B1:C1"/>
  </mergeCells>
  <pageMargins left="0.7" right="0.7" top="0.75" bottom="0.75" header="0.3" footer="0.3"/>
  <pageSetup paperSize="9" orientation="portrait" verticalDpi="0" r:id="rId7"/>
  <drawing r:id="rId8"/>
  <extLst>
    <ext xmlns:x14="http://schemas.microsoft.com/office/spreadsheetml/2009/9/main" uri="{A8765BA9-456A-4dab-B4F3-ACF838C121DE}">
      <x14:slicerList>
        <x14:slicer r:id="rId9"/>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B524-2457-4C7A-8535-D79A51AECE6E}">
  <sheetPr>
    <tabColor rgb="FF72AADC"/>
  </sheetPr>
  <dimension ref="B1:K31"/>
  <sheetViews>
    <sheetView showGridLines="0" zoomScale="70" zoomScaleNormal="70" workbookViewId="0">
      <selection activeCell="M1" sqref="M1"/>
    </sheetView>
  </sheetViews>
  <sheetFormatPr defaultRowHeight="15" x14ac:dyDescent="0.25"/>
  <cols>
    <col min="2" max="2" width="18.5703125" bestFit="1" customWidth="1"/>
    <col min="3" max="3" width="17.42578125" bestFit="1" customWidth="1"/>
    <col min="4" max="4" width="9.42578125" customWidth="1"/>
    <col min="6" max="6" width="18.5703125" bestFit="1" customWidth="1"/>
    <col min="7" max="7" width="25.42578125" bestFit="1" customWidth="1"/>
    <col min="10" max="10" width="18.5703125" bestFit="1" customWidth="1"/>
    <col min="11" max="11" width="28.5703125" bestFit="1" customWidth="1"/>
  </cols>
  <sheetData>
    <row r="1" spans="2:11" ht="45" customHeight="1" x14ac:dyDescent="0.25">
      <c r="B1" s="506" t="s">
        <v>74</v>
      </c>
      <c r="C1" s="506"/>
      <c r="D1" s="58"/>
      <c r="F1" s="505" t="s">
        <v>75</v>
      </c>
      <c r="G1" s="505"/>
      <c r="H1" s="58"/>
      <c r="J1" s="506" t="s">
        <v>80</v>
      </c>
      <c r="K1" s="506"/>
    </row>
    <row r="3" spans="2:11" ht="21" x14ac:dyDescent="0.35">
      <c r="B3" s="48" t="s">
        <v>6</v>
      </c>
      <c r="C3" s="50" t="s">
        <v>69</v>
      </c>
      <c r="E3" s="47"/>
      <c r="F3" s="48" t="s">
        <v>6</v>
      </c>
      <c r="G3" s="50" t="s">
        <v>66</v>
      </c>
      <c r="J3" s="45" t="s">
        <v>6</v>
      </c>
      <c r="K3" s="46" t="s">
        <v>330</v>
      </c>
    </row>
    <row r="4" spans="2:11" ht="24" x14ac:dyDescent="0.4">
      <c r="B4" s="51" t="s">
        <v>8</v>
      </c>
      <c r="C4" s="52">
        <v>46</v>
      </c>
      <c r="E4" s="47"/>
      <c r="F4" s="51" t="s">
        <v>8</v>
      </c>
      <c r="G4" s="52">
        <v>1</v>
      </c>
      <c r="J4" s="81" t="s">
        <v>8</v>
      </c>
      <c r="K4" s="82">
        <v>7354.4</v>
      </c>
    </row>
    <row r="5" spans="2:11" ht="24" x14ac:dyDescent="0.4">
      <c r="B5" s="53" t="s">
        <v>161</v>
      </c>
      <c r="C5" s="54">
        <v>1</v>
      </c>
      <c r="E5" s="47"/>
      <c r="F5" s="53" t="s">
        <v>161</v>
      </c>
      <c r="G5" s="54">
        <v>1</v>
      </c>
      <c r="J5" s="83" t="s">
        <v>161</v>
      </c>
      <c r="K5" s="84">
        <v>38.5</v>
      </c>
    </row>
    <row r="6" spans="2:11" ht="24" x14ac:dyDescent="0.4">
      <c r="B6" s="53" t="s">
        <v>19</v>
      </c>
      <c r="C6" s="54">
        <v>15</v>
      </c>
      <c r="E6" s="47"/>
      <c r="F6" s="53" t="s">
        <v>19</v>
      </c>
      <c r="G6" s="54">
        <v>1</v>
      </c>
      <c r="J6" s="83" t="s">
        <v>19</v>
      </c>
      <c r="K6" s="84">
        <v>30151.200000000001</v>
      </c>
    </row>
    <row r="7" spans="2:11" ht="24" x14ac:dyDescent="0.4">
      <c r="B7" s="53" t="s">
        <v>14</v>
      </c>
      <c r="C7" s="54">
        <v>6</v>
      </c>
      <c r="E7" s="47"/>
      <c r="F7" s="53" t="s">
        <v>14</v>
      </c>
      <c r="G7" s="54">
        <v>1</v>
      </c>
      <c r="J7" s="83" t="s">
        <v>14</v>
      </c>
      <c r="K7" s="84">
        <v>2670.4</v>
      </c>
    </row>
    <row r="8" spans="2:11" ht="24" x14ac:dyDescent="0.4">
      <c r="B8" s="53" t="s">
        <v>43</v>
      </c>
      <c r="C8" s="54">
        <v>1</v>
      </c>
      <c r="E8" s="47"/>
      <c r="F8" s="53" t="s">
        <v>43</v>
      </c>
      <c r="G8" s="54">
        <v>1</v>
      </c>
      <c r="J8" s="83" t="s">
        <v>43</v>
      </c>
      <c r="K8" s="84">
        <v>304.10000000000002</v>
      </c>
    </row>
    <row r="9" spans="2:11" ht="24" x14ac:dyDescent="0.4">
      <c r="B9" s="55" t="s">
        <v>9</v>
      </c>
      <c r="C9" s="56">
        <v>2</v>
      </c>
      <c r="F9" s="55" t="s">
        <v>9</v>
      </c>
      <c r="G9" s="56">
        <v>1</v>
      </c>
      <c r="J9" s="85" t="s">
        <v>9</v>
      </c>
      <c r="K9" s="86">
        <v>126.87</v>
      </c>
    </row>
    <row r="10" spans="2:11" ht="29.25" x14ac:dyDescent="0.5">
      <c r="B10" s="49" t="s">
        <v>65</v>
      </c>
      <c r="C10" s="57">
        <v>68</v>
      </c>
      <c r="F10" s="49" t="s">
        <v>65</v>
      </c>
      <c r="G10" s="57">
        <v>6</v>
      </c>
      <c r="J10" s="44" t="s">
        <v>70</v>
      </c>
      <c r="K10" s="87">
        <v>40645.47</v>
      </c>
    </row>
    <row r="11" spans="2:11" ht="20.25" x14ac:dyDescent="0.3">
      <c r="F11" s="118"/>
    </row>
    <row r="14" spans="2:11" x14ac:dyDescent="0.25">
      <c r="F14" s="92"/>
      <c r="G14" s="93"/>
      <c r="H14" s="94"/>
    </row>
    <row r="15" spans="2:11" x14ac:dyDescent="0.25">
      <c r="F15" s="95"/>
      <c r="G15" s="96"/>
      <c r="H15" s="97"/>
    </row>
    <row r="16" spans="2:11" ht="20.25" x14ac:dyDescent="0.3">
      <c r="F16" s="95"/>
      <c r="G16" s="96"/>
      <c r="H16" s="97"/>
      <c r="J16" s="404" t="str">
        <f t="shared" ref="J16:J21" si="0">J4</f>
        <v>Badung</v>
      </c>
      <c r="K16" s="405">
        <f>GETPIVOTDATA("[Measures].[Sum of ∑ KMK (Kg)]",$J$3,"[UBC_MASUK].[Wilayah]","[UBC_MASUK].[Wilayah].&amp;[Badung]")</f>
        <v>7354.4</v>
      </c>
    </row>
    <row r="17" spans="6:11" ht="20.25" x14ac:dyDescent="0.3">
      <c r="F17" s="95"/>
      <c r="G17" s="96"/>
      <c r="H17" s="97"/>
      <c r="J17" s="406" t="str">
        <f t="shared" si="0"/>
        <v>Buleleng</v>
      </c>
      <c r="K17" s="407">
        <f>GETPIVOTDATA("[Measures].[Sum of ∑ KMK (Kg)]",$J$3,"[UBC_MASUK].[Wilayah]","[UBC_MASUK].[Wilayah].&amp;[Buleleng]")</f>
        <v>38.5</v>
      </c>
    </row>
    <row r="18" spans="6:11" ht="20.25" x14ac:dyDescent="0.3">
      <c r="F18" s="95"/>
      <c r="G18" s="96"/>
      <c r="H18" s="97"/>
      <c r="J18" s="406" t="str">
        <f t="shared" si="0"/>
        <v>Denpasar</v>
      </c>
      <c r="K18" s="407">
        <f>GETPIVOTDATA("[Measures].[Sum of ∑ KMK (Kg)]",$J$3,"[UBC_MASUK].[Wilayah]","[UBC_MASUK].[Wilayah].&amp;[Denpasar]")</f>
        <v>30151.200000000001</v>
      </c>
    </row>
    <row r="19" spans="6:11" ht="20.25" x14ac:dyDescent="0.3">
      <c r="F19" s="95"/>
      <c r="G19" s="96"/>
      <c r="H19" s="97"/>
      <c r="J19" s="406" t="str">
        <f t="shared" si="0"/>
        <v>Gianyar</v>
      </c>
      <c r="K19" s="407">
        <f>GETPIVOTDATA("[Measures].[Sum of ∑ KMK (Kg)]",$J$3,"[UBC_MASUK].[Wilayah]","[UBC_MASUK].[Wilayah].&amp;[Gianyar]")</f>
        <v>2670.4</v>
      </c>
    </row>
    <row r="20" spans="6:11" ht="20.25" x14ac:dyDescent="0.3">
      <c r="F20" s="95"/>
      <c r="G20" s="96"/>
      <c r="H20" s="97"/>
      <c r="J20" s="408" t="str">
        <f t="shared" si="0"/>
        <v>Klungkung</v>
      </c>
      <c r="K20" s="409">
        <f>GETPIVOTDATA("[Measures].[Sum of ∑ KMK (Kg)]",$J$3,"[UBC_MASUK].[Wilayah]","[UBC_MASUK].[Wilayah].&amp;[Klungkung]")</f>
        <v>304.10000000000002</v>
      </c>
    </row>
    <row r="21" spans="6:11" ht="20.25" x14ac:dyDescent="0.3">
      <c r="F21" s="95"/>
      <c r="G21" s="96"/>
      <c r="H21" s="97"/>
      <c r="J21" s="410" t="str">
        <f t="shared" si="0"/>
        <v>Tabanan</v>
      </c>
      <c r="K21" s="411">
        <f>GETPIVOTDATA("[Measures].[Sum of ∑ KMK (Kg)]",$J$3,"[UBC_MASUK].[Wilayah]","[UBC_MASUK].[Wilayah].&amp;[Tabanan]")</f>
        <v>126.87</v>
      </c>
    </row>
    <row r="22" spans="6:11" x14ac:dyDescent="0.25">
      <c r="F22" s="95"/>
      <c r="G22" s="96"/>
      <c r="H22" s="97"/>
    </row>
    <row r="23" spans="6:11" x14ac:dyDescent="0.25">
      <c r="F23" s="95"/>
      <c r="G23" s="96"/>
      <c r="H23" s="97"/>
    </row>
    <row r="24" spans="6:11" x14ac:dyDescent="0.25">
      <c r="F24" s="95"/>
      <c r="G24" s="96"/>
      <c r="H24" s="97"/>
    </row>
    <row r="25" spans="6:11" x14ac:dyDescent="0.25">
      <c r="F25" s="95"/>
      <c r="G25" s="96"/>
      <c r="H25" s="97"/>
    </row>
    <row r="26" spans="6:11" x14ac:dyDescent="0.25">
      <c r="F26" s="95"/>
      <c r="G26" s="96"/>
      <c r="H26" s="97"/>
    </row>
    <row r="27" spans="6:11" x14ac:dyDescent="0.25">
      <c r="F27" s="95"/>
      <c r="G27" s="96"/>
      <c r="H27" s="97"/>
    </row>
    <row r="28" spans="6:11" x14ac:dyDescent="0.25">
      <c r="F28" s="95"/>
      <c r="G28" s="96"/>
      <c r="H28" s="97"/>
    </row>
    <row r="29" spans="6:11" x14ac:dyDescent="0.25">
      <c r="F29" s="95"/>
      <c r="G29" s="96"/>
      <c r="H29" s="97"/>
    </row>
    <row r="30" spans="6:11" x14ac:dyDescent="0.25">
      <c r="F30" s="95"/>
      <c r="G30" s="96"/>
      <c r="H30" s="97"/>
    </row>
    <row r="31" spans="6:11" x14ac:dyDescent="0.25">
      <c r="F31" s="98"/>
      <c r="G31" s="99"/>
      <c r="H31" s="100"/>
    </row>
  </sheetData>
  <mergeCells count="3">
    <mergeCell ref="F1:G1"/>
    <mergeCell ref="B1:C1"/>
    <mergeCell ref="J1:K1"/>
  </mergeCells>
  <pageMargins left="0.7" right="0.7" top="0.75" bottom="0.75" header="0.3" footer="0.3"/>
  <pageSetup paperSize="9" orientation="portrait" verticalDpi="0" r:id="rId5"/>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00142-9F56-4A2E-B0F3-DB73FE16696E}">
  <sheetPr>
    <tabColor rgb="FF478FD1"/>
  </sheetPr>
  <dimension ref="B1:M15"/>
  <sheetViews>
    <sheetView showGridLines="0" topLeftCell="E16" zoomScale="70" zoomScaleNormal="70" workbookViewId="0">
      <selection activeCell="AL32" sqref="AL32"/>
    </sheetView>
  </sheetViews>
  <sheetFormatPr defaultRowHeight="15" x14ac:dyDescent="0.25"/>
  <cols>
    <col min="2" max="2" width="27.5703125" bestFit="1" customWidth="1"/>
    <col min="3" max="3" width="15.28515625" bestFit="1" customWidth="1"/>
    <col min="4" max="4" width="15.85546875" bestFit="1" customWidth="1"/>
    <col min="5" max="5" width="12.5703125" bestFit="1" customWidth="1"/>
    <col min="6" max="6" width="12.28515625" bestFit="1" customWidth="1"/>
    <col min="7" max="7" width="27.5703125" bestFit="1" customWidth="1"/>
    <col min="8" max="8" width="25.5703125" bestFit="1" customWidth="1"/>
    <col min="9" max="9" width="12.28515625" bestFit="1" customWidth="1"/>
    <col min="12" max="12" width="28.7109375" bestFit="1" customWidth="1"/>
    <col min="13" max="13" width="25.5703125" bestFit="1" customWidth="1"/>
    <col min="14" max="14" width="11.5703125" customWidth="1"/>
  </cols>
  <sheetData>
    <row r="1" spans="2:13" ht="51" customHeight="1" x14ac:dyDescent="0.25">
      <c r="B1" s="507" t="s">
        <v>71</v>
      </c>
      <c r="C1" s="507"/>
      <c r="D1" s="507"/>
      <c r="G1" s="507" t="s">
        <v>72</v>
      </c>
      <c r="H1" s="507"/>
      <c r="I1" s="507"/>
      <c r="L1" s="507" t="s">
        <v>72</v>
      </c>
      <c r="M1" s="507"/>
    </row>
    <row r="3" spans="2:13" ht="21" x14ac:dyDescent="0.35">
      <c r="B3" s="13" t="s">
        <v>5</v>
      </c>
      <c r="C3" s="14" t="s">
        <v>69</v>
      </c>
      <c r="D3" s="11" t="s">
        <v>68</v>
      </c>
      <c r="G3" s="38" t="s">
        <v>5</v>
      </c>
      <c r="H3" s="108" t="s">
        <v>330</v>
      </c>
      <c r="L3" s="38" t="s">
        <v>5</v>
      </c>
      <c r="M3" s="108" t="s">
        <v>330</v>
      </c>
    </row>
    <row r="4" spans="2:13" ht="21" x14ac:dyDescent="0.35">
      <c r="B4" s="230" t="s">
        <v>160</v>
      </c>
      <c r="C4" s="25">
        <v>4</v>
      </c>
      <c r="D4" s="28">
        <v>2.056555269922879E-2</v>
      </c>
      <c r="G4" s="231" t="s">
        <v>160</v>
      </c>
      <c r="H4" s="25">
        <v>277.5</v>
      </c>
      <c r="L4" s="231" t="s">
        <v>160</v>
      </c>
      <c r="M4" s="155">
        <v>277.5</v>
      </c>
    </row>
    <row r="5" spans="2:13" ht="21" x14ac:dyDescent="0.35">
      <c r="B5" s="226" t="s">
        <v>37</v>
      </c>
      <c r="C5" s="26">
        <v>22</v>
      </c>
      <c r="D5" s="29">
        <v>0.10025706940874037</v>
      </c>
      <c r="G5" s="227" t="s">
        <v>37</v>
      </c>
      <c r="H5" s="26">
        <v>148.9</v>
      </c>
      <c r="L5" s="227" t="s">
        <v>37</v>
      </c>
      <c r="M5" s="156">
        <v>148.9</v>
      </c>
    </row>
    <row r="6" spans="2:13" ht="21" x14ac:dyDescent="0.35">
      <c r="B6" s="31" t="s">
        <v>31</v>
      </c>
      <c r="C6" s="26">
        <v>13</v>
      </c>
      <c r="D6" s="29">
        <v>0.32133676092544988</v>
      </c>
      <c r="G6" s="18" t="s">
        <v>31</v>
      </c>
      <c r="H6" s="26">
        <v>3541.6</v>
      </c>
      <c r="L6" s="18" t="s">
        <v>31</v>
      </c>
      <c r="M6" s="156">
        <v>3541.6</v>
      </c>
    </row>
    <row r="7" spans="2:13" ht="21" x14ac:dyDescent="0.35">
      <c r="B7" s="240" t="s">
        <v>290</v>
      </c>
      <c r="C7" s="26">
        <v>1</v>
      </c>
      <c r="D7" s="29">
        <v>0.26735218508997427</v>
      </c>
      <c r="G7" s="241" t="s">
        <v>290</v>
      </c>
      <c r="H7" s="26">
        <v>2217.1999999999998</v>
      </c>
      <c r="L7" s="241" t="s">
        <v>290</v>
      </c>
      <c r="M7" s="156">
        <v>2217.1999999999998</v>
      </c>
    </row>
    <row r="8" spans="2:13" ht="21" x14ac:dyDescent="0.35">
      <c r="B8" s="32" t="s">
        <v>34</v>
      </c>
      <c r="C8" s="26">
        <v>4</v>
      </c>
      <c r="D8" s="29">
        <v>1.7994858611825194E-2</v>
      </c>
      <c r="G8" s="19" t="s">
        <v>34</v>
      </c>
      <c r="H8" s="26">
        <v>21.9</v>
      </c>
      <c r="L8" s="19" t="s">
        <v>34</v>
      </c>
      <c r="M8" s="156">
        <v>21.9</v>
      </c>
    </row>
    <row r="9" spans="2:13" ht="21" x14ac:dyDescent="0.35">
      <c r="B9" s="33" t="s">
        <v>21</v>
      </c>
      <c r="C9" s="26">
        <v>7</v>
      </c>
      <c r="D9" s="29">
        <v>6.1696658097686374E-2</v>
      </c>
      <c r="G9" s="20" t="s">
        <v>21</v>
      </c>
      <c r="H9" s="26">
        <v>4332</v>
      </c>
      <c r="L9" s="20" t="s">
        <v>21</v>
      </c>
      <c r="M9" s="156">
        <v>4332</v>
      </c>
    </row>
    <row r="10" spans="2:13" ht="21" x14ac:dyDescent="0.35">
      <c r="B10" s="34" t="s">
        <v>18</v>
      </c>
      <c r="C10" s="26">
        <v>6</v>
      </c>
      <c r="D10" s="29">
        <v>8.7403598971722368E-2</v>
      </c>
      <c r="G10" s="21" t="s">
        <v>18</v>
      </c>
      <c r="H10" s="26">
        <v>26723</v>
      </c>
      <c r="L10" s="21" t="s">
        <v>18</v>
      </c>
      <c r="M10" s="156">
        <v>26723</v>
      </c>
    </row>
    <row r="11" spans="2:13" ht="21" x14ac:dyDescent="0.35">
      <c r="B11" s="35" t="s">
        <v>36</v>
      </c>
      <c r="C11" s="26">
        <v>3</v>
      </c>
      <c r="D11" s="29">
        <v>5.1413881748071981E-2</v>
      </c>
      <c r="G11" s="22" t="s">
        <v>36</v>
      </c>
      <c r="H11" s="26">
        <v>117.5</v>
      </c>
      <c r="L11" s="22" t="s">
        <v>36</v>
      </c>
      <c r="M11" s="156">
        <v>117.5</v>
      </c>
    </row>
    <row r="12" spans="2:13" ht="21" x14ac:dyDescent="0.35">
      <c r="B12" s="377" t="s">
        <v>16</v>
      </c>
      <c r="C12" s="26">
        <v>1</v>
      </c>
      <c r="D12" s="29">
        <v>1.5424164524421594E-2</v>
      </c>
      <c r="G12" s="375" t="s">
        <v>16</v>
      </c>
      <c r="H12" s="26">
        <v>1475</v>
      </c>
      <c r="L12" s="375" t="s">
        <v>16</v>
      </c>
      <c r="M12" s="156">
        <v>1475</v>
      </c>
    </row>
    <row r="13" spans="2:13" ht="21" x14ac:dyDescent="0.35">
      <c r="B13" s="36" t="s">
        <v>7</v>
      </c>
      <c r="C13" s="26">
        <v>5</v>
      </c>
      <c r="D13" s="29">
        <v>2.8277634961439587E-2</v>
      </c>
      <c r="G13" s="23" t="s">
        <v>7</v>
      </c>
      <c r="H13" s="26">
        <v>372.87</v>
      </c>
      <c r="L13" s="23" t="s">
        <v>7</v>
      </c>
      <c r="M13" s="156">
        <v>372.87</v>
      </c>
    </row>
    <row r="14" spans="2:13" ht="21" x14ac:dyDescent="0.35">
      <c r="B14" s="37" t="s">
        <v>13</v>
      </c>
      <c r="C14" s="27">
        <v>2</v>
      </c>
      <c r="D14" s="30">
        <v>2.8277634961439587E-2</v>
      </c>
      <c r="G14" s="24" t="s">
        <v>13</v>
      </c>
      <c r="H14" s="27">
        <v>1418</v>
      </c>
      <c r="L14" s="24" t="s">
        <v>13</v>
      </c>
      <c r="M14" s="157">
        <v>1418</v>
      </c>
    </row>
    <row r="15" spans="2:13" ht="24" x14ac:dyDescent="0.4">
      <c r="B15" s="15" t="s">
        <v>70</v>
      </c>
      <c r="C15" s="12">
        <v>68</v>
      </c>
      <c r="D15" s="10">
        <v>1</v>
      </c>
      <c r="E15" s="16"/>
      <c r="F15" s="17"/>
      <c r="G15" s="39" t="s">
        <v>70</v>
      </c>
      <c r="H15" s="412">
        <v>40645.47</v>
      </c>
      <c r="L15" s="39" t="s">
        <v>70</v>
      </c>
      <c r="M15" s="16">
        <v>40645.47</v>
      </c>
    </row>
  </sheetData>
  <mergeCells count="3">
    <mergeCell ref="B1:D1"/>
    <mergeCell ref="G1:I1"/>
    <mergeCell ref="L1:M1"/>
  </mergeCells>
  <pageMargins left="0.7" right="0.7" top="0.75" bottom="0.75" header="0.3" footer="0.3"/>
  <pageSetup paperSize="9" orientation="portrait" verticalDpi="0" r:id="rId4"/>
  <drawing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80064-FD13-494E-8DBF-DD7D1174E7E4}">
  <sheetPr>
    <tabColor theme="4" tint="0.39997558519241921"/>
  </sheetPr>
  <dimension ref="B3:H10"/>
  <sheetViews>
    <sheetView zoomScale="70" zoomScaleNormal="70" workbookViewId="0">
      <selection activeCell="C8" sqref="C8"/>
    </sheetView>
  </sheetViews>
  <sheetFormatPr defaultRowHeight="15" x14ac:dyDescent="0.25"/>
  <cols>
    <col min="2" max="2" width="19.140625" bestFit="1" customWidth="1"/>
    <col min="3" max="3" width="18.5703125" bestFit="1" customWidth="1"/>
    <col min="4" max="4" width="16.85546875" bestFit="1" customWidth="1"/>
    <col min="5" max="5" width="18.28515625" bestFit="1" customWidth="1"/>
    <col min="6" max="6" width="14" bestFit="1" customWidth="1"/>
    <col min="7" max="7" width="20.5703125" bestFit="1" customWidth="1"/>
    <col min="8" max="8" width="12.42578125" bestFit="1" customWidth="1"/>
    <col min="9" max="9" width="31.140625" bestFit="1" customWidth="1"/>
    <col min="10" max="10" width="31" bestFit="1" customWidth="1"/>
    <col min="11" max="11" width="19.5703125" bestFit="1" customWidth="1"/>
    <col min="12" max="12" width="27.85546875" bestFit="1" customWidth="1"/>
    <col min="13" max="13" width="29.140625" bestFit="1" customWidth="1"/>
    <col min="14" max="14" width="21.7109375" bestFit="1" customWidth="1"/>
    <col min="15" max="15" width="23.140625" bestFit="1" customWidth="1"/>
    <col min="16" max="16" width="24" bestFit="1" customWidth="1"/>
    <col min="17" max="17" width="16.42578125" bestFit="1" customWidth="1"/>
    <col min="18" max="18" width="27.140625" bestFit="1" customWidth="1"/>
    <col min="19" max="19" width="29.7109375" bestFit="1" customWidth="1"/>
    <col min="20" max="20" width="27.28515625" bestFit="1" customWidth="1"/>
    <col min="21" max="21" width="27.85546875" bestFit="1" customWidth="1"/>
    <col min="22" max="22" width="22.140625" bestFit="1" customWidth="1"/>
    <col min="23" max="23" width="12" bestFit="1" customWidth="1"/>
    <col min="24" max="24" width="23.42578125" bestFit="1" customWidth="1"/>
    <col min="25" max="25" width="10" bestFit="1" customWidth="1"/>
    <col min="26" max="26" width="17.7109375" bestFit="1" customWidth="1"/>
    <col min="27" max="27" width="21.5703125" bestFit="1" customWidth="1"/>
    <col min="28" max="28" width="23.42578125" bestFit="1" customWidth="1"/>
    <col min="29" max="29" width="22.42578125" bestFit="1" customWidth="1"/>
    <col min="30" max="30" width="22" bestFit="1" customWidth="1"/>
    <col min="31" max="31" width="14.85546875" bestFit="1" customWidth="1"/>
    <col min="32" max="32" width="22.85546875" bestFit="1" customWidth="1"/>
    <col min="33" max="33" width="8.7109375" bestFit="1" customWidth="1"/>
    <col min="34" max="34" width="18.5703125" bestFit="1" customWidth="1"/>
    <col min="35" max="35" width="14.5703125" bestFit="1" customWidth="1"/>
    <col min="36" max="36" width="14.42578125" bestFit="1" customWidth="1"/>
    <col min="37" max="37" width="11.5703125" bestFit="1" customWidth="1"/>
    <col min="38" max="38" width="13.42578125" bestFit="1" customWidth="1"/>
    <col min="39" max="39" width="7.85546875" bestFit="1" customWidth="1"/>
    <col min="40" max="42" width="7.7109375" bestFit="1" customWidth="1"/>
    <col min="43" max="43" width="20.28515625" bestFit="1" customWidth="1"/>
    <col min="44" max="44" width="16.42578125" bestFit="1" customWidth="1"/>
    <col min="45" max="45" width="12.5703125" bestFit="1" customWidth="1"/>
    <col min="46" max="46" width="9.28515625" bestFit="1" customWidth="1"/>
    <col min="47" max="47" width="17.7109375" bestFit="1" customWidth="1"/>
    <col min="48" max="48" width="10.140625" bestFit="1" customWidth="1"/>
    <col min="49" max="49" width="23.85546875" bestFit="1" customWidth="1"/>
    <col min="50" max="50" width="11.42578125" bestFit="1" customWidth="1"/>
    <col min="51" max="52" width="10.5703125" bestFit="1" customWidth="1"/>
    <col min="53" max="53" width="10" bestFit="1" customWidth="1"/>
    <col min="54" max="54" width="10.5703125" bestFit="1" customWidth="1"/>
    <col min="55" max="55" width="9.7109375" bestFit="1" customWidth="1"/>
    <col min="56" max="56" width="11" bestFit="1" customWidth="1"/>
    <col min="57" max="57" width="12.5703125" bestFit="1" customWidth="1"/>
    <col min="58" max="58" width="21.7109375" bestFit="1" customWidth="1"/>
    <col min="59" max="59" width="17.140625" bestFit="1" customWidth="1"/>
    <col min="60" max="60" width="29.28515625" bestFit="1" customWidth="1"/>
    <col min="61" max="61" width="16.7109375" bestFit="1" customWidth="1"/>
    <col min="62" max="62" width="9.140625" bestFit="1" customWidth="1"/>
    <col min="63" max="63" width="12.85546875" bestFit="1" customWidth="1"/>
    <col min="64" max="64" width="15.85546875" bestFit="1" customWidth="1"/>
    <col min="65" max="65" width="14.5703125" bestFit="1" customWidth="1"/>
    <col min="66" max="66" width="16.85546875" bestFit="1" customWidth="1"/>
    <col min="67" max="67" width="18.85546875" bestFit="1" customWidth="1"/>
    <col min="68" max="68" width="18.28515625" bestFit="1" customWidth="1"/>
    <col min="69" max="69" width="14" bestFit="1" customWidth="1"/>
    <col min="70" max="70" width="20.5703125" bestFit="1" customWidth="1"/>
    <col min="71" max="71" width="12.42578125" bestFit="1" customWidth="1"/>
    <col min="72" max="72" width="13.28515625" bestFit="1" customWidth="1"/>
    <col min="73" max="73" width="9.7109375" bestFit="1" customWidth="1"/>
    <col min="74" max="74" width="18.85546875" bestFit="1" customWidth="1"/>
    <col min="75" max="75" width="7.42578125" bestFit="1" customWidth="1"/>
    <col min="76" max="76" width="13.7109375" bestFit="1" customWidth="1"/>
    <col min="77" max="77" width="12.85546875" bestFit="1" customWidth="1"/>
    <col min="78" max="78" width="7.7109375" bestFit="1" customWidth="1"/>
    <col min="79" max="79" width="10" bestFit="1" customWidth="1"/>
    <col min="80" max="80" width="9" bestFit="1" customWidth="1"/>
    <col min="81" max="81" width="26.85546875" bestFit="1" customWidth="1"/>
    <col min="82" max="82" width="13.28515625" bestFit="1" customWidth="1"/>
    <col min="83" max="83" width="11.28515625" bestFit="1" customWidth="1"/>
  </cols>
  <sheetData>
    <row r="3" spans="2:8" x14ac:dyDescent="0.25">
      <c r="B3" s="42" t="s">
        <v>330</v>
      </c>
      <c r="C3" s="42" t="s">
        <v>78</v>
      </c>
    </row>
    <row r="4" spans="2:8" x14ac:dyDescent="0.25">
      <c r="B4" s="42" t="s">
        <v>77</v>
      </c>
      <c r="C4" t="s">
        <v>307</v>
      </c>
      <c r="D4" t="s">
        <v>10</v>
      </c>
      <c r="E4" t="s">
        <v>359</v>
      </c>
      <c r="F4" t="s">
        <v>361</v>
      </c>
      <c r="G4" t="s">
        <v>360</v>
      </c>
      <c r="H4" t="s">
        <v>11</v>
      </c>
    </row>
    <row r="5" spans="2:8" x14ac:dyDescent="0.25">
      <c r="B5" s="508" t="s">
        <v>140</v>
      </c>
      <c r="C5" s="2">
        <v>0</v>
      </c>
      <c r="D5" s="2">
        <v>110</v>
      </c>
      <c r="E5" s="2">
        <v>16</v>
      </c>
      <c r="F5" s="2">
        <v>0</v>
      </c>
      <c r="G5" s="2">
        <v>19</v>
      </c>
      <c r="H5" s="2">
        <v>145</v>
      </c>
    </row>
    <row r="6" spans="2:8" x14ac:dyDescent="0.25">
      <c r="B6" s="509" t="s">
        <v>141</v>
      </c>
      <c r="C6" s="2">
        <v>0</v>
      </c>
      <c r="D6" s="2">
        <v>0</v>
      </c>
      <c r="E6" s="2">
        <v>0</v>
      </c>
      <c r="F6" s="2">
        <v>18</v>
      </c>
      <c r="G6" s="2">
        <v>0</v>
      </c>
      <c r="H6" s="2">
        <v>18</v>
      </c>
    </row>
    <row r="7" spans="2:8" x14ac:dyDescent="0.25">
      <c r="B7" s="509" t="s">
        <v>142</v>
      </c>
      <c r="C7" s="2">
        <v>0</v>
      </c>
      <c r="D7" s="2">
        <v>66</v>
      </c>
      <c r="E7" s="2">
        <v>0</v>
      </c>
      <c r="F7" s="2">
        <v>0</v>
      </c>
      <c r="G7" s="2">
        <v>0</v>
      </c>
      <c r="H7" s="2">
        <v>66</v>
      </c>
    </row>
    <row r="8" spans="2:8" x14ac:dyDescent="0.25">
      <c r="B8" s="509" t="s">
        <v>180</v>
      </c>
      <c r="C8" s="2">
        <v>50.87</v>
      </c>
      <c r="D8" s="2">
        <v>0</v>
      </c>
      <c r="E8" s="2">
        <v>0</v>
      </c>
      <c r="F8" s="2">
        <v>0</v>
      </c>
      <c r="G8" s="2">
        <v>0</v>
      </c>
      <c r="H8" s="2">
        <v>50.87</v>
      </c>
    </row>
    <row r="9" spans="2:8" x14ac:dyDescent="0.25">
      <c r="B9" s="510" t="s">
        <v>347</v>
      </c>
      <c r="C9" s="2">
        <v>0</v>
      </c>
      <c r="D9" s="2">
        <v>0</v>
      </c>
      <c r="E9" s="2">
        <v>60</v>
      </c>
      <c r="F9" s="2">
        <v>10</v>
      </c>
      <c r="G9" s="2">
        <v>23</v>
      </c>
      <c r="H9" s="2">
        <v>93</v>
      </c>
    </row>
    <row r="10" spans="2:8" x14ac:dyDescent="0.25">
      <c r="B10" s="43" t="s">
        <v>11</v>
      </c>
      <c r="C10" s="2">
        <v>50.87</v>
      </c>
      <c r="D10" s="2">
        <v>176</v>
      </c>
      <c r="E10" s="2">
        <v>76</v>
      </c>
      <c r="F10" s="2">
        <v>28</v>
      </c>
      <c r="G10" s="2">
        <v>42</v>
      </c>
      <c r="H10" s="2">
        <v>372.87</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24FB-C99C-4066-86CF-A0C99C155964}">
  <dimension ref="B2:L28"/>
  <sheetViews>
    <sheetView topLeftCell="C13" workbookViewId="0">
      <selection activeCell="C16" sqref="C16"/>
    </sheetView>
  </sheetViews>
  <sheetFormatPr defaultRowHeight="15" x14ac:dyDescent="0.25"/>
  <cols>
    <col min="2" max="2" width="38.42578125" bestFit="1" customWidth="1"/>
    <col min="3" max="3" width="18.28515625" customWidth="1"/>
    <col min="4" max="4" width="16.7109375" bestFit="1" customWidth="1"/>
    <col min="7" max="7" width="10.7109375" customWidth="1"/>
    <col min="8" max="8" width="24.140625" bestFit="1" customWidth="1"/>
    <col min="9" max="10" width="26" bestFit="1" customWidth="1"/>
    <col min="11" max="11" width="0.85546875" customWidth="1"/>
    <col min="12" max="12" width="25.140625" customWidth="1"/>
  </cols>
  <sheetData>
    <row r="2" spans="2:12" x14ac:dyDescent="0.25">
      <c r="H2" t="s">
        <v>87</v>
      </c>
    </row>
    <row r="3" spans="2:12" x14ac:dyDescent="0.25">
      <c r="B3" t="s">
        <v>53</v>
      </c>
      <c r="C3" t="s">
        <v>56</v>
      </c>
      <c r="D3" s="8"/>
      <c r="H3" t="s">
        <v>85</v>
      </c>
    </row>
    <row r="4" spans="2:12" x14ac:dyDescent="0.25">
      <c r="B4" t="s">
        <v>52</v>
      </c>
      <c r="C4" t="s">
        <v>56</v>
      </c>
      <c r="D4" s="8"/>
      <c r="H4" t="s">
        <v>86</v>
      </c>
    </row>
    <row r="5" spans="2:12" x14ac:dyDescent="0.25">
      <c r="B5" t="s">
        <v>51</v>
      </c>
      <c r="C5" t="s">
        <v>56</v>
      </c>
      <c r="D5" s="8"/>
      <c r="H5" t="s">
        <v>88</v>
      </c>
    </row>
    <row r="6" spans="2:12" x14ac:dyDescent="0.25">
      <c r="B6" t="s">
        <v>50</v>
      </c>
      <c r="C6" t="s">
        <v>57</v>
      </c>
      <c r="D6" s="8"/>
      <c r="H6" t="s">
        <v>89</v>
      </c>
    </row>
    <row r="7" spans="2:12" x14ac:dyDescent="0.25">
      <c r="B7" t="s">
        <v>49</v>
      </c>
      <c r="C7" t="s">
        <v>57</v>
      </c>
      <c r="D7" s="8"/>
    </row>
    <row r="8" spans="2:12" x14ac:dyDescent="0.25">
      <c r="B8" t="s">
        <v>48</v>
      </c>
      <c r="C8" t="s">
        <v>57</v>
      </c>
      <c r="D8" s="8"/>
    </row>
    <row r="9" spans="2:12" x14ac:dyDescent="0.25">
      <c r="B9" t="s">
        <v>54</v>
      </c>
      <c r="C9" t="s">
        <v>58</v>
      </c>
      <c r="D9" s="8"/>
    </row>
    <row r="10" spans="2:12" x14ac:dyDescent="0.25">
      <c r="B10" t="s">
        <v>55</v>
      </c>
      <c r="C10" t="s">
        <v>58</v>
      </c>
      <c r="D10" s="8"/>
    </row>
    <row r="11" spans="2:12" x14ac:dyDescent="0.25">
      <c r="B11" t="s">
        <v>59</v>
      </c>
      <c r="C11" t="s">
        <v>60</v>
      </c>
      <c r="D11" s="101"/>
    </row>
    <row r="12" spans="2:12" x14ac:dyDescent="0.25">
      <c r="B12" t="s">
        <v>61</v>
      </c>
      <c r="C12" t="s">
        <v>60</v>
      </c>
      <c r="D12" s="8"/>
    </row>
    <row r="16" spans="2:12" s="121" customFormat="1" ht="409.5" x14ac:dyDescent="0.25">
      <c r="G16" s="238" t="s">
        <v>2</v>
      </c>
      <c r="H16" s="238" t="s">
        <v>177</v>
      </c>
      <c r="I16" s="238" t="s">
        <v>163</v>
      </c>
      <c r="J16" s="238" t="s">
        <v>164</v>
      </c>
      <c r="K16" s="238" t="s">
        <v>178</v>
      </c>
      <c r="L16" s="238" t="s">
        <v>346</v>
      </c>
    </row>
    <row r="17" spans="7:12" ht="24" x14ac:dyDescent="0.4">
      <c r="G17" s="233" t="s">
        <v>165</v>
      </c>
      <c r="H17" s="234">
        <v>9566.2999999999993</v>
      </c>
      <c r="I17" s="235">
        <v>0.2</v>
      </c>
      <c r="J17" s="233"/>
      <c r="K17" s="233"/>
      <c r="L17" s="468"/>
    </row>
    <row r="18" spans="7:12" ht="24" x14ac:dyDescent="0.4">
      <c r="G18" s="233" t="s">
        <v>166</v>
      </c>
      <c r="H18" s="234">
        <v>7967.8</v>
      </c>
      <c r="I18" s="235">
        <v>0.2</v>
      </c>
      <c r="J18" s="233"/>
      <c r="K18" s="233"/>
      <c r="L18" s="468"/>
    </row>
    <row r="19" spans="7:12" ht="24" x14ac:dyDescent="0.4">
      <c r="G19" s="233" t="s">
        <v>167</v>
      </c>
      <c r="H19" s="234">
        <v>9272</v>
      </c>
      <c r="I19" s="235">
        <v>0.2</v>
      </c>
      <c r="J19" s="236">
        <f>I19*H19</f>
        <v>1854.4</v>
      </c>
      <c r="K19" s="237">
        <f>H19+J19</f>
        <v>11126.4</v>
      </c>
      <c r="L19" s="468"/>
    </row>
    <row r="20" spans="7:12" ht="24" x14ac:dyDescent="0.4">
      <c r="G20" s="233" t="s">
        <v>168</v>
      </c>
      <c r="H20" s="237">
        <f>K19</f>
        <v>11126.4</v>
      </c>
      <c r="I20" s="235">
        <v>0.2</v>
      </c>
      <c r="J20" s="236">
        <f t="shared" ref="J20:J28" si="0">I20*H20</f>
        <v>2225.2800000000002</v>
      </c>
      <c r="K20" s="237">
        <f t="shared" ref="K20:K28" si="1">H20+J20</f>
        <v>13351.68</v>
      </c>
      <c r="L20" s="469">
        <v>100062</v>
      </c>
    </row>
    <row r="21" spans="7:12" ht="24" x14ac:dyDescent="0.4">
      <c r="G21" s="233" t="s">
        <v>169</v>
      </c>
      <c r="H21" s="237">
        <f t="shared" ref="H21:H28" si="2">K20</f>
        <v>13351.68</v>
      </c>
      <c r="I21" s="235">
        <v>0.2</v>
      </c>
      <c r="J21" s="236">
        <f t="shared" si="0"/>
        <v>2670.3360000000002</v>
      </c>
      <c r="K21" s="237">
        <f t="shared" si="1"/>
        <v>16022.016</v>
      </c>
      <c r="L21" s="468"/>
    </row>
    <row r="22" spans="7:12" ht="24" x14ac:dyDescent="0.4">
      <c r="G22" s="233" t="s">
        <v>170</v>
      </c>
      <c r="H22" s="237">
        <f t="shared" si="2"/>
        <v>16022.016</v>
      </c>
      <c r="I22" s="235">
        <v>0.2</v>
      </c>
      <c r="J22" s="236">
        <f t="shared" si="0"/>
        <v>3204.4032000000002</v>
      </c>
      <c r="K22" s="237">
        <f t="shared" si="1"/>
        <v>19226.4192</v>
      </c>
      <c r="L22" s="468"/>
    </row>
    <row r="23" spans="7:12" ht="24" x14ac:dyDescent="0.4">
      <c r="G23" s="233" t="s">
        <v>171</v>
      </c>
      <c r="H23" s="237">
        <f t="shared" si="2"/>
        <v>19226.4192</v>
      </c>
      <c r="I23" s="235">
        <v>0.2</v>
      </c>
      <c r="J23" s="236">
        <f t="shared" si="0"/>
        <v>3845.2838400000001</v>
      </c>
      <c r="K23" s="237">
        <f t="shared" si="1"/>
        <v>23071.70304</v>
      </c>
      <c r="L23" s="468"/>
    </row>
    <row r="24" spans="7:12" ht="24" x14ac:dyDescent="0.4">
      <c r="G24" s="233" t="s">
        <v>172</v>
      </c>
      <c r="H24" s="237">
        <f t="shared" si="2"/>
        <v>23071.70304</v>
      </c>
      <c r="I24" s="235">
        <v>0.2</v>
      </c>
      <c r="J24" s="236">
        <f t="shared" si="0"/>
        <v>4614.3406080000004</v>
      </c>
      <c r="K24" s="237">
        <f t="shared" si="1"/>
        <v>27686.043647999999</v>
      </c>
      <c r="L24" s="468"/>
    </row>
    <row r="25" spans="7:12" ht="24" x14ac:dyDescent="0.4">
      <c r="G25" s="233" t="s">
        <v>173</v>
      </c>
      <c r="H25" s="237">
        <f t="shared" si="2"/>
        <v>27686.043647999999</v>
      </c>
      <c r="I25" s="235">
        <v>0.2</v>
      </c>
      <c r="J25" s="236">
        <f t="shared" si="0"/>
        <v>5537.2087296</v>
      </c>
      <c r="K25" s="237">
        <f t="shared" si="1"/>
        <v>33223.252377600002</v>
      </c>
      <c r="L25" s="468"/>
    </row>
    <row r="26" spans="7:12" ht="24" x14ac:dyDescent="0.4">
      <c r="G26" s="233" t="s">
        <v>174</v>
      </c>
      <c r="H26" s="237">
        <f t="shared" si="2"/>
        <v>33223.252377600002</v>
      </c>
      <c r="I26" s="235">
        <v>0.2</v>
      </c>
      <c r="J26" s="236">
        <f t="shared" si="0"/>
        <v>6644.6504755200003</v>
      </c>
      <c r="K26" s="237">
        <f t="shared" si="1"/>
        <v>39867.902853120002</v>
      </c>
      <c r="L26" s="468"/>
    </row>
    <row r="27" spans="7:12" ht="24" x14ac:dyDescent="0.4">
      <c r="G27" s="233" t="s">
        <v>175</v>
      </c>
      <c r="H27" s="237">
        <f t="shared" si="2"/>
        <v>39867.902853120002</v>
      </c>
      <c r="I27" s="235">
        <v>0.2</v>
      </c>
      <c r="J27" s="236">
        <f t="shared" si="0"/>
        <v>7973.5805706240008</v>
      </c>
      <c r="K27" s="237">
        <f t="shared" si="1"/>
        <v>47841.483423744001</v>
      </c>
      <c r="L27" s="468"/>
    </row>
    <row r="28" spans="7:12" ht="24" x14ac:dyDescent="0.4">
      <c r="G28" s="233" t="s">
        <v>176</v>
      </c>
      <c r="H28" s="237">
        <f t="shared" si="2"/>
        <v>47841.483423744001</v>
      </c>
      <c r="I28" s="235">
        <v>0.2</v>
      </c>
      <c r="J28" s="236">
        <f t="shared" si="0"/>
        <v>9568.2966847488005</v>
      </c>
      <c r="K28" s="237">
        <f t="shared" si="1"/>
        <v>57409.7801084928</v>
      </c>
      <c r="L28" s="468"/>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EA6C-39E5-49C9-AF53-312C57447703}">
  <sheetPr>
    <tabColor rgb="FF002060"/>
  </sheetPr>
  <dimension ref="A1"/>
  <sheetViews>
    <sheetView showGridLines="0" zoomScale="50" zoomScaleNormal="50" workbookViewId="0">
      <selection activeCell="AU40" sqref="AU4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22C91-B6F9-4929-BC6D-8CC53C449332}">
  <dimension ref="D3:I9"/>
  <sheetViews>
    <sheetView topLeftCell="C1" workbookViewId="0">
      <selection activeCell="D4" sqref="D4:I9"/>
    </sheetView>
  </sheetViews>
  <sheetFormatPr defaultRowHeight="15" x14ac:dyDescent="0.25"/>
  <cols>
    <col min="3" max="3" width="62.42578125" customWidth="1"/>
    <col min="4" max="4" width="36.42578125" bestFit="1" customWidth="1"/>
    <col min="5" max="5" width="20.5703125" bestFit="1" customWidth="1"/>
    <col min="6" max="6" width="11.85546875" bestFit="1" customWidth="1"/>
    <col min="7" max="7" width="12.7109375" bestFit="1" customWidth="1"/>
    <col min="8" max="8" width="12.140625" bestFit="1" customWidth="1"/>
    <col min="9" max="9" width="14.5703125" bestFit="1" customWidth="1"/>
    <col min="10" max="23" width="37.42578125" bestFit="1" customWidth="1"/>
    <col min="24" max="24" width="35.140625" bestFit="1" customWidth="1"/>
    <col min="25" max="25" width="37.28515625" bestFit="1" customWidth="1"/>
    <col min="26" max="26" width="41.7109375" bestFit="1" customWidth="1"/>
    <col min="27" max="27" width="34.7109375" bestFit="1" customWidth="1"/>
    <col min="28" max="28" width="42.5703125" bestFit="1" customWidth="1"/>
  </cols>
  <sheetData>
    <row r="3" spans="4:9" s="365" customFormat="1" ht="19.5" x14ac:dyDescent="0.35">
      <c r="D3" s="366"/>
      <c r="E3" s="366" t="s">
        <v>78</v>
      </c>
      <c r="F3" s="366"/>
      <c r="G3" s="366"/>
      <c r="H3" s="366"/>
      <c r="I3" s="366"/>
    </row>
    <row r="4" spans="4:9" s="372" customFormat="1" ht="18.75" x14ac:dyDescent="0.25">
      <c r="D4" s="371" t="s">
        <v>130</v>
      </c>
      <c r="E4" s="196" t="s">
        <v>140</v>
      </c>
      <c r="F4" s="196" t="s">
        <v>141</v>
      </c>
      <c r="G4" s="196" t="s">
        <v>142</v>
      </c>
      <c r="H4" s="196" t="s">
        <v>180</v>
      </c>
      <c r="I4" s="196" t="s">
        <v>11</v>
      </c>
    </row>
    <row r="5" spans="4:9" ht="19.5" x14ac:dyDescent="0.35">
      <c r="D5" s="367" t="s">
        <v>328</v>
      </c>
      <c r="E5" s="280">
        <v>9566.2999999999993</v>
      </c>
      <c r="F5" s="280">
        <v>7967.8</v>
      </c>
      <c r="G5" s="280">
        <v>9277</v>
      </c>
      <c r="H5" s="280">
        <v>10062.870000000001</v>
      </c>
      <c r="I5" s="280">
        <v>36873.97</v>
      </c>
    </row>
    <row r="6" spans="4:9" ht="19.5" x14ac:dyDescent="0.35">
      <c r="D6" s="368" t="s">
        <v>317</v>
      </c>
      <c r="E6" s="280">
        <v>9270</v>
      </c>
      <c r="F6" s="280">
        <v>11758</v>
      </c>
      <c r="G6" s="280">
        <v>8985</v>
      </c>
      <c r="H6" s="280">
        <v>8373</v>
      </c>
      <c r="I6" s="280">
        <v>38386</v>
      </c>
    </row>
    <row r="7" spans="4:9" ht="19.5" x14ac:dyDescent="0.35">
      <c r="D7" s="370" t="s">
        <v>324</v>
      </c>
      <c r="E7" s="280">
        <v>413.39999999999964</v>
      </c>
      <c r="F7" s="280">
        <v>1102.2000000000007</v>
      </c>
      <c r="G7" s="280">
        <v>539.10000000000036</v>
      </c>
      <c r="H7" s="280">
        <v>215.96999999999935</v>
      </c>
      <c r="I7" s="280">
        <v>2270.67</v>
      </c>
    </row>
    <row r="8" spans="4:9" ht="19.5" x14ac:dyDescent="0.35">
      <c r="D8" s="369" t="s">
        <v>327</v>
      </c>
      <c r="E8" s="280">
        <v>5257</v>
      </c>
      <c r="F8" s="280">
        <v>5139.8999999999996</v>
      </c>
      <c r="G8" s="280">
        <v>247.5</v>
      </c>
      <c r="H8" s="280">
        <v>0.3999999999996362</v>
      </c>
      <c r="I8" s="280">
        <v>10644.8</v>
      </c>
    </row>
    <row r="9" spans="4:9" ht="19.5" x14ac:dyDescent="0.35">
      <c r="D9" s="414" t="s">
        <v>326</v>
      </c>
      <c r="E9" s="280">
        <v>5139.8999999999996</v>
      </c>
      <c r="F9" s="280">
        <v>247.5</v>
      </c>
      <c r="G9" s="280">
        <v>0.3999999999996362</v>
      </c>
      <c r="H9" s="280">
        <v>1474.3000000000011</v>
      </c>
      <c r="I9" s="280">
        <v>6862.1</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A867E-1C0D-4D30-B0AC-70119F2F972A}">
  <dimension ref="A1"/>
  <sheetViews>
    <sheetView workbookViewId="0">
      <selection activeCell="A19" sqref="A19"/>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D7BC8-BDCB-46CE-85B3-F5E3FD2FF3C5}">
  <sheetPr>
    <tabColor rgb="FF002060"/>
  </sheetPr>
  <dimension ref="AN8"/>
  <sheetViews>
    <sheetView showGridLines="0" zoomScale="40" zoomScaleNormal="40" workbookViewId="0">
      <selection activeCell="R61" sqref="R61"/>
    </sheetView>
  </sheetViews>
  <sheetFormatPr defaultRowHeight="15" x14ac:dyDescent="0.25"/>
  <cols>
    <col min="40" max="40" width="9.140625" customWidth="1"/>
  </cols>
  <sheetData>
    <row r="8" spans="40:40" ht="23.25" x14ac:dyDescent="0.25">
      <c r="AN8" s="23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8ED3-32E6-4A57-AB70-A868C904ACF0}">
  <sheetPr>
    <tabColor rgb="FF002060"/>
  </sheetPr>
  <dimension ref="A1"/>
  <sheetViews>
    <sheetView showGridLines="0" zoomScale="40" zoomScaleNormal="40" zoomScaleSheetLayoutView="40" workbookViewId="0">
      <selection activeCell="AH59" sqref="AH59"/>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F77E-4A08-413A-93C6-FF545A83F828}">
  <sheetPr>
    <tabColor rgb="FF002060"/>
  </sheetPr>
  <dimension ref="A1"/>
  <sheetViews>
    <sheetView showGridLines="0" zoomScale="50" zoomScaleNormal="50" workbookViewId="0">
      <selection activeCell="S45" sqref="S4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15989-5D61-43E9-94AB-A8E14B59368C}">
  <sheetPr>
    <tabColor theme="8" tint="0.59999389629810485"/>
  </sheetPr>
  <dimension ref="A1:T392"/>
  <sheetViews>
    <sheetView tabSelected="1" zoomScale="60" zoomScaleNormal="60" workbookViewId="0">
      <selection activeCell="H4" sqref="H4"/>
    </sheetView>
  </sheetViews>
  <sheetFormatPr defaultRowHeight="23.25" x14ac:dyDescent="0.35"/>
  <cols>
    <col min="1" max="1" width="11.28515625" bestFit="1" customWidth="1"/>
    <col min="2" max="2" width="22.28515625" style="358" bestFit="1" customWidth="1"/>
    <col min="3" max="3" width="12.5703125" customWidth="1"/>
    <col min="4" max="4" width="19.140625" style="6" bestFit="1" customWidth="1"/>
    <col min="5" max="5" width="12.140625" bestFit="1" customWidth="1"/>
    <col min="6" max="6" width="15.42578125" style="3" bestFit="1" customWidth="1"/>
    <col min="7" max="7" width="10.42578125" bestFit="1" customWidth="1"/>
    <col min="8" max="8" width="49.5703125" customWidth="1"/>
    <col min="9" max="9" width="35.5703125" customWidth="1"/>
    <col min="10" max="10" width="18.5703125" bestFit="1" customWidth="1"/>
    <col min="11" max="11" width="16.140625" style="78" customWidth="1"/>
    <col min="12" max="12" width="27.140625" style="302" bestFit="1" customWidth="1"/>
    <col min="13" max="13" width="24" style="303" bestFit="1" customWidth="1"/>
    <col min="14" max="14" width="25.28515625" style="302" bestFit="1" customWidth="1"/>
    <col min="15" max="15" width="20.140625" bestFit="1" customWidth="1"/>
    <col min="20" max="20" width="48.7109375" customWidth="1"/>
  </cols>
  <sheetData>
    <row r="1" spans="2:20" ht="37.5" customHeight="1" x14ac:dyDescent="0.25">
      <c r="B1" s="464" t="s">
        <v>318</v>
      </c>
      <c r="C1" s="464"/>
      <c r="D1" s="464"/>
      <c r="E1" s="464"/>
      <c r="F1" s="464"/>
      <c r="G1" s="464"/>
      <c r="H1" s="464"/>
      <c r="I1" s="464"/>
      <c r="J1" s="464"/>
      <c r="K1" s="464"/>
      <c r="L1" s="465"/>
      <c r="M1" s="466"/>
      <c r="N1" s="465"/>
      <c r="O1" s="467"/>
    </row>
    <row r="3" spans="2:20" s="6" customFormat="1" ht="48" customHeight="1" thickBot="1" x14ac:dyDescent="0.3">
      <c r="B3" s="356" t="s">
        <v>62</v>
      </c>
      <c r="C3" s="345" t="s">
        <v>0</v>
      </c>
      <c r="D3" s="345" t="s">
        <v>119</v>
      </c>
      <c r="E3" s="345" t="s">
        <v>1</v>
      </c>
      <c r="F3" s="346" t="s">
        <v>2</v>
      </c>
      <c r="G3" s="345" t="s">
        <v>3</v>
      </c>
      <c r="H3" s="345" t="s">
        <v>4</v>
      </c>
      <c r="I3" s="345" t="s">
        <v>5</v>
      </c>
      <c r="J3" s="345" t="s">
        <v>6</v>
      </c>
      <c r="K3" s="347" t="s">
        <v>319</v>
      </c>
      <c r="L3" s="348" t="s">
        <v>291</v>
      </c>
      <c r="M3" s="350" t="s">
        <v>292</v>
      </c>
      <c r="N3" s="349" t="s">
        <v>293</v>
      </c>
      <c r="O3" s="345" t="s">
        <v>294</v>
      </c>
    </row>
    <row r="4" spans="2:20" ht="21.75" thickBot="1" x14ac:dyDescent="0.4">
      <c r="B4" s="357">
        <v>44204</v>
      </c>
      <c r="C4" s="353">
        <v>2</v>
      </c>
      <c r="D4" s="171" t="str">
        <f t="shared" ref="D4:D67" si="0">IF(F:F="(01) JAN","Q1",IF(F:F="(02) FEB","Q1",IF(F:F="(03) MAR","Q1",IF(F:F="(04) APR","Q2",IF(F:F="(05) MEI","Q2",IF(F:F="(06) JUN","Q2",IF(F:F="(07) JUL","Q3",IF(F:F="(08) AGU","Q3",IF(F:F="(09) SEP","Q3",IF(F:F="(10) OKT","Q4",IF(F:F="(11) NOV","Q4",IF(F:F="(12) DES","Q4"))))))))))))</f>
        <v>Q1</v>
      </c>
      <c r="E4" s="353">
        <v>8</v>
      </c>
      <c r="F4" s="221" t="s">
        <v>140</v>
      </c>
      <c r="G4" s="170">
        <v>2021</v>
      </c>
      <c r="H4" s="352" t="s">
        <v>360</v>
      </c>
      <c r="I4" s="170" t="s">
        <v>7</v>
      </c>
      <c r="J4" s="170" t="s">
        <v>8</v>
      </c>
      <c r="K4" s="354">
        <v>19</v>
      </c>
      <c r="L4" s="304">
        <f>UBC_MASUK[[#This Row],[Tg Bulan]]/SUM(COUNTIFS(F:F,"(01) JAN",I:I,"TPS3R",G:G,"2021"))</f>
        <v>130.47777777777767</v>
      </c>
      <c r="M4" s="351" t="str">
        <f t="shared" ref="M4:M67" si="1">IF(I:I="TPS3R","391,433333333333",IF(I:I="TPST3R","1222,225",IF(I:I="TPA","878,975",IF(I:I="Sekolah","64,775",IF(I:I="Pengepul","11981,20833",IF(I:I="Jasa sampah","3712,433333",IF(I:I="Hotel","201,4083333",IF(I:I="EB Residential Service","863,7333333",IF(I:I="Bisnis","1158,2",IF(I:I="Bank Sampah Unit","79,46666667",IF(I:I="Bank Sampah Induk","279,475")))))))))))</f>
        <v>391,433333333333</v>
      </c>
      <c r="N4" s="304">
        <f>UBC_MASUK[[#This Row],[Tg Tahun]]/SUM(COUNTIFS(G:G,"2021",I:I,"TPS3R"))</f>
        <v>418.83636363636361</v>
      </c>
      <c r="O4" s="170" t="str">
        <f t="shared" ref="O4:O67" si="2">IF(I:I="TPS3R","4607,2",IF(I:I="TPST3R","14666,7",IF(I:I="TPA","10547,7",IF(I:I="Sekolah","777,3",IF(I:I="Pengepul","143774,5",IF(I:I="Jasa sampah","44549,2",IF(I:I="Hotel","2416,9",IF(I:I="EB Residential Service","10364,8",IF(I:I="Bisnis","13898,4",IF(I:I="Bank Sampah Unit","953,6",IF(I:I="Bank Sampah Induk","3353,7")))))))))))</f>
        <v>4607,2</v>
      </c>
      <c r="T4" s="457" t="s">
        <v>339</v>
      </c>
    </row>
    <row r="5" spans="2:20" ht="21.75" thickBot="1" x14ac:dyDescent="0.4">
      <c r="B5" s="357">
        <v>44204</v>
      </c>
      <c r="C5" s="353">
        <v>2</v>
      </c>
      <c r="D5" s="171" t="str">
        <f t="shared" si="0"/>
        <v>Q1</v>
      </c>
      <c r="E5" s="353">
        <v>8</v>
      </c>
      <c r="F5" s="221" t="s">
        <v>140</v>
      </c>
      <c r="G5" s="170">
        <v>2021</v>
      </c>
      <c r="H5" s="352" t="s">
        <v>359</v>
      </c>
      <c r="I5" s="170" t="s">
        <v>7</v>
      </c>
      <c r="J5" s="170" t="s">
        <v>9</v>
      </c>
      <c r="K5" s="354">
        <v>16</v>
      </c>
      <c r="L5" s="304">
        <f>UBC_MASUK[[#This Row],[Tg Bulan]]/SUM(COUNTIFS(F:F,"(01) JAN",I:I,"TPS3R",G:G,"2021"))</f>
        <v>130.47777777777767</v>
      </c>
      <c r="M5" s="351" t="str">
        <f t="shared" si="1"/>
        <v>391,433333333333</v>
      </c>
      <c r="N5" s="304">
        <f>UBC_MASUK[[#This Row],[Tg Tahun]]/SUM(COUNTIFS(G:G,"2021",I:I,"TPS3R"))</f>
        <v>418.83636363636361</v>
      </c>
      <c r="O5" s="170" t="str">
        <f t="shared" si="2"/>
        <v>4607,2</v>
      </c>
      <c r="T5" s="458" t="s">
        <v>340</v>
      </c>
    </row>
    <row r="6" spans="2:20" ht="21.75" thickBot="1" x14ac:dyDescent="0.4">
      <c r="B6" s="357">
        <v>44211</v>
      </c>
      <c r="C6" s="353">
        <v>3</v>
      </c>
      <c r="D6" s="171" t="str">
        <f t="shared" si="0"/>
        <v>Q1</v>
      </c>
      <c r="E6" s="353">
        <v>15</v>
      </c>
      <c r="F6" s="221" t="s">
        <v>140</v>
      </c>
      <c r="G6" s="170">
        <v>2021</v>
      </c>
      <c r="H6" s="352" t="s">
        <v>10</v>
      </c>
      <c r="I6" s="170" t="s">
        <v>7</v>
      </c>
      <c r="J6" s="170" t="s">
        <v>8</v>
      </c>
      <c r="K6" s="354">
        <v>110</v>
      </c>
      <c r="L6" s="304">
        <f>UBC_MASUK[[#This Row],[Tg Bulan]]/SUM(COUNTIFS(F:F,"(01) JAN",I:I,"TPS3R",G:G,"2021"))</f>
        <v>130.47777777777767</v>
      </c>
      <c r="M6" s="351" t="str">
        <f t="shared" si="1"/>
        <v>391,433333333333</v>
      </c>
      <c r="N6" s="304">
        <f>UBC_MASUK[[#This Row],[Tg Tahun]]/SUM(COUNTIFS(G:G,"2021",I:I,"TPS3R"))</f>
        <v>418.83636363636361</v>
      </c>
      <c r="O6" s="170" t="str">
        <f t="shared" si="2"/>
        <v>4607,2</v>
      </c>
      <c r="T6" s="459" t="s">
        <v>341</v>
      </c>
    </row>
    <row r="7" spans="2:20" ht="21.75" thickBot="1" x14ac:dyDescent="0.4">
      <c r="B7" s="357">
        <v>44205</v>
      </c>
      <c r="C7" s="353">
        <v>2</v>
      </c>
      <c r="D7" s="171" t="str">
        <f t="shared" si="0"/>
        <v>Q1</v>
      </c>
      <c r="E7" s="353">
        <v>9</v>
      </c>
      <c r="F7" s="221" t="s">
        <v>140</v>
      </c>
      <c r="G7" s="170">
        <v>2021</v>
      </c>
      <c r="H7" s="352" t="s">
        <v>137</v>
      </c>
      <c r="I7" s="170" t="s">
        <v>13</v>
      </c>
      <c r="J7" s="170" t="s">
        <v>8</v>
      </c>
      <c r="K7" s="354">
        <v>68</v>
      </c>
      <c r="L7" s="304">
        <f>UBC_MASUK[[#This Row],[Tg Bulan]]/SUM(COUNTIFS(F:F,"(01) JAN",I:I,"TPST3R",G:G,"2021"))</f>
        <v>407.4083333333333</v>
      </c>
      <c r="M7" s="351" t="str">
        <f t="shared" si="1"/>
        <v>1222,225</v>
      </c>
      <c r="N7" s="304">
        <f>UBC_MASUK[[#This Row],[Tg Tahun]]/SUM(COUNTIFS(G:G,"2021",I:I,"TPST3R"))</f>
        <v>1333.3363636363638</v>
      </c>
      <c r="O7" s="170" t="str">
        <f t="shared" si="2"/>
        <v>14666,7</v>
      </c>
      <c r="T7" s="460" t="s">
        <v>342</v>
      </c>
    </row>
    <row r="8" spans="2:20" ht="21.75" thickBot="1" x14ac:dyDescent="0.4">
      <c r="B8" s="357">
        <v>44210</v>
      </c>
      <c r="C8" s="353">
        <v>2</v>
      </c>
      <c r="D8" s="171" t="str">
        <f t="shared" si="0"/>
        <v>Q1</v>
      </c>
      <c r="E8" s="353">
        <v>14</v>
      </c>
      <c r="F8" s="221" t="s">
        <v>140</v>
      </c>
      <c r="G8" s="170">
        <v>2021</v>
      </c>
      <c r="H8" s="352" t="s">
        <v>12</v>
      </c>
      <c r="I8" s="170" t="s">
        <v>13</v>
      </c>
      <c r="J8" s="170" t="s">
        <v>14</v>
      </c>
      <c r="K8" s="354">
        <v>153</v>
      </c>
      <c r="L8" s="304">
        <f>UBC_MASUK[[#This Row],[Tg Bulan]]/SUM(COUNTIFS(F:F,"(01) JAN",I:I,"TPST3R",G:G,"2021"))</f>
        <v>407.4083333333333</v>
      </c>
      <c r="M8" s="351" t="str">
        <f t="shared" si="1"/>
        <v>1222,225</v>
      </c>
      <c r="N8" s="304">
        <f>UBC_MASUK[[#This Row],[Tg Tahun]]/SUM(COUNTIFS(G:G,"2021",I:I,"TPST3R"))</f>
        <v>1333.3363636363638</v>
      </c>
      <c r="O8" s="170" t="str">
        <f t="shared" si="2"/>
        <v>14666,7</v>
      </c>
      <c r="T8" s="461" t="s">
        <v>343</v>
      </c>
    </row>
    <row r="9" spans="2:20" ht="21.75" thickBot="1" x14ac:dyDescent="0.4">
      <c r="B9" s="357">
        <v>44225</v>
      </c>
      <c r="C9" s="353">
        <v>5</v>
      </c>
      <c r="D9" s="171" t="str">
        <f t="shared" si="0"/>
        <v>Q1</v>
      </c>
      <c r="E9" s="353">
        <v>29</v>
      </c>
      <c r="F9" s="221" t="s">
        <v>140</v>
      </c>
      <c r="G9" s="170">
        <v>2021</v>
      </c>
      <c r="H9" s="352" t="s">
        <v>12</v>
      </c>
      <c r="I9" s="170" t="s">
        <v>13</v>
      </c>
      <c r="J9" s="170" t="s">
        <v>14</v>
      </c>
      <c r="K9" s="354">
        <v>157</v>
      </c>
      <c r="L9" s="304">
        <f>UBC_MASUK[[#This Row],[Tg Bulan]]/SUM(COUNTIFS(F:F,"(01) JAN",I:I,"TPST3R",G:G,"2021"))</f>
        <v>407.4083333333333</v>
      </c>
      <c r="M9" s="351" t="str">
        <f t="shared" si="1"/>
        <v>1222,225</v>
      </c>
      <c r="N9" s="304">
        <f>UBC_MASUK[[#This Row],[Tg Tahun]]/SUM(COUNTIFS(G:G,"2021",I:I,"TPST3R"))</f>
        <v>1333.3363636363638</v>
      </c>
      <c r="O9" s="170" t="str">
        <f t="shared" si="2"/>
        <v>14666,7</v>
      </c>
      <c r="T9" s="462" t="s">
        <v>344</v>
      </c>
    </row>
    <row r="10" spans="2:20" ht="21.75" thickBot="1" x14ac:dyDescent="0.4">
      <c r="B10" s="357">
        <v>44204</v>
      </c>
      <c r="C10" s="353">
        <v>2</v>
      </c>
      <c r="D10" s="171" t="str">
        <f t="shared" si="0"/>
        <v>Q1</v>
      </c>
      <c r="E10" s="353">
        <v>8</v>
      </c>
      <c r="F10" s="221" t="s">
        <v>140</v>
      </c>
      <c r="G10" s="170">
        <v>2021</v>
      </c>
      <c r="H10" s="352" t="s">
        <v>15</v>
      </c>
      <c r="I10" s="170" t="s">
        <v>16</v>
      </c>
      <c r="J10" s="170" t="s">
        <v>14</v>
      </c>
      <c r="K10" s="354">
        <v>548</v>
      </c>
      <c r="L10" s="304">
        <f>UBC_MASUK[[#This Row],[Tg Bulan]]/SUM(COUNTIFS(F:F,"(01) JAN",I:I,"TPA",G:G,"2021"))</f>
        <v>878.97500000000002</v>
      </c>
      <c r="M10" s="351" t="str">
        <f t="shared" si="1"/>
        <v>878,975</v>
      </c>
      <c r="N10" s="304">
        <f>UBC_MASUK[[#This Row],[Tg Tahun]]/SUM(COUNTIFS(G:G,"2021",I:I,"TPA"))</f>
        <v>1757.95</v>
      </c>
      <c r="O10" s="170" t="str">
        <f t="shared" si="2"/>
        <v>10547,7</v>
      </c>
      <c r="T10" s="463" t="s">
        <v>345</v>
      </c>
    </row>
    <row r="11" spans="2:20" ht="21" x14ac:dyDescent="0.35">
      <c r="B11" s="357">
        <v>44205</v>
      </c>
      <c r="C11" s="353">
        <v>2</v>
      </c>
      <c r="D11" s="171" t="str">
        <f t="shared" si="0"/>
        <v>Q1</v>
      </c>
      <c r="E11" s="353">
        <v>9</v>
      </c>
      <c r="F11" s="221" t="s">
        <v>140</v>
      </c>
      <c r="G11" s="170">
        <v>2021</v>
      </c>
      <c r="H11" s="118" t="s">
        <v>17</v>
      </c>
      <c r="I11" s="170" t="s">
        <v>18</v>
      </c>
      <c r="J11" s="170" t="s">
        <v>19</v>
      </c>
      <c r="K11" s="222">
        <v>339</v>
      </c>
      <c r="L11" s="304">
        <f>UBC_MASUK[[#This Row],[Tg Bulan]]/SUM(COUNTIFS(F:F,"(01) JAN",I:I,"Pengepul",G:G,"2021"))</f>
        <v>1497.6510412499999</v>
      </c>
      <c r="M11" s="351" t="str">
        <f t="shared" si="1"/>
        <v>11981,20833</v>
      </c>
      <c r="N11" s="304">
        <f>UBC_MASUK[[#This Row],[Tg Tahun]]/SUM(COUNTIFS(G:G,"2021",I:I,"Pengepul"))</f>
        <v>4228.661764705882</v>
      </c>
      <c r="O11" s="170" t="str">
        <f t="shared" si="2"/>
        <v>143774,5</v>
      </c>
    </row>
    <row r="12" spans="2:20" ht="21" x14ac:dyDescent="0.35">
      <c r="B12" s="357">
        <v>44207</v>
      </c>
      <c r="C12" s="353">
        <v>2</v>
      </c>
      <c r="D12" s="171" t="str">
        <f t="shared" si="0"/>
        <v>Q1</v>
      </c>
      <c r="E12" s="353">
        <v>11</v>
      </c>
      <c r="F12" s="221" t="s">
        <v>140</v>
      </c>
      <c r="G12" s="170">
        <v>2021</v>
      </c>
      <c r="H12" s="118" t="s">
        <v>22</v>
      </c>
      <c r="I12" s="170" t="s">
        <v>18</v>
      </c>
      <c r="J12" s="170" t="s">
        <v>19</v>
      </c>
      <c r="K12" s="222">
        <v>1485</v>
      </c>
      <c r="L12" s="304">
        <f>UBC_MASUK[[#This Row],[Tg Bulan]]/SUM(COUNTIFS(F:F,"(01) JAN",I:I,"Pengepul",G:G,"2021"))</f>
        <v>1497.6510412499999</v>
      </c>
      <c r="M12" s="351" t="str">
        <f t="shared" si="1"/>
        <v>11981,20833</v>
      </c>
      <c r="N12" s="304">
        <f>UBC_MASUK[[#This Row],[Tg Tahun]]/SUM(COUNTIFS(G:G,"2021",I:I,"Pengepul"))</f>
        <v>4228.661764705882</v>
      </c>
      <c r="O12" s="170" t="str">
        <f t="shared" si="2"/>
        <v>143774,5</v>
      </c>
    </row>
    <row r="13" spans="2:20" ht="21" x14ac:dyDescent="0.35">
      <c r="B13" s="357">
        <v>44216</v>
      </c>
      <c r="C13" s="353">
        <v>3</v>
      </c>
      <c r="D13" s="171" t="str">
        <f t="shared" si="0"/>
        <v>Q1</v>
      </c>
      <c r="E13" s="353">
        <v>20</v>
      </c>
      <c r="F13" s="221" t="s">
        <v>140</v>
      </c>
      <c r="G13" s="170">
        <v>2021</v>
      </c>
      <c r="H13" s="118" t="s">
        <v>23</v>
      </c>
      <c r="I13" s="170" t="s">
        <v>18</v>
      </c>
      <c r="J13" s="170" t="s">
        <v>19</v>
      </c>
      <c r="K13" s="222">
        <v>340</v>
      </c>
      <c r="L13" s="304">
        <f>UBC_MASUK[[#This Row],[Tg Bulan]]/SUM(COUNTIFS(F:F,"(01) JAN",I:I,"Pengepul",G:G,"2021"))</f>
        <v>1497.6510412499999</v>
      </c>
      <c r="M13" s="351" t="str">
        <f t="shared" si="1"/>
        <v>11981,20833</v>
      </c>
      <c r="N13" s="304">
        <f>UBC_MASUK[[#This Row],[Tg Tahun]]/SUM(COUNTIFS(G:G,"2021",I:I,"Pengepul"))</f>
        <v>4228.661764705882</v>
      </c>
      <c r="O13" s="170" t="str">
        <f t="shared" si="2"/>
        <v>143774,5</v>
      </c>
    </row>
    <row r="14" spans="2:20" ht="21" x14ac:dyDescent="0.35">
      <c r="B14" s="357">
        <v>44223</v>
      </c>
      <c r="C14" s="353">
        <v>4</v>
      </c>
      <c r="D14" s="171" t="str">
        <f t="shared" si="0"/>
        <v>Q1</v>
      </c>
      <c r="E14" s="353">
        <v>27</v>
      </c>
      <c r="F14" s="221" t="s">
        <v>140</v>
      </c>
      <c r="G14" s="170">
        <v>2021</v>
      </c>
      <c r="H14" s="118" t="s">
        <v>22</v>
      </c>
      <c r="I14" s="170" t="s">
        <v>18</v>
      </c>
      <c r="J14" s="170" t="s">
        <v>19</v>
      </c>
      <c r="K14" s="222">
        <v>2460</v>
      </c>
      <c r="L14" s="304">
        <f>UBC_MASUK[[#This Row],[Tg Bulan]]/SUM(COUNTIFS(F:F,"(01) JAN",I:I,"Pengepul",G:G,"2021"))</f>
        <v>1497.6510412499999</v>
      </c>
      <c r="M14" s="351" t="str">
        <f t="shared" si="1"/>
        <v>11981,20833</v>
      </c>
      <c r="N14" s="304">
        <f>UBC_MASUK[[#This Row],[Tg Tahun]]/SUM(COUNTIFS(G:G,"2021",I:I,"Pengepul"))</f>
        <v>4228.661764705882</v>
      </c>
      <c r="O14" s="170" t="str">
        <f t="shared" si="2"/>
        <v>143774,5</v>
      </c>
    </row>
    <row r="15" spans="2:20" ht="21" x14ac:dyDescent="0.3">
      <c r="B15" s="357">
        <v>44226</v>
      </c>
      <c r="C15" s="353">
        <v>5</v>
      </c>
      <c r="D15" s="171" t="str">
        <f t="shared" si="0"/>
        <v>Q1</v>
      </c>
      <c r="E15" s="353">
        <v>30</v>
      </c>
      <c r="F15" s="221" t="s">
        <v>140</v>
      </c>
      <c r="G15" s="170">
        <v>2021</v>
      </c>
      <c r="H15" s="118" t="s">
        <v>17</v>
      </c>
      <c r="I15" s="170" t="s">
        <v>18</v>
      </c>
      <c r="J15" s="170" t="s">
        <v>19</v>
      </c>
      <c r="K15" s="223">
        <v>608</v>
      </c>
      <c r="L15" s="304">
        <f>UBC_MASUK[[#This Row],[Tg Bulan]]/SUM(COUNTIFS(F:F,"(01) JAN",I:I,"Pengepul",G:G,"2021"))</f>
        <v>1497.6510412499999</v>
      </c>
      <c r="M15" s="351" t="str">
        <f t="shared" si="1"/>
        <v>11981,20833</v>
      </c>
      <c r="N15" s="304">
        <f>UBC_MASUK[[#This Row],[Tg Tahun]]/SUM(COUNTIFS(G:G,"2021",I:I,"Pengepul"))</f>
        <v>4228.661764705882</v>
      </c>
      <c r="O15" s="170" t="str">
        <f t="shared" si="2"/>
        <v>143774,5</v>
      </c>
    </row>
    <row r="16" spans="2:20" ht="21" x14ac:dyDescent="0.3">
      <c r="B16" s="357">
        <v>44226</v>
      </c>
      <c r="C16" s="353">
        <v>5</v>
      </c>
      <c r="D16" s="171" t="str">
        <f t="shared" si="0"/>
        <v>Q1</v>
      </c>
      <c r="E16" s="353">
        <v>30</v>
      </c>
      <c r="F16" s="221" t="s">
        <v>140</v>
      </c>
      <c r="G16" s="170">
        <v>2021</v>
      </c>
      <c r="H16" s="118" t="s">
        <v>22</v>
      </c>
      <c r="I16" s="170" t="s">
        <v>18</v>
      </c>
      <c r="J16" s="170" t="s">
        <v>19</v>
      </c>
      <c r="K16" s="223">
        <v>890</v>
      </c>
      <c r="L16" s="304">
        <f>UBC_MASUK[[#This Row],[Tg Bulan]]/SUM(COUNTIFS(F:F,"(01) JAN",I:I,"Pengepul",G:G,"2021"))</f>
        <v>1497.6510412499999</v>
      </c>
      <c r="M16" s="351" t="str">
        <f t="shared" si="1"/>
        <v>11981,20833</v>
      </c>
      <c r="N16" s="304">
        <f>UBC_MASUK[[#This Row],[Tg Tahun]]/SUM(COUNTIFS(G:G,"2021",I:I,"Pengepul"))</f>
        <v>4228.661764705882</v>
      </c>
      <c r="O16" s="170" t="str">
        <f t="shared" si="2"/>
        <v>143774,5</v>
      </c>
    </row>
    <row r="17" spans="1:15" ht="21" x14ac:dyDescent="0.35">
      <c r="B17" s="357">
        <v>44198</v>
      </c>
      <c r="C17" s="353">
        <v>1</v>
      </c>
      <c r="D17" s="171" t="str">
        <f t="shared" si="0"/>
        <v>Q1</v>
      </c>
      <c r="E17" s="353">
        <v>2</v>
      </c>
      <c r="F17" s="221" t="s">
        <v>140</v>
      </c>
      <c r="G17" s="170">
        <v>2021</v>
      </c>
      <c r="H17" s="118" t="s">
        <v>24</v>
      </c>
      <c r="I17" s="170" t="s">
        <v>21</v>
      </c>
      <c r="J17" s="170" t="s">
        <v>19</v>
      </c>
      <c r="K17" s="222">
        <v>471</v>
      </c>
      <c r="L17" s="304">
        <f>UBC_MASUK[[#This Row],[Tg Bulan]]/SUM(COUNTIFS(F:F,"(01) JAN",I:I,"Jasa sampah",G:G,"2021"))</f>
        <v>742.48666660000004</v>
      </c>
      <c r="M17" s="351" t="str">
        <f t="shared" si="1"/>
        <v>3712,433333</v>
      </c>
      <c r="N17" s="304">
        <f>UBC_MASUK[[#This Row],[Tg Tahun]]/SUM(COUNTIFS(G:G,"2021",I:I,"Jasa sampah"))</f>
        <v>1856.2166666666665</v>
      </c>
      <c r="O17" s="170" t="str">
        <f t="shared" si="2"/>
        <v>44549,2</v>
      </c>
    </row>
    <row r="18" spans="1:15" ht="21" x14ac:dyDescent="0.35">
      <c r="B18" s="357">
        <v>44200</v>
      </c>
      <c r="C18" s="353">
        <v>1</v>
      </c>
      <c r="D18" s="171" t="str">
        <f t="shared" si="0"/>
        <v>Q1</v>
      </c>
      <c r="E18" s="353">
        <v>4</v>
      </c>
      <c r="F18" s="221" t="s">
        <v>140</v>
      </c>
      <c r="G18" s="170">
        <v>2021</v>
      </c>
      <c r="H18" s="118" t="s">
        <v>25</v>
      </c>
      <c r="I18" s="170" t="s">
        <v>18</v>
      </c>
      <c r="J18" s="170" t="s">
        <v>8</v>
      </c>
      <c r="K18" s="222">
        <v>429</v>
      </c>
      <c r="L18" s="304">
        <f>UBC_MASUK[[#This Row],[Tg Bulan]]/SUM(COUNTIFS(F:F,"(01) JAN",I:I,"Pengepul",G:G,"2021"))</f>
        <v>1497.6510412499999</v>
      </c>
      <c r="M18" s="351" t="str">
        <f t="shared" si="1"/>
        <v>11981,20833</v>
      </c>
      <c r="N18" s="304">
        <f>UBC_MASUK[[#This Row],[Tg Tahun]]/SUM(COUNTIFS(G:G,"2021",I:I,"Pengepul"))</f>
        <v>4228.661764705882</v>
      </c>
      <c r="O18" s="170" t="str">
        <f t="shared" si="2"/>
        <v>143774,5</v>
      </c>
    </row>
    <row r="19" spans="1:15" ht="21" x14ac:dyDescent="0.35">
      <c r="B19" s="357">
        <v>44204</v>
      </c>
      <c r="C19" s="353">
        <v>2</v>
      </c>
      <c r="D19" s="171" t="str">
        <f t="shared" si="0"/>
        <v>Q1</v>
      </c>
      <c r="E19" s="353">
        <v>8</v>
      </c>
      <c r="F19" s="221" t="s">
        <v>140</v>
      </c>
      <c r="G19" s="170">
        <v>2021</v>
      </c>
      <c r="H19" s="118" t="s">
        <v>26</v>
      </c>
      <c r="I19" s="170" t="s">
        <v>18</v>
      </c>
      <c r="J19" s="170" t="s">
        <v>8</v>
      </c>
      <c r="K19" s="222">
        <v>48</v>
      </c>
      <c r="L19" s="304">
        <f>UBC_MASUK[[#This Row],[Tg Bulan]]/SUM(COUNTIFS(F:F,"(01) JAN",I:I,"Pengepul",G:G,"2021"))</f>
        <v>1497.6510412499999</v>
      </c>
      <c r="M19" s="351" t="str">
        <f t="shared" si="1"/>
        <v>11981,20833</v>
      </c>
      <c r="N19" s="304">
        <f>UBC_MASUK[[#This Row],[Tg Tahun]]/SUM(COUNTIFS(G:G,"2021",I:I,"Pengepul"))</f>
        <v>4228.661764705882</v>
      </c>
      <c r="O19" s="170" t="str">
        <f t="shared" si="2"/>
        <v>143774,5</v>
      </c>
    </row>
    <row r="20" spans="1:15" ht="21" x14ac:dyDescent="0.35">
      <c r="B20" s="357">
        <v>44207</v>
      </c>
      <c r="C20" s="353">
        <v>2</v>
      </c>
      <c r="D20" s="171" t="str">
        <f t="shared" si="0"/>
        <v>Q1</v>
      </c>
      <c r="E20" s="353">
        <v>11</v>
      </c>
      <c r="F20" s="221" t="s">
        <v>140</v>
      </c>
      <c r="G20" s="170">
        <v>2021</v>
      </c>
      <c r="H20" s="118" t="s">
        <v>20</v>
      </c>
      <c r="I20" s="170" t="s">
        <v>21</v>
      </c>
      <c r="J20" s="170" t="s">
        <v>19</v>
      </c>
      <c r="K20" s="222">
        <v>46</v>
      </c>
      <c r="L20" s="304">
        <f>UBC_MASUK[[#This Row],[Tg Bulan]]/SUM(COUNTIFS(F:F,"(01) JAN",I:I,"Jasa sampah",G:G,"2021"))</f>
        <v>742.48666660000004</v>
      </c>
      <c r="M20" s="351" t="str">
        <f t="shared" si="1"/>
        <v>3712,433333</v>
      </c>
      <c r="N20" s="304">
        <f>UBC_MASUK[[#This Row],[Tg Tahun]]/SUM(COUNTIFS(G:G,"2021",I:I,"Jasa sampah"))</f>
        <v>1856.2166666666665</v>
      </c>
      <c r="O20" s="170" t="str">
        <f t="shared" si="2"/>
        <v>44549,2</v>
      </c>
    </row>
    <row r="21" spans="1:15" ht="21" x14ac:dyDescent="0.3">
      <c r="B21" s="357">
        <v>44207</v>
      </c>
      <c r="C21" s="353">
        <v>2</v>
      </c>
      <c r="D21" s="171" t="str">
        <f t="shared" si="0"/>
        <v>Q1</v>
      </c>
      <c r="E21" s="353">
        <v>11</v>
      </c>
      <c r="F21" s="221" t="s">
        <v>140</v>
      </c>
      <c r="G21" s="170">
        <v>2021</v>
      </c>
      <c r="H21" s="118" t="s">
        <v>24</v>
      </c>
      <c r="I21" s="170" t="s">
        <v>21</v>
      </c>
      <c r="J21" s="170" t="s">
        <v>19</v>
      </c>
      <c r="K21" s="223">
        <v>64</v>
      </c>
      <c r="L21" s="304">
        <f>UBC_MASUK[[#This Row],[Tg Bulan]]/SUM(COUNTIFS(F:F,"(01) JAN",I:I,"Jasa sampah",G:G,"2021"))</f>
        <v>742.48666660000004</v>
      </c>
      <c r="M21" s="351" t="str">
        <f t="shared" si="1"/>
        <v>3712,433333</v>
      </c>
      <c r="N21" s="304">
        <f>UBC_MASUK[[#This Row],[Tg Tahun]]/SUM(COUNTIFS(G:G,"2021",I:I,"Jasa sampah"))</f>
        <v>1856.2166666666665</v>
      </c>
      <c r="O21" s="170" t="str">
        <f t="shared" si="2"/>
        <v>44549,2</v>
      </c>
    </row>
    <row r="22" spans="1:15" ht="21" x14ac:dyDescent="0.35">
      <c r="B22" s="357">
        <v>44221</v>
      </c>
      <c r="C22" s="353">
        <v>4</v>
      </c>
      <c r="D22" s="171" t="str">
        <f t="shared" si="0"/>
        <v>Q1</v>
      </c>
      <c r="E22" s="353">
        <v>25</v>
      </c>
      <c r="F22" s="221" t="s">
        <v>140</v>
      </c>
      <c r="G22" s="170">
        <v>2021</v>
      </c>
      <c r="H22" s="118" t="s">
        <v>20</v>
      </c>
      <c r="I22" s="170" t="s">
        <v>21</v>
      </c>
      <c r="J22" s="170" t="s">
        <v>19</v>
      </c>
      <c r="K22" s="222">
        <v>36</v>
      </c>
      <c r="L22" s="304">
        <f>UBC_MASUK[[#This Row],[Tg Bulan]]/SUM(COUNTIFS(F:F,"(01) JAN",I:I,"Jasa sampah",G:G,"2021"))</f>
        <v>742.48666660000004</v>
      </c>
      <c r="M22" s="351" t="str">
        <f t="shared" si="1"/>
        <v>3712,433333</v>
      </c>
      <c r="N22" s="304">
        <f>UBC_MASUK[[#This Row],[Tg Tahun]]/SUM(COUNTIFS(G:G,"2021",I:I,"Jasa sampah"))</f>
        <v>1856.2166666666665</v>
      </c>
      <c r="O22" s="170" t="str">
        <f t="shared" si="2"/>
        <v>44549,2</v>
      </c>
    </row>
    <row r="23" spans="1:15" ht="21" x14ac:dyDescent="0.35">
      <c r="B23" s="357">
        <v>44221</v>
      </c>
      <c r="C23" s="353">
        <v>4</v>
      </c>
      <c r="D23" s="171" t="str">
        <f t="shared" si="0"/>
        <v>Q1</v>
      </c>
      <c r="E23" s="353">
        <v>25</v>
      </c>
      <c r="F23" s="221" t="s">
        <v>140</v>
      </c>
      <c r="G23" s="170">
        <v>2021</v>
      </c>
      <c r="H23" s="118" t="s">
        <v>24</v>
      </c>
      <c r="I23" s="170" t="s">
        <v>21</v>
      </c>
      <c r="J23" s="170" t="s">
        <v>19</v>
      </c>
      <c r="K23" s="222">
        <v>71</v>
      </c>
      <c r="L23" s="304">
        <f>UBC_MASUK[[#This Row],[Tg Bulan]]/SUM(COUNTIFS(F:F,"(01) JAN",I:I,"Jasa sampah",G:G,"2021"))</f>
        <v>742.48666660000004</v>
      </c>
      <c r="M23" s="351" t="str">
        <f t="shared" si="1"/>
        <v>3712,433333</v>
      </c>
      <c r="N23" s="304">
        <f>UBC_MASUK[[#This Row],[Tg Tahun]]/SUM(COUNTIFS(G:G,"2021",I:I,"Jasa sampah"))</f>
        <v>1856.2166666666665</v>
      </c>
      <c r="O23" s="170" t="str">
        <f t="shared" si="2"/>
        <v>44549,2</v>
      </c>
    </row>
    <row r="24" spans="1:15" ht="21" x14ac:dyDescent="0.3">
      <c r="A24" s="4"/>
      <c r="B24" s="357">
        <v>44198</v>
      </c>
      <c r="C24" s="353">
        <v>1</v>
      </c>
      <c r="D24" s="171" t="str">
        <f t="shared" si="0"/>
        <v>Q1</v>
      </c>
      <c r="E24" s="353">
        <v>2</v>
      </c>
      <c r="F24" s="221" t="s">
        <v>140</v>
      </c>
      <c r="G24" s="170">
        <v>2021</v>
      </c>
      <c r="H24" s="118" t="s">
        <v>27</v>
      </c>
      <c r="I24" s="170" t="s">
        <v>31</v>
      </c>
      <c r="J24" s="170" t="s">
        <v>8</v>
      </c>
      <c r="K24" s="223">
        <v>22</v>
      </c>
      <c r="L24" s="304">
        <f>UBC_MASUK[[#This Row],[Tg Bulan]]/SUM(COUNTIFS(F:F,"(01) JAN",I:I,"Bisnis",G:G,"2021"))</f>
        <v>60.957894736842107</v>
      </c>
      <c r="M24" s="351" t="str">
        <f t="shared" si="1"/>
        <v>1158,2</v>
      </c>
      <c r="N24" s="304">
        <f>UBC_MASUK[[#This Row],[Tg Tahun]]/SUM(COUNTIFS(G:G,"2021",I:I,"Bisnis"))</f>
        <v>111.18719999999999</v>
      </c>
      <c r="O24" s="170" t="str">
        <f t="shared" si="2"/>
        <v>13898,4</v>
      </c>
    </row>
    <row r="25" spans="1:15" ht="21" x14ac:dyDescent="0.3">
      <c r="A25" s="4"/>
      <c r="B25" s="357">
        <v>44200</v>
      </c>
      <c r="C25" s="353">
        <v>1</v>
      </c>
      <c r="D25" s="171" t="str">
        <f t="shared" si="0"/>
        <v>Q1</v>
      </c>
      <c r="E25" s="353">
        <v>4</v>
      </c>
      <c r="F25" s="221" t="s">
        <v>140</v>
      </c>
      <c r="G25" s="170">
        <v>2021</v>
      </c>
      <c r="H25" s="118" t="s">
        <v>121</v>
      </c>
      <c r="I25" s="170" t="s">
        <v>31</v>
      </c>
      <c r="J25" s="170" t="s">
        <v>8</v>
      </c>
      <c r="K25" s="223">
        <v>10</v>
      </c>
      <c r="L25" s="304">
        <f>UBC_MASUK[[#This Row],[Tg Bulan]]/SUM(COUNTIFS(F:F,"(01) JAN",I:I,"Bisnis",G:G,"2021"))</f>
        <v>60.957894736842107</v>
      </c>
      <c r="M25" s="351" t="str">
        <f t="shared" si="1"/>
        <v>1158,2</v>
      </c>
      <c r="N25" s="304">
        <f>UBC_MASUK[[#This Row],[Tg Tahun]]/SUM(COUNTIFS(G:G,"2021",I:I,"Bisnis"))</f>
        <v>111.18719999999999</v>
      </c>
      <c r="O25" s="170" t="str">
        <f t="shared" si="2"/>
        <v>13898,4</v>
      </c>
    </row>
    <row r="26" spans="1:15" ht="21" x14ac:dyDescent="0.3">
      <c r="A26" s="4"/>
      <c r="B26" s="357">
        <v>44202</v>
      </c>
      <c r="C26" s="353">
        <v>1</v>
      </c>
      <c r="D26" s="171" t="str">
        <f t="shared" si="0"/>
        <v>Q1</v>
      </c>
      <c r="E26" s="353">
        <v>6</v>
      </c>
      <c r="F26" s="221" t="s">
        <v>140</v>
      </c>
      <c r="G26" s="170">
        <v>2021</v>
      </c>
      <c r="H26" s="118" t="s">
        <v>28</v>
      </c>
      <c r="I26" s="170" t="s">
        <v>31</v>
      </c>
      <c r="J26" s="170" t="s">
        <v>19</v>
      </c>
      <c r="K26" s="223">
        <v>72</v>
      </c>
      <c r="L26" s="304">
        <f>UBC_MASUK[[#This Row],[Tg Bulan]]/SUM(COUNTIFS(F:F,"(01) JAN",I:I,"Bisnis",G:G,"2021"))</f>
        <v>60.957894736842107</v>
      </c>
      <c r="M26" s="351" t="str">
        <f t="shared" si="1"/>
        <v>1158,2</v>
      </c>
      <c r="N26" s="304">
        <f>UBC_MASUK[[#This Row],[Tg Tahun]]/SUM(COUNTIFS(G:G,"2021",I:I,"Bisnis"))</f>
        <v>111.18719999999999</v>
      </c>
      <c r="O26" s="170" t="str">
        <f t="shared" si="2"/>
        <v>13898,4</v>
      </c>
    </row>
    <row r="27" spans="1:15" ht="21" x14ac:dyDescent="0.3">
      <c r="A27" s="4"/>
      <c r="B27" s="357">
        <v>44202</v>
      </c>
      <c r="C27" s="353">
        <v>1</v>
      </c>
      <c r="D27" s="171" t="str">
        <f t="shared" si="0"/>
        <v>Q1</v>
      </c>
      <c r="E27" s="353">
        <v>6</v>
      </c>
      <c r="F27" s="221" t="s">
        <v>140</v>
      </c>
      <c r="G27" s="170">
        <v>2021</v>
      </c>
      <c r="H27" s="118" t="s">
        <v>29</v>
      </c>
      <c r="I27" s="170" t="s">
        <v>31</v>
      </c>
      <c r="J27" s="170" t="s">
        <v>8</v>
      </c>
      <c r="K27" s="223">
        <v>114</v>
      </c>
      <c r="L27" s="304">
        <f>UBC_MASUK[[#This Row],[Tg Bulan]]/SUM(COUNTIFS(F:F,"(01) JAN",I:I,"Bisnis",G:G,"2021"))</f>
        <v>60.957894736842107</v>
      </c>
      <c r="M27" s="351" t="str">
        <f t="shared" si="1"/>
        <v>1158,2</v>
      </c>
      <c r="N27" s="304">
        <f>UBC_MASUK[[#This Row],[Tg Tahun]]/SUM(COUNTIFS(G:G,"2021",I:I,"Bisnis"))</f>
        <v>111.18719999999999</v>
      </c>
      <c r="O27" s="170" t="str">
        <f t="shared" si="2"/>
        <v>13898,4</v>
      </c>
    </row>
    <row r="28" spans="1:15" ht="21" x14ac:dyDescent="0.3">
      <c r="A28" s="4"/>
      <c r="B28" s="357">
        <v>44204</v>
      </c>
      <c r="C28" s="353">
        <v>2</v>
      </c>
      <c r="D28" s="171" t="str">
        <f t="shared" si="0"/>
        <v>Q1</v>
      </c>
      <c r="E28" s="353">
        <v>8</v>
      </c>
      <c r="F28" s="221" t="s">
        <v>140</v>
      </c>
      <c r="G28" s="170">
        <v>2021</v>
      </c>
      <c r="H28" s="118" t="s">
        <v>27</v>
      </c>
      <c r="I28" s="170" t="s">
        <v>31</v>
      </c>
      <c r="J28" s="170" t="s">
        <v>8</v>
      </c>
      <c r="K28" s="223">
        <v>19</v>
      </c>
      <c r="L28" s="304">
        <f>UBC_MASUK[[#This Row],[Tg Bulan]]/SUM(COUNTIFS(F:F,"(01) JAN",I:I,"Bisnis",G:G,"2021"))</f>
        <v>60.957894736842107</v>
      </c>
      <c r="M28" s="351" t="str">
        <f t="shared" si="1"/>
        <v>1158,2</v>
      </c>
      <c r="N28" s="304">
        <f>UBC_MASUK[[#This Row],[Tg Tahun]]/SUM(COUNTIFS(G:G,"2021",I:I,"Bisnis"))</f>
        <v>111.18719999999999</v>
      </c>
      <c r="O28" s="170" t="str">
        <f t="shared" si="2"/>
        <v>13898,4</v>
      </c>
    </row>
    <row r="29" spans="1:15" ht="21" x14ac:dyDescent="0.3">
      <c r="A29" s="4"/>
      <c r="B29" s="357">
        <v>44207</v>
      </c>
      <c r="C29" s="353">
        <v>2</v>
      </c>
      <c r="D29" s="171" t="str">
        <f t="shared" si="0"/>
        <v>Q1</v>
      </c>
      <c r="E29" s="353">
        <v>11</v>
      </c>
      <c r="F29" s="221" t="s">
        <v>140</v>
      </c>
      <c r="G29" s="170">
        <v>2021</v>
      </c>
      <c r="H29" s="118" t="s">
        <v>29</v>
      </c>
      <c r="I29" s="170" t="s">
        <v>31</v>
      </c>
      <c r="J29" s="170" t="s">
        <v>8</v>
      </c>
      <c r="K29" s="223">
        <v>30</v>
      </c>
      <c r="L29" s="304">
        <f>UBC_MASUK[[#This Row],[Tg Bulan]]/SUM(COUNTIFS(F:F,"(01) JAN",I:I,"Bisnis",G:G,"2021"))</f>
        <v>60.957894736842107</v>
      </c>
      <c r="M29" s="351" t="str">
        <f t="shared" si="1"/>
        <v>1158,2</v>
      </c>
      <c r="N29" s="304">
        <f>UBC_MASUK[[#This Row],[Tg Tahun]]/SUM(COUNTIFS(G:G,"2021",I:I,"Bisnis"))</f>
        <v>111.18719999999999</v>
      </c>
      <c r="O29" s="170" t="str">
        <f t="shared" si="2"/>
        <v>13898,4</v>
      </c>
    </row>
    <row r="30" spans="1:15" ht="21" x14ac:dyDescent="0.3">
      <c r="A30" s="4"/>
      <c r="B30" s="357">
        <v>44207</v>
      </c>
      <c r="C30" s="353">
        <v>2</v>
      </c>
      <c r="D30" s="171" t="str">
        <f t="shared" si="0"/>
        <v>Q1</v>
      </c>
      <c r="E30" s="353">
        <v>11</v>
      </c>
      <c r="F30" s="221" t="s">
        <v>140</v>
      </c>
      <c r="G30" s="170">
        <v>2021</v>
      </c>
      <c r="H30" s="118" t="s">
        <v>28</v>
      </c>
      <c r="I30" s="170" t="s">
        <v>31</v>
      </c>
      <c r="J30" s="170" t="s">
        <v>32</v>
      </c>
      <c r="K30" s="223">
        <v>40</v>
      </c>
      <c r="L30" s="304">
        <f>UBC_MASUK[[#This Row],[Tg Bulan]]/SUM(COUNTIFS(F:F,"(01) JAN",I:I,"Bisnis",G:G,"2021"))</f>
        <v>60.957894736842107</v>
      </c>
      <c r="M30" s="351" t="str">
        <f t="shared" si="1"/>
        <v>1158,2</v>
      </c>
      <c r="N30" s="304">
        <f>UBC_MASUK[[#This Row],[Tg Tahun]]/SUM(COUNTIFS(G:G,"2021",I:I,"Bisnis"))</f>
        <v>111.18719999999999</v>
      </c>
      <c r="O30" s="170" t="str">
        <f t="shared" si="2"/>
        <v>13898,4</v>
      </c>
    </row>
    <row r="31" spans="1:15" ht="21" x14ac:dyDescent="0.3">
      <c r="A31" s="5"/>
      <c r="B31" s="357">
        <v>44210</v>
      </c>
      <c r="C31" s="353">
        <v>2</v>
      </c>
      <c r="D31" s="171" t="str">
        <f t="shared" si="0"/>
        <v>Q1</v>
      </c>
      <c r="E31" s="353">
        <v>14</v>
      </c>
      <c r="F31" s="221" t="s">
        <v>140</v>
      </c>
      <c r="G31" s="170">
        <v>2021</v>
      </c>
      <c r="H31" s="118" t="s">
        <v>27</v>
      </c>
      <c r="I31" s="170" t="s">
        <v>31</v>
      </c>
      <c r="J31" s="170" t="s">
        <v>8</v>
      </c>
      <c r="K31" s="223">
        <v>4</v>
      </c>
      <c r="L31" s="304">
        <f>UBC_MASUK[[#This Row],[Tg Bulan]]/SUM(COUNTIFS(F:F,"(01) JAN",I:I,"Bisnis",G:G,"2021"))</f>
        <v>60.957894736842107</v>
      </c>
      <c r="M31" s="351" t="str">
        <f t="shared" si="1"/>
        <v>1158,2</v>
      </c>
      <c r="N31" s="304">
        <f>UBC_MASUK[[#This Row],[Tg Tahun]]/SUM(COUNTIFS(G:G,"2021",I:I,"Bisnis"))</f>
        <v>111.18719999999999</v>
      </c>
      <c r="O31" s="170" t="str">
        <f t="shared" si="2"/>
        <v>13898,4</v>
      </c>
    </row>
    <row r="32" spans="1:15" ht="21" x14ac:dyDescent="0.3">
      <c r="A32" s="5"/>
      <c r="B32" s="357">
        <v>44210</v>
      </c>
      <c r="C32" s="353">
        <v>2</v>
      </c>
      <c r="D32" s="171" t="str">
        <f t="shared" si="0"/>
        <v>Q1</v>
      </c>
      <c r="E32" s="353">
        <v>14</v>
      </c>
      <c r="F32" s="221" t="s">
        <v>140</v>
      </c>
      <c r="G32" s="170">
        <v>2021</v>
      </c>
      <c r="H32" s="118" t="s">
        <v>28</v>
      </c>
      <c r="I32" s="170" t="s">
        <v>31</v>
      </c>
      <c r="J32" s="170" t="s">
        <v>19</v>
      </c>
      <c r="K32" s="223">
        <v>38</v>
      </c>
      <c r="L32" s="304">
        <f>UBC_MASUK[[#This Row],[Tg Bulan]]/SUM(COUNTIFS(F:F,"(01) JAN",I:I,"Bisnis",G:G,"2021"))</f>
        <v>60.957894736842107</v>
      </c>
      <c r="M32" s="351" t="str">
        <f t="shared" si="1"/>
        <v>1158,2</v>
      </c>
      <c r="N32" s="304">
        <f>UBC_MASUK[[#This Row],[Tg Tahun]]/SUM(COUNTIFS(G:G,"2021",I:I,"Bisnis"))</f>
        <v>111.18719999999999</v>
      </c>
      <c r="O32" s="170" t="str">
        <f t="shared" si="2"/>
        <v>13898,4</v>
      </c>
    </row>
    <row r="33" spans="1:15" ht="21" x14ac:dyDescent="0.3">
      <c r="A33" s="5"/>
      <c r="B33" s="357">
        <v>44214</v>
      </c>
      <c r="C33" s="353">
        <v>3</v>
      </c>
      <c r="D33" s="171" t="str">
        <f t="shared" si="0"/>
        <v>Q1</v>
      </c>
      <c r="E33" s="353">
        <v>18</v>
      </c>
      <c r="F33" s="221" t="s">
        <v>140</v>
      </c>
      <c r="G33" s="170">
        <v>2021</v>
      </c>
      <c r="H33" s="118" t="s">
        <v>29</v>
      </c>
      <c r="I33" s="170" t="s">
        <v>31</v>
      </c>
      <c r="J33" s="170" t="s">
        <v>8</v>
      </c>
      <c r="K33" s="223">
        <v>30</v>
      </c>
      <c r="L33" s="304">
        <f>UBC_MASUK[[#This Row],[Tg Bulan]]/SUM(COUNTIFS(F:F,"(01) JAN",I:I,"Bisnis",G:G,"2021"))</f>
        <v>60.957894736842107</v>
      </c>
      <c r="M33" s="351" t="str">
        <f t="shared" si="1"/>
        <v>1158,2</v>
      </c>
      <c r="N33" s="304">
        <f>UBC_MASUK[[#This Row],[Tg Tahun]]/SUM(COUNTIFS(G:G,"2021",I:I,"Bisnis"))</f>
        <v>111.18719999999999</v>
      </c>
      <c r="O33" s="170" t="str">
        <f t="shared" si="2"/>
        <v>13898,4</v>
      </c>
    </row>
    <row r="34" spans="1:15" ht="21" x14ac:dyDescent="0.3">
      <c r="A34" s="5"/>
      <c r="B34" s="357">
        <v>44214</v>
      </c>
      <c r="C34" s="353">
        <v>3</v>
      </c>
      <c r="D34" s="171" t="str">
        <f t="shared" si="0"/>
        <v>Q1</v>
      </c>
      <c r="E34" s="353">
        <v>18</v>
      </c>
      <c r="F34" s="221" t="s">
        <v>140</v>
      </c>
      <c r="G34" s="170">
        <v>2021</v>
      </c>
      <c r="H34" s="118" t="s">
        <v>28</v>
      </c>
      <c r="I34" s="170" t="s">
        <v>31</v>
      </c>
      <c r="J34" s="170" t="s">
        <v>19</v>
      </c>
      <c r="K34" s="223">
        <v>36</v>
      </c>
      <c r="L34" s="304">
        <f>UBC_MASUK[[#This Row],[Tg Bulan]]/SUM(COUNTIFS(F:F,"(01) JAN",I:I,"Bisnis",G:G,"2021"))</f>
        <v>60.957894736842107</v>
      </c>
      <c r="M34" s="351" t="str">
        <f t="shared" si="1"/>
        <v>1158,2</v>
      </c>
      <c r="N34" s="304">
        <f>UBC_MASUK[[#This Row],[Tg Tahun]]/SUM(COUNTIFS(G:G,"2021",I:I,"Bisnis"))</f>
        <v>111.18719999999999</v>
      </c>
      <c r="O34" s="170" t="str">
        <f t="shared" si="2"/>
        <v>13898,4</v>
      </c>
    </row>
    <row r="35" spans="1:15" ht="21" x14ac:dyDescent="0.3">
      <c r="A35" s="5"/>
      <c r="B35" s="357">
        <v>44218</v>
      </c>
      <c r="C35" s="353">
        <v>4</v>
      </c>
      <c r="D35" s="171" t="str">
        <f t="shared" si="0"/>
        <v>Q1</v>
      </c>
      <c r="E35" s="353">
        <v>22</v>
      </c>
      <c r="F35" s="221" t="s">
        <v>140</v>
      </c>
      <c r="G35" s="170">
        <v>2021</v>
      </c>
      <c r="H35" s="118" t="s">
        <v>30</v>
      </c>
      <c r="I35" s="170" t="s">
        <v>31</v>
      </c>
      <c r="J35" s="170" t="s">
        <v>8</v>
      </c>
      <c r="K35" s="223">
        <v>50</v>
      </c>
      <c r="L35" s="304">
        <f>UBC_MASUK[[#This Row],[Tg Bulan]]/SUM(COUNTIFS(F:F,"(01) JAN",I:I,"Bisnis",G:G,"2021"))</f>
        <v>60.957894736842107</v>
      </c>
      <c r="M35" s="351" t="str">
        <f t="shared" si="1"/>
        <v>1158,2</v>
      </c>
      <c r="N35" s="304">
        <f>UBC_MASUK[[#This Row],[Tg Tahun]]/SUM(COUNTIFS(G:G,"2021",I:I,"Bisnis"))</f>
        <v>111.18719999999999</v>
      </c>
      <c r="O35" s="170" t="str">
        <f t="shared" si="2"/>
        <v>13898,4</v>
      </c>
    </row>
    <row r="36" spans="1:15" ht="21" x14ac:dyDescent="0.3">
      <c r="A36" s="5"/>
      <c r="B36" s="357">
        <v>44218</v>
      </c>
      <c r="C36" s="353">
        <v>4</v>
      </c>
      <c r="D36" s="171" t="str">
        <f t="shared" si="0"/>
        <v>Q1</v>
      </c>
      <c r="E36" s="353">
        <v>22</v>
      </c>
      <c r="F36" s="221" t="s">
        <v>140</v>
      </c>
      <c r="G36" s="170">
        <v>2021</v>
      </c>
      <c r="H36" s="118" t="s">
        <v>28</v>
      </c>
      <c r="I36" s="170" t="s">
        <v>31</v>
      </c>
      <c r="J36" s="170" t="s">
        <v>19</v>
      </c>
      <c r="K36" s="223">
        <v>36</v>
      </c>
      <c r="L36" s="304">
        <f>UBC_MASUK[[#This Row],[Tg Bulan]]/SUM(COUNTIFS(F:F,"(01) JAN",I:I,"Bisnis",G:G,"2021"))</f>
        <v>60.957894736842107</v>
      </c>
      <c r="M36" s="351" t="str">
        <f t="shared" si="1"/>
        <v>1158,2</v>
      </c>
      <c r="N36" s="304">
        <f>UBC_MASUK[[#This Row],[Tg Tahun]]/SUM(COUNTIFS(G:G,"2021",I:I,"Bisnis"))</f>
        <v>111.18719999999999</v>
      </c>
      <c r="O36" s="170" t="str">
        <f t="shared" si="2"/>
        <v>13898,4</v>
      </c>
    </row>
    <row r="37" spans="1:15" ht="21" x14ac:dyDescent="0.3">
      <c r="A37" s="5"/>
      <c r="B37" s="357">
        <v>44221</v>
      </c>
      <c r="C37" s="353">
        <v>4</v>
      </c>
      <c r="D37" s="171" t="str">
        <f t="shared" si="0"/>
        <v>Q1</v>
      </c>
      <c r="E37" s="353">
        <v>25</v>
      </c>
      <c r="F37" s="221" t="s">
        <v>140</v>
      </c>
      <c r="G37" s="170">
        <v>2021</v>
      </c>
      <c r="H37" s="118" t="s">
        <v>28</v>
      </c>
      <c r="I37" s="170" t="s">
        <v>31</v>
      </c>
      <c r="J37" s="170" t="s">
        <v>19</v>
      </c>
      <c r="K37" s="223">
        <v>22</v>
      </c>
      <c r="L37" s="304">
        <f>UBC_MASUK[[#This Row],[Tg Bulan]]/SUM(COUNTIFS(F:F,"(01) JAN",I:I,"Bisnis",G:G,"2021"))</f>
        <v>60.957894736842107</v>
      </c>
      <c r="M37" s="351" t="str">
        <f t="shared" si="1"/>
        <v>1158,2</v>
      </c>
      <c r="N37" s="304">
        <f>UBC_MASUK[[#This Row],[Tg Tahun]]/SUM(COUNTIFS(G:G,"2021",I:I,"Bisnis"))</f>
        <v>111.18719999999999</v>
      </c>
      <c r="O37" s="170" t="str">
        <f t="shared" si="2"/>
        <v>13898,4</v>
      </c>
    </row>
    <row r="38" spans="1:15" ht="21" x14ac:dyDescent="0.3">
      <c r="A38" s="5"/>
      <c r="B38" s="357">
        <v>44223</v>
      </c>
      <c r="C38" s="353">
        <v>4</v>
      </c>
      <c r="D38" s="171" t="str">
        <f t="shared" si="0"/>
        <v>Q1</v>
      </c>
      <c r="E38" s="353">
        <v>27</v>
      </c>
      <c r="F38" s="221" t="s">
        <v>140</v>
      </c>
      <c r="G38" s="170">
        <v>2021</v>
      </c>
      <c r="H38" s="118" t="s">
        <v>121</v>
      </c>
      <c r="I38" s="170" t="s">
        <v>31</v>
      </c>
      <c r="J38" s="170" t="s">
        <v>8</v>
      </c>
      <c r="K38" s="223">
        <v>11</v>
      </c>
      <c r="L38" s="304">
        <f>UBC_MASUK[[#This Row],[Tg Bulan]]/SUM(COUNTIFS(F:F,"(01) JAN",I:I,"Bisnis",G:G,"2021"))</f>
        <v>60.957894736842107</v>
      </c>
      <c r="M38" s="351" t="str">
        <f t="shared" si="1"/>
        <v>1158,2</v>
      </c>
      <c r="N38" s="304">
        <f>UBC_MASUK[[#This Row],[Tg Tahun]]/SUM(COUNTIFS(G:G,"2021",I:I,"Bisnis"))</f>
        <v>111.18719999999999</v>
      </c>
      <c r="O38" s="170" t="str">
        <f t="shared" si="2"/>
        <v>13898,4</v>
      </c>
    </row>
    <row r="39" spans="1:15" ht="21" x14ac:dyDescent="0.3">
      <c r="A39" s="5"/>
      <c r="B39" s="357">
        <v>44225</v>
      </c>
      <c r="C39" s="353">
        <v>5</v>
      </c>
      <c r="D39" s="171" t="str">
        <f t="shared" si="0"/>
        <v>Q1</v>
      </c>
      <c r="E39" s="353">
        <v>29</v>
      </c>
      <c r="F39" s="221" t="s">
        <v>140</v>
      </c>
      <c r="G39" s="170">
        <v>2021</v>
      </c>
      <c r="H39" s="118" t="s">
        <v>27</v>
      </c>
      <c r="I39" s="170" t="s">
        <v>31</v>
      </c>
      <c r="J39" s="170" t="s">
        <v>8</v>
      </c>
      <c r="K39" s="223">
        <v>41</v>
      </c>
      <c r="L39" s="304">
        <f>UBC_MASUK[[#This Row],[Tg Bulan]]/SUM(COUNTIFS(F:F,"(01) JAN",I:I,"Bisnis",G:G,"2021"))</f>
        <v>60.957894736842107</v>
      </c>
      <c r="M39" s="351" t="str">
        <f t="shared" si="1"/>
        <v>1158,2</v>
      </c>
      <c r="N39" s="304">
        <f>UBC_MASUK[[#This Row],[Tg Tahun]]/SUM(COUNTIFS(G:G,"2021",I:I,"Bisnis"))</f>
        <v>111.18719999999999</v>
      </c>
      <c r="O39" s="170" t="str">
        <f t="shared" si="2"/>
        <v>13898,4</v>
      </c>
    </row>
    <row r="40" spans="1:15" ht="21" x14ac:dyDescent="0.3">
      <c r="A40" s="5"/>
      <c r="B40" s="357">
        <v>44225</v>
      </c>
      <c r="C40" s="353">
        <v>5</v>
      </c>
      <c r="D40" s="171" t="str">
        <f t="shared" si="0"/>
        <v>Q1</v>
      </c>
      <c r="E40" s="353">
        <v>29</v>
      </c>
      <c r="F40" s="221" t="s">
        <v>140</v>
      </c>
      <c r="G40" s="170">
        <v>2021</v>
      </c>
      <c r="H40" s="118" t="s">
        <v>308</v>
      </c>
      <c r="I40" s="170" t="s">
        <v>31</v>
      </c>
      <c r="J40" s="170" t="s">
        <v>8</v>
      </c>
      <c r="K40" s="223">
        <v>1</v>
      </c>
      <c r="L40" s="304">
        <f>UBC_MASUK[[#This Row],[Tg Bulan]]/SUM(COUNTIFS(F:F,"(01) JAN",I:I,"Bisnis",G:G,"2021"))</f>
        <v>60.957894736842107</v>
      </c>
      <c r="M40" s="351" t="str">
        <f t="shared" si="1"/>
        <v>1158,2</v>
      </c>
      <c r="N40" s="304">
        <f>UBC_MASUK[[#This Row],[Tg Tahun]]/SUM(COUNTIFS(G:G,"2021",I:I,"Bisnis"))</f>
        <v>111.18719999999999</v>
      </c>
      <c r="O40" s="170" t="str">
        <f t="shared" si="2"/>
        <v>13898,4</v>
      </c>
    </row>
    <row r="41" spans="1:15" ht="21" x14ac:dyDescent="0.3">
      <c r="A41" s="5"/>
      <c r="B41" s="357">
        <v>44225</v>
      </c>
      <c r="C41" s="353">
        <v>5</v>
      </c>
      <c r="D41" s="171" t="str">
        <f t="shared" si="0"/>
        <v>Q1</v>
      </c>
      <c r="E41" s="353">
        <v>29</v>
      </c>
      <c r="F41" s="221" t="s">
        <v>140</v>
      </c>
      <c r="G41" s="170">
        <v>2021</v>
      </c>
      <c r="H41" s="118" t="s">
        <v>28</v>
      </c>
      <c r="I41" s="170" t="s">
        <v>31</v>
      </c>
      <c r="J41" s="170" t="s">
        <v>19</v>
      </c>
      <c r="K41" s="223">
        <v>52</v>
      </c>
      <c r="L41" s="304">
        <f>UBC_MASUK[[#This Row],[Tg Bulan]]/SUM(COUNTIFS(F:F,"(01) JAN",I:I,"Bisnis",G:G,"2021"))</f>
        <v>60.957894736842107</v>
      </c>
      <c r="M41" s="351" t="str">
        <f t="shared" si="1"/>
        <v>1158,2</v>
      </c>
      <c r="N41" s="304">
        <f>UBC_MASUK[[#This Row],[Tg Tahun]]/SUM(COUNTIFS(G:G,"2021",I:I,"Bisnis"))</f>
        <v>111.18719999999999</v>
      </c>
      <c r="O41" s="170" t="str">
        <f t="shared" si="2"/>
        <v>13898,4</v>
      </c>
    </row>
    <row r="42" spans="1:15" ht="21" x14ac:dyDescent="0.35">
      <c r="B42" s="357">
        <v>44214</v>
      </c>
      <c r="C42" s="353">
        <v>3</v>
      </c>
      <c r="D42" s="171" t="str">
        <f t="shared" si="0"/>
        <v>Q1</v>
      </c>
      <c r="E42" s="353">
        <v>18</v>
      </c>
      <c r="F42" s="221" t="s">
        <v>140</v>
      </c>
      <c r="G42" s="170">
        <v>2021</v>
      </c>
      <c r="H42" s="352" t="s">
        <v>33</v>
      </c>
      <c r="I42" s="170" t="s">
        <v>34</v>
      </c>
      <c r="J42" s="170" t="s">
        <v>8</v>
      </c>
      <c r="K42" s="354">
        <v>1.5</v>
      </c>
      <c r="L42" s="304">
        <f>UBC_MASUK[[#This Row],[Tg Bulan]]/SUM(COUNTIFS(F:F,"(01) JAN",I:I,"Hotel",G:G,"2021"))</f>
        <v>201.40833330000001</v>
      </c>
      <c r="M42" s="351" t="str">
        <f t="shared" si="1"/>
        <v>201,4083333</v>
      </c>
      <c r="N42" s="304">
        <f>UBC_MASUK[[#This Row],[Tg Tahun]]/SUM(COUNTIFS(G:G,"2021",I:I,"Hotel"))</f>
        <v>345.2714285714286</v>
      </c>
      <c r="O42" s="170" t="str">
        <f t="shared" si="2"/>
        <v>2416,9</v>
      </c>
    </row>
    <row r="43" spans="1:15" ht="21" x14ac:dyDescent="0.35">
      <c r="B43" s="357">
        <v>44204</v>
      </c>
      <c r="C43" s="353">
        <v>2</v>
      </c>
      <c r="D43" s="171" t="str">
        <f t="shared" si="0"/>
        <v>Q1</v>
      </c>
      <c r="E43" s="353">
        <v>8</v>
      </c>
      <c r="F43" s="221" t="s">
        <v>140</v>
      </c>
      <c r="G43" s="170">
        <v>2021</v>
      </c>
      <c r="H43" s="352" t="s">
        <v>35</v>
      </c>
      <c r="I43" s="170" t="s">
        <v>36</v>
      </c>
      <c r="J43" s="170" t="s">
        <v>8</v>
      </c>
      <c r="K43" s="354">
        <v>7</v>
      </c>
      <c r="L43" s="304">
        <f>UBC_MASUK[[#This Row],[Tg Bulan]]/SUM(COUNTIFS(F:F,"(01) JAN",I:I,"Sekolah",G:G,"2021"))</f>
        <v>21.591666666666669</v>
      </c>
      <c r="M43" s="351" t="str">
        <f t="shared" si="1"/>
        <v>64,775</v>
      </c>
      <c r="N43" s="304">
        <f>UBC_MASUK[[#This Row],[Tg Tahun]]/SUM(COUNTIFS(G:G,"2021",I:I,"Sekolah"))</f>
        <v>38.864999999999995</v>
      </c>
      <c r="O43" s="170" t="str">
        <f t="shared" si="2"/>
        <v>777,3</v>
      </c>
    </row>
    <row r="44" spans="1:15" ht="21" x14ac:dyDescent="0.35">
      <c r="B44" s="357">
        <v>44211</v>
      </c>
      <c r="C44" s="353">
        <v>3</v>
      </c>
      <c r="D44" s="171" t="str">
        <f t="shared" si="0"/>
        <v>Q1</v>
      </c>
      <c r="E44" s="353">
        <v>15</v>
      </c>
      <c r="F44" s="221" t="s">
        <v>140</v>
      </c>
      <c r="G44" s="170">
        <v>2021</v>
      </c>
      <c r="H44" s="352" t="s">
        <v>35</v>
      </c>
      <c r="I44" s="170" t="s">
        <v>36</v>
      </c>
      <c r="J44" s="170" t="s">
        <v>8</v>
      </c>
      <c r="K44" s="354">
        <v>4</v>
      </c>
      <c r="L44" s="304">
        <f>UBC_MASUK[[#This Row],[Tg Bulan]]/SUM(COUNTIFS(F:F,"(01) JAN",I:I,"Sekolah",G:G,"2021"))</f>
        <v>21.591666666666669</v>
      </c>
      <c r="M44" s="351" t="str">
        <f t="shared" si="1"/>
        <v>64,775</v>
      </c>
      <c r="N44" s="304">
        <f>UBC_MASUK[[#This Row],[Tg Tahun]]/SUM(COUNTIFS(G:G,"2021",I:I,"Sekolah"))</f>
        <v>38.864999999999995</v>
      </c>
      <c r="O44" s="170" t="str">
        <f t="shared" si="2"/>
        <v>777,3</v>
      </c>
    </row>
    <row r="45" spans="1:15" ht="21" x14ac:dyDescent="0.35">
      <c r="B45" s="357">
        <v>44225</v>
      </c>
      <c r="C45" s="353">
        <v>5</v>
      </c>
      <c r="D45" s="171" t="str">
        <f t="shared" si="0"/>
        <v>Q1</v>
      </c>
      <c r="E45" s="353">
        <v>29</v>
      </c>
      <c r="F45" s="221" t="s">
        <v>140</v>
      </c>
      <c r="G45" s="170">
        <v>2021</v>
      </c>
      <c r="H45" s="352" t="s">
        <v>35</v>
      </c>
      <c r="I45" s="170" t="s">
        <v>36</v>
      </c>
      <c r="J45" s="170" t="s">
        <v>8</v>
      </c>
      <c r="K45" s="354">
        <v>9</v>
      </c>
      <c r="L45" s="304">
        <f>UBC_MASUK[[#This Row],[Tg Bulan]]/SUM(COUNTIFS(F:F,"(01) JAN",I:I,"Sekolah",G:G,"2021"))</f>
        <v>21.591666666666669</v>
      </c>
      <c r="M45" s="351" t="str">
        <f t="shared" si="1"/>
        <v>64,775</v>
      </c>
      <c r="N45" s="304">
        <f>UBC_MASUK[[#This Row],[Tg Tahun]]/SUM(COUNTIFS(G:G,"2021",I:I,"Sekolah"))</f>
        <v>38.864999999999995</v>
      </c>
      <c r="O45" s="170" t="str">
        <f t="shared" si="2"/>
        <v>777,3</v>
      </c>
    </row>
    <row r="46" spans="1:15" ht="21" x14ac:dyDescent="0.3">
      <c r="B46" s="174">
        <v>44201</v>
      </c>
      <c r="C46" s="353">
        <v>1</v>
      </c>
      <c r="D46" s="171" t="str">
        <f t="shared" si="0"/>
        <v>Q1</v>
      </c>
      <c r="E46" s="353">
        <v>5</v>
      </c>
      <c r="F46" s="221" t="s">
        <v>140</v>
      </c>
      <c r="G46" s="170">
        <v>2021</v>
      </c>
      <c r="H46" s="175" t="s">
        <v>144</v>
      </c>
      <c r="I46" s="170" t="s">
        <v>37</v>
      </c>
      <c r="J46" s="170" t="s">
        <v>8</v>
      </c>
      <c r="K46" s="223">
        <v>0.9</v>
      </c>
      <c r="L46" s="304">
        <f>UBC_MASUK[[#This Row],[Tg Bulan]]/SUM(COUNTIFS(F:F,"(01) JAN",I:I,"Bank Sampah Unit",G:G,"2021"))</f>
        <v>8.8296296299999995</v>
      </c>
      <c r="M46" s="351" t="str">
        <f t="shared" si="1"/>
        <v>79,46666667</v>
      </c>
      <c r="N46" s="304">
        <f>UBC_MASUK[[#This Row],[Tg Tahun]]/SUM(COUNTIFS(G:G,"2021",I:I,"Bank Sampah Unit"))</f>
        <v>24.451282051282053</v>
      </c>
      <c r="O46" s="170" t="str">
        <f t="shared" si="2"/>
        <v>953,6</v>
      </c>
    </row>
    <row r="47" spans="1:15" ht="21" x14ac:dyDescent="0.3">
      <c r="B47" s="174">
        <v>44201</v>
      </c>
      <c r="C47" s="353">
        <v>1</v>
      </c>
      <c r="D47" s="171" t="str">
        <f t="shared" si="0"/>
        <v>Q1</v>
      </c>
      <c r="E47" s="353">
        <v>5</v>
      </c>
      <c r="F47" s="221" t="s">
        <v>140</v>
      </c>
      <c r="G47" s="170">
        <v>2021</v>
      </c>
      <c r="H47" s="175" t="s">
        <v>145</v>
      </c>
      <c r="I47" s="170" t="s">
        <v>37</v>
      </c>
      <c r="J47" s="170" t="s">
        <v>8</v>
      </c>
      <c r="K47" s="223">
        <v>4.5</v>
      </c>
      <c r="L47" s="304">
        <f>UBC_MASUK[[#This Row],[Tg Bulan]]/SUM(COUNTIFS(F:F,"(01) JAN",I:I,"Bank Sampah Unit",G:G,"2021"))</f>
        <v>8.8296296299999995</v>
      </c>
      <c r="M47" s="351" t="str">
        <f t="shared" si="1"/>
        <v>79,46666667</v>
      </c>
      <c r="N47" s="304">
        <f>UBC_MASUK[[#This Row],[Tg Tahun]]/SUM(COUNTIFS(G:G,"2021",I:I,"Bank Sampah Unit"))</f>
        <v>24.451282051282053</v>
      </c>
      <c r="O47" s="170" t="str">
        <f t="shared" si="2"/>
        <v>953,6</v>
      </c>
    </row>
    <row r="48" spans="1:15" ht="21" x14ac:dyDescent="0.3">
      <c r="B48" s="174">
        <v>44214</v>
      </c>
      <c r="C48" s="353">
        <v>3</v>
      </c>
      <c r="D48" s="171" t="str">
        <f t="shared" si="0"/>
        <v>Q1</v>
      </c>
      <c r="E48" s="353">
        <v>18</v>
      </c>
      <c r="F48" s="221" t="s">
        <v>140</v>
      </c>
      <c r="G48" s="170">
        <v>2021</v>
      </c>
      <c r="H48" s="175" t="s">
        <v>146</v>
      </c>
      <c r="I48" s="170" t="s">
        <v>37</v>
      </c>
      <c r="J48" s="170" t="s">
        <v>8</v>
      </c>
      <c r="K48" s="223">
        <v>0.5</v>
      </c>
      <c r="L48" s="304">
        <f>UBC_MASUK[[#This Row],[Tg Bulan]]/SUM(COUNTIFS(F:F,"(01) JAN",I:I,"Bank Sampah Unit",G:G,"2021"))</f>
        <v>8.8296296299999995</v>
      </c>
      <c r="M48" s="351" t="str">
        <f t="shared" si="1"/>
        <v>79,46666667</v>
      </c>
      <c r="N48" s="304">
        <f>UBC_MASUK[[#This Row],[Tg Tahun]]/SUM(COUNTIFS(G:G,"2021",I:I,"Bank Sampah Unit"))</f>
        <v>24.451282051282053</v>
      </c>
      <c r="O48" s="170" t="str">
        <f t="shared" si="2"/>
        <v>953,6</v>
      </c>
    </row>
    <row r="49" spans="2:15" ht="21" x14ac:dyDescent="0.3">
      <c r="B49" s="174">
        <v>44216</v>
      </c>
      <c r="C49" s="353">
        <v>3</v>
      </c>
      <c r="D49" s="171" t="str">
        <f t="shared" si="0"/>
        <v>Q1</v>
      </c>
      <c r="E49" s="353">
        <v>20</v>
      </c>
      <c r="F49" s="221" t="s">
        <v>140</v>
      </c>
      <c r="G49" s="170">
        <v>2021</v>
      </c>
      <c r="H49" s="175" t="s">
        <v>147</v>
      </c>
      <c r="I49" s="170" t="s">
        <v>37</v>
      </c>
      <c r="J49" s="170" t="s">
        <v>8</v>
      </c>
      <c r="K49" s="223">
        <v>10</v>
      </c>
      <c r="L49" s="304">
        <f>UBC_MASUK[[#This Row],[Tg Bulan]]/SUM(COUNTIFS(F:F,"(01) JAN",I:I,"Bank Sampah Unit",G:G,"2021"))</f>
        <v>8.8296296299999995</v>
      </c>
      <c r="M49" s="351" t="str">
        <f t="shared" si="1"/>
        <v>79,46666667</v>
      </c>
      <c r="N49" s="304">
        <f>UBC_MASUK[[#This Row],[Tg Tahun]]/SUM(COUNTIFS(G:G,"2021",I:I,"Bank Sampah Unit"))</f>
        <v>24.451282051282053</v>
      </c>
      <c r="O49" s="170" t="str">
        <f t="shared" si="2"/>
        <v>953,6</v>
      </c>
    </row>
    <row r="50" spans="2:15" ht="21" x14ac:dyDescent="0.3">
      <c r="B50" s="174">
        <v>44217</v>
      </c>
      <c r="C50" s="353">
        <v>3</v>
      </c>
      <c r="D50" s="171" t="str">
        <f t="shared" si="0"/>
        <v>Q1</v>
      </c>
      <c r="E50" s="353">
        <v>21</v>
      </c>
      <c r="F50" s="221" t="s">
        <v>140</v>
      </c>
      <c r="G50" s="170">
        <v>2021</v>
      </c>
      <c r="H50" s="175" t="s">
        <v>148</v>
      </c>
      <c r="I50" s="170" t="s">
        <v>37</v>
      </c>
      <c r="J50" s="170" t="s">
        <v>8</v>
      </c>
      <c r="K50" s="223">
        <v>8.4</v>
      </c>
      <c r="L50" s="304">
        <f>UBC_MASUK[[#This Row],[Tg Bulan]]/SUM(COUNTIFS(F:F,"(01) JAN",I:I,"Bank Sampah Unit",G:G,"2021"))</f>
        <v>8.8296296299999995</v>
      </c>
      <c r="M50" s="351" t="str">
        <f t="shared" si="1"/>
        <v>79,46666667</v>
      </c>
      <c r="N50" s="304">
        <f>UBC_MASUK[[#This Row],[Tg Tahun]]/SUM(COUNTIFS(G:G,"2021",I:I,"Bank Sampah Unit"))</f>
        <v>24.451282051282053</v>
      </c>
      <c r="O50" s="170" t="str">
        <f t="shared" si="2"/>
        <v>953,6</v>
      </c>
    </row>
    <row r="51" spans="2:15" ht="21" x14ac:dyDescent="0.3">
      <c r="B51" s="174">
        <v>44217</v>
      </c>
      <c r="C51" s="353">
        <v>3</v>
      </c>
      <c r="D51" s="171" t="str">
        <f t="shared" si="0"/>
        <v>Q1</v>
      </c>
      <c r="E51" s="353">
        <v>21</v>
      </c>
      <c r="F51" s="221" t="s">
        <v>140</v>
      </c>
      <c r="G51" s="170">
        <v>2021</v>
      </c>
      <c r="H51" s="175" t="s">
        <v>149</v>
      </c>
      <c r="I51" s="170" t="s">
        <v>37</v>
      </c>
      <c r="J51" s="170" t="s">
        <v>8</v>
      </c>
      <c r="K51" s="223">
        <v>1</v>
      </c>
      <c r="L51" s="304">
        <f>UBC_MASUK[[#This Row],[Tg Bulan]]/SUM(COUNTIFS(F:F,"(01) JAN",I:I,"Bank Sampah Unit",G:G,"2021"))</f>
        <v>8.8296296299999995</v>
      </c>
      <c r="M51" s="351" t="str">
        <f t="shared" si="1"/>
        <v>79,46666667</v>
      </c>
      <c r="N51" s="304">
        <f>UBC_MASUK[[#This Row],[Tg Tahun]]/SUM(COUNTIFS(G:G,"2021",I:I,"Bank Sampah Unit"))</f>
        <v>24.451282051282053</v>
      </c>
      <c r="O51" s="170" t="str">
        <f t="shared" si="2"/>
        <v>953,6</v>
      </c>
    </row>
    <row r="52" spans="2:15" ht="21" x14ac:dyDescent="0.3">
      <c r="B52" s="174">
        <v>44221</v>
      </c>
      <c r="C52" s="353">
        <v>4</v>
      </c>
      <c r="D52" s="171" t="str">
        <f t="shared" si="0"/>
        <v>Q1</v>
      </c>
      <c r="E52" s="353">
        <v>25</v>
      </c>
      <c r="F52" s="221" t="s">
        <v>140</v>
      </c>
      <c r="G52" s="170">
        <v>2021</v>
      </c>
      <c r="H52" s="175" t="s">
        <v>150</v>
      </c>
      <c r="I52" s="170" t="s">
        <v>37</v>
      </c>
      <c r="J52" s="170" t="s">
        <v>8</v>
      </c>
      <c r="K52" s="223">
        <v>14.2</v>
      </c>
      <c r="L52" s="304">
        <f>UBC_MASUK[[#This Row],[Tg Bulan]]/SUM(COUNTIFS(F:F,"(01) JAN",I:I,"Bank Sampah Unit",G:G,"2021"))</f>
        <v>8.8296296299999995</v>
      </c>
      <c r="M52" s="351" t="str">
        <f t="shared" si="1"/>
        <v>79,46666667</v>
      </c>
      <c r="N52" s="304">
        <f>UBC_MASUK[[#This Row],[Tg Tahun]]/SUM(COUNTIFS(G:G,"2021",I:I,"Bank Sampah Unit"))</f>
        <v>24.451282051282053</v>
      </c>
      <c r="O52" s="170" t="str">
        <f t="shared" si="2"/>
        <v>953,6</v>
      </c>
    </row>
    <row r="53" spans="2:15" ht="21" x14ac:dyDescent="0.3">
      <c r="B53" s="174">
        <v>44222</v>
      </c>
      <c r="C53" s="353">
        <v>4</v>
      </c>
      <c r="D53" s="171" t="str">
        <f t="shared" si="0"/>
        <v>Q1</v>
      </c>
      <c r="E53" s="353">
        <v>26</v>
      </c>
      <c r="F53" s="221" t="s">
        <v>140</v>
      </c>
      <c r="G53" s="170">
        <v>2021</v>
      </c>
      <c r="H53" s="175" t="s">
        <v>151</v>
      </c>
      <c r="I53" s="170" t="s">
        <v>37</v>
      </c>
      <c r="J53" s="170" t="s">
        <v>8</v>
      </c>
      <c r="K53" s="223">
        <v>9</v>
      </c>
      <c r="L53" s="304">
        <f>UBC_MASUK[[#This Row],[Tg Bulan]]/SUM(COUNTIFS(F:F,"(01) JAN",I:I,"Bank Sampah Unit",G:G,"2021"))</f>
        <v>8.8296296299999995</v>
      </c>
      <c r="M53" s="351" t="str">
        <f t="shared" si="1"/>
        <v>79,46666667</v>
      </c>
      <c r="N53" s="304">
        <f>UBC_MASUK[[#This Row],[Tg Tahun]]/SUM(COUNTIFS(G:G,"2021",I:I,"Bank Sampah Unit"))</f>
        <v>24.451282051282053</v>
      </c>
      <c r="O53" s="170" t="str">
        <f t="shared" si="2"/>
        <v>953,6</v>
      </c>
    </row>
    <row r="54" spans="2:15" ht="21" x14ac:dyDescent="0.3">
      <c r="B54" s="174">
        <v>44223</v>
      </c>
      <c r="C54" s="353">
        <v>4</v>
      </c>
      <c r="D54" s="171" t="str">
        <f t="shared" si="0"/>
        <v>Q1</v>
      </c>
      <c r="E54" s="353">
        <v>27</v>
      </c>
      <c r="F54" s="221" t="s">
        <v>140</v>
      </c>
      <c r="G54" s="170">
        <v>2021</v>
      </c>
      <c r="H54" s="175" t="s">
        <v>152</v>
      </c>
      <c r="I54" s="170" t="s">
        <v>37</v>
      </c>
      <c r="J54" s="170" t="s">
        <v>8</v>
      </c>
      <c r="K54" s="223">
        <v>5.3</v>
      </c>
      <c r="L54" s="304">
        <f>UBC_MASUK[[#This Row],[Tg Bulan]]/SUM(COUNTIFS(F:F,"(01) JAN",I:I,"Bank Sampah Unit",G:G,"2021"))</f>
        <v>8.8296296299999995</v>
      </c>
      <c r="M54" s="351" t="str">
        <f t="shared" si="1"/>
        <v>79,46666667</v>
      </c>
      <c r="N54" s="304">
        <f>UBC_MASUK[[#This Row],[Tg Tahun]]/SUM(COUNTIFS(G:G,"2021",I:I,"Bank Sampah Unit"))</f>
        <v>24.451282051282053</v>
      </c>
      <c r="O54" s="170" t="str">
        <f t="shared" si="2"/>
        <v>953,6</v>
      </c>
    </row>
    <row r="55" spans="2:15" ht="21" x14ac:dyDescent="0.35">
      <c r="B55" s="357">
        <v>44200</v>
      </c>
      <c r="C55" s="353">
        <v>1</v>
      </c>
      <c r="D55" s="171" t="str">
        <f t="shared" si="0"/>
        <v>Q1</v>
      </c>
      <c r="E55" s="353">
        <v>4</v>
      </c>
      <c r="F55" s="221" t="s">
        <v>140</v>
      </c>
      <c r="G55" s="170">
        <v>2021</v>
      </c>
      <c r="H55" s="352" t="s">
        <v>38</v>
      </c>
      <c r="I55" s="170" t="s">
        <v>290</v>
      </c>
      <c r="J55" s="170" t="s">
        <v>8</v>
      </c>
      <c r="K55" s="222">
        <v>38</v>
      </c>
      <c r="L55" s="304">
        <f>UBC_MASUK[[#This Row],[Tg Bulan]]/SUM(COUNTIFS(F:F,"(01) JAN",I:I,"EB Residential Service",G:G,"2021"))</f>
        <v>37.553623186956521</v>
      </c>
      <c r="M55" s="351" t="str">
        <f t="shared" si="1"/>
        <v>863,7333333</v>
      </c>
      <c r="N55" s="304">
        <f>UBC_MASUK[[#This Row],[Tg Tahun]]/SUM(COUNTIFS(G:G,"2021",I:I,"EB Residential Service"))</f>
        <v>99.661538461538456</v>
      </c>
      <c r="O55" s="170" t="str">
        <f t="shared" si="2"/>
        <v>10364,8</v>
      </c>
    </row>
    <row r="56" spans="2:15" ht="21" x14ac:dyDescent="0.35">
      <c r="B56" s="357">
        <v>44201</v>
      </c>
      <c r="C56" s="353">
        <v>1</v>
      </c>
      <c r="D56" s="171" t="str">
        <f t="shared" si="0"/>
        <v>Q1</v>
      </c>
      <c r="E56" s="353">
        <v>5</v>
      </c>
      <c r="F56" s="221" t="s">
        <v>140</v>
      </c>
      <c r="G56" s="170">
        <v>2021</v>
      </c>
      <c r="H56" s="352" t="s">
        <v>38</v>
      </c>
      <c r="I56" s="170" t="s">
        <v>290</v>
      </c>
      <c r="J56" s="170" t="s">
        <v>8</v>
      </c>
      <c r="K56" s="222">
        <v>5</v>
      </c>
      <c r="L56" s="304">
        <f>UBC_MASUK[[#This Row],[Tg Bulan]]/SUM(COUNTIFS(F:F,"(01) JAN",I:I,"EB Residential Service",G:G,"2021"))</f>
        <v>37.553623186956521</v>
      </c>
      <c r="M56" s="351" t="str">
        <f t="shared" si="1"/>
        <v>863,7333333</v>
      </c>
      <c r="N56" s="304">
        <f>UBC_MASUK[[#This Row],[Tg Tahun]]/SUM(COUNTIFS(G:G,"2021",I:I,"EB Residential Service"))</f>
        <v>99.661538461538456</v>
      </c>
      <c r="O56" s="170" t="str">
        <f t="shared" si="2"/>
        <v>10364,8</v>
      </c>
    </row>
    <row r="57" spans="2:15" ht="21" x14ac:dyDescent="0.35">
      <c r="B57" s="357">
        <v>44203</v>
      </c>
      <c r="C57" s="353">
        <v>1</v>
      </c>
      <c r="D57" s="171" t="str">
        <f t="shared" si="0"/>
        <v>Q1</v>
      </c>
      <c r="E57" s="353">
        <v>7</v>
      </c>
      <c r="F57" s="221" t="s">
        <v>140</v>
      </c>
      <c r="G57" s="170">
        <v>2021</v>
      </c>
      <c r="H57" s="352" t="s">
        <v>38</v>
      </c>
      <c r="I57" s="170" t="s">
        <v>290</v>
      </c>
      <c r="J57" s="170" t="s">
        <v>8</v>
      </c>
      <c r="K57" s="222">
        <v>82</v>
      </c>
      <c r="L57" s="304">
        <f>UBC_MASUK[[#This Row],[Tg Bulan]]/SUM(COUNTIFS(F:F,"(01) JAN",I:I,"EB Residential Service",G:G,"2021"))</f>
        <v>37.553623186956521</v>
      </c>
      <c r="M57" s="351" t="str">
        <f t="shared" si="1"/>
        <v>863,7333333</v>
      </c>
      <c r="N57" s="304">
        <f>UBC_MASUK[[#This Row],[Tg Tahun]]/SUM(COUNTIFS(G:G,"2021",I:I,"EB Residential Service"))</f>
        <v>99.661538461538456</v>
      </c>
      <c r="O57" s="170" t="str">
        <f t="shared" si="2"/>
        <v>10364,8</v>
      </c>
    </row>
    <row r="58" spans="2:15" ht="21" x14ac:dyDescent="0.3">
      <c r="B58" s="357">
        <v>44204</v>
      </c>
      <c r="C58" s="353">
        <v>2</v>
      </c>
      <c r="D58" s="171" t="str">
        <f t="shared" si="0"/>
        <v>Q1</v>
      </c>
      <c r="E58" s="353">
        <v>8</v>
      </c>
      <c r="F58" s="221" t="s">
        <v>140</v>
      </c>
      <c r="G58" s="170">
        <v>2021</v>
      </c>
      <c r="H58" s="352" t="s">
        <v>38</v>
      </c>
      <c r="I58" s="170" t="s">
        <v>290</v>
      </c>
      <c r="J58" s="170" t="s">
        <v>8</v>
      </c>
      <c r="K58" s="223">
        <v>18</v>
      </c>
      <c r="L58" s="304">
        <f>UBC_MASUK[[#This Row],[Tg Bulan]]/SUM(COUNTIFS(F:F,"(01) JAN",I:I,"EB Residential Service",G:G,"2021"))</f>
        <v>37.553623186956521</v>
      </c>
      <c r="M58" s="351" t="str">
        <f t="shared" si="1"/>
        <v>863,7333333</v>
      </c>
      <c r="N58" s="304">
        <f>UBC_MASUK[[#This Row],[Tg Tahun]]/SUM(COUNTIFS(G:G,"2021",I:I,"EB Residential Service"))</f>
        <v>99.661538461538456</v>
      </c>
      <c r="O58" s="170" t="str">
        <f t="shared" si="2"/>
        <v>10364,8</v>
      </c>
    </row>
    <row r="59" spans="2:15" ht="21" x14ac:dyDescent="0.3">
      <c r="B59" s="357">
        <v>44205</v>
      </c>
      <c r="C59" s="353">
        <v>2</v>
      </c>
      <c r="D59" s="171" t="str">
        <f t="shared" si="0"/>
        <v>Q1</v>
      </c>
      <c r="E59" s="353">
        <v>9</v>
      </c>
      <c r="F59" s="221" t="s">
        <v>140</v>
      </c>
      <c r="G59" s="170">
        <v>2021</v>
      </c>
      <c r="H59" s="352" t="s">
        <v>38</v>
      </c>
      <c r="I59" s="170" t="s">
        <v>290</v>
      </c>
      <c r="J59" s="170" t="s">
        <v>8</v>
      </c>
      <c r="K59" s="223">
        <v>26</v>
      </c>
      <c r="L59" s="304">
        <f>UBC_MASUK[[#This Row],[Tg Bulan]]/SUM(COUNTIFS(F:F,"(01) JAN",I:I,"EB Residential Service",G:G,"2021"))</f>
        <v>37.553623186956521</v>
      </c>
      <c r="M59" s="351" t="str">
        <f t="shared" si="1"/>
        <v>863,7333333</v>
      </c>
      <c r="N59" s="304">
        <f>UBC_MASUK[[#This Row],[Tg Tahun]]/SUM(COUNTIFS(G:G,"2021",I:I,"EB Residential Service"))</f>
        <v>99.661538461538456</v>
      </c>
      <c r="O59" s="170" t="str">
        <f t="shared" si="2"/>
        <v>10364,8</v>
      </c>
    </row>
    <row r="60" spans="2:15" ht="21" x14ac:dyDescent="0.3">
      <c r="B60" s="357">
        <v>44207</v>
      </c>
      <c r="C60" s="353">
        <v>2</v>
      </c>
      <c r="D60" s="171" t="str">
        <f t="shared" si="0"/>
        <v>Q1</v>
      </c>
      <c r="E60" s="353">
        <v>11</v>
      </c>
      <c r="F60" s="221" t="s">
        <v>140</v>
      </c>
      <c r="G60" s="170">
        <v>2021</v>
      </c>
      <c r="H60" s="352" t="s">
        <v>38</v>
      </c>
      <c r="I60" s="170" t="s">
        <v>290</v>
      </c>
      <c r="J60" s="170" t="s">
        <v>8</v>
      </c>
      <c r="K60" s="223">
        <v>17</v>
      </c>
      <c r="L60" s="304">
        <f>UBC_MASUK[[#This Row],[Tg Bulan]]/SUM(COUNTIFS(F:F,"(01) JAN",I:I,"EB Residential Service",G:G,"2021"))</f>
        <v>37.553623186956521</v>
      </c>
      <c r="M60" s="351" t="str">
        <f t="shared" si="1"/>
        <v>863,7333333</v>
      </c>
      <c r="N60" s="304">
        <f>UBC_MASUK[[#This Row],[Tg Tahun]]/SUM(COUNTIFS(G:G,"2021",I:I,"EB Residential Service"))</f>
        <v>99.661538461538456</v>
      </c>
      <c r="O60" s="170" t="str">
        <f t="shared" si="2"/>
        <v>10364,8</v>
      </c>
    </row>
    <row r="61" spans="2:15" ht="21" x14ac:dyDescent="0.3">
      <c r="B61" s="357">
        <v>44208</v>
      </c>
      <c r="C61" s="353">
        <v>2</v>
      </c>
      <c r="D61" s="171" t="str">
        <f t="shared" si="0"/>
        <v>Q1</v>
      </c>
      <c r="E61" s="353">
        <v>12</v>
      </c>
      <c r="F61" s="221" t="s">
        <v>140</v>
      </c>
      <c r="G61" s="170">
        <v>2021</v>
      </c>
      <c r="H61" s="352" t="s">
        <v>38</v>
      </c>
      <c r="I61" s="170" t="s">
        <v>290</v>
      </c>
      <c r="J61" s="170" t="s">
        <v>8</v>
      </c>
      <c r="K61" s="223">
        <v>23</v>
      </c>
      <c r="L61" s="304">
        <f>UBC_MASUK[[#This Row],[Tg Bulan]]/SUM(COUNTIFS(F:F,"(01) JAN",I:I,"EB Residential Service",G:G,"2021"))</f>
        <v>37.553623186956521</v>
      </c>
      <c r="M61" s="351" t="str">
        <f t="shared" si="1"/>
        <v>863,7333333</v>
      </c>
      <c r="N61" s="304">
        <f>UBC_MASUK[[#This Row],[Tg Tahun]]/SUM(COUNTIFS(G:G,"2021",I:I,"EB Residential Service"))</f>
        <v>99.661538461538456</v>
      </c>
      <c r="O61" s="170" t="str">
        <f t="shared" si="2"/>
        <v>10364,8</v>
      </c>
    </row>
    <row r="62" spans="2:15" ht="21" x14ac:dyDescent="0.3">
      <c r="B62" s="357">
        <v>44209</v>
      </c>
      <c r="C62" s="353">
        <v>2</v>
      </c>
      <c r="D62" s="171" t="str">
        <f t="shared" si="0"/>
        <v>Q1</v>
      </c>
      <c r="E62" s="353">
        <v>13</v>
      </c>
      <c r="F62" s="221" t="s">
        <v>140</v>
      </c>
      <c r="G62" s="170">
        <v>2021</v>
      </c>
      <c r="H62" s="352" t="s">
        <v>38</v>
      </c>
      <c r="I62" s="170" t="s">
        <v>290</v>
      </c>
      <c r="J62" s="170" t="s">
        <v>8</v>
      </c>
      <c r="K62" s="223">
        <v>21</v>
      </c>
      <c r="L62" s="304">
        <f>UBC_MASUK[[#This Row],[Tg Bulan]]/SUM(COUNTIFS(F:F,"(01) JAN",I:I,"EB Residential Service",G:G,"2021"))</f>
        <v>37.553623186956521</v>
      </c>
      <c r="M62" s="351" t="str">
        <f t="shared" si="1"/>
        <v>863,7333333</v>
      </c>
      <c r="N62" s="304">
        <f>UBC_MASUK[[#This Row],[Tg Tahun]]/SUM(COUNTIFS(G:G,"2021",I:I,"EB Residential Service"))</f>
        <v>99.661538461538456</v>
      </c>
      <c r="O62" s="170" t="str">
        <f t="shared" si="2"/>
        <v>10364,8</v>
      </c>
    </row>
    <row r="63" spans="2:15" ht="21" x14ac:dyDescent="0.3">
      <c r="B63" s="357">
        <v>44210</v>
      </c>
      <c r="C63" s="353">
        <v>2</v>
      </c>
      <c r="D63" s="171" t="str">
        <f t="shared" si="0"/>
        <v>Q1</v>
      </c>
      <c r="E63" s="353">
        <v>14</v>
      </c>
      <c r="F63" s="221" t="s">
        <v>140</v>
      </c>
      <c r="G63" s="170">
        <v>2021</v>
      </c>
      <c r="H63" s="352" t="s">
        <v>38</v>
      </c>
      <c r="I63" s="170" t="s">
        <v>290</v>
      </c>
      <c r="J63" s="170" t="s">
        <v>8</v>
      </c>
      <c r="K63" s="223">
        <v>6</v>
      </c>
      <c r="L63" s="304">
        <f>UBC_MASUK[[#This Row],[Tg Bulan]]/SUM(COUNTIFS(F:F,"(01) JAN",I:I,"EB Residential Service",G:G,"2021"))</f>
        <v>37.553623186956521</v>
      </c>
      <c r="M63" s="351" t="str">
        <f t="shared" si="1"/>
        <v>863,7333333</v>
      </c>
      <c r="N63" s="304">
        <f>UBC_MASUK[[#This Row],[Tg Tahun]]/SUM(COUNTIFS(G:G,"2021",I:I,"EB Residential Service"))</f>
        <v>99.661538461538456</v>
      </c>
      <c r="O63" s="170" t="str">
        <f t="shared" si="2"/>
        <v>10364,8</v>
      </c>
    </row>
    <row r="64" spans="2:15" ht="21" x14ac:dyDescent="0.3">
      <c r="B64" s="357">
        <v>44211</v>
      </c>
      <c r="C64" s="353">
        <v>3</v>
      </c>
      <c r="D64" s="171" t="str">
        <f t="shared" si="0"/>
        <v>Q1</v>
      </c>
      <c r="E64" s="353">
        <v>15</v>
      </c>
      <c r="F64" s="221" t="s">
        <v>140</v>
      </c>
      <c r="G64" s="170">
        <v>2021</v>
      </c>
      <c r="H64" s="352" t="s">
        <v>38</v>
      </c>
      <c r="I64" s="170" t="s">
        <v>290</v>
      </c>
      <c r="J64" s="170" t="s">
        <v>8</v>
      </c>
      <c r="K64" s="223">
        <v>6</v>
      </c>
      <c r="L64" s="304">
        <f>UBC_MASUK[[#This Row],[Tg Bulan]]/SUM(COUNTIFS(F:F,"(01) JAN",I:I,"EB Residential Service",G:G,"2021"))</f>
        <v>37.553623186956521</v>
      </c>
      <c r="M64" s="351" t="str">
        <f t="shared" si="1"/>
        <v>863,7333333</v>
      </c>
      <c r="N64" s="304">
        <f>UBC_MASUK[[#This Row],[Tg Tahun]]/SUM(COUNTIFS(G:G,"2021",I:I,"EB Residential Service"))</f>
        <v>99.661538461538456</v>
      </c>
      <c r="O64" s="170" t="str">
        <f t="shared" si="2"/>
        <v>10364,8</v>
      </c>
    </row>
    <row r="65" spans="2:15" ht="21" x14ac:dyDescent="0.3">
      <c r="B65" s="357">
        <v>44212</v>
      </c>
      <c r="C65" s="353">
        <v>3</v>
      </c>
      <c r="D65" s="171" t="str">
        <f t="shared" si="0"/>
        <v>Q1</v>
      </c>
      <c r="E65" s="353">
        <v>16</v>
      </c>
      <c r="F65" s="221" t="s">
        <v>140</v>
      </c>
      <c r="G65" s="170">
        <v>2021</v>
      </c>
      <c r="H65" s="352" t="s">
        <v>38</v>
      </c>
      <c r="I65" s="170" t="s">
        <v>290</v>
      </c>
      <c r="J65" s="170" t="s">
        <v>8</v>
      </c>
      <c r="K65" s="223">
        <v>23</v>
      </c>
      <c r="L65" s="304">
        <f>UBC_MASUK[[#This Row],[Tg Bulan]]/SUM(COUNTIFS(F:F,"(01) JAN",I:I,"EB Residential Service",G:G,"2021"))</f>
        <v>37.553623186956521</v>
      </c>
      <c r="M65" s="351" t="str">
        <f t="shared" si="1"/>
        <v>863,7333333</v>
      </c>
      <c r="N65" s="304">
        <f>UBC_MASUK[[#This Row],[Tg Tahun]]/SUM(COUNTIFS(G:G,"2021",I:I,"EB Residential Service"))</f>
        <v>99.661538461538456</v>
      </c>
      <c r="O65" s="170" t="str">
        <f t="shared" si="2"/>
        <v>10364,8</v>
      </c>
    </row>
    <row r="66" spans="2:15" ht="21" x14ac:dyDescent="0.3">
      <c r="B66" s="357">
        <v>44214</v>
      </c>
      <c r="C66" s="353">
        <v>3</v>
      </c>
      <c r="D66" s="171" t="str">
        <f t="shared" si="0"/>
        <v>Q1</v>
      </c>
      <c r="E66" s="353">
        <v>18</v>
      </c>
      <c r="F66" s="221" t="s">
        <v>140</v>
      </c>
      <c r="G66" s="170">
        <v>2021</v>
      </c>
      <c r="H66" s="352" t="s">
        <v>38</v>
      </c>
      <c r="I66" s="170" t="s">
        <v>290</v>
      </c>
      <c r="J66" s="170" t="s">
        <v>8</v>
      </c>
      <c r="K66" s="223">
        <v>1</v>
      </c>
      <c r="L66" s="304">
        <f>UBC_MASUK[[#This Row],[Tg Bulan]]/SUM(COUNTIFS(F:F,"(01) JAN",I:I,"EB Residential Service",G:G,"2021"))</f>
        <v>37.553623186956521</v>
      </c>
      <c r="M66" s="351" t="str">
        <f t="shared" si="1"/>
        <v>863,7333333</v>
      </c>
      <c r="N66" s="304">
        <f>UBC_MASUK[[#This Row],[Tg Tahun]]/SUM(COUNTIFS(G:G,"2021",I:I,"EB Residential Service"))</f>
        <v>99.661538461538456</v>
      </c>
      <c r="O66" s="170" t="str">
        <f t="shared" si="2"/>
        <v>10364,8</v>
      </c>
    </row>
    <row r="67" spans="2:15" ht="21" x14ac:dyDescent="0.3">
      <c r="B67" s="357">
        <v>44215</v>
      </c>
      <c r="C67" s="353">
        <v>3</v>
      </c>
      <c r="D67" s="171" t="str">
        <f t="shared" si="0"/>
        <v>Q1</v>
      </c>
      <c r="E67" s="353">
        <v>19</v>
      </c>
      <c r="F67" s="221" t="s">
        <v>140</v>
      </c>
      <c r="G67" s="170">
        <v>2021</v>
      </c>
      <c r="H67" s="352" t="s">
        <v>38</v>
      </c>
      <c r="I67" s="170" t="s">
        <v>290</v>
      </c>
      <c r="J67" s="170" t="s">
        <v>8</v>
      </c>
      <c r="K67" s="223">
        <v>20</v>
      </c>
      <c r="L67" s="304">
        <f>UBC_MASUK[[#This Row],[Tg Bulan]]/SUM(COUNTIFS(F:F,"(01) JAN",I:I,"EB Residential Service",G:G,"2021"))</f>
        <v>37.553623186956521</v>
      </c>
      <c r="M67" s="351" t="str">
        <f t="shared" si="1"/>
        <v>863,7333333</v>
      </c>
      <c r="N67" s="304">
        <f>UBC_MASUK[[#This Row],[Tg Tahun]]/SUM(COUNTIFS(G:G,"2021",I:I,"EB Residential Service"))</f>
        <v>99.661538461538456</v>
      </c>
      <c r="O67" s="170" t="str">
        <f t="shared" si="2"/>
        <v>10364,8</v>
      </c>
    </row>
    <row r="68" spans="2:15" ht="21" x14ac:dyDescent="0.3">
      <c r="B68" s="357">
        <v>44216</v>
      </c>
      <c r="C68" s="353">
        <v>3</v>
      </c>
      <c r="D68" s="171" t="str">
        <f t="shared" ref="D68:D131" si="3">IF(F:F="(01) JAN","Q1",IF(F:F="(02) FEB","Q1",IF(F:F="(03) MAR","Q1",IF(F:F="(04) APR","Q2",IF(F:F="(05) MEI","Q2",IF(F:F="(06) JUN","Q2",IF(F:F="(07) JUL","Q3",IF(F:F="(08) AGU","Q3",IF(F:F="(09) SEP","Q3",IF(F:F="(10) OKT","Q4",IF(F:F="(11) NOV","Q4",IF(F:F="(12) DES","Q4"))))))))))))</f>
        <v>Q1</v>
      </c>
      <c r="E68" s="353">
        <v>20</v>
      </c>
      <c r="F68" s="221" t="s">
        <v>140</v>
      </c>
      <c r="G68" s="170">
        <v>2021</v>
      </c>
      <c r="H68" s="352" t="s">
        <v>38</v>
      </c>
      <c r="I68" s="170" t="s">
        <v>290</v>
      </c>
      <c r="J68" s="170" t="s">
        <v>8</v>
      </c>
      <c r="K68" s="223">
        <v>14</v>
      </c>
      <c r="L68" s="304">
        <f>UBC_MASUK[[#This Row],[Tg Bulan]]/SUM(COUNTIFS(F:F,"(01) JAN",I:I,"EB Residential Service",G:G,"2021"))</f>
        <v>37.553623186956521</v>
      </c>
      <c r="M68" s="351" t="str">
        <f t="shared" ref="M68:M131" si="4">IF(I:I="TPS3R","391,433333333333",IF(I:I="TPST3R","1222,225",IF(I:I="TPA","878,975",IF(I:I="Sekolah","64,775",IF(I:I="Pengepul","11981,20833",IF(I:I="Jasa sampah","3712,433333",IF(I:I="Hotel","201,4083333",IF(I:I="EB Residential Service","863,7333333",IF(I:I="Bisnis","1158,2",IF(I:I="Bank Sampah Unit","79,46666667",IF(I:I="Bank Sampah Induk","279,475")))))))))))</f>
        <v>863,7333333</v>
      </c>
      <c r="N68" s="304">
        <f>UBC_MASUK[[#This Row],[Tg Tahun]]/SUM(COUNTIFS(G:G,"2021",I:I,"EB Residential Service"))</f>
        <v>99.661538461538456</v>
      </c>
      <c r="O68" s="170" t="str">
        <f t="shared" ref="O68:O131" si="5">IF(I:I="TPS3R","4607,2",IF(I:I="TPST3R","14666,7",IF(I:I="TPA","10547,7",IF(I:I="Sekolah","777,3",IF(I:I="Pengepul","143774,5",IF(I:I="Jasa sampah","44549,2",IF(I:I="Hotel","2416,9",IF(I:I="EB Residential Service","10364,8",IF(I:I="Bisnis","13898,4",IF(I:I="Bank Sampah Unit","953,6",IF(I:I="Bank Sampah Induk","3353,7")))))))))))</f>
        <v>10364,8</v>
      </c>
    </row>
    <row r="69" spans="2:15" ht="21" x14ac:dyDescent="0.3">
      <c r="B69" s="357">
        <v>44217</v>
      </c>
      <c r="C69" s="353">
        <v>3</v>
      </c>
      <c r="D69" s="171" t="str">
        <f t="shared" si="3"/>
        <v>Q1</v>
      </c>
      <c r="E69" s="353">
        <v>21</v>
      </c>
      <c r="F69" s="221" t="s">
        <v>140</v>
      </c>
      <c r="G69" s="170">
        <v>2021</v>
      </c>
      <c r="H69" s="352" t="s">
        <v>38</v>
      </c>
      <c r="I69" s="170" t="s">
        <v>290</v>
      </c>
      <c r="J69" s="170" t="s">
        <v>8</v>
      </c>
      <c r="K69" s="223">
        <v>24</v>
      </c>
      <c r="L69" s="304">
        <f>UBC_MASUK[[#This Row],[Tg Bulan]]/SUM(COUNTIFS(F:F,"(01) JAN",I:I,"EB Residential Service",G:G,"2021"))</f>
        <v>37.553623186956521</v>
      </c>
      <c r="M69" s="351" t="str">
        <f t="shared" si="4"/>
        <v>863,7333333</v>
      </c>
      <c r="N69" s="304">
        <f>UBC_MASUK[[#This Row],[Tg Tahun]]/SUM(COUNTIFS(G:G,"2021",I:I,"EB Residential Service"))</f>
        <v>99.661538461538456</v>
      </c>
      <c r="O69" s="170" t="str">
        <f t="shared" si="5"/>
        <v>10364,8</v>
      </c>
    </row>
    <row r="70" spans="2:15" ht="21" x14ac:dyDescent="0.35">
      <c r="B70" s="357">
        <v>44218</v>
      </c>
      <c r="C70" s="353">
        <v>4</v>
      </c>
      <c r="D70" s="171" t="str">
        <f t="shared" si="3"/>
        <v>Q1</v>
      </c>
      <c r="E70" s="353">
        <v>22</v>
      </c>
      <c r="F70" s="221" t="s">
        <v>140</v>
      </c>
      <c r="G70" s="170">
        <v>2021</v>
      </c>
      <c r="H70" s="352" t="s">
        <v>38</v>
      </c>
      <c r="I70" s="170" t="s">
        <v>290</v>
      </c>
      <c r="J70" s="170" t="s">
        <v>8</v>
      </c>
      <c r="K70" s="222">
        <v>35</v>
      </c>
      <c r="L70" s="304">
        <f>UBC_MASUK[[#This Row],[Tg Bulan]]/SUM(COUNTIFS(F:F,"(01) JAN",I:I,"EB Residential Service",G:G,"2021"))</f>
        <v>37.553623186956521</v>
      </c>
      <c r="M70" s="351" t="str">
        <f t="shared" si="4"/>
        <v>863,7333333</v>
      </c>
      <c r="N70" s="304">
        <f>UBC_MASUK[[#This Row],[Tg Tahun]]/SUM(COUNTIFS(G:G,"2021",I:I,"EB Residential Service"))</f>
        <v>99.661538461538456</v>
      </c>
      <c r="O70" s="170" t="str">
        <f t="shared" si="5"/>
        <v>10364,8</v>
      </c>
    </row>
    <row r="71" spans="2:15" ht="21" x14ac:dyDescent="0.35">
      <c r="B71" s="357">
        <v>44219</v>
      </c>
      <c r="C71" s="353">
        <v>4</v>
      </c>
      <c r="D71" s="171" t="str">
        <f t="shared" si="3"/>
        <v>Q1</v>
      </c>
      <c r="E71" s="353">
        <v>23</v>
      </c>
      <c r="F71" s="221" t="s">
        <v>140</v>
      </c>
      <c r="G71" s="170">
        <v>2021</v>
      </c>
      <c r="H71" s="352" t="s">
        <v>38</v>
      </c>
      <c r="I71" s="170" t="s">
        <v>290</v>
      </c>
      <c r="J71" s="170" t="s">
        <v>8</v>
      </c>
      <c r="K71" s="222">
        <v>6</v>
      </c>
      <c r="L71" s="304">
        <f>UBC_MASUK[[#This Row],[Tg Bulan]]/SUM(COUNTIFS(F:F,"(01) JAN",I:I,"EB Residential Service",G:G,"2021"))</f>
        <v>37.553623186956521</v>
      </c>
      <c r="M71" s="351" t="str">
        <f t="shared" si="4"/>
        <v>863,7333333</v>
      </c>
      <c r="N71" s="304">
        <f>UBC_MASUK[[#This Row],[Tg Tahun]]/SUM(COUNTIFS(G:G,"2021",I:I,"EB Residential Service"))</f>
        <v>99.661538461538456</v>
      </c>
      <c r="O71" s="170" t="str">
        <f t="shared" si="5"/>
        <v>10364,8</v>
      </c>
    </row>
    <row r="72" spans="2:15" ht="21" x14ac:dyDescent="0.35">
      <c r="B72" s="357">
        <v>44221</v>
      </c>
      <c r="C72" s="353">
        <v>4</v>
      </c>
      <c r="D72" s="171" t="str">
        <f t="shared" si="3"/>
        <v>Q1</v>
      </c>
      <c r="E72" s="353">
        <v>25</v>
      </c>
      <c r="F72" s="221" t="s">
        <v>140</v>
      </c>
      <c r="G72" s="170">
        <v>2021</v>
      </c>
      <c r="H72" s="352" t="s">
        <v>38</v>
      </c>
      <c r="I72" s="170" t="s">
        <v>290</v>
      </c>
      <c r="J72" s="170" t="s">
        <v>8</v>
      </c>
      <c r="K72" s="222">
        <v>24</v>
      </c>
      <c r="L72" s="304">
        <f>UBC_MASUK[[#This Row],[Tg Bulan]]/SUM(COUNTIFS(F:F,"(01) JAN",I:I,"EB Residential Service",G:G,"2021"))</f>
        <v>37.553623186956521</v>
      </c>
      <c r="M72" s="351" t="str">
        <f t="shared" si="4"/>
        <v>863,7333333</v>
      </c>
      <c r="N72" s="304">
        <f>UBC_MASUK[[#This Row],[Tg Tahun]]/SUM(COUNTIFS(G:G,"2021",I:I,"EB Residential Service"))</f>
        <v>99.661538461538456</v>
      </c>
      <c r="O72" s="170" t="str">
        <f t="shared" si="5"/>
        <v>10364,8</v>
      </c>
    </row>
    <row r="73" spans="2:15" ht="21" x14ac:dyDescent="0.35">
      <c r="B73" s="357">
        <v>44222</v>
      </c>
      <c r="C73" s="353">
        <v>4</v>
      </c>
      <c r="D73" s="171" t="str">
        <f t="shared" si="3"/>
        <v>Q1</v>
      </c>
      <c r="E73" s="353">
        <v>26</v>
      </c>
      <c r="F73" s="221" t="s">
        <v>140</v>
      </c>
      <c r="G73" s="170">
        <v>2021</v>
      </c>
      <c r="H73" s="352" t="s">
        <v>38</v>
      </c>
      <c r="I73" s="170" t="s">
        <v>290</v>
      </c>
      <c r="J73" s="170" t="s">
        <v>8</v>
      </c>
      <c r="K73" s="222">
        <v>27</v>
      </c>
      <c r="L73" s="304">
        <f>UBC_MASUK[[#This Row],[Tg Bulan]]/SUM(COUNTIFS(F:F,"(01) JAN",I:I,"EB Residential Service",G:G,"2021"))</f>
        <v>37.553623186956521</v>
      </c>
      <c r="M73" s="351" t="str">
        <f t="shared" si="4"/>
        <v>863,7333333</v>
      </c>
      <c r="N73" s="304">
        <f>UBC_MASUK[[#This Row],[Tg Tahun]]/SUM(COUNTIFS(G:G,"2021",I:I,"EB Residential Service"))</f>
        <v>99.661538461538456</v>
      </c>
      <c r="O73" s="170" t="str">
        <f t="shared" si="5"/>
        <v>10364,8</v>
      </c>
    </row>
    <row r="74" spans="2:15" ht="21" x14ac:dyDescent="0.35">
      <c r="B74" s="357">
        <v>44223</v>
      </c>
      <c r="C74" s="353">
        <v>4</v>
      </c>
      <c r="D74" s="171" t="str">
        <f t="shared" si="3"/>
        <v>Q1</v>
      </c>
      <c r="E74" s="353">
        <v>27</v>
      </c>
      <c r="F74" s="221" t="s">
        <v>140</v>
      </c>
      <c r="G74" s="170">
        <v>2021</v>
      </c>
      <c r="H74" s="352" t="s">
        <v>38</v>
      </c>
      <c r="I74" s="170" t="s">
        <v>290</v>
      </c>
      <c r="J74" s="170" t="s">
        <v>8</v>
      </c>
      <c r="K74" s="222">
        <v>22</v>
      </c>
      <c r="L74" s="304">
        <f>UBC_MASUK[[#This Row],[Tg Bulan]]/SUM(COUNTIFS(F:F,"(01) JAN",I:I,"EB Residential Service",G:G,"2021"))</f>
        <v>37.553623186956521</v>
      </c>
      <c r="M74" s="351" t="str">
        <f t="shared" si="4"/>
        <v>863,7333333</v>
      </c>
      <c r="N74" s="304">
        <f>UBC_MASUK[[#This Row],[Tg Tahun]]/SUM(COUNTIFS(G:G,"2021",I:I,"EB Residential Service"))</f>
        <v>99.661538461538456</v>
      </c>
      <c r="O74" s="170" t="str">
        <f t="shared" si="5"/>
        <v>10364,8</v>
      </c>
    </row>
    <row r="75" spans="2:15" ht="21" x14ac:dyDescent="0.35">
      <c r="B75" s="357">
        <v>44224</v>
      </c>
      <c r="C75" s="353">
        <v>4</v>
      </c>
      <c r="D75" s="171" t="str">
        <f t="shared" si="3"/>
        <v>Q1</v>
      </c>
      <c r="E75" s="353">
        <v>28</v>
      </c>
      <c r="F75" s="221" t="s">
        <v>140</v>
      </c>
      <c r="G75" s="170">
        <v>2021</v>
      </c>
      <c r="H75" s="352" t="s">
        <v>38</v>
      </c>
      <c r="I75" s="170" t="s">
        <v>290</v>
      </c>
      <c r="J75" s="170" t="s">
        <v>8</v>
      </c>
      <c r="K75" s="222">
        <v>30</v>
      </c>
      <c r="L75" s="304">
        <f>UBC_MASUK[[#This Row],[Tg Bulan]]/SUM(COUNTIFS(F:F,"(01) JAN",I:I,"EB Residential Service",G:G,"2021"))</f>
        <v>37.553623186956521</v>
      </c>
      <c r="M75" s="351" t="str">
        <f t="shared" si="4"/>
        <v>863,7333333</v>
      </c>
      <c r="N75" s="304">
        <f>UBC_MASUK[[#This Row],[Tg Tahun]]/SUM(COUNTIFS(G:G,"2021",I:I,"EB Residential Service"))</f>
        <v>99.661538461538456</v>
      </c>
      <c r="O75" s="170" t="str">
        <f t="shared" si="5"/>
        <v>10364,8</v>
      </c>
    </row>
    <row r="76" spans="2:15" ht="21" x14ac:dyDescent="0.35">
      <c r="B76" s="357">
        <v>44225</v>
      </c>
      <c r="C76" s="353">
        <v>5</v>
      </c>
      <c r="D76" s="171" t="str">
        <f t="shared" si="3"/>
        <v>Q1</v>
      </c>
      <c r="E76" s="353">
        <v>29</v>
      </c>
      <c r="F76" s="221" t="s">
        <v>140</v>
      </c>
      <c r="G76" s="170">
        <v>2021</v>
      </c>
      <c r="H76" s="352" t="s">
        <v>38</v>
      </c>
      <c r="I76" s="170" t="s">
        <v>290</v>
      </c>
      <c r="J76" s="170" t="s">
        <v>8</v>
      </c>
      <c r="K76" s="222">
        <v>18</v>
      </c>
      <c r="L76" s="304">
        <f>UBC_MASUK[[#This Row],[Tg Bulan]]/SUM(COUNTIFS(F:F,"(01) JAN",I:I,"EB Residential Service",G:G,"2021"))</f>
        <v>37.553623186956521</v>
      </c>
      <c r="M76" s="351" t="str">
        <f t="shared" si="4"/>
        <v>863,7333333</v>
      </c>
      <c r="N76" s="304">
        <f>UBC_MASUK[[#This Row],[Tg Tahun]]/SUM(COUNTIFS(G:G,"2021",I:I,"EB Residential Service"))</f>
        <v>99.661538461538456</v>
      </c>
      <c r="O76" s="170" t="str">
        <f t="shared" si="5"/>
        <v>10364,8</v>
      </c>
    </row>
    <row r="77" spans="2:15" ht="21" x14ac:dyDescent="0.35">
      <c r="B77" s="357">
        <v>44226</v>
      </c>
      <c r="C77" s="353">
        <v>5</v>
      </c>
      <c r="D77" s="171" t="str">
        <f t="shared" si="3"/>
        <v>Q1</v>
      </c>
      <c r="E77" s="353">
        <v>30</v>
      </c>
      <c r="F77" s="221" t="s">
        <v>140</v>
      </c>
      <c r="G77" s="170">
        <v>2021</v>
      </c>
      <c r="H77" s="352" t="s">
        <v>38</v>
      </c>
      <c r="I77" s="170" t="s">
        <v>290</v>
      </c>
      <c r="J77" s="170" t="s">
        <v>8</v>
      </c>
      <c r="K77" s="222">
        <v>19</v>
      </c>
      <c r="L77" s="304">
        <f>UBC_MASUK[[#This Row],[Tg Bulan]]/SUM(COUNTIFS(F:F,"(01) JAN",I:I,"EB Residential Service",G:G,"2021"))</f>
        <v>37.553623186956521</v>
      </c>
      <c r="M77" s="351" t="str">
        <f t="shared" si="4"/>
        <v>863,7333333</v>
      </c>
      <c r="N77" s="304">
        <f>UBC_MASUK[[#This Row],[Tg Tahun]]/SUM(COUNTIFS(G:G,"2021",I:I,"EB Residential Service"))</f>
        <v>99.661538461538456</v>
      </c>
      <c r="O77" s="170" t="str">
        <f t="shared" si="5"/>
        <v>10364,8</v>
      </c>
    </row>
    <row r="78" spans="2:15" x14ac:dyDescent="0.35">
      <c r="B78" s="357">
        <v>44226</v>
      </c>
      <c r="C78" s="353">
        <v>5</v>
      </c>
      <c r="D78" s="171" t="str">
        <f t="shared" si="3"/>
        <v>Q1</v>
      </c>
      <c r="E78" s="353">
        <v>30</v>
      </c>
      <c r="F78" s="221" t="s">
        <v>140</v>
      </c>
      <c r="G78" s="170">
        <v>2021</v>
      </c>
      <c r="H78" s="352" t="s">
        <v>159</v>
      </c>
      <c r="I78" s="170" t="s">
        <v>160</v>
      </c>
      <c r="J78" s="170" t="s">
        <v>161</v>
      </c>
      <c r="K78" s="173">
        <v>0</v>
      </c>
      <c r="L78" s="304">
        <f>UBC_MASUK[[#This Row],[Tg Bulan]]/SUM(COUNTIFS(F:F,"(01) JAN",I:I,"Bank Sampah Induk",G:G,"2021"))</f>
        <v>279.47500000000002</v>
      </c>
      <c r="M78" s="351" t="str">
        <f t="shared" si="4"/>
        <v>279,475</v>
      </c>
      <c r="N78" s="304">
        <f>UBC_MASUK[[#This Row],[Tg Tahun]]/SUM(COUNTIFS(G:G,"2021",I:I,"Bank Sampah Induk"))</f>
        <v>419.21249999999998</v>
      </c>
      <c r="O78" s="170" t="str">
        <f t="shared" si="5"/>
        <v>3353,7</v>
      </c>
    </row>
    <row r="79" spans="2:15" x14ac:dyDescent="0.35">
      <c r="B79" s="357">
        <v>44226</v>
      </c>
      <c r="C79" s="353">
        <v>5</v>
      </c>
      <c r="D79" s="171" t="str">
        <f t="shared" si="3"/>
        <v>Q1</v>
      </c>
      <c r="E79" s="353">
        <v>30</v>
      </c>
      <c r="F79" s="221" t="s">
        <v>140</v>
      </c>
      <c r="G79" s="170">
        <v>2021</v>
      </c>
      <c r="H79" s="352" t="s">
        <v>42</v>
      </c>
      <c r="I79" s="170" t="s">
        <v>31</v>
      </c>
      <c r="J79" s="170" t="s">
        <v>43</v>
      </c>
      <c r="K79" s="173">
        <v>0</v>
      </c>
      <c r="L79" s="304">
        <f>UBC_MASUK[[#This Row],[Tg Bulan]]/SUM(COUNTIFS(F:F,"(01) JAN",I:I,"Bisnis",G:G,"2021"))</f>
        <v>60.957894736842107</v>
      </c>
      <c r="M79" s="351" t="str">
        <f t="shared" si="4"/>
        <v>1158,2</v>
      </c>
      <c r="N79" s="304">
        <f>UBC_MASUK[[#This Row],[Tg Tahun]]/SUM(COUNTIFS(G:G,"2021",I:I,"Bisnis"))</f>
        <v>111.18719999999999</v>
      </c>
      <c r="O79" s="170" t="str">
        <f t="shared" si="5"/>
        <v>13898,4</v>
      </c>
    </row>
    <row r="80" spans="2:15" ht="21" x14ac:dyDescent="0.35">
      <c r="B80" s="357">
        <v>44253</v>
      </c>
      <c r="C80" s="353">
        <v>4</v>
      </c>
      <c r="D80" s="171" t="str">
        <f t="shared" si="3"/>
        <v>Q1</v>
      </c>
      <c r="E80" s="353">
        <v>26</v>
      </c>
      <c r="F80" s="221" t="s">
        <v>141</v>
      </c>
      <c r="G80" s="170">
        <v>2021</v>
      </c>
      <c r="H80" s="352" t="s">
        <v>361</v>
      </c>
      <c r="I80" s="170" t="s">
        <v>7</v>
      </c>
      <c r="J80" s="170" t="s">
        <v>8</v>
      </c>
      <c r="K80" s="354">
        <v>18</v>
      </c>
      <c r="L80" s="304">
        <f>UBC_MASUK[[#This Row],[Tg Bulan]]/SUM(COUNTIFS(F:F,"(02) FEB",I:I,"TPS3R",G:G,"2021"))</f>
        <v>195.7166666666665</v>
      </c>
      <c r="M80" s="351" t="str">
        <f t="shared" si="4"/>
        <v>391,433333333333</v>
      </c>
      <c r="N80" s="304">
        <f>UBC_MASUK[[#This Row],[Tg Tahun]]/SUM(COUNTIFS(G:G,"2021",I:I,"TPS3R"))</f>
        <v>418.83636363636361</v>
      </c>
      <c r="O80" s="170" t="str">
        <f t="shared" si="5"/>
        <v>4607,2</v>
      </c>
    </row>
    <row r="81" spans="2:15" ht="21" x14ac:dyDescent="0.35">
      <c r="B81" s="357">
        <v>44245</v>
      </c>
      <c r="C81" s="353">
        <v>3</v>
      </c>
      <c r="D81" s="171" t="str">
        <f t="shared" si="3"/>
        <v>Q1</v>
      </c>
      <c r="E81" s="353">
        <v>18</v>
      </c>
      <c r="F81" s="221" t="s">
        <v>141</v>
      </c>
      <c r="G81" s="170">
        <v>2021</v>
      </c>
      <c r="H81" s="352" t="s">
        <v>12</v>
      </c>
      <c r="I81" s="170" t="s">
        <v>13</v>
      </c>
      <c r="J81" s="170" t="s">
        <v>14</v>
      </c>
      <c r="K81" s="354">
        <v>216.5</v>
      </c>
      <c r="L81" s="304">
        <f>UBC_MASUK[[#This Row],[Tg Bulan]]/SUM(COUNTIFS(F:F,"(02) FEB",I:I,"TPST3R",G:G,"2021"))</f>
        <v>611.11249999999995</v>
      </c>
      <c r="M81" s="351" t="str">
        <f t="shared" si="4"/>
        <v>1222,225</v>
      </c>
      <c r="N81" s="304">
        <f>UBC_MASUK[[#This Row],[Tg Tahun]]/SUM(COUNTIFS(G:G,"2021",I:I,"TPST3R"))</f>
        <v>1333.3363636363638</v>
      </c>
      <c r="O81" s="170" t="str">
        <f t="shared" si="5"/>
        <v>14666,7</v>
      </c>
    </row>
    <row r="82" spans="2:15" ht="21" x14ac:dyDescent="0.35">
      <c r="B82" s="357">
        <v>44253</v>
      </c>
      <c r="C82" s="353">
        <v>4</v>
      </c>
      <c r="D82" s="171" t="str">
        <f t="shared" si="3"/>
        <v>Q1</v>
      </c>
      <c r="E82" s="353">
        <v>26</v>
      </c>
      <c r="F82" s="221" t="s">
        <v>141</v>
      </c>
      <c r="G82" s="170">
        <v>2021</v>
      </c>
      <c r="H82" s="352" t="s">
        <v>137</v>
      </c>
      <c r="I82" s="170" t="s">
        <v>13</v>
      </c>
      <c r="J82" s="170" t="s">
        <v>8</v>
      </c>
      <c r="K82" s="354">
        <v>104</v>
      </c>
      <c r="L82" s="304">
        <f>UBC_MASUK[[#This Row],[Tg Bulan]]/SUM(COUNTIFS(F:F,"(02) FEB",I:I,"TPST3R",G:G,"2021"))</f>
        <v>611.11249999999995</v>
      </c>
      <c r="M82" s="351" t="str">
        <f t="shared" si="4"/>
        <v>1222,225</v>
      </c>
      <c r="N82" s="304">
        <f>UBC_MASUK[[#This Row],[Tg Tahun]]/SUM(COUNTIFS(G:G,"2021",I:I,"TPST3R"))</f>
        <v>1333.3363636363638</v>
      </c>
      <c r="O82" s="170" t="str">
        <f t="shared" si="5"/>
        <v>14666,7</v>
      </c>
    </row>
    <row r="83" spans="2:15" ht="21" x14ac:dyDescent="0.35">
      <c r="B83" s="357">
        <v>44229</v>
      </c>
      <c r="C83" s="353">
        <v>1</v>
      </c>
      <c r="D83" s="171" t="str">
        <f t="shared" si="3"/>
        <v>Q1</v>
      </c>
      <c r="E83" s="353">
        <v>2</v>
      </c>
      <c r="F83" s="221" t="s">
        <v>141</v>
      </c>
      <c r="G83" s="170">
        <v>2021</v>
      </c>
      <c r="H83" s="352" t="s">
        <v>15</v>
      </c>
      <c r="I83" s="170" t="s">
        <v>16</v>
      </c>
      <c r="J83" s="170" t="s">
        <v>14</v>
      </c>
      <c r="K83" s="354">
        <v>536</v>
      </c>
      <c r="L83" s="304">
        <f>UBC_MASUK[[#This Row],[Tg Bulan]]/SUM(COUNTIFS(F:F,"(02) FEB",I:I,"TPA",G:G,"2021"))</f>
        <v>439.48750000000001</v>
      </c>
      <c r="M83" s="351" t="str">
        <f t="shared" si="4"/>
        <v>878,975</v>
      </c>
      <c r="N83" s="304">
        <f>UBC_MASUK[[#This Row],[Tg Tahun]]/SUM(COUNTIFS(G:G,"2021",I:I,"TPA"))</f>
        <v>1757.95</v>
      </c>
      <c r="O83" s="170" t="str">
        <f t="shared" si="5"/>
        <v>10547,7</v>
      </c>
    </row>
    <row r="84" spans="2:15" ht="21" x14ac:dyDescent="0.35">
      <c r="B84" s="357">
        <v>44246</v>
      </c>
      <c r="C84" s="353">
        <v>3</v>
      </c>
      <c r="D84" s="171" t="str">
        <f t="shared" si="3"/>
        <v>Q1</v>
      </c>
      <c r="E84" s="353">
        <v>19</v>
      </c>
      <c r="F84" s="221" t="s">
        <v>141</v>
      </c>
      <c r="G84" s="170">
        <v>2021</v>
      </c>
      <c r="H84" s="352" t="s">
        <v>15</v>
      </c>
      <c r="I84" s="170" t="s">
        <v>16</v>
      </c>
      <c r="J84" s="170" t="s">
        <v>14</v>
      </c>
      <c r="K84" s="354">
        <v>206</v>
      </c>
      <c r="L84" s="304">
        <f>UBC_MASUK[[#This Row],[Tg Bulan]]/SUM(COUNTIFS(F:F,"(02) FEB",I:I,"TPA",G:G,"2021"))</f>
        <v>439.48750000000001</v>
      </c>
      <c r="M84" s="351" t="str">
        <f t="shared" si="4"/>
        <v>878,975</v>
      </c>
      <c r="N84" s="304">
        <f>UBC_MASUK[[#This Row],[Tg Tahun]]/SUM(COUNTIFS(G:G,"2021",I:I,"TPA"))</f>
        <v>1757.95</v>
      </c>
      <c r="O84" s="170" t="str">
        <f t="shared" si="5"/>
        <v>10547,7</v>
      </c>
    </row>
    <row r="85" spans="2:15" ht="21" x14ac:dyDescent="0.35">
      <c r="B85" s="357">
        <v>44232</v>
      </c>
      <c r="C85" s="353">
        <v>1</v>
      </c>
      <c r="D85" s="171" t="str">
        <f t="shared" si="3"/>
        <v>Q1</v>
      </c>
      <c r="E85" s="353">
        <v>5</v>
      </c>
      <c r="F85" s="221" t="s">
        <v>141</v>
      </c>
      <c r="G85" s="170">
        <v>2021</v>
      </c>
      <c r="H85" s="352" t="s">
        <v>22</v>
      </c>
      <c r="I85" s="170" t="s">
        <v>18</v>
      </c>
      <c r="J85" s="170" t="s">
        <v>19</v>
      </c>
      <c r="K85" s="354">
        <v>931</v>
      </c>
      <c r="L85" s="304">
        <f>UBC_MASUK[[#This Row],[Tg Bulan]]/SUM(COUNTIFS(F:F,"(02) FEB",I:I,"Pengepul",G:G,"2021"))</f>
        <v>1996.8680549999999</v>
      </c>
      <c r="M85" s="351" t="str">
        <f t="shared" si="4"/>
        <v>11981,20833</v>
      </c>
      <c r="N85" s="304">
        <f>UBC_MASUK[[#This Row],[Tg Tahun]]/SUM(COUNTIFS(G:G,"2021",I:I,"Pengepul"))</f>
        <v>4228.661764705882</v>
      </c>
      <c r="O85" s="170" t="str">
        <f t="shared" si="5"/>
        <v>143774,5</v>
      </c>
    </row>
    <row r="86" spans="2:15" ht="21" x14ac:dyDescent="0.35">
      <c r="B86" s="357">
        <v>44245</v>
      </c>
      <c r="C86" s="353">
        <v>3</v>
      </c>
      <c r="D86" s="171" t="str">
        <f t="shared" si="3"/>
        <v>Q1</v>
      </c>
      <c r="E86" s="353">
        <v>18</v>
      </c>
      <c r="F86" s="221" t="s">
        <v>141</v>
      </c>
      <c r="G86" s="170">
        <v>2021</v>
      </c>
      <c r="H86" s="352" t="s">
        <v>25</v>
      </c>
      <c r="I86" s="170" t="s">
        <v>18</v>
      </c>
      <c r="J86" s="170" t="s">
        <v>8</v>
      </c>
      <c r="K86" s="354">
        <v>162</v>
      </c>
      <c r="L86" s="304">
        <f>UBC_MASUK[[#This Row],[Tg Bulan]]/SUM(COUNTIFS(F:F,"(02) FEB",I:I,"Pengepul",G:G,"2021"))</f>
        <v>1996.8680549999999</v>
      </c>
      <c r="M86" s="351" t="str">
        <f t="shared" si="4"/>
        <v>11981,20833</v>
      </c>
      <c r="N86" s="304">
        <f>UBC_MASUK[[#This Row],[Tg Tahun]]/SUM(COUNTIFS(G:G,"2021",I:I,"Pengepul"))</f>
        <v>4228.661764705882</v>
      </c>
      <c r="O86" s="170" t="str">
        <f t="shared" si="5"/>
        <v>143774,5</v>
      </c>
    </row>
    <row r="87" spans="2:15" ht="21" x14ac:dyDescent="0.35">
      <c r="B87" s="357">
        <v>44246</v>
      </c>
      <c r="C87" s="353">
        <v>3</v>
      </c>
      <c r="D87" s="171" t="str">
        <f t="shared" si="3"/>
        <v>Q1</v>
      </c>
      <c r="E87" s="353">
        <v>19</v>
      </c>
      <c r="F87" s="221" t="s">
        <v>141</v>
      </c>
      <c r="G87" s="170">
        <v>2021</v>
      </c>
      <c r="H87" s="352" t="s">
        <v>22</v>
      </c>
      <c r="I87" s="170" t="s">
        <v>18</v>
      </c>
      <c r="J87" s="170" t="s">
        <v>19</v>
      </c>
      <c r="K87" s="354">
        <v>2218</v>
      </c>
      <c r="L87" s="304">
        <f>UBC_MASUK[[#This Row],[Tg Bulan]]/SUM(COUNTIFS(F:F,"(02) FEB",I:I,"Pengepul",G:G,"2021"))</f>
        <v>1996.8680549999999</v>
      </c>
      <c r="M87" s="351" t="str">
        <f t="shared" si="4"/>
        <v>11981,20833</v>
      </c>
      <c r="N87" s="304">
        <f>UBC_MASUK[[#This Row],[Tg Tahun]]/SUM(COUNTIFS(G:G,"2021",I:I,"Pengepul"))</f>
        <v>4228.661764705882</v>
      </c>
      <c r="O87" s="170" t="str">
        <f t="shared" si="5"/>
        <v>143774,5</v>
      </c>
    </row>
    <row r="88" spans="2:15" ht="21" x14ac:dyDescent="0.35">
      <c r="B88" s="357">
        <v>44233</v>
      </c>
      <c r="C88" s="353">
        <v>1</v>
      </c>
      <c r="D88" s="171" t="str">
        <f t="shared" si="3"/>
        <v>Q1</v>
      </c>
      <c r="E88" s="353">
        <v>6</v>
      </c>
      <c r="F88" s="221" t="s">
        <v>141</v>
      </c>
      <c r="G88" s="170">
        <v>2021</v>
      </c>
      <c r="H88" s="352" t="s">
        <v>25</v>
      </c>
      <c r="I88" s="170" t="s">
        <v>18</v>
      </c>
      <c r="J88" s="170" t="s">
        <v>8</v>
      </c>
      <c r="K88" s="354">
        <v>302</v>
      </c>
      <c r="L88" s="304">
        <f>UBC_MASUK[[#This Row],[Tg Bulan]]/SUM(COUNTIFS(F:F,"(02) FEB",I:I,"Pengepul",G:G,"2021"))</f>
        <v>1996.8680549999999</v>
      </c>
      <c r="M88" s="351" t="str">
        <f t="shared" si="4"/>
        <v>11981,20833</v>
      </c>
      <c r="N88" s="304">
        <f>UBC_MASUK[[#This Row],[Tg Tahun]]/SUM(COUNTIFS(G:G,"2021",I:I,"Pengepul"))</f>
        <v>4228.661764705882</v>
      </c>
      <c r="O88" s="170" t="str">
        <f t="shared" si="5"/>
        <v>143774,5</v>
      </c>
    </row>
    <row r="89" spans="2:15" ht="21" x14ac:dyDescent="0.35">
      <c r="B89" s="357">
        <v>44251</v>
      </c>
      <c r="C89" s="353">
        <v>4</v>
      </c>
      <c r="D89" s="171" t="str">
        <f t="shared" si="3"/>
        <v>Q1</v>
      </c>
      <c r="E89" s="353">
        <v>24</v>
      </c>
      <c r="F89" s="221" t="s">
        <v>141</v>
      </c>
      <c r="G89" s="170">
        <v>2021</v>
      </c>
      <c r="H89" s="352" t="s">
        <v>22</v>
      </c>
      <c r="I89" s="170" t="s">
        <v>18</v>
      </c>
      <c r="J89" s="170" t="s">
        <v>19</v>
      </c>
      <c r="K89" s="354">
        <v>1072</v>
      </c>
      <c r="L89" s="304">
        <f>UBC_MASUK[[#This Row],[Tg Bulan]]/SUM(COUNTIFS(F:F,"(02) FEB",I:I,"Pengepul",G:G,"2021"))</f>
        <v>1996.8680549999999</v>
      </c>
      <c r="M89" s="351" t="str">
        <f t="shared" si="4"/>
        <v>11981,20833</v>
      </c>
      <c r="N89" s="304">
        <f>UBC_MASUK[[#This Row],[Tg Tahun]]/SUM(COUNTIFS(G:G,"2021",I:I,"Pengepul"))</f>
        <v>4228.661764705882</v>
      </c>
      <c r="O89" s="170" t="str">
        <f t="shared" si="5"/>
        <v>143774,5</v>
      </c>
    </row>
    <row r="90" spans="2:15" ht="21" x14ac:dyDescent="0.35">
      <c r="B90" s="357">
        <v>44233</v>
      </c>
      <c r="C90" s="353">
        <v>1</v>
      </c>
      <c r="D90" s="171" t="str">
        <f t="shared" si="3"/>
        <v>Q1</v>
      </c>
      <c r="E90" s="353">
        <v>6</v>
      </c>
      <c r="F90" s="221" t="s">
        <v>141</v>
      </c>
      <c r="G90" s="170">
        <v>2021</v>
      </c>
      <c r="H90" s="352" t="s">
        <v>39</v>
      </c>
      <c r="I90" s="170" t="s">
        <v>21</v>
      </c>
      <c r="J90" s="170" t="s">
        <v>8</v>
      </c>
      <c r="K90" s="354">
        <v>169</v>
      </c>
      <c r="L90" s="304">
        <f>UBC_MASUK[[#This Row],[Tg Bulan]]/SUM(COUNTIFS(F:F,"(02) FEB",I:I,"Jasa sampah",G:G,"2021"))</f>
        <v>1237.4777776666667</v>
      </c>
      <c r="M90" s="351" t="str">
        <f t="shared" si="4"/>
        <v>3712,433333</v>
      </c>
      <c r="N90" s="304">
        <f>UBC_MASUK[[#This Row],[Tg Tahun]]/SUM(COUNTIFS(G:G,"2021",I:I,"Jasa sampah"))</f>
        <v>1856.2166666666665</v>
      </c>
      <c r="O90" s="170" t="str">
        <f t="shared" si="5"/>
        <v>44549,2</v>
      </c>
    </row>
    <row r="91" spans="2:15" ht="21" x14ac:dyDescent="0.35">
      <c r="B91" s="357">
        <v>44233</v>
      </c>
      <c r="C91" s="353">
        <v>1</v>
      </c>
      <c r="D91" s="171" t="str">
        <f t="shared" si="3"/>
        <v>Q1</v>
      </c>
      <c r="E91" s="353">
        <v>6</v>
      </c>
      <c r="F91" s="221" t="s">
        <v>141</v>
      </c>
      <c r="G91" s="170">
        <v>2021</v>
      </c>
      <c r="H91" s="352" t="s">
        <v>24</v>
      </c>
      <c r="I91" s="170" t="s">
        <v>21</v>
      </c>
      <c r="J91" s="170" t="s">
        <v>19</v>
      </c>
      <c r="K91" s="354">
        <v>319</v>
      </c>
      <c r="L91" s="304">
        <f>UBC_MASUK[[#This Row],[Tg Bulan]]/SUM(COUNTIFS(F:F,"(02) FEB",I:I,"Jasa sampah",G:G,"2021"))</f>
        <v>1237.4777776666667</v>
      </c>
      <c r="M91" s="351" t="str">
        <f t="shared" si="4"/>
        <v>3712,433333</v>
      </c>
      <c r="N91" s="304">
        <f>UBC_MASUK[[#This Row],[Tg Tahun]]/SUM(COUNTIFS(G:G,"2021",I:I,"Jasa sampah"))</f>
        <v>1856.2166666666665</v>
      </c>
      <c r="O91" s="170" t="str">
        <f t="shared" si="5"/>
        <v>44549,2</v>
      </c>
    </row>
    <row r="92" spans="2:15" ht="21" x14ac:dyDescent="0.35">
      <c r="B92" s="357">
        <v>44242</v>
      </c>
      <c r="C92" s="353">
        <v>3</v>
      </c>
      <c r="D92" s="171" t="str">
        <f t="shared" si="3"/>
        <v>Q1</v>
      </c>
      <c r="E92" s="353">
        <v>15</v>
      </c>
      <c r="F92" s="221" t="s">
        <v>141</v>
      </c>
      <c r="G92" s="170">
        <v>2021</v>
      </c>
      <c r="H92" s="352" t="s">
        <v>40</v>
      </c>
      <c r="I92" s="170" t="s">
        <v>21</v>
      </c>
      <c r="J92" s="170" t="s">
        <v>19</v>
      </c>
      <c r="K92" s="354">
        <v>75</v>
      </c>
      <c r="L92" s="304">
        <f>UBC_MASUK[[#This Row],[Tg Bulan]]/SUM(COUNTIFS(F:F,"(02) FEB",I:I,"Jasa sampah",G:G,"2021"))</f>
        <v>1237.4777776666667</v>
      </c>
      <c r="M92" s="351" t="str">
        <f t="shared" si="4"/>
        <v>3712,433333</v>
      </c>
      <c r="N92" s="304">
        <f>UBC_MASUK[[#This Row],[Tg Tahun]]/SUM(COUNTIFS(G:G,"2021",I:I,"Jasa sampah"))</f>
        <v>1856.2166666666665</v>
      </c>
      <c r="O92" s="170" t="str">
        <f t="shared" si="5"/>
        <v>44549,2</v>
      </c>
    </row>
    <row r="93" spans="2:15" ht="21" x14ac:dyDescent="0.35">
      <c r="B93" s="357">
        <v>44244</v>
      </c>
      <c r="C93" s="353">
        <v>3</v>
      </c>
      <c r="D93" s="171" t="str">
        <f t="shared" si="3"/>
        <v>Q1</v>
      </c>
      <c r="E93" s="353">
        <v>17</v>
      </c>
      <c r="F93" s="221" t="s">
        <v>141</v>
      </c>
      <c r="G93" s="170">
        <v>2021</v>
      </c>
      <c r="H93" s="352" t="s">
        <v>23</v>
      </c>
      <c r="I93" s="170" t="s">
        <v>18</v>
      </c>
      <c r="J93" s="170" t="s">
        <v>19</v>
      </c>
      <c r="K93" s="354">
        <v>459</v>
      </c>
      <c r="L93" s="304">
        <f>UBC_MASUK[[#This Row],[Tg Bulan]]/SUM(COUNTIFS(F:F,"(02) FEB",I:I,"Pengepul",G:G,"2021"))</f>
        <v>1996.8680549999999</v>
      </c>
      <c r="M93" s="351" t="str">
        <f t="shared" si="4"/>
        <v>11981,20833</v>
      </c>
      <c r="N93" s="304">
        <f>UBC_MASUK[[#This Row],[Tg Tahun]]/SUM(COUNTIFS(G:G,"2021",I:I,"Pengepul"))</f>
        <v>4228.661764705882</v>
      </c>
      <c r="O93" s="170" t="str">
        <f t="shared" si="5"/>
        <v>143774,5</v>
      </c>
    </row>
    <row r="94" spans="2:15" ht="21" x14ac:dyDescent="0.35">
      <c r="B94" s="357">
        <v>44228</v>
      </c>
      <c r="C94" s="353">
        <v>1</v>
      </c>
      <c r="D94" s="171" t="str">
        <f t="shared" si="3"/>
        <v>Q1</v>
      </c>
      <c r="E94" s="353">
        <v>1</v>
      </c>
      <c r="F94" s="221" t="s">
        <v>141</v>
      </c>
      <c r="G94" s="170">
        <v>2021</v>
      </c>
      <c r="H94" s="352" t="s">
        <v>28</v>
      </c>
      <c r="I94" s="170" t="s">
        <v>31</v>
      </c>
      <c r="J94" s="170" t="s">
        <v>19</v>
      </c>
      <c r="K94" s="222">
        <v>21</v>
      </c>
      <c r="L94" s="304">
        <f>UBC_MASUK[[#This Row],[Tg Bulan]]/SUM(COUNTIFS(F:F,"(02) FEB",I:I,"Bisnis",G:G,"2021"))</f>
        <v>55.152380952380952</v>
      </c>
      <c r="M94" s="351" t="str">
        <f t="shared" si="4"/>
        <v>1158,2</v>
      </c>
      <c r="N94" s="304">
        <f>UBC_MASUK[[#This Row],[Tg Tahun]]/SUM(COUNTIFS(G:G,"2021",I:I,"Bisnis"))</f>
        <v>111.18719999999999</v>
      </c>
      <c r="O94" s="170" t="str">
        <f t="shared" si="5"/>
        <v>13898,4</v>
      </c>
    </row>
    <row r="95" spans="2:15" ht="21" x14ac:dyDescent="0.35">
      <c r="B95" s="357">
        <v>44228</v>
      </c>
      <c r="C95" s="353">
        <v>1</v>
      </c>
      <c r="D95" s="171" t="str">
        <f t="shared" si="3"/>
        <v>Q1</v>
      </c>
      <c r="E95" s="353">
        <v>1</v>
      </c>
      <c r="F95" s="221" t="s">
        <v>141</v>
      </c>
      <c r="G95" s="170">
        <v>2021</v>
      </c>
      <c r="H95" s="352" t="s">
        <v>29</v>
      </c>
      <c r="I95" s="170" t="s">
        <v>31</v>
      </c>
      <c r="J95" s="170" t="s">
        <v>8</v>
      </c>
      <c r="K95" s="222">
        <v>41</v>
      </c>
      <c r="L95" s="304">
        <f>UBC_MASUK[[#This Row],[Tg Bulan]]/SUM(COUNTIFS(F:F,"(02) FEB",I:I,"Bisnis",G:G,"2021"))</f>
        <v>55.152380952380952</v>
      </c>
      <c r="M95" s="351" t="str">
        <f t="shared" si="4"/>
        <v>1158,2</v>
      </c>
      <c r="N95" s="304">
        <f>UBC_MASUK[[#This Row],[Tg Tahun]]/SUM(COUNTIFS(G:G,"2021",I:I,"Bisnis"))</f>
        <v>111.18719999999999</v>
      </c>
      <c r="O95" s="170" t="str">
        <f t="shared" si="5"/>
        <v>13898,4</v>
      </c>
    </row>
    <row r="96" spans="2:15" ht="21" x14ac:dyDescent="0.35">
      <c r="B96" s="357">
        <v>44232</v>
      </c>
      <c r="C96" s="353">
        <v>1</v>
      </c>
      <c r="D96" s="171" t="str">
        <f t="shared" si="3"/>
        <v>Q1</v>
      </c>
      <c r="E96" s="353">
        <v>5</v>
      </c>
      <c r="F96" s="221" t="s">
        <v>141</v>
      </c>
      <c r="G96" s="170">
        <v>2021</v>
      </c>
      <c r="H96" s="352" t="s">
        <v>28</v>
      </c>
      <c r="I96" s="170" t="s">
        <v>31</v>
      </c>
      <c r="J96" s="170" t="s">
        <v>19</v>
      </c>
      <c r="K96" s="222">
        <v>56</v>
      </c>
      <c r="L96" s="304">
        <f>UBC_MASUK[[#This Row],[Tg Bulan]]/SUM(COUNTIFS(F:F,"(02) FEB",I:I,"Bisnis",G:G,"2021"))</f>
        <v>55.152380952380952</v>
      </c>
      <c r="M96" s="351" t="str">
        <f t="shared" si="4"/>
        <v>1158,2</v>
      </c>
      <c r="N96" s="304">
        <f>UBC_MASUK[[#This Row],[Tg Tahun]]/SUM(COUNTIFS(G:G,"2021",I:I,"Bisnis"))</f>
        <v>111.18719999999999</v>
      </c>
      <c r="O96" s="170" t="str">
        <f t="shared" si="5"/>
        <v>13898,4</v>
      </c>
    </row>
    <row r="97" spans="2:15" ht="21" x14ac:dyDescent="0.35">
      <c r="B97" s="357">
        <v>44235</v>
      </c>
      <c r="C97" s="353">
        <v>2</v>
      </c>
      <c r="D97" s="171" t="str">
        <f t="shared" si="3"/>
        <v>Q1</v>
      </c>
      <c r="E97" s="353">
        <v>8</v>
      </c>
      <c r="F97" s="221" t="s">
        <v>141</v>
      </c>
      <c r="G97" s="170">
        <v>2021</v>
      </c>
      <c r="H97" s="352" t="s">
        <v>29</v>
      </c>
      <c r="I97" s="170" t="s">
        <v>31</v>
      </c>
      <c r="J97" s="170" t="s">
        <v>8</v>
      </c>
      <c r="K97" s="222">
        <v>34</v>
      </c>
      <c r="L97" s="304">
        <f>UBC_MASUK[[#This Row],[Tg Bulan]]/SUM(COUNTIFS(F:F,"(02) FEB",I:I,"Bisnis",G:G,"2021"))</f>
        <v>55.152380952380952</v>
      </c>
      <c r="M97" s="351" t="str">
        <f t="shared" si="4"/>
        <v>1158,2</v>
      </c>
      <c r="N97" s="304">
        <f>UBC_MASUK[[#This Row],[Tg Tahun]]/SUM(COUNTIFS(G:G,"2021",I:I,"Bisnis"))</f>
        <v>111.18719999999999</v>
      </c>
      <c r="O97" s="170" t="str">
        <f t="shared" si="5"/>
        <v>13898,4</v>
      </c>
    </row>
    <row r="98" spans="2:15" ht="21" x14ac:dyDescent="0.35">
      <c r="B98" s="357">
        <v>44235</v>
      </c>
      <c r="C98" s="353">
        <v>2</v>
      </c>
      <c r="D98" s="171" t="str">
        <f t="shared" si="3"/>
        <v>Q1</v>
      </c>
      <c r="E98" s="353">
        <v>8</v>
      </c>
      <c r="F98" s="221" t="s">
        <v>141</v>
      </c>
      <c r="G98" s="170">
        <v>2021</v>
      </c>
      <c r="H98" s="352" t="s">
        <v>27</v>
      </c>
      <c r="I98" s="170" t="s">
        <v>31</v>
      </c>
      <c r="J98" s="170" t="s">
        <v>8</v>
      </c>
      <c r="K98" s="222">
        <v>12</v>
      </c>
      <c r="L98" s="304">
        <f>UBC_MASUK[[#This Row],[Tg Bulan]]/SUM(COUNTIFS(F:F,"(02) FEB",I:I,"Bisnis",G:G,"2021"))</f>
        <v>55.152380952380952</v>
      </c>
      <c r="M98" s="351" t="str">
        <f t="shared" si="4"/>
        <v>1158,2</v>
      </c>
      <c r="N98" s="304">
        <f>UBC_MASUK[[#This Row],[Tg Tahun]]/SUM(COUNTIFS(G:G,"2021",I:I,"Bisnis"))</f>
        <v>111.18719999999999</v>
      </c>
      <c r="O98" s="170" t="str">
        <f t="shared" si="5"/>
        <v>13898,4</v>
      </c>
    </row>
    <row r="99" spans="2:15" ht="21" x14ac:dyDescent="0.35">
      <c r="B99" s="357">
        <v>44235</v>
      </c>
      <c r="C99" s="353">
        <v>2</v>
      </c>
      <c r="D99" s="171" t="str">
        <f t="shared" si="3"/>
        <v>Q1</v>
      </c>
      <c r="E99" s="353">
        <v>8</v>
      </c>
      <c r="F99" s="221" t="s">
        <v>141</v>
      </c>
      <c r="G99" s="170">
        <v>2021</v>
      </c>
      <c r="H99" s="352" t="s">
        <v>28</v>
      </c>
      <c r="I99" s="170" t="s">
        <v>31</v>
      </c>
      <c r="J99" s="170" t="s">
        <v>19</v>
      </c>
      <c r="K99" s="222">
        <v>24</v>
      </c>
      <c r="L99" s="304">
        <f>UBC_MASUK[[#This Row],[Tg Bulan]]/SUM(COUNTIFS(F:F,"(02) FEB",I:I,"Bisnis",G:G,"2021"))</f>
        <v>55.152380952380952</v>
      </c>
      <c r="M99" s="351" t="str">
        <f t="shared" si="4"/>
        <v>1158,2</v>
      </c>
      <c r="N99" s="304">
        <f>UBC_MASUK[[#This Row],[Tg Tahun]]/SUM(COUNTIFS(G:G,"2021",I:I,"Bisnis"))</f>
        <v>111.18719999999999</v>
      </c>
      <c r="O99" s="170" t="str">
        <f t="shared" si="5"/>
        <v>13898,4</v>
      </c>
    </row>
    <row r="100" spans="2:15" ht="21" x14ac:dyDescent="0.35">
      <c r="B100" s="357">
        <v>44235</v>
      </c>
      <c r="C100" s="353">
        <v>2</v>
      </c>
      <c r="D100" s="171" t="str">
        <f t="shared" si="3"/>
        <v>Q1</v>
      </c>
      <c r="E100" s="353">
        <v>8</v>
      </c>
      <c r="F100" s="221" t="s">
        <v>141</v>
      </c>
      <c r="G100" s="170">
        <v>2021</v>
      </c>
      <c r="H100" s="352" t="s">
        <v>41</v>
      </c>
      <c r="I100" s="170" t="s">
        <v>31</v>
      </c>
      <c r="J100" s="170" t="s">
        <v>8</v>
      </c>
      <c r="K100" s="222">
        <v>1</v>
      </c>
      <c r="L100" s="304">
        <f>UBC_MASUK[[#This Row],[Tg Bulan]]/SUM(COUNTIFS(F:F,"(02) FEB",I:I,"Bisnis",G:G,"2021"))</f>
        <v>55.152380952380952</v>
      </c>
      <c r="M100" s="351" t="str">
        <f t="shared" si="4"/>
        <v>1158,2</v>
      </c>
      <c r="N100" s="304">
        <f>UBC_MASUK[[#This Row],[Tg Tahun]]/SUM(COUNTIFS(G:G,"2021",I:I,"Bisnis"))</f>
        <v>111.18719999999999</v>
      </c>
      <c r="O100" s="170" t="str">
        <f t="shared" si="5"/>
        <v>13898,4</v>
      </c>
    </row>
    <row r="101" spans="2:15" ht="21" x14ac:dyDescent="0.3">
      <c r="B101" s="357">
        <v>44240</v>
      </c>
      <c r="C101" s="353">
        <v>2</v>
      </c>
      <c r="D101" s="171" t="str">
        <f t="shared" si="3"/>
        <v>Q1</v>
      </c>
      <c r="E101" s="353">
        <v>13</v>
      </c>
      <c r="F101" s="221" t="s">
        <v>141</v>
      </c>
      <c r="G101" s="170">
        <v>2021</v>
      </c>
      <c r="H101" s="352" t="s">
        <v>28</v>
      </c>
      <c r="I101" s="170" t="s">
        <v>31</v>
      </c>
      <c r="J101" s="170" t="s">
        <v>19</v>
      </c>
      <c r="K101" s="223">
        <v>64</v>
      </c>
      <c r="L101" s="304">
        <f>UBC_MASUK[[#This Row],[Tg Bulan]]/SUM(COUNTIFS(F:F,"(02) FEB",I:I,"Bisnis",G:G,"2021"))</f>
        <v>55.152380952380952</v>
      </c>
      <c r="M101" s="351" t="str">
        <f t="shared" si="4"/>
        <v>1158,2</v>
      </c>
      <c r="N101" s="304">
        <f>UBC_MASUK[[#This Row],[Tg Tahun]]/SUM(COUNTIFS(G:G,"2021",I:I,"Bisnis"))</f>
        <v>111.18719999999999</v>
      </c>
      <c r="O101" s="170" t="str">
        <f t="shared" si="5"/>
        <v>13898,4</v>
      </c>
    </row>
    <row r="102" spans="2:15" ht="21" x14ac:dyDescent="0.3">
      <c r="B102" s="174">
        <v>44242</v>
      </c>
      <c r="C102" s="353">
        <v>3</v>
      </c>
      <c r="D102" s="171" t="str">
        <f t="shared" si="3"/>
        <v>Q1</v>
      </c>
      <c r="E102" s="353">
        <v>15</v>
      </c>
      <c r="F102" s="221" t="s">
        <v>141</v>
      </c>
      <c r="G102" s="170">
        <v>2021</v>
      </c>
      <c r="H102" s="352" t="s">
        <v>29</v>
      </c>
      <c r="I102" s="170" t="s">
        <v>31</v>
      </c>
      <c r="J102" s="170" t="s">
        <v>8</v>
      </c>
      <c r="K102" s="223">
        <v>43</v>
      </c>
      <c r="L102" s="304">
        <f>UBC_MASUK[[#This Row],[Tg Bulan]]/SUM(COUNTIFS(F:F,"(02) FEB",I:I,"Bisnis",G:G,"2021"))</f>
        <v>55.152380952380952</v>
      </c>
      <c r="M102" s="351" t="str">
        <f t="shared" si="4"/>
        <v>1158,2</v>
      </c>
      <c r="N102" s="304">
        <f>UBC_MASUK[[#This Row],[Tg Tahun]]/SUM(COUNTIFS(G:G,"2021",I:I,"Bisnis"))</f>
        <v>111.18719999999999</v>
      </c>
      <c r="O102" s="170" t="str">
        <f t="shared" si="5"/>
        <v>13898,4</v>
      </c>
    </row>
    <row r="103" spans="2:15" ht="21" x14ac:dyDescent="0.3">
      <c r="B103" s="174">
        <v>44242</v>
      </c>
      <c r="C103" s="353">
        <v>3</v>
      </c>
      <c r="D103" s="171" t="str">
        <f t="shared" si="3"/>
        <v>Q1</v>
      </c>
      <c r="E103" s="353">
        <v>15</v>
      </c>
      <c r="F103" s="221" t="s">
        <v>141</v>
      </c>
      <c r="G103" s="170">
        <v>2021</v>
      </c>
      <c r="H103" s="352" t="s">
        <v>28</v>
      </c>
      <c r="I103" s="170" t="s">
        <v>31</v>
      </c>
      <c r="J103" s="170" t="s">
        <v>19</v>
      </c>
      <c r="K103" s="223">
        <v>3</v>
      </c>
      <c r="L103" s="304">
        <f>UBC_MASUK[[#This Row],[Tg Bulan]]/SUM(COUNTIFS(F:F,"(02) FEB",I:I,"Bisnis",G:G,"2021"))</f>
        <v>55.152380952380952</v>
      </c>
      <c r="M103" s="351" t="str">
        <f t="shared" si="4"/>
        <v>1158,2</v>
      </c>
      <c r="N103" s="304">
        <f>UBC_MASUK[[#This Row],[Tg Tahun]]/SUM(COUNTIFS(G:G,"2021",I:I,"Bisnis"))</f>
        <v>111.18719999999999</v>
      </c>
      <c r="O103" s="170" t="str">
        <f t="shared" si="5"/>
        <v>13898,4</v>
      </c>
    </row>
    <row r="104" spans="2:15" ht="21" x14ac:dyDescent="0.3">
      <c r="B104" s="174">
        <v>44242</v>
      </c>
      <c r="C104" s="353">
        <v>3</v>
      </c>
      <c r="D104" s="171" t="str">
        <f t="shared" si="3"/>
        <v>Q1</v>
      </c>
      <c r="E104" s="353">
        <v>15</v>
      </c>
      <c r="F104" s="221" t="s">
        <v>141</v>
      </c>
      <c r="G104" s="170">
        <v>2021</v>
      </c>
      <c r="H104" s="352" t="s">
        <v>27</v>
      </c>
      <c r="I104" s="170" t="s">
        <v>31</v>
      </c>
      <c r="J104" s="170" t="s">
        <v>8</v>
      </c>
      <c r="K104" s="223">
        <v>12</v>
      </c>
      <c r="L104" s="304">
        <f>UBC_MASUK[[#This Row],[Tg Bulan]]/SUM(COUNTIFS(F:F,"(02) FEB",I:I,"Bisnis",G:G,"2021"))</f>
        <v>55.152380952380952</v>
      </c>
      <c r="M104" s="351" t="str">
        <f t="shared" si="4"/>
        <v>1158,2</v>
      </c>
      <c r="N104" s="304">
        <f>UBC_MASUK[[#This Row],[Tg Tahun]]/SUM(COUNTIFS(G:G,"2021",I:I,"Bisnis"))</f>
        <v>111.18719999999999</v>
      </c>
      <c r="O104" s="170" t="str">
        <f t="shared" si="5"/>
        <v>13898,4</v>
      </c>
    </row>
    <row r="105" spans="2:15" ht="21" x14ac:dyDescent="0.3">
      <c r="B105" s="174">
        <v>44245</v>
      </c>
      <c r="C105" s="353">
        <v>3</v>
      </c>
      <c r="D105" s="171" t="str">
        <f t="shared" si="3"/>
        <v>Q1</v>
      </c>
      <c r="E105" s="353">
        <v>18</v>
      </c>
      <c r="F105" s="221" t="s">
        <v>141</v>
      </c>
      <c r="G105" s="170">
        <v>2021</v>
      </c>
      <c r="H105" s="352" t="s">
        <v>42</v>
      </c>
      <c r="I105" s="170" t="s">
        <v>31</v>
      </c>
      <c r="J105" s="170" t="s">
        <v>43</v>
      </c>
      <c r="K105" s="223">
        <v>121.1</v>
      </c>
      <c r="L105" s="304">
        <f>UBC_MASUK[[#This Row],[Tg Bulan]]/SUM(COUNTIFS(F:F,"(02) FEB",I:I,"Bisnis",G:G,"2021"))</f>
        <v>55.152380952380952</v>
      </c>
      <c r="M105" s="351" t="str">
        <f t="shared" si="4"/>
        <v>1158,2</v>
      </c>
      <c r="N105" s="304">
        <f>UBC_MASUK[[#This Row],[Tg Tahun]]/SUM(COUNTIFS(G:G,"2021",I:I,"Bisnis"))</f>
        <v>111.18719999999999</v>
      </c>
      <c r="O105" s="170" t="str">
        <f t="shared" si="5"/>
        <v>13898,4</v>
      </c>
    </row>
    <row r="106" spans="2:15" ht="21" x14ac:dyDescent="0.3">
      <c r="B106" s="174">
        <v>44246</v>
      </c>
      <c r="C106" s="353">
        <v>3</v>
      </c>
      <c r="D106" s="171" t="str">
        <f t="shared" si="3"/>
        <v>Q1</v>
      </c>
      <c r="E106" s="353">
        <v>19</v>
      </c>
      <c r="F106" s="221" t="s">
        <v>141</v>
      </c>
      <c r="G106" s="170">
        <v>2021</v>
      </c>
      <c r="H106" s="352" t="s">
        <v>28</v>
      </c>
      <c r="I106" s="170" t="s">
        <v>31</v>
      </c>
      <c r="J106" s="170" t="s">
        <v>19</v>
      </c>
      <c r="K106" s="223">
        <v>51</v>
      </c>
      <c r="L106" s="304">
        <f>UBC_MASUK[[#This Row],[Tg Bulan]]/SUM(COUNTIFS(F:F,"(02) FEB",I:I,"Bisnis",G:G,"2021"))</f>
        <v>55.152380952380952</v>
      </c>
      <c r="M106" s="351" t="str">
        <f t="shared" si="4"/>
        <v>1158,2</v>
      </c>
      <c r="N106" s="304">
        <f>UBC_MASUK[[#This Row],[Tg Tahun]]/SUM(COUNTIFS(G:G,"2021",I:I,"Bisnis"))</f>
        <v>111.18719999999999</v>
      </c>
      <c r="O106" s="170" t="str">
        <f t="shared" si="5"/>
        <v>13898,4</v>
      </c>
    </row>
    <row r="107" spans="2:15" ht="21" x14ac:dyDescent="0.35">
      <c r="B107" s="177">
        <v>44246</v>
      </c>
      <c r="C107" s="353">
        <v>3</v>
      </c>
      <c r="D107" s="171" t="str">
        <f t="shared" si="3"/>
        <v>Q1</v>
      </c>
      <c r="E107" s="353">
        <v>19</v>
      </c>
      <c r="F107" s="221" t="s">
        <v>141</v>
      </c>
      <c r="G107" s="170">
        <v>2021</v>
      </c>
      <c r="H107" s="352" t="s">
        <v>121</v>
      </c>
      <c r="I107" s="170" t="s">
        <v>31</v>
      </c>
      <c r="J107" s="170" t="s">
        <v>8</v>
      </c>
      <c r="K107" s="222">
        <v>11</v>
      </c>
      <c r="L107" s="304">
        <f>UBC_MASUK[[#This Row],[Tg Bulan]]/SUM(COUNTIFS(F:F,"(02) FEB",I:I,"Bisnis",G:G,"2021"))</f>
        <v>55.152380952380952</v>
      </c>
      <c r="M107" s="351" t="str">
        <f t="shared" si="4"/>
        <v>1158,2</v>
      </c>
      <c r="N107" s="304">
        <f>UBC_MASUK[[#This Row],[Tg Tahun]]/SUM(COUNTIFS(G:G,"2021",I:I,"Bisnis"))</f>
        <v>111.18719999999999</v>
      </c>
      <c r="O107" s="170" t="str">
        <f t="shared" si="5"/>
        <v>13898,4</v>
      </c>
    </row>
    <row r="108" spans="2:15" ht="21" x14ac:dyDescent="0.35">
      <c r="B108" s="177">
        <v>44249</v>
      </c>
      <c r="C108" s="353">
        <v>4</v>
      </c>
      <c r="D108" s="171" t="str">
        <f t="shared" si="3"/>
        <v>Q1</v>
      </c>
      <c r="E108" s="353">
        <v>22</v>
      </c>
      <c r="F108" s="221" t="s">
        <v>141</v>
      </c>
      <c r="G108" s="170">
        <v>2021</v>
      </c>
      <c r="H108" s="352" t="s">
        <v>28</v>
      </c>
      <c r="I108" s="170" t="s">
        <v>31</v>
      </c>
      <c r="J108" s="170" t="s">
        <v>19</v>
      </c>
      <c r="K108" s="222">
        <v>28</v>
      </c>
      <c r="L108" s="304">
        <f>UBC_MASUK[[#This Row],[Tg Bulan]]/SUM(COUNTIFS(F:F,"(02) FEB",I:I,"Bisnis",G:G,"2021"))</f>
        <v>55.152380952380952</v>
      </c>
      <c r="M108" s="351" t="str">
        <f t="shared" si="4"/>
        <v>1158,2</v>
      </c>
      <c r="N108" s="304">
        <f>UBC_MASUK[[#This Row],[Tg Tahun]]/SUM(COUNTIFS(G:G,"2021",I:I,"Bisnis"))</f>
        <v>111.18719999999999</v>
      </c>
      <c r="O108" s="170" t="str">
        <f t="shared" si="5"/>
        <v>13898,4</v>
      </c>
    </row>
    <row r="109" spans="2:15" ht="21" x14ac:dyDescent="0.35">
      <c r="B109" s="177">
        <v>44249</v>
      </c>
      <c r="C109" s="353">
        <v>4</v>
      </c>
      <c r="D109" s="171" t="str">
        <f t="shared" si="3"/>
        <v>Q1</v>
      </c>
      <c r="E109" s="353">
        <v>22</v>
      </c>
      <c r="F109" s="221" t="s">
        <v>141</v>
      </c>
      <c r="G109" s="170">
        <v>2021</v>
      </c>
      <c r="H109" s="352" t="s">
        <v>27</v>
      </c>
      <c r="I109" s="170" t="s">
        <v>31</v>
      </c>
      <c r="J109" s="170" t="s">
        <v>8</v>
      </c>
      <c r="K109" s="222">
        <v>11</v>
      </c>
      <c r="L109" s="304">
        <f>UBC_MASUK[[#This Row],[Tg Bulan]]/SUM(COUNTIFS(F:F,"(02) FEB",I:I,"Bisnis",G:G,"2021"))</f>
        <v>55.152380952380952</v>
      </c>
      <c r="M109" s="351" t="str">
        <f t="shared" si="4"/>
        <v>1158,2</v>
      </c>
      <c r="N109" s="304">
        <f>UBC_MASUK[[#This Row],[Tg Tahun]]/SUM(COUNTIFS(G:G,"2021",I:I,"Bisnis"))</f>
        <v>111.18719999999999</v>
      </c>
      <c r="O109" s="170" t="str">
        <f t="shared" si="5"/>
        <v>13898,4</v>
      </c>
    </row>
    <row r="110" spans="2:15" ht="21" x14ac:dyDescent="0.35">
      <c r="B110" s="177">
        <v>44249</v>
      </c>
      <c r="C110" s="353">
        <v>4</v>
      </c>
      <c r="D110" s="171" t="str">
        <f t="shared" si="3"/>
        <v>Q1</v>
      </c>
      <c r="E110" s="353">
        <v>22</v>
      </c>
      <c r="F110" s="221" t="s">
        <v>141</v>
      </c>
      <c r="G110" s="170">
        <v>2021</v>
      </c>
      <c r="H110" s="352" t="s">
        <v>308</v>
      </c>
      <c r="I110" s="170" t="s">
        <v>31</v>
      </c>
      <c r="J110" s="170" t="s">
        <v>8</v>
      </c>
      <c r="K110" s="222">
        <v>3</v>
      </c>
      <c r="L110" s="304">
        <f>UBC_MASUK[[#This Row],[Tg Bulan]]/SUM(COUNTIFS(F:F,"(02) FEB",I:I,"Bisnis",G:G,"2021"))</f>
        <v>55.152380952380952</v>
      </c>
      <c r="M110" s="351" t="str">
        <f t="shared" si="4"/>
        <v>1158,2</v>
      </c>
      <c r="N110" s="304">
        <f>UBC_MASUK[[#This Row],[Tg Tahun]]/SUM(COUNTIFS(G:G,"2021",I:I,"Bisnis"))</f>
        <v>111.18719999999999</v>
      </c>
      <c r="O110" s="170" t="str">
        <f t="shared" si="5"/>
        <v>13898,4</v>
      </c>
    </row>
    <row r="111" spans="2:15" ht="21" x14ac:dyDescent="0.35">
      <c r="B111" s="177">
        <v>44249</v>
      </c>
      <c r="C111" s="353">
        <v>4</v>
      </c>
      <c r="D111" s="171" t="str">
        <f t="shared" si="3"/>
        <v>Q1</v>
      </c>
      <c r="E111" s="353">
        <v>22</v>
      </c>
      <c r="F111" s="221" t="s">
        <v>141</v>
      </c>
      <c r="G111" s="170">
        <v>2021</v>
      </c>
      <c r="H111" s="352" t="s">
        <v>29</v>
      </c>
      <c r="I111" s="170" t="s">
        <v>31</v>
      </c>
      <c r="J111" s="170" t="s">
        <v>8</v>
      </c>
      <c r="K111" s="222">
        <v>46</v>
      </c>
      <c r="L111" s="304">
        <f>UBC_MASUK[[#This Row],[Tg Bulan]]/SUM(COUNTIFS(F:F,"(02) FEB",I:I,"Bisnis",G:G,"2021"))</f>
        <v>55.152380952380952</v>
      </c>
      <c r="M111" s="351" t="str">
        <f t="shared" si="4"/>
        <v>1158,2</v>
      </c>
      <c r="N111" s="304">
        <f>UBC_MASUK[[#This Row],[Tg Tahun]]/SUM(COUNTIFS(G:G,"2021",I:I,"Bisnis"))</f>
        <v>111.18719999999999</v>
      </c>
      <c r="O111" s="170" t="str">
        <f t="shared" si="5"/>
        <v>13898,4</v>
      </c>
    </row>
    <row r="112" spans="2:15" ht="21" x14ac:dyDescent="0.35">
      <c r="B112" s="177">
        <v>44249</v>
      </c>
      <c r="C112" s="353">
        <v>4</v>
      </c>
      <c r="D112" s="171" t="str">
        <f t="shared" si="3"/>
        <v>Q1</v>
      </c>
      <c r="E112" s="353">
        <v>22</v>
      </c>
      <c r="F112" s="221" t="s">
        <v>141</v>
      </c>
      <c r="G112" s="170">
        <v>2021</v>
      </c>
      <c r="H112" s="352" t="s">
        <v>41</v>
      </c>
      <c r="I112" s="170" t="s">
        <v>31</v>
      </c>
      <c r="J112" s="170" t="s">
        <v>8</v>
      </c>
      <c r="K112" s="222">
        <v>0.6</v>
      </c>
      <c r="L112" s="304">
        <f>UBC_MASUK[[#This Row],[Tg Bulan]]/SUM(COUNTIFS(F:F,"(02) FEB",I:I,"Bisnis",G:G,"2021"))</f>
        <v>55.152380952380952</v>
      </c>
      <c r="M112" s="351" t="str">
        <f t="shared" si="4"/>
        <v>1158,2</v>
      </c>
      <c r="N112" s="304">
        <f>UBC_MASUK[[#This Row],[Tg Tahun]]/SUM(COUNTIFS(G:G,"2021",I:I,"Bisnis"))</f>
        <v>111.18719999999999</v>
      </c>
      <c r="O112" s="170" t="str">
        <f t="shared" si="5"/>
        <v>13898,4</v>
      </c>
    </row>
    <row r="113" spans="2:15" ht="21" x14ac:dyDescent="0.35">
      <c r="B113" s="177">
        <v>44253</v>
      </c>
      <c r="C113" s="353">
        <v>4</v>
      </c>
      <c r="D113" s="171" t="str">
        <f t="shared" si="3"/>
        <v>Q1</v>
      </c>
      <c r="E113" s="353">
        <v>26</v>
      </c>
      <c r="F113" s="221" t="s">
        <v>141</v>
      </c>
      <c r="G113" s="170">
        <v>2021</v>
      </c>
      <c r="H113" s="352" t="s">
        <v>28</v>
      </c>
      <c r="I113" s="170" t="s">
        <v>31</v>
      </c>
      <c r="J113" s="170" t="s">
        <v>8</v>
      </c>
      <c r="K113" s="222">
        <v>52</v>
      </c>
      <c r="L113" s="304">
        <f>UBC_MASUK[[#This Row],[Tg Bulan]]/SUM(COUNTIFS(F:F,"(02) FEB",I:I,"Bisnis",G:G,"2021"))</f>
        <v>55.152380952380952</v>
      </c>
      <c r="M113" s="351" t="str">
        <f t="shared" si="4"/>
        <v>1158,2</v>
      </c>
      <c r="N113" s="304">
        <f>UBC_MASUK[[#This Row],[Tg Tahun]]/SUM(COUNTIFS(G:G,"2021",I:I,"Bisnis"))</f>
        <v>111.18719999999999</v>
      </c>
      <c r="O113" s="170" t="str">
        <f t="shared" si="5"/>
        <v>13898,4</v>
      </c>
    </row>
    <row r="114" spans="2:15" ht="21" x14ac:dyDescent="0.35">
      <c r="B114" s="357">
        <v>44240</v>
      </c>
      <c r="C114" s="353">
        <v>2</v>
      </c>
      <c r="D114" s="171" t="str">
        <f t="shared" si="3"/>
        <v>Q1</v>
      </c>
      <c r="E114" s="353">
        <v>13</v>
      </c>
      <c r="F114" s="221" t="s">
        <v>141</v>
      </c>
      <c r="G114" s="170">
        <v>2021</v>
      </c>
      <c r="H114" s="352" t="s">
        <v>44</v>
      </c>
      <c r="I114" s="170" t="s">
        <v>34</v>
      </c>
      <c r="J114" s="170" t="s">
        <v>14</v>
      </c>
      <c r="K114" s="354">
        <v>1.8</v>
      </c>
      <c r="L114" s="304">
        <f>UBC_MASUK[[#This Row],[Tg Bulan]]/SUM(COUNTIFS(F:F,"(02) FEB",I:I,"Hotel",G:G,"2021"))</f>
        <v>100.70416665</v>
      </c>
      <c r="M114" s="351" t="str">
        <f t="shared" si="4"/>
        <v>201,4083333</v>
      </c>
      <c r="N114" s="304">
        <f>UBC_MASUK[[#This Row],[Tg Tahun]]/SUM(COUNTIFS(G:G,"2021",I:I,"Hotel"))</f>
        <v>345.2714285714286</v>
      </c>
      <c r="O114" s="170" t="str">
        <f t="shared" si="5"/>
        <v>2416,9</v>
      </c>
    </row>
    <row r="115" spans="2:15" ht="21" x14ac:dyDescent="0.35">
      <c r="B115" s="357">
        <v>44240</v>
      </c>
      <c r="C115" s="353">
        <v>2</v>
      </c>
      <c r="D115" s="171" t="str">
        <f t="shared" si="3"/>
        <v>Q1</v>
      </c>
      <c r="E115" s="353">
        <v>13</v>
      </c>
      <c r="F115" s="221" t="s">
        <v>141</v>
      </c>
      <c r="G115" s="170">
        <v>2021</v>
      </c>
      <c r="H115" s="352" t="s">
        <v>45</v>
      </c>
      <c r="I115" s="170" t="s">
        <v>34</v>
      </c>
      <c r="J115" s="170" t="s">
        <v>14</v>
      </c>
      <c r="K115" s="354">
        <v>1.5</v>
      </c>
      <c r="L115" s="304">
        <f>UBC_MASUK[[#This Row],[Tg Bulan]]/SUM(COUNTIFS(F:F,"(02) FEB",I:I,"Hotel",G:G,"2021"))</f>
        <v>100.70416665</v>
      </c>
      <c r="M115" s="351" t="str">
        <f t="shared" si="4"/>
        <v>201,4083333</v>
      </c>
      <c r="N115" s="304">
        <f>UBC_MASUK[[#This Row],[Tg Tahun]]/SUM(COUNTIFS(G:G,"2021",I:I,"Hotel"))</f>
        <v>345.2714285714286</v>
      </c>
      <c r="O115" s="170" t="str">
        <f t="shared" si="5"/>
        <v>2416,9</v>
      </c>
    </row>
    <row r="116" spans="2:15" ht="21" x14ac:dyDescent="0.35">
      <c r="B116" s="357">
        <v>44232</v>
      </c>
      <c r="C116" s="353">
        <v>1</v>
      </c>
      <c r="D116" s="171" t="str">
        <f t="shared" si="3"/>
        <v>Q1</v>
      </c>
      <c r="E116" s="353">
        <v>5</v>
      </c>
      <c r="F116" s="221" t="s">
        <v>141</v>
      </c>
      <c r="G116" s="170">
        <v>2021</v>
      </c>
      <c r="H116" s="352" t="s">
        <v>46</v>
      </c>
      <c r="I116" s="170" t="s">
        <v>36</v>
      </c>
      <c r="J116" s="170" t="s">
        <v>8</v>
      </c>
      <c r="K116" s="222">
        <v>2.5</v>
      </c>
      <c r="L116" s="304">
        <f>UBC_MASUK[[#This Row],[Tg Bulan]]/SUM(COUNTIFS(F:F,"(02) FEB",I:I,"Sekolah",G:G,"2021"))</f>
        <v>12.955000000000002</v>
      </c>
      <c r="M116" s="351" t="str">
        <f t="shared" si="4"/>
        <v>64,775</v>
      </c>
      <c r="N116" s="304">
        <f>UBC_MASUK[[#This Row],[Tg Tahun]]/SUM(COUNTIFS(G:G,"2021",I:I,"Sekolah"))</f>
        <v>38.864999999999995</v>
      </c>
      <c r="O116" s="170" t="str">
        <f t="shared" si="5"/>
        <v>777,3</v>
      </c>
    </row>
    <row r="117" spans="2:15" ht="21" x14ac:dyDescent="0.35">
      <c r="B117" s="357">
        <v>44232</v>
      </c>
      <c r="C117" s="353">
        <v>1</v>
      </c>
      <c r="D117" s="171" t="str">
        <f t="shared" si="3"/>
        <v>Q1</v>
      </c>
      <c r="E117" s="353">
        <v>5</v>
      </c>
      <c r="F117" s="221" t="s">
        <v>141</v>
      </c>
      <c r="G117" s="170">
        <v>2021</v>
      </c>
      <c r="H117" s="352" t="s">
        <v>35</v>
      </c>
      <c r="I117" s="170" t="s">
        <v>36</v>
      </c>
      <c r="J117" s="170" t="s">
        <v>8</v>
      </c>
      <c r="K117" s="222">
        <v>3</v>
      </c>
      <c r="L117" s="304">
        <f>UBC_MASUK[[#This Row],[Tg Bulan]]/SUM(COUNTIFS(F:F,"(02) FEB",I:I,"Sekolah",G:G,"2021"))</f>
        <v>12.955000000000002</v>
      </c>
      <c r="M117" s="351" t="str">
        <f t="shared" si="4"/>
        <v>64,775</v>
      </c>
      <c r="N117" s="304">
        <f>UBC_MASUK[[#This Row],[Tg Tahun]]/SUM(COUNTIFS(G:G,"2021",I:I,"Sekolah"))</f>
        <v>38.864999999999995</v>
      </c>
      <c r="O117" s="170" t="str">
        <f t="shared" si="5"/>
        <v>777,3</v>
      </c>
    </row>
    <row r="118" spans="2:15" ht="21" x14ac:dyDescent="0.35">
      <c r="B118" s="357">
        <v>44232</v>
      </c>
      <c r="C118" s="353">
        <v>1</v>
      </c>
      <c r="D118" s="171" t="str">
        <f t="shared" si="3"/>
        <v>Q1</v>
      </c>
      <c r="E118" s="353">
        <v>5</v>
      </c>
      <c r="F118" s="221" t="s">
        <v>141</v>
      </c>
      <c r="G118" s="170">
        <v>2021</v>
      </c>
      <c r="H118" s="352" t="s">
        <v>47</v>
      </c>
      <c r="I118" s="170" t="s">
        <v>36</v>
      </c>
      <c r="J118" s="170" t="s">
        <v>19</v>
      </c>
      <c r="K118" s="222">
        <v>5</v>
      </c>
      <c r="L118" s="304">
        <f>UBC_MASUK[[#This Row],[Tg Bulan]]/SUM(COUNTIFS(F:F,"(02) FEB",I:I,"Sekolah",G:G,"2021"))</f>
        <v>12.955000000000002</v>
      </c>
      <c r="M118" s="351" t="str">
        <f t="shared" si="4"/>
        <v>64,775</v>
      </c>
      <c r="N118" s="304">
        <f>UBC_MASUK[[#This Row],[Tg Tahun]]/SUM(COUNTIFS(G:G,"2021",I:I,"Sekolah"))</f>
        <v>38.864999999999995</v>
      </c>
      <c r="O118" s="170" t="str">
        <f t="shared" si="5"/>
        <v>777,3</v>
      </c>
    </row>
    <row r="119" spans="2:15" ht="21" x14ac:dyDescent="0.3">
      <c r="B119" s="357">
        <v>44246</v>
      </c>
      <c r="C119" s="353">
        <v>3</v>
      </c>
      <c r="D119" s="171" t="str">
        <f t="shared" si="3"/>
        <v>Q1</v>
      </c>
      <c r="E119" s="353">
        <v>19</v>
      </c>
      <c r="F119" s="221" t="s">
        <v>141</v>
      </c>
      <c r="G119" s="170">
        <v>2021</v>
      </c>
      <c r="H119" s="352" t="s">
        <v>35</v>
      </c>
      <c r="I119" s="170" t="s">
        <v>36</v>
      </c>
      <c r="J119" s="170" t="s">
        <v>8</v>
      </c>
      <c r="K119" s="223">
        <v>8</v>
      </c>
      <c r="L119" s="304">
        <f>UBC_MASUK[[#This Row],[Tg Bulan]]/SUM(COUNTIFS(F:F,"(02) FEB",I:I,"Sekolah",G:G,"2021"))</f>
        <v>12.955000000000002</v>
      </c>
      <c r="M119" s="351" t="str">
        <f t="shared" si="4"/>
        <v>64,775</v>
      </c>
      <c r="N119" s="304">
        <f>UBC_MASUK[[#This Row],[Tg Tahun]]/SUM(COUNTIFS(G:G,"2021",I:I,"Sekolah"))</f>
        <v>38.864999999999995</v>
      </c>
      <c r="O119" s="170" t="str">
        <f t="shared" si="5"/>
        <v>777,3</v>
      </c>
    </row>
    <row r="120" spans="2:15" ht="21" x14ac:dyDescent="0.3">
      <c r="B120" s="357">
        <v>44253</v>
      </c>
      <c r="C120" s="353">
        <v>4</v>
      </c>
      <c r="D120" s="171" t="str">
        <f t="shared" si="3"/>
        <v>Q1</v>
      </c>
      <c r="E120" s="353">
        <v>26</v>
      </c>
      <c r="F120" s="221" t="s">
        <v>141</v>
      </c>
      <c r="G120" s="170">
        <v>2021</v>
      </c>
      <c r="H120" s="352" t="s">
        <v>35</v>
      </c>
      <c r="I120" s="170" t="s">
        <v>36</v>
      </c>
      <c r="J120" s="170" t="s">
        <v>8</v>
      </c>
      <c r="K120" s="223">
        <v>7</v>
      </c>
      <c r="L120" s="304">
        <f>UBC_MASUK[[#This Row],[Tg Bulan]]/SUM(COUNTIFS(F:F,"(02) FEB",I:I,"Sekolah",G:G,"2021"))</f>
        <v>12.955000000000002</v>
      </c>
      <c r="M120" s="351" t="str">
        <f t="shared" si="4"/>
        <v>64,775</v>
      </c>
      <c r="N120" s="304">
        <f>UBC_MASUK[[#This Row],[Tg Tahun]]/SUM(COUNTIFS(G:G,"2021",I:I,"Sekolah"))</f>
        <v>38.864999999999995</v>
      </c>
      <c r="O120" s="170" t="str">
        <f t="shared" si="5"/>
        <v>777,3</v>
      </c>
    </row>
    <row r="121" spans="2:15" ht="21" x14ac:dyDescent="0.3">
      <c r="B121" s="174">
        <v>44243</v>
      </c>
      <c r="C121" s="353">
        <v>3</v>
      </c>
      <c r="D121" s="171" t="str">
        <f t="shared" si="3"/>
        <v>Q1</v>
      </c>
      <c r="E121" s="353">
        <v>16</v>
      </c>
      <c r="F121" s="221" t="s">
        <v>141</v>
      </c>
      <c r="G121" s="170">
        <v>2021</v>
      </c>
      <c r="H121" s="352" t="s">
        <v>146</v>
      </c>
      <c r="I121" s="170" t="s">
        <v>37</v>
      </c>
      <c r="J121" s="170" t="s">
        <v>8</v>
      </c>
      <c r="K121" s="223">
        <v>0.2</v>
      </c>
      <c r="L121" s="304">
        <f>UBC_MASUK[[#This Row],[Tg Bulan]]/SUM(COUNTIFS(F:F,"(02) FEB",I:I,"Bank Sampah Unit",G:G,"2021"))</f>
        <v>11.352380952857143</v>
      </c>
      <c r="M121" s="351" t="str">
        <f t="shared" si="4"/>
        <v>79,46666667</v>
      </c>
      <c r="N121" s="304">
        <f>UBC_MASUK[[#This Row],[Tg Tahun]]/SUM(COUNTIFS(G:G,"2021",I:I,"Bank Sampah Unit"))</f>
        <v>24.451282051282053</v>
      </c>
      <c r="O121" s="170" t="str">
        <f t="shared" si="5"/>
        <v>953,6</v>
      </c>
    </row>
    <row r="122" spans="2:15" ht="21" x14ac:dyDescent="0.3">
      <c r="B122" s="174">
        <v>44249</v>
      </c>
      <c r="C122" s="353">
        <v>4</v>
      </c>
      <c r="D122" s="171" t="str">
        <f t="shared" si="3"/>
        <v>Q1</v>
      </c>
      <c r="E122" s="353">
        <v>22</v>
      </c>
      <c r="F122" s="221" t="s">
        <v>141</v>
      </c>
      <c r="G122" s="170">
        <v>2021</v>
      </c>
      <c r="H122" s="352" t="s">
        <v>153</v>
      </c>
      <c r="I122" s="170" t="s">
        <v>37</v>
      </c>
      <c r="J122" s="170" t="s">
        <v>8</v>
      </c>
      <c r="K122" s="223">
        <v>0.3</v>
      </c>
      <c r="L122" s="304">
        <f>UBC_MASUK[[#This Row],[Tg Bulan]]/SUM(COUNTIFS(F:F,"(02) FEB",I:I,"Bank Sampah Unit",G:G,"2021"))</f>
        <v>11.352380952857143</v>
      </c>
      <c r="M122" s="351" t="str">
        <f t="shared" si="4"/>
        <v>79,46666667</v>
      </c>
      <c r="N122" s="304">
        <f>UBC_MASUK[[#This Row],[Tg Tahun]]/SUM(COUNTIFS(G:G,"2021",I:I,"Bank Sampah Unit"))</f>
        <v>24.451282051282053</v>
      </c>
      <c r="O122" s="170" t="str">
        <f t="shared" si="5"/>
        <v>953,6</v>
      </c>
    </row>
    <row r="123" spans="2:15" ht="21" x14ac:dyDescent="0.3">
      <c r="B123" s="174">
        <v>44249</v>
      </c>
      <c r="C123" s="353">
        <v>4</v>
      </c>
      <c r="D123" s="171" t="str">
        <f t="shared" si="3"/>
        <v>Q1</v>
      </c>
      <c r="E123" s="353">
        <v>22</v>
      </c>
      <c r="F123" s="221" t="s">
        <v>141</v>
      </c>
      <c r="G123" s="170">
        <v>2021</v>
      </c>
      <c r="H123" s="352" t="s">
        <v>151</v>
      </c>
      <c r="I123" s="170" t="s">
        <v>37</v>
      </c>
      <c r="J123" s="170" t="s">
        <v>8</v>
      </c>
      <c r="K123" s="223">
        <v>0.5</v>
      </c>
      <c r="L123" s="304">
        <f>UBC_MASUK[[#This Row],[Tg Bulan]]/SUM(COUNTIFS(F:F,"(02) FEB",I:I,"Bank Sampah Unit",G:G,"2021"))</f>
        <v>11.352380952857143</v>
      </c>
      <c r="M123" s="351" t="str">
        <f t="shared" si="4"/>
        <v>79,46666667</v>
      </c>
      <c r="N123" s="304">
        <f>UBC_MASUK[[#This Row],[Tg Tahun]]/SUM(COUNTIFS(G:G,"2021",I:I,"Bank Sampah Unit"))</f>
        <v>24.451282051282053</v>
      </c>
      <c r="O123" s="170" t="str">
        <f t="shared" si="5"/>
        <v>953,6</v>
      </c>
    </row>
    <row r="124" spans="2:15" ht="21" x14ac:dyDescent="0.3">
      <c r="B124" s="174">
        <v>44249</v>
      </c>
      <c r="C124" s="353">
        <v>4</v>
      </c>
      <c r="D124" s="171" t="str">
        <f t="shared" si="3"/>
        <v>Q1</v>
      </c>
      <c r="E124" s="353">
        <v>22</v>
      </c>
      <c r="F124" s="221" t="s">
        <v>141</v>
      </c>
      <c r="G124" s="170">
        <v>2021</v>
      </c>
      <c r="H124" s="352" t="s">
        <v>152</v>
      </c>
      <c r="I124" s="170" t="s">
        <v>37</v>
      </c>
      <c r="J124" s="170" t="s">
        <v>8</v>
      </c>
      <c r="K124" s="223">
        <v>1.8</v>
      </c>
      <c r="L124" s="304">
        <f>UBC_MASUK[[#This Row],[Tg Bulan]]/SUM(COUNTIFS(F:F,"(02) FEB",I:I,"Bank Sampah Unit",G:G,"2021"))</f>
        <v>11.352380952857143</v>
      </c>
      <c r="M124" s="351" t="str">
        <f t="shared" si="4"/>
        <v>79,46666667</v>
      </c>
      <c r="N124" s="304">
        <f>UBC_MASUK[[#This Row],[Tg Tahun]]/SUM(COUNTIFS(G:G,"2021",I:I,"Bank Sampah Unit"))</f>
        <v>24.451282051282053</v>
      </c>
      <c r="O124" s="170" t="str">
        <f t="shared" si="5"/>
        <v>953,6</v>
      </c>
    </row>
    <row r="125" spans="2:15" ht="21" x14ac:dyDescent="0.3">
      <c r="B125" s="174">
        <v>44250</v>
      </c>
      <c r="C125" s="353">
        <v>4</v>
      </c>
      <c r="D125" s="171" t="str">
        <f t="shared" si="3"/>
        <v>Q1</v>
      </c>
      <c r="E125" s="353">
        <v>23</v>
      </c>
      <c r="F125" s="221" t="s">
        <v>141</v>
      </c>
      <c r="G125" s="170">
        <v>2021</v>
      </c>
      <c r="H125" s="352" t="s">
        <v>154</v>
      </c>
      <c r="I125" s="170" t="s">
        <v>37</v>
      </c>
      <c r="J125" s="170" t="s">
        <v>8</v>
      </c>
      <c r="K125" s="223">
        <v>10</v>
      </c>
      <c r="L125" s="304">
        <f>UBC_MASUK[[#This Row],[Tg Bulan]]/SUM(COUNTIFS(F:F,"(02) FEB",I:I,"Bank Sampah Unit",G:G,"2021"))</f>
        <v>11.352380952857143</v>
      </c>
      <c r="M125" s="351" t="str">
        <f t="shared" si="4"/>
        <v>79,46666667</v>
      </c>
      <c r="N125" s="304">
        <f>UBC_MASUK[[#This Row],[Tg Tahun]]/SUM(COUNTIFS(G:G,"2021",I:I,"Bank Sampah Unit"))</f>
        <v>24.451282051282053</v>
      </c>
      <c r="O125" s="170" t="str">
        <f t="shared" si="5"/>
        <v>953,6</v>
      </c>
    </row>
    <row r="126" spans="2:15" ht="21" x14ac:dyDescent="0.3">
      <c r="B126" s="174">
        <v>44250</v>
      </c>
      <c r="C126" s="353">
        <v>4</v>
      </c>
      <c r="D126" s="171" t="str">
        <f t="shared" si="3"/>
        <v>Q1</v>
      </c>
      <c r="E126" s="353">
        <v>23</v>
      </c>
      <c r="F126" s="221" t="s">
        <v>141</v>
      </c>
      <c r="G126" s="170">
        <v>2021</v>
      </c>
      <c r="H126" s="352" t="s">
        <v>149</v>
      </c>
      <c r="I126" s="170" t="s">
        <v>37</v>
      </c>
      <c r="J126" s="170" t="s">
        <v>8</v>
      </c>
      <c r="K126" s="223">
        <v>0.5</v>
      </c>
      <c r="L126" s="304">
        <f>UBC_MASUK[[#This Row],[Tg Bulan]]/SUM(COUNTIFS(F:F,"(02) FEB",I:I,"Bank Sampah Unit",G:G,"2021"))</f>
        <v>11.352380952857143</v>
      </c>
      <c r="M126" s="351" t="str">
        <f t="shared" si="4"/>
        <v>79,46666667</v>
      </c>
      <c r="N126" s="304">
        <f>UBC_MASUK[[#This Row],[Tg Tahun]]/SUM(COUNTIFS(G:G,"2021",I:I,"Bank Sampah Unit"))</f>
        <v>24.451282051282053</v>
      </c>
      <c r="O126" s="170" t="str">
        <f t="shared" si="5"/>
        <v>953,6</v>
      </c>
    </row>
    <row r="127" spans="2:15" ht="21" x14ac:dyDescent="0.35">
      <c r="B127" s="357">
        <v>44228</v>
      </c>
      <c r="C127" s="353">
        <v>1</v>
      </c>
      <c r="D127" s="171" t="str">
        <f t="shared" si="3"/>
        <v>Q1</v>
      </c>
      <c r="E127" s="353">
        <v>1</v>
      </c>
      <c r="F127" s="221" t="s">
        <v>141</v>
      </c>
      <c r="G127" s="170">
        <v>2021</v>
      </c>
      <c r="H127" s="352" t="s">
        <v>38</v>
      </c>
      <c r="I127" s="170" t="s">
        <v>290</v>
      </c>
      <c r="J127" s="170" t="s">
        <v>8</v>
      </c>
      <c r="K127" s="222">
        <v>20</v>
      </c>
      <c r="L127" s="304">
        <f>UBC_MASUK[[#This Row],[Tg Bulan]]/SUM(COUNTIFS(F:F,"(02) FEB",I:I,"EB Residential Service",G:G,"2021"))</f>
        <v>37.553623186956521</v>
      </c>
      <c r="M127" s="351" t="str">
        <f t="shared" si="4"/>
        <v>863,7333333</v>
      </c>
      <c r="N127" s="304">
        <f>UBC_MASUK[[#This Row],[Tg Tahun]]/SUM(COUNTIFS(G:G,"2021",I:I,"EB Residential Service"))</f>
        <v>99.661538461538456</v>
      </c>
      <c r="O127" s="170" t="str">
        <f t="shared" si="5"/>
        <v>10364,8</v>
      </c>
    </row>
    <row r="128" spans="2:15" ht="21" x14ac:dyDescent="0.35">
      <c r="B128" s="357">
        <v>44229</v>
      </c>
      <c r="C128" s="353">
        <v>1</v>
      </c>
      <c r="D128" s="171" t="str">
        <f t="shared" si="3"/>
        <v>Q1</v>
      </c>
      <c r="E128" s="353">
        <v>2</v>
      </c>
      <c r="F128" s="221" t="s">
        <v>141</v>
      </c>
      <c r="G128" s="170">
        <v>2021</v>
      </c>
      <c r="H128" s="352" t="s">
        <v>38</v>
      </c>
      <c r="I128" s="170" t="s">
        <v>290</v>
      </c>
      <c r="J128" s="170" t="s">
        <v>8</v>
      </c>
      <c r="K128" s="222">
        <v>16</v>
      </c>
      <c r="L128" s="304">
        <f>UBC_MASUK[[#This Row],[Tg Bulan]]/SUM(COUNTIFS(F:F,"(02) FEB",I:I,"EB Residential Service",G:G,"2021"))</f>
        <v>37.553623186956521</v>
      </c>
      <c r="M128" s="351" t="str">
        <f t="shared" si="4"/>
        <v>863,7333333</v>
      </c>
      <c r="N128" s="304">
        <f>UBC_MASUK[[#This Row],[Tg Tahun]]/SUM(COUNTIFS(G:G,"2021",I:I,"EB Residential Service"))</f>
        <v>99.661538461538456</v>
      </c>
      <c r="O128" s="170" t="str">
        <f t="shared" si="5"/>
        <v>10364,8</v>
      </c>
    </row>
    <row r="129" spans="2:15" ht="21" x14ac:dyDescent="0.35">
      <c r="B129" s="357">
        <v>44230</v>
      </c>
      <c r="C129" s="353">
        <v>1</v>
      </c>
      <c r="D129" s="171" t="str">
        <f t="shared" si="3"/>
        <v>Q1</v>
      </c>
      <c r="E129" s="353">
        <v>3</v>
      </c>
      <c r="F129" s="221" t="s">
        <v>141</v>
      </c>
      <c r="G129" s="170">
        <v>2021</v>
      </c>
      <c r="H129" s="352" t="s">
        <v>38</v>
      </c>
      <c r="I129" s="170" t="s">
        <v>290</v>
      </c>
      <c r="J129" s="170" t="s">
        <v>8</v>
      </c>
      <c r="K129" s="222">
        <v>20</v>
      </c>
      <c r="L129" s="304">
        <f>UBC_MASUK[[#This Row],[Tg Bulan]]/SUM(COUNTIFS(F:F,"(02) FEB",I:I,"EB Residential Service",G:G,"2021"))</f>
        <v>37.553623186956521</v>
      </c>
      <c r="M129" s="351" t="str">
        <f t="shared" si="4"/>
        <v>863,7333333</v>
      </c>
      <c r="N129" s="304">
        <f>UBC_MASUK[[#This Row],[Tg Tahun]]/SUM(COUNTIFS(G:G,"2021",I:I,"EB Residential Service"))</f>
        <v>99.661538461538456</v>
      </c>
      <c r="O129" s="170" t="str">
        <f t="shared" si="5"/>
        <v>10364,8</v>
      </c>
    </row>
    <row r="130" spans="2:15" ht="21" x14ac:dyDescent="0.35">
      <c r="B130" s="357">
        <v>44232</v>
      </c>
      <c r="C130" s="353">
        <v>1</v>
      </c>
      <c r="D130" s="171" t="str">
        <f t="shared" si="3"/>
        <v>Q1</v>
      </c>
      <c r="E130" s="353">
        <v>5</v>
      </c>
      <c r="F130" s="221" t="s">
        <v>141</v>
      </c>
      <c r="G130" s="170">
        <v>2021</v>
      </c>
      <c r="H130" s="352" t="s">
        <v>38</v>
      </c>
      <c r="I130" s="170" t="s">
        <v>290</v>
      </c>
      <c r="J130" s="170" t="s">
        <v>8</v>
      </c>
      <c r="K130" s="222">
        <v>4</v>
      </c>
      <c r="L130" s="304">
        <f>UBC_MASUK[[#This Row],[Tg Bulan]]/SUM(COUNTIFS(F:F,"(02) FEB",I:I,"EB Residential Service",G:G,"2021"))</f>
        <v>37.553623186956521</v>
      </c>
      <c r="M130" s="351" t="str">
        <f t="shared" si="4"/>
        <v>863,7333333</v>
      </c>
      <c r="N130" s="304">
        <f>UBC_MASUK[[#This Row],[Tg Tahun]]/SUM(COUNTIFS(G:G,"2021",I:I,"EB Residential Service"))</f>
        <v>99.661538461538456</v>
      </c>
      <c r="O130" s="170" t="str">
        <f t="shared" si="5"/>
        <v>10364,8</v>
      </c>
    </row>
    <row r="131" spans="2:15" ht="21" x14ac:dyDescent="0.35">
      <c r="B131" s="357">
        <v>44233</v>
      </c>
      <c r="C131" s="353">
        <v>1</v>
      </c>
      <c r="D131" s="171" t="str">
        <f t="shared" si="3"/>
        <v>Q1</v>
      </c>
      <c r="E131" s="353">
        <v>6</v>
      </c>
      <c r="F131" s="221" t="s">
        <v>141</v>
      </c>
      <c r="G131" s="170">
        <v>2021</v>
      </c>
      <c r="H131" s="352" t="s">
        <v>38</v>
      </c>
      <c r="I131" s="170" t="s">
        <v>290</v>
      </c>
      <c r="J131" s="170" t="s">
        <v>8</v>
      </c>
      <c r="K131" s="222">
        <v>11</v>
      </c>
      <c r="L131" s="304">
        <f>UBC_MASUK[[#This Row],[Tg Bulan]]/SUM(COUNTIFS(F:F,"(02) FEB",I:I,"EB Residential Service",G:G,"2021"))</f>
        <v>37.553623186956521</v>
      </c>
      <c r="M131" s="351" t="str">
        <f t="shared" si="4"/>
        <v>863,7333333</v>
      </c>
      <c r="N131" s="304">
        <f>UBC_MASUK[[#This Row],[Tg Tahun]]/SUM(COUNTIFS(G:G,"2021",I:I,"EB Residential Service"))</f>
        <v>99.661538461538456</v>
      </c>
      <c r="O131" s="170" t="str">
        <f t="shared" si="5"/>
        <v>10364,8</v>
      </c>
    </row>
    <row r="132" spans="2:15" ht="21" x14ac:dyDescent="0.35">
      <c r="B132" s="357">
        <v>44235</v>
      </c>
      <c r="C132" s="353">
        <v>2</v>
      </c>
      <c r="D132" s="171" t="str">
        <f t="shared" ref="D132:D195" si="6">IF(F:F="(01) JAN","Q1",IF(F:F="(02) FEB","Q1",IF(F:F="(03) MAR","Q1",IF(F:F="(04) APR","Q2",IF(F:F="(05) MEI","Q2",IF(F:F="(06) JUN","Q2",IF(F:F="(07) JUL","Q3",IF(F:F="(08) AGU","Q3",IF(F:F="(09) SEP","Q3",IF(F:F="(10) OKT","Q4",IF(F:F="(11) NOV","Q4",IF(F:F="(12) DES","Q4"))))))))))))</f>
        <v>Q1</v>
      </c>
      <c r="E132" s="353">
        <v>8</v>
      </c>
      <c r="F132" s="221" t="s">
        <v>141</v>
      </c>
      <c r="G132" s="170">
        <v>2021</v>
      </c>
      <c r="H132" s="352" t="s">
        <v>38</v>
      </c>
      <c r="I132" s="170" t="s">
        <v>290</v>
      </c>
      <c r="J132" s="170" t="s">
        <v>8</v>
      </c>
      <c r="K132" s="222">
        <v>21</v>
      </c>
      <c r="L132" s="304">
        <f>UBC_MASUK[[#This Row],[Tg Bulan]]/SUM(COUNTIFS(F:F,"(02) FEB",I:I,"EB Residential Service",G:G,"2021"))</f>
        <v>37.553623186956521</v>
      </c>
      <c r="M132" s="351" t="str">
        <f t="shared" ref="M132:M195" si="7">IF(I:I="TPS3R","391,433333333333",IF(I:I="TPST3R","1222,225",IF(I:I="TPA","878,975",IF(I:I="Sekolah","64,775",IF(I:I="Pengepul","11981,20833",IF(I:I="Jasa sampah","3712,433333",IF(I:I="Hotel","201,4083333",IF(I:I="EB Residential Service","863,7333333",IF(I:I="Bisnis","1158,2",IF(I:I="Bank Sampah Unit","79,46666667",IF(I:I="Bank Sampah Induk","279,475")))))))))))</f>
        <v>863,7333333</v>
      </c>
      <c r="N132" s="304">
        <f>UBC_MASUK[[#This Row],[Tg Tahun]]/SUM(COUNTIFS(G:G,"2021",I:I,"EB Residential Service"))</f>
        <v>99.661538461538456</v>
      </c>
      <c r="O132" s="170" t="str">
        <f t="shared" ref="O132:O195" si="8">IF(I:I="TPS3R","4607,2",IF(I:I="TPST3R","14666,7",IF(I:I="TPA","10547,7",IF(I:I="Sekolah","777,3",IF(I:I="Pengepul","143774,5",IF(I:I="Jasa sampah","44549,2",IF(I:I="Hotel","2416,9",IF(I:I="EB Residential Service","10364,8",IF(I:I="Bisnis","13898,4",IF(I:I="Bank Sampah Unit","953,6",IF(I:I="Bank Sampah Induk","3353,7")))))))))))</f>
        <v>10364,8</v>
      </c>
    </row>
    <row r="133" spans="2:15" ht="21" x14ac:dyDescent="0.35">
      <c r="B133" s="357">
        <v>44236</v>
      </c>
      <c r="C133" s="353">
        <v>2</v>
      </c>
      <c r="D133" s="171" t="str">
        <f t="shared" si="6"/>
        <v>Q1</v>
      </c>
      <c r="E133" s="353">
        <v>9</v>
      </c>
      <c r="F133" s="221" t="s">
        <v>141</v>
      </c>
      <c r="G133" s="170">
        <v>2021</v>
      </c>
      <c r="H133" s="352" t="s">
        <v>38</v>
      </c>
      <c r="I133" s="170" t="s">
        <v>290</v>
      </c>
      <c r="J133" s="170" t="s">
        <v>8</v>
      </c>
      <c r="K133" s="222">
        <v>22</v>
      </c>
      <c r="L133" s="304">
        <f>UBC_MASUK[[#This Row],[Tg Bulan]]/SUM(COUNTIFS(F:F,"(02) FEB",I:I,"EB Residential Service",G:G,"2021"))</f>
        <v>37.553623186956521</v>
      </c>
      <c r="M133" s="351" t="str">
        <f t="shared" si="7"/>
        <v>863,7333333</v>
      </c>
      <c r="N133" s="304">
        <f>UBC_MASUK[[#This Row],[Tg Tahun]]/SUM(COUNTIFS(G:G,"2021",I:I,"EB Residential Service"))</f>
        <v>99.661538461538456</v>
      </c>
      <c r="O133" s="170" t="str">
        <f t="shared" si="8"/>
        <v>10364,8</v>
      </c>
    </row>
    <row r="134" spans="2:15" ht="21" x14ac:dyDescent="0.3">
      <c r="B134" s="357">
        <v>44237</v>
      </c>
      <c r="C134" s="353">
        <v>2</v>
      </c>
      <c r="D134" s="171" t="str">
        <f t="shared" si="6"/>
        <v>Q1</v>
      </c>
      <c r="E134" s="353">
        <v>10</v>
      </c>
      <c r="F134" s="221" t="s">
        <v>141</v>
      </c>
      <c r="G134" s="170">
        <v>2021</v>
      </c>
      <c r="H134" s="352" t="s">
        <v>38</v>
      </c>
      <c r="I134" s="170" t="s">
        <v>290</v>
      </c>
      <c r="J134" s="170" t="s">
        <v>8</v>
      </c>
      <c r="K134" s="223">
        <v>20</v>
      </c>
      <c r="L134" s="304">
        <f>UBC_MASUK[[#This Row],[Tg Bulan]]/SUM(COUNTIFS(F:F,"(02) FEB",I:I,"EB Residential Service",G:G,"2021"))</f>
        <v>37.553623186956521</v>
      </c>
      <c r="M134" s="351" t="str">
        <f t="shared" si="7"/>
        <v>863,7333333</v>
      </c>
      <c r="N134" s="304">
        <f>UBC_MASUK[[#This Row],[Tg Tahun]]/SUM(COUNTIFS(G:G,"2021",I:I,"EB Residential Service"))</f>
        <v>99.661538461538456</v>
      </c>
      <c r="O134" s="170" t="str">
        <f t="shared" si="8"/>
        <v>10364,8</v>
      </c>
    </row>
    <row r="135" spans="2:15" ht="21" x14ac:dyDescent="0.3">
      <c r="B135" s="357">
        <v>44238</v>
      </c>
      <c r="C135" s="353">
        <v>2</v>
      </c>
      <c r="D135" s="171" t="str">
        <f t="shared" si="6"/>
        <v>Q1</v>
      </c>
      <c r="E135" s="353">
        <v>11</v>
      </c>
      <c r="F135" s="221" t="s">
        <v>141</v>
      </c>
      <c r="G135" s="170">
        <v>2021</v>
      </c>
      <c r="H135" s="352" t="s">
        <v>38</v>
      </c>
      <c r="I135" s="170" t="s">
        <v>290</v>
      </c>
      <c r="J135" s="170" t="s">
        <v>8</v>
      </c>
      <c r="K135" s="223">
        <v>13</v>
      </c>
      <c r="L135" s="304">
        <f>UBC_MASUK[[#This Row],[Tg Bulan]]/SUM(COUNTIFS(F:F,"(02) FEB",I:I,"EB Residential Service",G:G,"2021"))</f>
        <v>37.553623186956521</v>
      </c>
      <c r="M135" s="351" t="str">
        <f t="shared" si="7"/>
        <v>863,7333333</v>
      </c>
      <c r="N135" s="304">
        <f>UBC_MASUK[[#This Row],[Tg Tahun]]/SUM(COUNTIFS(G:G,"2021",I:I,"EB Residential Service"))</f>
        <v>99.661538461538456</v>
      </c>
      <c r="O135" s="170" t="str">
        <f t="shared" si="8"/>
        <v>10364,8</v>
      </c>
    </row>
    <row r="136" spans="2:15" ht="21" x14ac:dyDescent="0.3">
      <c r="B136" s="357">
        <v>44239</v>
      </c>
      <c r="C136" s="353">
        <v>2</v>
      </c>
      <c r="D136" s="171" t="str">
        <f t="shared" si="6"/>
        <v>Q1</v>
      </c>
      <c r="E136" s="353">
        <v>12</v>
      </c>
      <c r="F136" s="221" t="s">
        <v>141</v>
      </c>
      <c r="G136" s="170">
        <v>2021</v>
      </c>
      <c r="H136" s="352" t="s">
        <v>38</v>
      </c>
      <c r="I136" s="170" t="s">
        <v>290</v>
      </c>
      <c r="J136" s="170" t="s">
        <v>8</v>
      </c>
      <c r="K136" s="223">
        <v>21</v>
      </c>
      <c r="L136" s="304">
        <f>UBC_MASUK[[#This Row],[Tg Bulan]]/SUM(COUNTIFS(F:F,"(02) FEB",I:I,"EB Residential Service",G:G,"2021"))</f>
        <v>37.553623186956521</v>
      </c>
      <c r="M136" s="351" t="str">
        <f t="shared" si="7"/>
        <v>863,7333333</v>
      </c>
      <c r="N136" s="304">
        <f>UBC_MASUK[[#This Row],[Tg Tahun]]/SUM(COUNTIFS(G:G,"2021",I:I,"EB Residential Service"))</f>
        <v>99.661538461538456</v>
      </c>
      <c r="O136" s="170" t="str">
        <f t="shared" si="8"/>
        <v>10364,8</v>
      </c>
    </row>
    <row r="137" spans="2:15" ht="21" x14ac:dyDescent="0.3">
      <c r="B137" s="357">
        <v>44240</v>
      </c>
      <c r="C137" s="353">
        <v>2</v>
      </c>
      <c r="D137" s="171" t="str">
        <f t="shared" si="6"/>
        <v>Q1</v>
      </c>
      <c r="E137" s="353">
        <v>13</v>
      </c>
      <c r="F137" s="221" t="s">
        <v>141</v>
      </c>
      <c r="G137" s="170">
        <v>2021</v>
      </c>
      <c r="H137" s="352" t="s">
        <v>38</v>
      </c>
      <c r="I137" s="170" t="s">
        <v>290</v>
      </c>
      <c r="J137" s="170" t="s">
        <v>8</v>
      </c>
      <c r="K137" s="223">
        <v>18</v>
      </c>
      <c r="L137" s="304">
        <f>UBC_MASUK[[#This Row],[Tg Bulan]]/SUM(COUNTIFS(F:F,"(02) FEB",I:I,"EB Residential Service",G:G,"2021"))</f>
        <v>37.553623186956521</v>
      </c>
      <c r="M137" s="351" t="str">
        <f t="shared" si="7"/>
        <v>863,7333333</v>
      </c>
      <c r="N137" s="304">
        <f>UBC_MASUK[[#This Row],[Tg Tahun]]/SUM(COUNTIFS(G:G,"2021",I:I,"EB Residential Service"))</f>
        <v>99.661538461538456</v>
      </c>
      <c r="O137" s="170" t="str">
        <f t="shared" si="8"/>
        <v>10364,8</v>
      </c>
    </row>
    <row r="138" spans="2:15" ht="21" x14ac:dyDescent="0.3">
      <c r="B138" s="357">
        <v>44241</v>
      </c>
      <c r="C138" s="353">
        <v>2</v>
      </c>
      <c r="D138" s="171" t="str">
        <f t="shared" si="6"/>
        <v>Q1</v>
      </c>
      <c r="E138" s="353">
        <v>14</v>
      </c>
      <c r="F138" s="221" t="s">
        <v>141</v>
      </c>
      <c r="G138" s="170">
        <v>2021</v>
      </c>
      <c r="H138" s="352" t="s">
        <v>38</v>
      </c>
      <c r="I138" s="170" t="s">
        <v>290</v>
      </c>
      <c r="J138" s="170" t="s">
        <v>8</v>
      </c>
      <c r="K138" s="223">
        <v>26</v>
      </c>
      <c r="L138" s="304">
        <f>UBC_MASUK[[#This Row],[Tg Bulan]]/SUM(COUNTIFS(F:F,"(02) FEB",I:I,"EB Residential Service",G:G,"2021"))</f>
        <v>37.553623186956521</v>
      </c>
      <c r="M138" s="351" t="str">
        <f t="shared" si="7"/>
        <v>863,7333333</v>
      </c>
      <c r="N138" s="304">
        <f>UBC_MASUK[[#This Row],[Tg Tahun]]/SUM(COUNTIFS(G:G,"2021",I:I,"EB Residential Service"))</f>
        <v>99.661538461538456</v>
      </c>
      <c r="O138" s="170" t="str">
        <f t="shared" si="8"/>
        <v>10364,8</v>
      </c>
    </row>
    <row r="139" spans="2:15" ht="21" x14ac:dyDescent="0.3">
      <c r="B139" s="357">
        <v>44242</v>
      </c>
      <c r="C139" s="353">
        <v>3</v>
      </c>
      <c r="D139" s="171" t="str">
        <f t="shared" si="6"/>
        <v>Q1</v>
      </c>
      <c r="E139" s="353">
        <v>15</v>
      </c>
      <c r="F139" s="221" t="s">
        <v>141</v>
      </c>
      <c r="G139" s="170">
        <v>2021</v>
      </c>
      <c r="H139" s="352" t="s">
        <v>38</v>
      </c>
      <c r="I139" s="170" t="s">
        <v>290</v>
      </c>
      <c r="J139" s="170" t="s">
        <v>8</v>
      </c>
      <c r="K139" s="223">
        <v>26</v>
      </c>
      <c r="L139" s="304">
        <f>UBC_MASUK[[#This Row],[Tg Bulan]]/SUM(COUNTIFS(F:F,"(02) FEB",I:I,"EB Residential Service",G:G,"2021"))</f>
        <v>37.553623186956521</v>
      </c>
      <c r="M139" s="351" t="str">
        <f t="shared" si="7"/>
        <v>863,7333333</v>
      </c>
      <c r="N139" s="304">
        <f>UBC_MASUK[[#This Row],[Tg Tahun]]/SUM(COUNTIFS(G:G,"2021",I:I,"EB Residential Service"))</f>
        <v>99.661538461538456</v>
      </c>
      <c r="O139" s="170" t="str">
        <f t="shared" si="8"/>
        <v>10364,8</v>
      </c>
    </row>
    <row r="140" spans="2:15" ht="21" x14ac:dyDescent="0.3">
      <c r="B140" s="174">
        <v>44243</v>
      </c>
      <c r="C140" s="353">
        <v>3</v>
      </c>
      <c r="D140" s="171" t="str">
        <f t="shared" si="6"/>
        <v>Q1</v>
      </c>
      <c r="E140" s="353">
        <v>16</v>
      </c>
      <c r="F140" s="221" t="s">
        <v>141</v>
      </c>
      <c r="G140" s="170">
        <v>2021</v>
      </c>
      <c r="H140" s="352" t="s">
        <v>38</v>
      </c>
      <c r="I140" s="170" t="s">
        <v>290</v>
      </c>
      <c r="J140" s="170" t="s">
        <v>8</v>
      </c>
      <c r="K140" s="223">
        <v>26</v>
      </c>
      <c r="L140" s="304">
        <f>UBC_MASUK[[#This Row],[Tg Bulan]]/SUM(COUNTIFS(F:F,"(02) FEB",I:I,"EB Residential Service",G:G,"2021"))</f>
        <v>37.553623186956521</v>
      </c>
      <c r="M140" s="351" t="str">
        <f t="shared" si="7"/>
        <v>863,7333333</v>
      </c>
      <c r="N140" s="304">
        <f>UBC_MASUK[[#This Row],[Tg Tahun]]/SUM(COUNTIFS(G:G,"2021",I:I,"EB Residential Service"))</f>
        <v>99.661538461538456</v>
      </c>
      <c r="O140" s="170" t="str">
        <f t="shared" si="8"/>
        <v>10364,8</v>
      </c>
    </row>
    <row r="141" spans="2:15" ht="21" x14ac:dyDescent="0.3">
      <c r="B141" s="174">
        <v>44244</v>
      </c>
      <c r="C141" s="353">
        <v>3</v>
      </c>
      <c r="D141" s="171" t="str">
        <f t="shared" si="6"/>
        <v>Q1</v>
      </c>
      <c r="E141" s="353">
        <v>17</v>
      </c>
      <c r="F141" s="221" t="s">
        <v>141</v>
      </c>
      <c r="G141" s="170">
        <v>2021</v>
      </c>
      <c r="H141" s="352" t="s">
        <v>38</v>
      </c>
      <c r="I141" s="170" t="s">
        <v>290</v>
      </c>
      <c r="J141" s="170" t="s">
        <v>8</v>
      </c>
      <c r="K141" s="223">
        <v>20</v>
      </c>
      <c r="L141" s="304">
        <f>UBC_MASUK[[#This Row],[Tg Bulan]]/SUM(COUNTIFS(F:F,"(02) FEB",I:I,"EB Residential Service",G:G,"2021"))</f>
        <v>37.553623186956521</v>
      </c>
      <c r="M141" s="351" t="str">
        <f t="shared" si="7"/>
        <v>863,7333333</v>
      </c>
      <c r="N141" s="304">
        <f>UBC_MASUK[[#This Row],[Tg Tahun]]/SUM(COUNTIFS(G:G,"2021",I:I,"EB Residential Service"))</f>
        <v>99.661538461538456</v>
      </c>
      <c r="O141" s="170" t="str">
        <f t="shared" si="8"/>
        <v>10364,8</v>
      </c>
    </row>
    <row r="142" spans="2:15" ht="21" x14ac:dyDescent="0.3">
      <c r="B142" s="174">
        <v>44245</v>
      </c>
      <c r="C142" s="353">
        <v>3</v>
      </c>
      <c r="D142" s="171" t="str">
        <f t="shared" si="6"/>
        <v>Q1</v>
      </c>
      <c r="E142" s="353">
        <v>18</v>
      </c>
      <c r="F142" s="221" t="s">
        <v>141</v>
      </c>
      <c r="G142" s="170">
        <v>2021</v>
      </c>
      <c r="H142" s="352" t="s">
        <v>38</v>
      </c>
      <c r="I142" s="170" t="s">
        <v>290</v>
      </c>
      <c r="J142" s="170" t="s">
        <v>8</v>
      </c>
      <c r="K142" s="223">
        <v>41</v>
      </c>
      <c r="L142" s="304">
        <f>UBC_MASUK[[#This Row],[Tg Bulan]]/SUM(COUNTIFS(F:F,"(02) FEB",I:I,"EB Residential Service",G:G,"2021"))</f>
        <v>37.553623186956521</v>
      </c>
      <c r="M142" s="351" t="str">
        <f t="shared" si="7"/>
        <v>863,7333333</v>
      </c>
      <c r="N142" s="304">
        <f>UBC_MASUK[[#This Row],[Tg Tahun]]/SUM(COUNTIFS(G:G,"2021",I:I,"EB Residential Service"))</f>
        <v>99.661538461538456</v>
      </c>
      <c r="O142" s="170" t="str">
        <f t="shared" si="8"/>
        <v>10364,8</v>
      </c>
    </row>
    <row r="143" spans="2:15" ht="21" x14ac:dyDescent="0.3">
      <c r="B143" s="174">
        <v>44246</v>
      </c>
      <c r="C143" s="353">
        <v>3</v>
      </c>
      <c r="D143" s="171" t="str">
        <f t="shared" si="6"/>
        <v>Q1</v>
      </c>
      <c r="E143" s="353">
        <v>19</v>
      </c>
      <c r="F143" s="221" t="s">
        <v>141</v>
      </c>
      <c r="G143" s="170">
        <v>2021</v>
      </c>
      <c r="H143" s="352" t="s">
        <v>38</v>
      </c>
      <c r="I143" s="170" t="s">
        <v>290</v>
      </c>
      <c r="J143" s="170" t="s">
        <v>8</v>
      </c>
      <c r="K143" s="223">
        <v>17</v>
      </c>
      <c r="L143" s="304">
        <f>UBC_MASUK[[#This Row],[Tg Bulan]]/SUM(COUNTIFS(F:F,"(02) FEB",I:I,"EB Residential Service",G:G,"2021"))</f>
        <v>37.553623186956521</v>
      </c>
      <c r="M143" s="351" t="str">
        <f t="shared" si="7"/>
        <v>863,7333333</v>
      </c>
      <c r="N143" s="304">
        <f>UBC_MASUK[[#This Row],[Tg Tahun]]/SUM(COUNTIFS(G:G,"2021",I:I,"EB Residential Service"))</f>
        <v>99.661538461538456</v>
      </c>
      <c r="O143" s="170" t="str">
        <f t="shared" si="8"/>
        <v>10364,8</v>
      </c>
    </row>
    <row r="144" spans="2:15" ht="21" x14ac:dyDescent="0.3">
      <c r="B144" s="174">
        <v>44247</v>
      </c>
      <c r="C144" s="353">
        <v>3</v>
      </c>
      <c r="D144" s="171" t="str">
        <f t="shared" si="6"/>
        <v>Q1</v>
      </c>
      <c r="E144" s="353">
        <v>20</v>
      </c>
      <c r="F144" s="221" t="s">
        <v>141</v>
      </c>
      <c r="G144" s="170">
        <v>2021</v>
      </c>
      <c r="H144" s="352" t="s">
        <v>38</v>
      </c>
      <c r="I144" s="170" t="s">
        <v>290</v>
      </c>
      <c r="J144" s="170" t="s">
        <v>8</v>
      </c>
      <c r="K144" s="223">
        <v>18</v>
      </c>
      <c r="L144" s="304">
        <f>UBC_MASUK[[#This Row],[Tg Bulan]]/SUM(COUNTIFS(F:F,"(02) FEB",I:I,"EB Residential Service",G:G,"2021"))</f>
        <v>37.553623186956521</v>
      </c>
      <c r="M144" s="351" t="str">
        <f t="shared" si="7"/>
        <v>863,7333333</v>
      </c>
      <c r="N144" s="304">
        <f>UBC_MASUK[[#This Row],[Tg Tahun]]/SUM(COUNTIFS(G:G,"2021",I:I,"EB Residential Service"))</f>
        <v>99.661538461538456</v>
      </c>
      <c r="O144" s="170" t="str">
        <f t="shared" si="8"/>
        <v>10364,8</v>
      </c>
    </row>
    <row r="145" spans="2:15" ht="21" x14ac:dyDescent="0.3">
      <c r="B145" s="174">
        <v>44249</v>
      </c>
      <c r="C145" s="353">
        <v>4</v>
      </c>
      <c r="D145" s="171" t="str">
        <f t="shared" si="6"/>
        <v>Q1</v>
      </c>
      <c r="E145" s="353">
        <v>22</v>
      </c>
      <c r="F145" s="221" t="s">
        <v>141</v>
      </c>
      <c r="G145" s="170">
        <v>2021</v>
      </c>
      <c r="H145" s="352" t="s">
        <v>38</v>
      </c>
      <c r="I145" s="170" t="s">
        <v>290</v>
      </c>
      <c r="J145" s="170" t="s">
        <v>8</v>
      </c>
      <c r="K145" s="223">
        <v>23</v>
      </c>
      <c r="L145" s="304">
        <f>UBC_MASUK[[#This Row],[Tg Bulan]]/SUM(COUNTIFS(F:F,"(02) FEB",I:I,"EB Residential Service",G:G,"2021"))</f>
        <v>37.553623186956521</v>
      </c>
      <c r="M145" s="351" t="str">
        <f t="shared" si="7"/>
        <v>863,7333333</v>
      </c>
      <c r="N145" s="304">
        <f>UBC_MASUK[[#This Row],[Tg Tahun]]/SUM(COUNTIFS(G:G,"2021",I:I,"EB Residential Service"))</f>
        <v>99.661538461538456</v>
      </c>
      <c r="O145" s="170" t="str">
        <f t="shared" si="8"/>
        <v>10364,8</v>
      </c>
    </row>
    <row r="146" spans="2:15" ht="21" x14ac:dyDescent="0.3">
      <c r="B146" s="174">
        <v>44250</v>
      </c>
      <c r="C146" s="353">
        <v>4</v>
      </c>
      <c r="D146" s="171" t="str">
        <f t="shared" si="6"/>
        <v>Q1</v>
      </c>
      <c r="E146" s="353">
        <v>23</v>
      </c>
      <c r="F146" s="221" t="s">
        <v>141</v>
      </c>
      <c r="G146" s="170">
        <v>2021</v>
      </c>
      <c r="H146" s="352" t="s">
        <v>38</v>
      </c>
      <c r="I146" s="170" t="s">
        <v>290</v>
      </c>
      <c r="J146" s="170" t="s">
        <v>8</v>
      </c>
      <c r="K146" s="223">
        <v>25</v>
      </c>
      <c r="L146" s="304">
        <f>UBC_MASUK[[#This Row],[Tg Bulan]]/SUM(COUNTIFS(F:F,"(02) FEB",I:I,"EB Residential Service",G:G,"2021"))</f>
        <v>37.553623186956521</v>
      </c>
      <c r="M146" s="351" t="str">
        <f t="shared" si="7"/>
        <v>863,7333333</v>
      </c>
      <c r="N146" s="304">
        <f>UBC_MASUK[[#This Row],[Tg Tahun]]/SUM(COUNTIFS(G:G,"2021",I:I,"EB Residential Service"))</f>
        <v>99.661538461538456</v>
      </c>
      <c r="O146" s="170" t="str">
        <f t="shared" si="8"/>
        <v>10364,8</v>
      </c>
    </row>
    <row r="147" spans="2:15" ht="21" x14ac:dyDescent="0.3">
      <c r="B147" s="174">
        <v>44251</v>
      </c>
      <c r="C147" s="353">
        <v>4</v>
      </c>
      <c r="D147" s="171" t="str">
        <f t="shared" si="6"/>
        <v>Q1</v>
      </c>
      <c r="E147" s="353">
        <v>24</v>
      </c>
      <c r="F147" s="221" t="s">
        <v>141</v>
      </c>
      <c r="G147" s="170">
        <v>2021</v>
      </c>
      <c r="H147" s="352" t="s">
        <v>38</v>
      </c>
      <c r="I147" s="170" t="s">
        <v>290</v>
      </c>
      <c r="J147" s="170" t="s">
        <v>8</v>
      </c>
      <c r="K147" s="223">
        <v>29</v>
      </c>
      <c r="L147" s="304">
        <f>UBC_MASUK[[#This Row],[Tg Bulan]]/SUM(COUNTIFS(F:F,"(02) FEB",I:I,"EB Residential Service",G:G,"2021"))</f>
        <v>37.553623186956521</v>
      </c>
      <c r="M147" s="351" t="str">
        <f t="shared" si="7"/>
        <v>863,7333333</v>
      </c>
      <c r="N147" s="304">
        <f>UBC_MASUK[[#This Row],[Tg Tahun]]/SUM(COUNTIFS(G:G,"2021",I:I,"EB Residential Service"))</f>
        <v>99.661538461538456</v>
      </c>
      <c r="O147" s="170" t="str">
        <f t="shared" si="8"/>
        <v>10364,8</v>
      </c>
    </row>
    <row r="148" spans="2:15" ht="21" x14ac:dyDescent="0.3">
      <c r="B148" s="174">
        <v>44253</v>
      </c>
      <c r="C148" s="353">
        <v>4</v>
      </c>
      <c r="D148" s="171" t="str">
        <f t="shared" si="6"/>
        <v>Q1</v>
      </c>
      <c r="E148" s="353">
        <v>26</v>
      </c>
      <c r="F148" s="221" t="s">
        <v>141</v>
      </c>
      <c r="G148" s="170">
        <v>2021</v>
      </c>
      <c r="H148" s="352" t="s">
        <v>38</v>
      </c>
      <c r="I148" s="170" t="s">
        <v>290</v>
      </c>
      <c r="J148" s="170" t="s">
        <v>8</v>
      </c>
      <c r="K148" s="223">
        <v>43</v>
      </c>
      <c r="L148" s="304">
        <f>UBC_MASUK[[#This Row],[Tg Bulan]]/SUM(COUNTIFS(F:F,"(02) FEB",I:I,"EB Residential Service",G:G,"2021"))</f>
        <v>37.553623186956521</v>
      </c>
      <c r="M148" s="351" t="str">
        <f t="shared" si="7"/>
        <v>863,7333333</v>
      </c>
      <c r="N148" s="304">
        <f>UBC_MASUK[[#This Row],[Tg Tahun]]/SUM(COUNTIFS(G:G,"2021",I:I,"EB Residential Service"))</f>
        <v>99.661538461538456</v>
      </c>
      <c r="O148" s="170" t="str">
        <f t="shared" si="8"/>
        <v>10364,8</v>
      </c>
    </row>
    <row r="149" spans="2:15" ht="21" x14ac:dyDescent="0.3">
      <c r="B149" s="174">
        <v>44254</v>
      </c>
      <c r="C149" s="353">
        <v>4</v>
      </c>
      <c r="D149" s="171" t="str">
        <f t="shared" si="6"/>
        <v>Q1</v>
      </c>
      <c r="E149" s="353">
        <v>27</v>
      </c>
      <c r="F149" s="221" t="s">
        <v>141</v>
      </c>
      <c r="G149" s="170">
        <v>2021</v>
      </c>
      <c r="H149" s="352" t="s">
        <v>38</v>
      </c>
      <c r="I149" s="170" t="s">
        <v>290</v>
      </c>
      <c r="J149" s="170" t="s">
        <v>8</v>
      </c>
      <c r="K149" s="223">
        <v>23</v>
      </c>
      <c r="L149" s="304">
        <f>UBC_MASUK[[#This Row],[Tg Bulan]]/SUM(COUNTIFS(F:F,"(02) FEB",I:I,"EB Residential Service",G:G,"2021"))</f>
        <v>37.553623186956521</v>
      </c>
      <c r="M149" s="351" t="str">
        <f t="shared" si="7"/>
        <v>863,7333333</v>
      </c>
      <c r="N149" s="304">
        <f>UBC_MASUK[[#This Row],[Tg Tahun]]/SUM(COUNTIFS(G:G,"2021",I:I,"EB Residential Service"))</f>
        <v>99.661538461538456</v>
      </c>
      <c r="O149" s="170" t="str">
        <f t="shared" si="8"/>
        <v>10364,8</v>
      </c>
    </row>
    <row r="150" spans="2:15" ht="21" x14ac:dyDescent="0.35">
      <c r="B150" s="174">
        <v>44253</v>
      </c>
      <c r="C150" s="353">
        <v>4</v>
      </c>
      <c r="D150" s="171" t="str">
        <f t="shared" si="6"/>
        <v>Q1</v>
      </c>
      <c r="E150" s="353">
        <v>26</v>
      </c>
      <c r="F150" s="221" t="s">
        <v>141</v>
      </c>
      <c r="G150" s="170">
        <v>2021</v>
      </c>
      <c r="H150" s="352" t="s">
        <v>155</v>
      </c>
      <c r="I150" s="170" t="s">
        <v>37</v>
      </c>
      <c r="J150" s="170" t="s">
        <v>8</v>
      </c>
      <c r="K150" s="354">
        <v>0.5</v>
      </c>
      <c r="L150" s="304">
        <f>UBC_MASUK[[#This Row],[Tg Bulan]]/SUM(COUNTIFS(F:F,"(02) FEB",I:I,"Bank Sampah Unit",G:G,"2021"))</f>
        <v>11.352380952857143</v>
      </c>
      <c r="M150" s="351" t="str">
        <f t="shared" si="7"/>
        <v>79,46666667</v>
      </c>
      <c r="N150" s="304">
        <f>UBC_MASUK[[#This Row],[Tg Tahun]]/SUM(COUNTIFS(G:G,"2021",I:I,"Bank Sampah Unit"))</f>
        <v>24.451282051282053</v>
      </c>
      <c r="O150" s="170" t="str">
        <f t="shared" si="8"/>
        <v>953,6</v>
      </c>
    </row>
    <row r="151" spans="2:15" x14ac:dyDescent="0.35">
      <c r="B151" s="357">
        <v>44255</v>
      </c>
      <c r="C151" s="353">
        <v>5</v>
      </c>
      <c r="D151" s="171" t="str">
        <f t="shared" si="6"/>
        <v>Q1</v>
      </c>
      <c r="E151" s="353">
        <v>28</v>
      </c>
      <c r="F151" s="221" t="s">
        <v>141</v>
      </c>
      <c r="G151" s="170">
        <v>2021</v>
      </c>
      <c r="H151" s="352" t="s">
        <v>159</v>
      </c>
      <c r="I151" s="170" t="s">
        <v>160</v>
      </c>
      <c r="J151" s="170" t="s">
        <v>161</v>
      </c>
      <c r="K151" s="173">
        <v>0</v>
      </c>
      <c r="L151" s="304">
        <f>UBC_MASUK[[#This Row],[Tg Bulan]]/SUM(COUNTIFS(F:F,"(02) FEB",I:I,"Bank Sampah Induk",G:G,"2021"))</f>
        <v>279.47500000000002</v>
      </c>
      <c r="M151" s="351" t="str">
        <f t="shared" si="7"/>
        <v>279,475</v>
      </c>
      <c r="N151" s="304">
        <f>UBC_MASUK[[#This Row],[Tg Tahun]]/SUM(COUNTIFS(G:G,"2021",I:I,"Bank Sampah Induk"))</f>
        <v>419.21249999999998</v>
      </c>
      <c r="O151" s="170" t="str">
        <f t="shared" si="8"/>
        <v>3353,7</v>
      </c>
    </row>
    <row r="152" spans="2:15" x14ac:dyDescent="0.35">
      <c r="B152" s="357">
        <v>44255</v>
      </c>
      <c r="C152" s="353">
        <v>5</v>
      </c>
      <c r="D152" s="171" t="str">
        <f t="shared" si="6"/>
        <v>Q1</v>
      </c>
      <c r="E152" s="353">
        <v>28</v>
      </c>
      <c r="F152" s="221" t="s">
        <v>141</v>
      </c>
      <c r="G152" s="170">
        <v>2021</v>
      </c>
      <c r="H152" s="352" t="s">
        <v>42</v>
      </c>
      <c r="I152" s="170" t="s">
        <v>31</v>
      </c>
      <c r="J152" s="170" t="s">
        <v>43</v>
      </c>
      <c r="K152" s="173">
        <v>0</v>
      </c>
      <c r="L152" s="304">
        <f>UBC_MASUK[[#This Row],[Tg Bulan]]/SUM(COUNTIFS(F:F,"(02) FEB",I:I,"Bisnis",G:G,"2021"))</f>
        <v>55.152380952380952</v>
      </c>
      <c r="M152" s="351" t="str">
        <f t="shared" si="7"/>
        <v>1158,2</v>
      </c>
      <c r="N152" s="304">
        <f>UBC_MASUK[[#This Row],[Tg Tahun]]/SUM(COUNTIFS(G:G,"2021",I:I,"Bisnis"))</f>
        <v>111.18719999999999</v>
      </c>
      <c r="O152" s="170" t="str">
        <f t="shared" si="8"/>
        <v>13898,4</v>
      </c>
    </row>
    <row r="153" spans="2:15" x14ac:dyDescent="0.35">
      <c r="B153" s="357">
        <v>44255</v>
      </c>
      <c r="C153" s="353">
        <v>5</v>
      </c>
      <c r="D153" s="171" t="str">
        <f t="shared" si="6"/>
        <v>Q1</v>
      </c>
      <c r="E153" s="353">
        <v>28</v>
      </c>
      <c r="F153" s="221" t="s">
        <v>141</v>
      </c>
      <c r="G153" s="170">
        <v>2021</v>
      </c>
      <c r="H153" s="352" t="s">
        <v>359</v>
      </c>
      <c r="I153" s="170" t="s">
        <v>7</v>
      </c>
      <c r="J153" s="170" t="s">
        <v>9</v>
      </c>
      <c r="K153" s="173">
        <v>0</v>
      </c>
      <c r="L153" s="304">
        <f>UBC_MASUK[[#This Row],[Tg Bulan]]/SUM(COUNTIFS(F:F,"(02) FEB",I:I,"TPS3R",G:G,"2021"))</f>
        <v>195.7166666666665</v>
      </c>
      <c r="M153" s="351" t="str">
        <f t="shared" si="7"/>
        <v>391,433333333333</v>
      </c>
      <c r="N153" s="304">
        <f>UBC_MASUK[[#This Row],[Tg Tahun]]/SUM(COUNTIFS(G:G,"2021",I:I,"TPS3R"))</f>
        <v>418.83636363636361</v>
      </c>
      <c r="O153" s="170" t="str">
        <f t="shared" si="8"/>
        <v>4607,2</v>
      </c>
    </row>
    <row r="154" spans="2:15" ht="21" x14ac:dyDescent="0.3">
      <c r="B154" s="174">
        <v>44263</v>
      </c>
      <c r="C154" s="176">
        <v>2</v>
      </c>
      <c r="D154" s="171" t="str">
        <f t="shared" si="6"/>
        <v>Q1</v>
      </c>
      <c r="E154" s="176">
        <v>8</v>
      </c>
      <c r="F154" s="224" t="s">
        <v>142</v>
      </c>
      <c r="G154" s="176">
        <v>2021</v>
      </c>
      <c r="H154" s="118" t="s">
        <v>147</v>
      </c>
      <c r="I154" s="172" t="s">
        <v>37</v>
      </c>
      <c r="J154" s="172" t="s">
        <v>8</v>
      </c>
      <c r="K154" s="223">
        <v>2</v>
      </c>
      <c r="L154" s="304">
        <f>UBC_MASUK[[#This Row],[Tg Bulan]]/SUM(COUNTIFS(F:F,"(02) FEB",I:I,"Bank Sampah Unit",G:G,"2021"))</f>
        <v>11.352380952857143</v>
      </c>
      <c r="M154" s="351" t="str">
        <f t="shared" si="7"/>
        <v>79,46666667</v>
      </c>
      <c r="N154" s="304">
        <f>UBC_MASUK[[#This Row],[Tg Tahun]]/SUM(COUNTIFS(G:G,"2021",I:I,"Bank Sampah Unit"))</f>
        <v>24.451282051282053</v>
      </c>
      <c r="O154" s="170" t="str">
        <f t="shared" si="8"/>
        <v>953,6</v>
      </c>
    </row>
    <row r="155" spans="2:15" ht="21" x14ac:dyDescent="0.3">
      <c r="B155" s="174">
        <v>44263</v>
      </c>
      <c r="C155" s="176">
        <v>2</v>
      </c>
      <c r="D155" s="171" t="str">
        <f t="shared" si="6"/>
        <v>Q1</v>
      </c>
      <c r="E155" s="176">
        <v>8</v>
      </c>
      <c r="F155" s="224" t="s">
        <v>142</v>
      </c>
      <c r="G155" s="176">
        <v>2021</v>
      </c>
      <c r="H155" s="118" t="s">
        <v>148</v>
      </c>
      <c r="I155" s="172" t="s">
        <v>37</v>
      </c>
      <c r="J155" s="172" t="s">
        <v>8</v>
      </c>
      <c r="K155" s="223">
        <v>5.3</v>
      </c>
      <c r="L155" s="304">
        <f>UBC_MASUK[[#This Row],[Tg Bulan]]/SUM(COUNTIFS(F:F,"(02) FEB",I:I,"Bank Sampah Unit",G:G,"2021"))</f>
        <v>11.352380952857143</v>
      </c>
      <c r="M155" s="351" t="str">
        <f t="shared" si="7"/>
        <v>79,46666667</v>
      </c>
      <c r="N155" s="304">
        <f>UBC_MASUK[[#This Row],[Tg Tahun]]/SUM(COUNTIFS(G:G,"2021",I:I,"Bank Sampah Unit"))</f>
        <v>24.451282051282053</v>
      </c>
      <c r="O155" s="170" t="str">
        <f t="shared" si="8"/>
        <v>953,6</v>
      </c>
    </row>
    <row r="156" spans="2:15" ht="21" x14ac:dyDescent="0.3">
      <c r="B156" s="174">
        <v>44259</v>
      </c>
      <c r="C156" s="176">
        <v>1</v>
      </c>
      <c r="D156" s="171" t="str">
        <f t="shared" si="6"/>
        <v>Q1</v>
      </c>
      <c r="E156" s="176">
        <v>4</v>
      </c>
      <c r="F156" s="224" t="s">
        <v>142</v>
      </c>
      <c r="G156" s="176">
        <v>2021</v>
      </c>
      <c r="H156" s="118" t="s">
        <v>156</v>
      </c>
      <c r="I156" s="172" t="s">
        <v>7</v>
      </c>
      <c r="J156" s="172" t="s">
        <v>8</v>
      </c>
      <c r="K156" s="223">
        <v>66</v>
      </c>
      <c r="L156" s="304">
        <f>UBC_MASUK[[#This Row],[Tg Bulan]]/SUM(COUNTIFS(F:F,"(03) MAR",I:I,"TPS3R",G:G,"2021"))</f>
        <v>195.7166666666665</v>
      </c>
      <c r="M156" s="351" t="str">
        <f t="shared" si="7"/>
        <v>391,433333333333</v>
      </c>
      <c r="N156" s="304">
        <f>UBC_MASUK[[#This Row],[Tg Tahun]]/SUM(COUNTIFS(G:G,"2021",I:I,"TPS3R"))</f>
        <v>418.83636363636361</v>
      </c>
      <c r="O156" s="170" t="str">
        <f t="shared" si="8"/>
        <v>4607,2</v>
      </c>
    </row>
    <row r="157" spans="2:15" ht="21" x14ac:dyDescent="0.3">
      <c r="B157" s="174">
        <v>44259</v>
      </c>
      <c r="C157" s="176">
        <v>1</v>
      </c>
      <c r="D157" s="171" t="str">
        <f t="shared" si="6"/>
        <v>Q1</v>
      </c>
      <c r="E157" s="176">
        <v>4</v>
      </c>
      <c r="F157" s="224" t="s">
        <v>142</v>
      </c>
      <c r="G157" s="176">
        <v>2021</v>
      </c>
      <c r="H157" s="118" t="s">
        <v>22</v>
      </c>
      <c r="I157" s="172" t="s">
        <v>18</v>
      </c>
      <c r="J157" s="172" t="s">
        <v>19</v>
      </c>
      <c r="K157" s="223">
        <v>1126</v>
      </c>
      <c r="L157" s="304">
        <f>UBC_MASUK[[#This Row],[Tg Bulan]]/SUM(COUNTIFS(F:F,"(03) MAR",I:I,"Pengepul",G:G,"2021"))</f>
        <v>1711.6011899999999</v>
      </c>
      <c r="M157" s="351" t="str">
        <f t="shared" si="7"/>
        <v>11981,20833</v>
      </c>
      <c r="N157" s="304">
        <f>UBC_MASUK[[#This Row],[Tg Tahun]]/SUM(COUNTIFS(G:G,"2021",I:I,"Pengepul"))</f>
        <v>4228.661764705882</v>
      </c>
      <c r="O157" s="170" t="str">
        <f t="shared" si="8"/>
        <v>143774,5</v>
      </c>
    </row>
    <row r="158" spans="2:15" ht="21" x14ac:dyDescent="0.3">
      <c r="B158" s="174">
        <v>44265</v>
      </c>
      <c r="C158" s="176">
        <v>2</v>
      </c>
      <c r="D158" s="171" t="str">
        <f t="shared" si="6"/>
        <v>Q1</v>
      </c>
      <c r="E158" s="176">
        <v>10</v>
      </c>
      <c r="F158" s="224" t="s">
        <v>142</v>
      </c>
      <c r="G158" s="176">
        <v>2021</v>
      </c>
      <c r="H158" s="118" t="s">
        <v>22</v>
      </c>
      <c r="I158" s="172" t="s">
        <v>18</v>
      </c>
      <c r="J158" s="172" t="s">
        <v>19</v>
      </c>
      <c r="K158" s="223">
        <v>1490</v>
      </c>
      <c r="L158" s="304">
        <f>UBC_MASUK[[#This Row],[Tg Bulan]]/SUM(COUNTIFS(F:F,"(03) MAR",I:I,"Pengepul",G:G,"2021"))</f>
        <v>1711.6011899999999</v>
      </c>
      <c r="M158" s="351" t="str">
        <f t="shared" si="7"/>
        <v>11981,20833</v>
      </c>
      <c r="N158" s="304">
        <f>UBC_MASUK[[#This Row],[Tg Tahun]]/SUM(COUNTIFS(G:G,"2021",I:I,"Pengepul"))</f>
        <v>4228.661764705882</v>
      </c>
      <c r="O158" s="170" t="str">
        <f t="shared" si="8"/>
        <v>143774,5</v>
      </c>
    </row>
    <row r="159" spans="2:15" ht="21" x14ac:dyDescent="0.3">
      <c r="B159" s="174">
        <v>44263</v>
      </c>
      <c r="C159" s="176">
        <v>2</v>
      </c>
      <c r="D159" s="171" t="str">
        <f t="shared" si="6"/>
        <v>Q1</v>
      </c>
      <c r="E159" s="176">
        <v>8</v>
      </c>
      <c r="F159" s="224" t="s">
        <v>142</v>
      </c>
      <c r="G159" s="176">
        <v>2021</v>
      </c>
      <c r="H159" s="118" t="s">
        <v>17</v>
      </c>
      <c r="I159" s="172" t="s">
        <v>18</v>
      </c>
      <c r="J159" s="172" t="s">
        <v>19</v>
      </c>
      <c r="K159" s="223">
        <v>319</v>
      </c>
      <c r="L159" s="304">
        <f>UBC_MASUK[[#This Row],[Tg Bulan]]/SUM(COUNTIFS(F:F,"(03) MAR",I:I,"Pengepul",G:G,"2021"))</f>
        <v>1711.6011899999999</v>
      </c>
      <c r="M159" s="351" t="str">
        <f t="shared" si="7"/>
        <v>11981,20833</v>
      </c>
      <c r="N159" s="304">
        <f>UBC_MASUK[[#This Row],[Tg Tahun]]/SUM(COUNTIFS(G:G,"2021",I:I,"Pengepul"))</f>
        <v>4228.661764705882</v>
      </c>
      <c r="O159" s="170" t="str">
        <f t="shared" si="8"/>
        <v>143774,5</v>
      </c>
    </row>
    <row r="160" spans="2:15" ht="21" x14ac:dyDescent="0.3">
      <c r="B160" s="174">
        <v>44256</v>
      </c>
      <c r="C160" s="176">
        <v>1</v>
      </c>
      <c r="D160" s="171" t="str">
        <f t="shared" si="6"/>
        <v>Q1</v>
      </c>
      <c r="E160" s="176">
        <v>1</v>
      </c>
      <c r="F160" s="224" t="s">
        <v>142</v>
      </c>
      <c r="G160" s="176">
        <v>2021</v>
      </c>
      <c r="H160" s="118" t="s">
        <v>20</v>
      </c>
      <c r="I160" s="172" t="s">
        <v>21</v>
      </c>
      <c r="J160" s="172" t="s">
        <v>19</v>
      </c>
      <c r="K160" s="223">
        <v>120</v>
      </c>
      <c r="L160" s="304">
        <f>UBC_MASUK[[#This Row],[Tg Bulan]]/SUM(COUNTIFS(F:F,"(03) MAR",I:I,"Jasa sampah",G:G,"2021"))</f>
        <v>530.34761900000001</v>
      </c>
      <c r="M160" s="351" t="str">
        <f t="shared" si="7"/>
        <v>3712,433333</v>
      </c>
      <c r="N160" s="304">
        <f>UBC_MASUK[[#This Row],[Tg Tahun]]/SUM(COUNTIFS(G:G,"2021",I:I,"Jasa sampah"))</f>
        <v>1856.2166666666665</v>
      </c>
      <c r="O160" s="170" t="str">
        <f t="shared" si="8"/>
        <v>44549,2</v>
      </c>
    </row>
    <row r="161" spans="2:15" ht="21" x14ac:dyDescent="0.3">
      <c r="B161" s="174">
        <v>44256</v>
      </c>
      <c r="C161" s="176">
        <v>1</v>
      </c>
      <c r="D161" s="171" t="str">
        <f t="shared" si="6"/>
        <v>Q1</v>
      </c>
      <c r="E161" s="176">
        <v>1</v>
      </c>
      <c r="F161" s="224" t="s">
        <v>142</v>
      </c>
      <c r="G161" s="176">
        <v>2021</v>
      </c>
      <c r="H161" s="118" t="s">
        <v>24</v>
      </c>
      <c r="I161" s="172" t="s">
        <v>21</v>
      </c>
      <c r="J161" s="172" t="s">
        <v>19</v>
      </c>
      <c r="K161" s="223">
        <v>211</v>
      </c>
      <c r="L161" s="304">
        <f>UBC_MASUK[[#This Row],[Tg Bulan]]/SUM(COUNTIFS(F:F,"(03) MAR",I:I,"Jasa sampah",G:G,"2021"))</f>
        <v>530.34761900000001</v>
      </c>
      <c r="M161" s="351" t="str">
        <f t="shared" si="7"/>
        <v>3712,433333</v>
      </c>
      <c r="N161" s="304">
        <f>UBC_MASUK[[#This Row],[Tg Tahun]]/SUM(COUNTIFS(G:G,"2021",I:I,"Jasa sampah"))</f>
        <v>1856.2166666666665</v>
      </c>
      <c r="O161" s="170" t="str">
        <f t="shared" si="8"/>
        <v>44549,2</v>
      </c>
    </row>
    <row r="162" spans="2:15" ht="21" x14ac:dyDescent="0.3">
      <c r="B162" s="174">
        <v>44257</v>
      </c>
      <c r="C162" s="176">
        <v>1</v>
      </c>
      <c r="D162" s="171" t="str">
        <f t="shared" si="6"/>
        <v>Q1</v>
      </c>
      <c r="E162" s="176">
        <v>2</v>
      </c>
      <c r="F162" s="224" t="s">
        <v>142</v>
      </c>
      <c r="G162" s="176">
        <v>2021</v>
      </c>
      <c r="H162" s="118" t="s">
        <v>83</v>
      </c>
      <c r="I162" s="172" t="s">
        <v>21</v>
      </c>
      <c r="J162" s="172" t="s">
        <v>8</v>
      </c>
      <c r="K162" s="223">
        <v>147</v>
      </c>
      <c r="L162" s="304">
        <f>UBC_MASUK[[#This Row],[Tg Bulan]]/SUM(COUNTIFS(F:F,"(03) MAR",I:I,"Jasa sampah",G:G,"2021"))</f>
        <v>530.34761900000001</v>
      </c>
      <c r="M162" s="351" t="str">
        <f t="shared" si="7"/>
        <v>3712,433333</v>
      </c>
      <c r="N162" s="304">
        <f>UBC_MASUK[[#This Row],[Tg Tahun]]/SUM(COUNTIFS(G:G,"2021",I:I,"Jasa sampah"))</f>
        <v>1856.2166666666665</v>
      </c>
      <c r="O162" s="170" t="str">
        <f t="shared" si="8"/>
        <v>44549,2</v>
      </c>
    </row>
    <row r="163" spans="2:15" ht="21" x14ac:dyDescent="0.3">
      <c r="B163" s="174">
        <v>44268</v>
      </c>
      <c r="C163" s="176">
        <v>2</v>
      </c>
      <c r="D163" s="171" t="str">
        <f t="shared" si="6"/>
        <v>Q1</v>
      </c>
      <c r="E163" s="176">
        <v>13</v>
      </c>
      <c r="F163" s="224" t="s">
        <v>142</v>
      </c>
      <c r="G163" s="176">
        <v>2021</v>
      </c>
      <c r="H163" s="118" t="s">
        <v>25</v>
      </c>
      <c r="I163" s="172" t="s">
        <v>18</v>
      </c>
      <c r="J163" s="172" t="s">
        <v>8</v>
      </c>
      <c r="K163" s="223">
        <v>217</v>
      </c>
      <c r="L163" s="304">
        <f>UBC_MASUK[[#This Row],[Tg Bulan]]/SUM(COUNTIFS(F:F,"(03) MAR",I:I,"Pengepul",G:G,"2021"))</f>
        <v>1711.6011899999999</v>
      </c>
      <c r="M163" s="351" t="str">
        <f t="shared" si="7"/>
        <v>11981,20833</v>
      </c>
      <c r="N163" s="304">
        <f>UBC_MASUK[[#This Row],[Tg Tahun]]/SUM(COUNTIFS(G:G,"2021",I:I,"Pengepul"))</f>
        <v>4228.661764705882</v>
      </c>
      <c r="O163" s="170" t="str">
        <f t="shared" si="8"/>
        <v>143774,5</v>
      </c>
    </row>
    <row r="164" spans="2:15" ht="21" x14ac:dyDescent="0.3">
      <c r="B164" s="174">
        <v>44272</v>
      </c>
      <c r="C164" s="176">
        <v>3</v>
      </c>
      <c r="D164" s="171" t="str">
        <f t="shared" si="6"/>
        <v>Q1</v>
      </c>
      <c r="E164" s="176">
        <v>17</v>
      </c>
      <c r="F164" s="224" t="s">
        <v>142</v>
      </c>
      <c r="G164" s="176">
        <v>2021</v>
      </c>
      <c r="H164" s="118" t="s">
        <v>20</v>
      </c>
      <c r="I164" s="172" t="s">
        <v>21</v>
      </c>
      <c r="J164" s="172" t="s">
        <v>19</v>
      </c>
      <c r="K164" s="223">
        <v>74</v>
      </c>
      <c r="L164" s="304">
        <f>UBC_MASUK[[#This Row],[Tg Bulan]]/SUM(COUNTIFS(F:F,"(03) MAR",I:I,"Jasa sampah",G:G,"2021"))</f>
        <v>530.34761900000001</v>
      </c>
      <c r="M164" s="351" t="str">
        <f t="shared" si="7"/>
        <v>3712,433333</v>
      </c>
      <c r="N164" s="304">
        <f>UBC_MASUK[[#This Row],[Tg Tahun]]/SUM(COUNTIFS(G:G,"2021",I:I,"Jasa sampah"))</f>
        <v>1856.2166666666665</v>
      </c>
      <c r="O164" s="170" t="str">
        <f t="shared" si="8"/>
        <v>44549,2</v>
      </c>
    </row>
    <row r="165" spans="2:15" ht="21" x14ac:dyDescent="0.3">
      <c r="B165" s="174">
        <v>44272</v>
      </c>
      <c r="C165" s="176">
        <v>3</v>
      </c>
      <c r="D165" s="171" t="str">
        <f t="shared" si="6"/>
        <v>Q1</v>
      </c>
      <c r="E165" s="176">
        <v>17</v>
      </c>
      <c r="F165" s="224" t="s">
        <v>142</v>
      </c>
      <c r="G165" s="176">
        <v>2021</v>
      </c>
      <c r="H165" s="118" t="s">
        <v>24</v>
      </c>
      <c r="I165" s="172" t="s">
        <v>21</v>
      </c>
      <c r="J165" s="172" t="s">
        <v>19</v>
      </c>
      <c r="K165" s="223">
        <v>787</v>
      </c>
      <c r="L165" s="304">
        <f>UBC_MASUK[[#This Row],[Tg Bulan]]/SUM(COUNTIFS(F:F,"(03) MAR",I:I,"Jasa sampah",G:G,"2021"))</f>
        <v>530.34761900000001</v>
      </c>
      <c r="M165" s="351" t="str">
        <f t="shared" si="7"/>
        <v>3712,433333</v>
      </c>
      <c r="N165" s="304">
        <f>UBC_MASUK[[#This Row],[Tg Tahun]]/SUM(COUNTIFS(G:G,"2021",I:I,"Jasa sampah"))</f>
        <v>1856.2166666666665</v>
      </c>
      <c r="O165" s="170" t="str">
        <f t="shared" si="8"/>
        <v>44549,2</v>
      </c>
    </row>
    <row r="166" spans="2:15" ht="21" x14ac:dyDescent="0.3">
      <c r="B166" s="174">
        <v>44256</v>
      </c>
      <c r="C166" s="176">
        <v>1</v>
      </c>
      <c r="D166" s="171" t="str">
        <f t="shared" si="6"/>
        <v>Q1</v>
      </c>
      <c r="E166" s="176">
        <v>1</v>
      </c>
      <c r="F166" s="224" t="s">
        <v>142</v>
      </c>
      <c r="G166" s="176">
        <v>2021</v>
      </c>
      <c r="H166" s="118" t="s">
        <v>28</v>
      </c>
      <c r="I166" s="172" t="s">
        <v>31</v>
      </c>
      <c r="J166" s="172" t="s">
        <v>19</v>
      </c>
      <c r="K166" s="223">
        <v>30</v>
      </c>
      <c r="L166" s="304">
        <f>UBC_MASUK[[#This Row],[Tg Bulan]]/SUM(COUNTIFS(F:F,"(03) MAR",I:I,"Bisnis",G:G,"2021"))</f>
        <v>46.328000000000003</v>
      </c>
      <c r="M166" s="351" t="str">
        <f t="shared" si="7"/>
        <v>1158,2</v>
      </c>
      <c r="N166" s="304">
        <f>UBC_MASUK[[#This Row],[Tg Tahun]]/SUM(COUNTIFS(G:G,"2021",I:I,"Bisnis"))</f>
        <v>111.18719999999999</v>
      </c>
      <c r="O166" s="170" t="str">
        <f t="shared" si="8"/>
        <v>13898,4</v>
      </c>
    </row>
    <row r="167" spans="2:15" ht="21" x14ac:dyDescent="0.3">
      <c r="B167" s="174">
        <v>44256</v>
      </c>
      <c r="C167" s="176">
        <v>1</v>
      </c>
      <c r="D167" s="171" t="str">
        <f t="shared" si="6"/>
        <v>Q1</v>
      </c>
      <c r="E167" s="176">
        <v>1</v>
      </c>
      <c r="F167" s="224" t="s">
        <v>142</v>
      </c>
      <c r="G167" s="176">
        <v>2021</v>
      </c>
      <c r="H167" s="118" t="s">
        <v>27</v>
      </c>
      <c r="I167" s="172" t="s">
        <v>31</v>
      </c>
      <c r="J167" s="172" t="s">
        <v>8</v>
      </c>
      <c r="K167" s="223">
        <v>5</v>
      </c>
      <c r="L167" s="304">
        <f>UBC_MASUK[[#This Row],[Tg Bulan]]/SUM(COUNTIFS(F:F,"(03) MAR",I:I,"Bisnis",G:G,"2021"))</f>
        <v>46.328000000000003</v>
      </c>
      <c r="M167" s="351" t="str">
        <f t="shared" si="7"/>
        <v>1158,2</v>
      </c>
      <c r="N167" s="304">
        <f>UBC_MASUK[[#This Row],[Tg Tahun]]/SUM(COUNTIFS(G:G,"2021",I:I,"Bisnis"))</f>
        <v>111.18719999999999</v>
      </c>
      <c r="O167" s="170" t="str">
        <f t="shared" si="8"/>
        <v>13898,4</v>
      </c>
    </row>
    <row r="168" spans="2:15" ht="21" x14ac:dyDescent="0.3">
      <c r="B168" s="174">
        <v>44257</v>
      </c>
      <c r="C168" s="176">
        <v>1</v>
      </c>
      <c r="D168" s="171" t="str">
        <f t="shared" si="6"/>
        <v>Q1</v>
      </c>
      <c r="E168" s="176">
        <v>2</v>
      </c>
      <c r="F168" s="224" t="s">
        <v>142</v>
      </c>
      <c r="G168" s="176">
        <v>2021</v>
      </c>
      <c r="H168" s="118" t="s">
        <v>41</v>
      </c>
      <c r="I168" s="172" t="s">
        <v>31</v>
      </c>
      <c r="J168" s="172" t="s">
        <v>8</v>
      </c>
      <c r="K168" s="223">
        <v>0.2</v>
      </c>
      <c r="L168" s="304">
        <f>UBC_MASUK[[#This Row],[Tg Bulan]]/SUM(COUNTIFS(F:F,"(03) MAR",I:I,"Bisnis",G:G,"2021"))</f>
        <v>46.328000000000003</v>
      </c>
      <c r="M168" s="351" t="str">
        <f t="shared" si="7"/>
        <v>1158,2</v>
      </c>
      <c r="N168" s="304">
        <f>UBC_MASUK[[#This Row],[Tg Tahun]]/SUM(COUNTIFS(G:G,"2021",I:I,"Bisnis"))</f>
        <v>111.18719999999999</v>
      </c>
      <c r="O168" s="170" t="str">
        <f t="shared" si="8"/>
        <v>13898,4</v>
      </c>
    </row>
    <row r="169" spans="2:15" ht="21" x14ac:dyDescent="0.3">
      <c r="B169" s="174">
        <v>44257</v>
      </c>
      <c r="C169" s="176">
        <v>1</v>
      </c>
      <c r="D169" s="171" t="str">
        <f t="shared" si="6"/>
        <v>Q1</v>
      </c>
      <c r="E169" s="176">
        <v>2</v>
      </c>
      <c r="F169" s="224" t="s">
        <v>142</v>
      </c>
      <c r="G169" s="176">
        <v>2021</v>
      </c>
      <c r="H169" s="118" t="s">
        <v>29</v>
      </c>
      <c r="I169" s="172" t="s">
        <v>31</v>
      </c>
      <c r="J169" s="172" t="s">
        <v>8</v>
      </c>
      <c r="K169" s="223">
        <v>37</v>
      </c>
      <c r="L169" s="304">
        <f>UBC_MASUK[[#This Row],[Tg Bulan]]/SUM(COUNTIFS(F:F,"(03) MAR",I:I,"Bisnis",G:G,"2021"))</f>
        <v>46.328000000000003</v>
      </c>
      <c r="M169" s="351" t="str">
        <f t="shared" si="7"/>
        <v>1158,2</v>
      </c>
      <c r="N169" s="304">
        <f>UBC_MASUK[[#This Row],[Tg Tahun]]/SUM(COUNTIFS(G:G,"2021",I:I,"Bisnis"))</f>
        <v>111.18719999999999</v>
      </c>
      <c r="O169" s="170" t="str">
        <f t="shared" si="8"/>
        <v>13898,4</v>
      </c>
    </row>
    <row r="170" spans="2:15" ht="21" x14ac:dyDescent="0.3">
      <c r="B170" s="174">
        <v>44259</v>
      </c>
      <c r="C170" s="176">
        <v>1</v>
      </c>
      <c r="D170" s="171" t="str">
        <f t="shared" si="6"/>
        <v>Q1</v>
      </c>
      <c r="E170" s="176">
        <v>4</v>
      </c>
      <c r="F170" s="224" t="s">
        <v>142</v>
      </c>
      <c r="G170" s="176">
        <v>2021</v>
      </c>
      <c r="H170" s="118" t="s">
        <v>121</v>
      </c>
      <c r="I170" s="172" t="s">
        <v>31</v>
      </c>
      <c r="J170" s="172" t="s">
        <v>8</v>
      </c>
      <c r="K170" s="223">
        <v>8</v>
      </c>
      <c r="L170" s="304">
        <f>UBC_MASUK[[#This Row],[Tg Bulan]]/SUM(COUNTIFS(F:F,"(03) MAR",I:I,"Bisnis",G:G,"2021"))</f>
        <v>46.328000000000003</v>
      </c>
      <c r="M170" s="351" t="str">
        <f t="shared" si="7"/>
        <v>1158,2</v>
      </c>
      <c r="N170" s="304">
        <f>UBC_MASUK[[#This Row],[Tg Tahun]]/SUM(COUNTIFS(G:G,"2021",I:I,"Bisnis"))</f>
        <v>111.18719999999999</v>
      </c>
      <c r="O170" s="170" t="str">
        <f t="shared" si="8"/>
        <v>13898,4</v>
      </c>
    </row>
    <row r="171" spans="2:15" ht="21" x14ac:dyDescent="0.3">
      <c r="B171" s="174">
        <v>44259</v>
      </c>
      <c r="C171" s="176">
        <v>1</v>
      </c>
      <c r="D171" s="171" t="str">
        <f t="shared" si="6"/>
        <v>Q1</v>
      </c>
      <c r="E171" s="176">
        <v>4</v>
      </c>
      <c r="F171" s="224" t="s">
        <v>142</v>
      </c>
      <c r="G171" s="176">
        <v>2021</v>
      </c>
      <c r="H171" s="118" t="s">
        <v>84</v>
      </c>
      <c r="I171" s="172" t="s">
        <v>31</v>
      </c>
      <c r="J171" s="172" t="s">
        <v>8</v>
      </c>
      <c r="K171" s="223">
        <v>34.4</v>
      </c>
      <c r="L171" s="304">
        <f>UBC_MASUK[[#This Row],[Tg Bulan]]/SUM(COUNTIFS(F:F,"(03) MAR",I:I,"Bisnis",G:G,"2021"))</f>
        <v>46.328000000000003</v>
      </c>
      <c r="M171" s="351" t="str">
        <f t="shared" si="7"/>
        <v>1158,2</v>
      </c>
      <c r="N171" s="304">
        <f>UBC_MASUK[[#This Row],[Tg Tahun]]/SUM(COUNTIFS(G:G,"2021",I:I,"Bisnis"))</f>
        <v>111.18719999999999</v>
      </c>
      <c r="O171" s="170" t="str">
        <f t="shared" si="8"/>
        <v>13898,4</v>
      </c>
    </row>
    <row r="172" spans="2:15" ht="21" x14ac:dyDescent="0.3">
      <c r="B172" s="174">
        <v>44260</v>
      </c>
      <c r="C172" s="176">
        <v>1</v>
      </c>
      <c r="D172" s="171" t="str">
        <f t="shared" si="6"/>
        <v>Q1</v>
      </c>
      <c r="E172" s="176">
        <v>5</v>
      </c>
      <c r="F172" s="224" t="s">
        <v>142</v>
      </c>
      <c r="G172" s="176">
        <v>2021</v>
      </c>
      <c r="H172" s="118" t="s">
        <v>308</v>
      </c>
      <c r="I172" s="172" t="s">
        <v>31</v>
      </c>
      <c r="J172" s="172" t="s">
        <v>8</v>
      </c>
      <c r="K172" s="223">
        <v>2</v>
      </c>
      <c r="L172" s="304">
        <f>UBC_MASUK[[#This Row],[Tg Bulan]]/SUM(COUNTIFS(F:F,"(03) MAR",I:I,"Bisnis",G:G,"2021"))</f>
        <v>46.328000000000003</v>
      </c>
      <c r="M172" s="351" t="str">
        <f t="shared" si="7"/>
        <v>1158,2</v>
      </c>
      <c r="N172" s="304">
        <f>UBC_MASUK[[#This Row],[Tg Tahun]]/SUM(COUNTIFS(G:G,"2021",I:I,"Bisnis"))</f>
        <v>111.18719999999999</v>
      </c>
      <c r="O172" s="170" t="str">
        <f t="shared" si="8"/>
        <v>13898,4</v>
      </c>
    </row>
    <row r="173" spans="2:15" ht="21" x14ac:dyDescent="0.3">
      <c r="B173" s="174">
        <v>44260</v>
      </c>
      <c r="C173" s="176">
        <v>1</v>
      </c>
      <c r="D173" s="171" t="str">
        <f t="shared" si="6"/>
        <v>Q1</v>
      </c>
      <c r="E173" s="176">
        <v>5</v>
      </c>
      <c r="F173" s="224" t="s">
        <v>142</v>
      </c>
      <c r="G173" s="176">
        <v>2021</v>
      </c>
      <c r="H173" s="118" t="s">
        <v>28</v>
      </c>
      <c r="I173" s="172" t="s">
        <v>31</v>
      </c>
      <c r="J173" s="172" t="s">
        <v>19</v>
      </c>
      <c r="K173" s="223">
        <v>42</v>
      </c>
      <c r="L173" s="304">
        <f>UBC_MASUK[[#This Row],[Tg Bulan]]/SUM(COUNTIFS(F:F,"(03) MAR",I:I,"Bisnis",G:G,"2021"))</f>
        <v>46.328000000000003</v>
      </c>
      <c r="M173" s="351" t="str">
        <f t="shared" si="7"/>
        <v>1158,2</v>
      </c>
      <c r="N173" s="304">
        <f>UBC_MASUK[[#This Row],[Tg Tahun]]/SUM(COUNTIFS(G:G,"2021",I:I,"Bisnis"))</f>
        <v>111.18719999999999</v>
      </c>
      <c r="O173" s="170" t="str">
        <f t="shared" si="8"/>
        <v>13898,4</v>
      </c>
    </row>
    <row r="174" spans="2:15" ht="21" x14ac:dyDescent="0.3">
      <c r="B174" s="174">
        <v>44263</v>
      </c>
      <c r="C174" s="176">
        <v>2</v>
      </c>
      <c r="D174" s="171" t="str">
        <f t="shared" si="6"/>
        <v>Q1</v>
      </c>
      <c r="E174" s="176">
        <v>8</v>
      </c>
      <c r="F174" s="224" t="s">
        <v>142</v>
      </c>
      <c r="G174" s="176">
        <v>2021</v>
      </c>
      <c r="H174" s="118" t="s">
        <v>27</v>
      </c>
      <c r="I174" s="172" t="s">
        <v>31</v>
      </c>
      <c r="J174" s="172" t="s">
        <v>8</v>
      </c>
      <c r="K174" s="223">
        <v>34</v>
      </c>
      <c r="L174" s="304">
        <f>UBC_MASUK[[#This Row],[Tg Bulan]]/SUM(COUNTIFS(F:F,"(03) MAR",I:I,"Bisnis",G:G,"2021"))</f>
        <v>46.328000000000003</v>
      </c>
      <c r="M174" s="351" t="str">
        <f t="shared" si="7"/>
        <v>1158,2</v>
      </c>
      <c r="N174" s="304">
        <f>UBC_MASUK[[#This Row],[Tg Tahun]]/SUM(COUNTIFS(G:G,"2021",I:I,"Bisnis"))</f>
        <v>111.18719999999999</v>
      </c>
      <c r="O174" s="170" t="str">
        <f t="shared" si="8"/>
        <v>13898,4</v>
      </c>
    </row>
    <row r="175" spans="2:15" ht="21" x14ac:dyDescent="0.3">
      <c r="B175" s="174">
        <v>44263</v>
      </c>
      <c r="C175" s="176">
        <v>2</v>
      </c>
      <c r="D175" s="171" t="str">
        <f t="shared" si="6"/>
        <v>Q1</v>
      </c>
      <c r="E175" s="176">
        <v>8</v>
      </c>
      <c r="F175" s="224" t="s">
        <v>142</v>
      </c>
      <c r="G175" s="176">
        <v>2021</v>
      </c>
      <c r="H175" s="118" t="s">
        <v>28</v>
      </c>
      <c r="I175" s="172" t="s">
        <v>31</v>
      </c>
      <c r="J175" s="172" t="s">
        <v>19</v>
      </c>
      <c r="K175" s="223">
        <v>24</v>
      </c>
      <c r="L175" s="304">
        <f>UBC_MASUK[[#This Row],[Tg Bulan]]/SUM(COUNTIFS(F:F,"(03) MAR",I:I,"Bisnis",G:G,"2021"))</f>
        <v>46.328000000000003</v>
      </c>
      <c r="M175" s="351" t="str">
        <f t="shared" si="7"/>
        <v>1158,2</v>
      </c>
      <c r="N175" s="304">
        <f>UBC_MASUK[[#This Row],[Tg Tahun]]/SUM(COUNTIFS(G:G,"2021",I:I,"Bisnis"))</f>
        <v>111.18719999999999</v>
      </c>
      <c r="O175" s="170" t="str">
        <f t="shared" si="8"/>
        <v>13898,4</v>
      </c>
    </row>
    <row r="176" spans="2:15" ht="21" x14ac:dyDescent="0.3">
      <c r="B176" s="174">
        <v>44268</v>
      </c>
      <c r="C176" s="176">
        <v>2</v>
      </c>
      <c r="D176" s="171" t="str">
        <f t="shared" si="6"/>
        <v>Q1</v>
      </c>
      <c r="E176" s="176">
        <v>13</v>
      </c>
      <c r="F176" s="224" t="s">
        <v>142</v>
      </c>
      <c r="G176" s="176">
        <v>2021</v>
      </c>
      <c r="H176" s="118" t="s">
        <v>28</v>
      </c>
      <c r="I176" s="172" t="s">
        <v>31</v>
      </c>
      <c r="J176" s="172" t="s">
        <v>19</v>
      </c>
      <c r="K176" s="223">
        <v>42</v>
      </c>
      <c r="L176" s="304">
        <f>UBC_MASUK[[#This Row],[Tg Bulan]]/SUM(COUNTIFS(F:F,"(03) MAR",I:I,"Bisnis",G:G,"2021"))</f>
        <v>46.328000000000003</v>
      </c>
      <c r="M176" s="351" t="str">
        <f t="shared" si="7"/>
        <v>1158,2</v>
      </c>
      <c r="N176" s="304">
        <f>UBC_MASUK[[#This Row],[Tg Tahun]]/SUM(COUNTIFS(G:G,"2021",I:I,"Bisnis"))</f>
        <v>111.18719999999999</v>
      </c>
      <c r="O176" s="170" t="str">
        <f t="shared" si="8"/>
        <v>13898,4</v>
      </c>
    </row>
    <row r="177" spans="2:15" ht="21" x14ac:dyDescent="0.3">
      <c r="B177" s="174">
        <v>44272</v>
      </c>
      <c r="C177" s="176">
        <v>3</v>
      </c>
      <c r="D177" s="171" t="str">
        <f t="shared" si="6"/>
        <v>Q1</v>
      </c>
      <c r="E177" s="176">
        <v>17</v>
      </c>
      <c r="F177" s="224" t="s">
        <v>142</v>
      </c>
      <c r="G177" s="176">
        <v>2021</v>
      </c>
      <c r="H177" s="118" t="s">
        <v>30</v>
      </c>
      <c r="I177" s="172" t="s">
        <v>31</v>
      </c>
      <c r="J177" s="172" t="s">
        <v>8</v>
      </c>
      <c r="K177" s="223">
        <v>56</v>
      </c>
      <c r="L177" s="304">
        <f>UBC_MASUK[[#This Row],[Tg Bulan]]/SUM(COUNTIFS(F:F,"(03) MAR",I:I,"Bisnis",G:G,"2021"))</f>
        <v>46.328000000000003</v>
      </c>
      <c r="M177" s="351" t="str">
        <f t="shared" si="7"/>
        <v>1158,2</v>
      </c>
      <c r="N177" s="304">
        <f>UBC_MASUK[[#This Row],[Tg Tahun]]/SUM(COUNTIFS(G:G,"2021",I:I,"Bisnis"))</f>
        <v>111.18719999999999</v>
      </c>
      <c r="O177" s="170" t="str">
        <f t="shared" si="8"/>
        <v>13898,4</v>
      </c>
    </row>
    <row r="178" spans="2:15" ht="21" x14ac:dyDescent="0.3">
      <c r="B178" s="174">
        <v>44260</v>
      </c>
      <c r="C178" s="176">
        <v>1</v>
      </c>
      <c r="D178" s="171" t="str">
        <f t="shared" si="6"/>
        <v>Q1</v>
      </c>
      <c r="E178" s="176">
        <v>5</v>
      </c>
      <c r="F178" s="224" t="s">
        <v>142</v>
      </c>
      <c r="G178" s="176">
        <v>2021</v>
      </c>
      <c r="H178" s="118" t="s">
        <v>44</v>
      </c>
      <c r="I178" s="172" t="s">
        <v>34</v>
      </c>
      <c r="J178" s="172" t="s">
        <v>14</v>
      </c>
      <c r="K178" s="223">
        <v>5.0999999999999996</v>
      </c>
      <c r="L178" s="304">
        <f>UBC_MASUK[[#This Row],[Tg Bulan]]/SUM(COUNTIFS(F:F,"(03) MAR",I:I,"Hotel",G:G,"2021"))</f>
        <v>100.70416665</v>
      </c>
      <c r="M178" s="351" t="str">
        <f t="shared" si="7"/>
        <v>201,4083333</v>
      </c>
      <c r="N178" s="304">
        <f>UBC_MASUK[[#This Row],[Tg Tahun]]/SUM(COUNTIFS(G:G,"2021",I:I,"Hotel"))</f>
        <v>345.2714285714286</v>
      </c>
      <c r="O178" s="170" t="str">
        <f t="shared" si="8"/>
        <v>2416,9</v>
      </c>
    </row>
    <row r="179" spans="2:15" ht="21" x14ac:dyDescent="0.3">
      <c r="B179" s="174">
        <v>44260</v>
      </c>
      <c r="C179" s="176">
        <v>1</v>
      </c>
      <c r="D179" s="171" t="str">
        <f t="shared" si="6"/>
        <v>Q1</v>
      </c>
      <c r="E179" s="176">
        <v>5</v>
      </c>
      <c r="F179" s="224" t="s">
        <v>142</v>
      </c>
      <c r="G179" s="176">
        <v>2021</v>
      </c>
      <c r="H179" s="118" t="s">
        <v>35</v>
      </c>
      <c r="I179" s="172" t="s">
        <v>36</v>
      </c>
      <c r="J179" s="172" t="s">
        <v>8</v>
      </c>
      <c r="K179" s="223">
        <v>3</v>
      </c>
      <c r="L179" s="304">
        <f>UBC_MASUK[[#This Row],[Tg Bulan]]/SUM(COUNTIFS(F:F,"(03) MAR",I:I,"Sekolah",G:G,"2021"))</f>
        <v>21.591666666666669</v>
      </c>
      <c r="M179" s="351" t="str">
        <f t="shared" si="7"/>
        <v>64,775</v>
      </c>
      <c r="N179" s="304">
        <f>UBC_MASUK[[#This Row],[Tg Tahun]]/SUM(COUNTIFS(G:G,"2021",I:I,"Sekolah"))</f>
        <v>38.864999999999995</v>
      </c>
      <c r="O179" s="170" t="str">
        <f t="shared" si="8"/>
        <v>777,3</v>
      </c>
    </row>
    <row r="180" spans="2:15" ht="21" x14ac:dyDescent="0.3">
      <c r="B180" s="174">
        <v>44268</v>
      </c>
      <c r="C180" s="176">
        <v>2</v>
      </c>
      <c r="D180" s="171" t="str">
        <f t="shared" si="6"/>
        <v>Q1</v>
      </c>
      <c r="E180" s="176">
        <v>13</v>
      </c>
      <c r="F180" s="224" t="s">
        <v>142</v>
      </c>
      <c r="G180" s="176">
        <v>2021</v>
      </c>
      <c r="H180" s="118" t="s">
        <v>35</v>
      </c>
      <c r="I180" s="172" t="s">
        <v>36</v>
      </c>
      <c r="J180" s="172" t="s">
        <v>8</v>
      </c>
      <c r="K180" s="223">
        <v>9</v>
      </c>
      <c r="L180" s="304">
        <f>UBC_MASUK[[#This Row],[Tg Bulan]]/SUM(COUNTIFS(F:F,"(03) MAR",I:I,"Sekolah",G:G,"2021"))</f>
        <v>21.591666666666669</v>
      </c>
      <c r="M180" s="351" t="str">
        <f t="shared" si="7"/>
        <v>64,775</v>
      </c>
      <c r="N180" s="304">
        <f>UBC_MASUK[[#This Row],[Tg Tahun]]/SUM(COUNTIFS(G:G,"2021",I:I,"Sekolah"))</f>
        <v>38.864999999999995</v>
      </c>
      <c r="O180" s="170" t="str">
        <f t="shared" si="8"/>
        <v>777,3</v>
      </c>
    </row>
    <row r="181" spans="2:15" ht="21" x14ac:dyDescent="0.35">
      <c r="B181" s="357">
        <v>44267</v>
      </c>
      <c r="C181" s="353">
        <v>2</v>
      </c>
      <c r="D181" s="171" t="str">
        <f t="shared" si="6"/>
        <v>Q1</v>
      </c>
      <c r="E181" s="353">
        <v>12</v>
      </c>
      <c r="F181" s="221" t="s">
        <v>142</v>
      </c>
      <c r="G181" s="170">
        <v>2021</v>
      </c>
      <c r="H181" s="352" t="s">
        <v>12</v>
      </c>
      <c r="I181" s="170" t="s">
        <v>13</v>
      </c>
      <c r="J181" s="170" t="s">
        <v>14</v>
      </c>
      <c r="K181" s="354">
        <v>190.5</v>
      </c>
      <c r="L181" s="304">
        <f>UBC_MASUK[[#This Row],[Tg Bulan]]/SUM(COUNTIFS(F:F,"(03) MAR",I:I,"TPST3R",G:G,"2021"))</f>
        <v>611.11249999999995</v>
      </c>
      <c r="M181" s="351" t="str">
        <f t="shared" si="7"/>
        <v>1222,225</v>
      </c>
      <c r="N181" s="304">
        <f>UBC_MASUK[[#This Row],[Tg Tahun]]/SUM(COUNTIFS(G:G,"2021",I:I,"TPST3R"))</f>
        <v>1333.3363636363638</v>
      </c>
      <c r="O181" s="170" t="str">
        <f t="shared" si="8"/>
        <v>14666,7</v>
      </c>
    </row>
    <row r="182" spans="2:15" ht="21" x14ac:dyDescent="0.35">
      <c r="B182" s="177">
        <v>44278</v>
      </c>
      <c r="C182" s="176">
        <v>4</v>
      </c>
      <c r="D182" s="171" t="str">
        <f t="shared" si="6"/>
        <v>Q1</v>
      </c>
      <c r="E182" s="176">
        <v>23</v>
      </c>
      <c r="F182" s="224" t="s">
        <v>142</v>
      </c>
      <c r="G182" s="176">
        <v>2021</v>
      </c>
      <c r="H182" s="118" t="s">
        <v>149</v>
      </c>
      <c r="I182" s="172" t="s">
        <v>37</v>
      </c>
      <c r="J182" s="172" t="s">
        <v>8</v>
      </c>
      <c r="K182" s="222">
        <v>1.5</v>
      </c>
      <c r="L182" s="304">
        <f>UBC_MASUK[[#This Row],[Tg Bulan]]/SUM(COUNTIFS(F:F,"(03) MAR",I:I,"Bank Sampah Unit",G:G,"2021"))</f>
        <v>13.244444444999999</v>
      </c>
      <c r="M182" s="351" t="str">
        <f t="shared" si="7"/>
        <v>79,46666667</v>
      </c>
      <c r="N182" s="304">
        <f>UBC_MASUK[[#This Row],[Tg Tahun]]/SUM(COUNTIFS(G:G,"2021",I:I,"Bank Sampah Unit"))</f>
        <v>24.451282051282053</v>
      </c>
      <c r="O182" s="170" t="str">
        <f t="shared" si="8"/>
        <v>953,6</v>
      </c>
    </row>
    <row r="183" spans="2:15" ht="21" x14ac:dyDescent="0.35">
      <c r="B183" s="177">
        <v>44278</v>
      </c>
      <c r="C183" s="176">
        <v>4</v>
      </c>
      <c r="D183" s="171" t="str">
        <f t="shared" si="6"/>
        <v>Q1</v>
      </c>
      <c r="E183" s="176">
        <v>23</v>
      </c>
      <c r="F183" s="224" t="s">
        <v>142</v>
      </c>
      <c r="G183" s="176">
        <v>2021</v>
      </c>
      <c r="H183" s="118" t="s">
        <v>154</v>
      </c>
      <c r="I183" s="172" t="s">
        <v>37</v>
      </c>
      <c r="J183" s="172" t="s">
        <v>8</v>
      </c>
      <c r="K183" s="222">
        <v>6.8</v>
      </c>
      <c r="L183" s="304">
        <f>UBC_MASUK[[#This Row],[Tg Bulan]]/SUM(COUNTIFS(F:F,"(03) MAR",I:I,"Bank Sampah Unit",G:G,"2021"))</f>
        <v>13.244444444999999</v>
      </c>
      <c r="M183" s="351" t="str">
        <f t="shared" si="7"/>
        <v>79,46666667</v>
      </c>
      <c r="N183" s="304">
        <f>UBC_MASUK[[#This Row],[Tg Tahun]]/SUM(COUNTIFS(G:G,"2021",I:I,"Bank Sampah Unit"))</f>
        <v>24.451282051282053</v>
      </c>
      <c r="O183" s="170" t="str">
        <f t="shared" si="8"/>
        <v>953,6</v>
      </c>
    </row>
    <row r="184" spans="2:15" ht="21" x14ac:dyDescent="0.35">
      <c r="B184" s="177">
        <v>44274</v>
      </c>
      <c r="C184" s="176">
        <v>3</v>
      </c>
      <c r="D184" s="171" t="str">
        <f t="shared" si="6"/>
        <v>Q1</v>
      </c>
      <c r="E184" s="176">
        <v>19</v>
      </c>
      <c r="F184" s="224" t="s">
        <v>142</v>
      </c>
      <c r="G184" s="176">
        <v>2021</v>
      </c>
      <c r="H184" s="118" t="s">
        <v>22</v>
      </c>
      <c r="I184" s="172" t="s">
        <v>18</v>
      </c>
      <c r="J184" s="172" t="s">
        <v>19</v>
      </c>
      <c r="K184" s="222">
        <v>1444</v>
      </c>
      <c r="L184" s="304">
        <f>UBC_MASUK[[#This Row],[Tg Bulan]]/SUM(COUNTIFS(F:F,"(03) MAR",I:I,"Pengepul",G:G,"2021"))</f>
        <v>1711.6011899999999</v>
      </c>
      <c r="M184" s="351" t="str">
        <f t="shared" si="7"/>
        <v>11981,20833</v>
      </c>
      <c r="N184" s="304">
        <f>UBC_MASUK[[#This Row],[Tg Tahun]]/SUM(COUNTIFS(G:G,"2021",I:I,"Pengepul"))</f>
        <v>4228.661764705882</v>
      </c>
      <c r="O184" s="170" t="str">
        <f t="shared" si="8"/>
        <v>143774,5</v>
      </c>
    </row>
    <row r="185" spans="2:15" ht="21" x14ac:dyDescent="0.35">
      <c r="B185" s="177">
        <v>44275</v>
      </c>
      <c r="C185" s="176">
        <v>3</v>
      </c>
      <c r="D185" s="171" t="str">
        <f t="shared" si="6"/>
        <v>Q1</v>
      </c>
      <c r="E185" s="176">
        <v>20</v>
      </c>
      <c r="F185" s="224" t="s">
        <v>142</v>
      </c>
      <c r="G185" s="176">
        <v>2021</v>
      </c>
      <c r="H185" s="118" t="s">
        <v>26</v>
      </c>
      <c r="I185" s="172" t="s">
        <v>18</v>
      </c>
      <c r="J185" s="172" t="s">
        <v>8</v>
      </c>
      <c r="K185" s="222">
        <v>69</v>
      </c>
      <c r="L185" s="304">
        <f>UBC_MASUK[[#This Row],[Tg Bulan]]/SUM(COUNTIFS(F:F,"(03) MAR",I:I,"Pengepul",G:G,"2021"))</f>
        <v>1711.6011899999999</v>
      </c>
      <c r="M185" s="351" t="str">
        <f t="shared" si="7"/>
        <v>11981,20833</v>
      </c>
      <c r="N185" s="304">
        <f>UBC_MASUK[[#This Row],[Tg Tahun]]/SUM(COUNTIFS(G:G,"2021",I:I,"Pengepul"))</f>
        <v>4228.661764705882</v>
      </c>
      <c r="O185" s="170" t="str">
        <f t="shared" si="8"/>
        <v>143774,5</v>
      </c>
    </row>
    <row r="186" spans="2:15" ht="21" x14ac:dyDescent="0.35">
      <c r="B186" s="177">
        <v>44275</v>
      </c>
      <c r="C186" s="176">
        <v>3</v>
      </c>
      <c r="D186" s="171" t="str">
        <f t="shared" si="6"/>
        <v>Q1</v>
      </c>
      <c r="E186" s="176">
        <v>20</v>
      </c>
      <c r="F186" s="224" t="s">
        <v>142</v>
      </c>
      <c r="G186" s="176">
        <v>2021</v>
      </c>
      <c r="H186" s="118" t="s">
        <v>39</v>
      </c>
      <c r="I186" s="172" t="s">
        <v>21</v>
      </c>
      <c r="J186" s="172" t="s">
        <v>8</v>
      </c>
      <c r="K186" s="222">
        <v>153</v>
      </c>
      <c r="L186" s="304">
        <f>UBC_MASUK[[#This Row],[Tg Bulan]]/SUM(COUNTIFS(F:F,"(03) MAR",I:I,"Jasa sampah",G:G,"2021"))</f>
        <v>530.34761900000001</v>
      </c>
      <c r="M186" s="351" t="str">
        <f t="shared" si="7"/>
        <v>3712,433333</v>
      </c>
      <c r="N186" s="304">
        <f>UBC_MASUK[[#This Row],[Tg Tahun]]/SUM(COUNTIFS(G:G,"2021",I:I,"Jasa sampah"))</f>
        <v>1856.2166666666665</v>
      </c>
      <c r="O186" s="170" t="str">
        <f t="shared" si="8"/>
        <v>44549,2</v>
      </c>
    </row>
    <row r="187" spans="2:15" ht="21" x14ac:dyDescent="0.35">
      <c r="B187" s="177">
        <v>44273</v>
      </c>
      <c r="C187" s="176">
        <v>3</v>
      </c>
      <c r="D187" s="171" t="str">
        <f t="shared" si="6"/>
        <v>Q1</v>
      </c>
      <c r="E187" s="176">
        <v>18</v>
      </c>
      <c r="F187" s="224" t="s">
        <v>142</v>
      </c>
      <c r="G187" s="176">
        <v>2021</v>
      </c>
      <c r="H187" s="118" t="s">
        <v>121</v>
      </c>
      <c r="I187" s="172" t="s">
        <v>31</v>
      </c>
      <c r="J187" s="172" t="s">
        <v>8</v>
      </c>
      <c r="K187" s="222">
        <v>6.2</v>
      </c>
      <c r="L187" s="304">
        <f>UBC_MASUK[[#This Row],[Tg Bulan]]/SUM(COUNTIFS(F:F,"(03) MAR",I:I,"Bisnis",G:G,"2021"))</f>
        <v>46.328000000000003</v>
      </c>
      <c r="M187" s="351" t="str">
        <f t="shared" si="7"/>
        <v>1158,2</v>
      </c>
      <c r="N187" s="304">
        <f>UBC_MASUK[[#This Row],[Tg Tahun]]/SUM(COUNTIFS(G:G,"2021",I:I,"Bisnis"))</f>
        <v>111.18719999999999</v>
      </c>
      <c r="O187" s="170" t="str">
        <f t="shared" si="8"/>
        <v>13898,4</v>
      </c>
    </row>
    <row r="188" spans="2:15" ht="21" x14ac:dyDescent="0.35">
      <c r="B188" s="177">
        <v>44271</v>
      </c>
      <c r="C188" s="176">
        <v>3</v>
      </c>
      <c r="D188" s="171" t="str">
        <f t="shared" si="6"/>
        <v>Q1</v>
      </c>
      <c r="E188" s="176">
        <v>16</v>
      </c>
      <c r="F188" s="224" t="s">
        <v>142</v>
      </c>
      <c r="G188" s="176">
        <v>2021</v>
      </c>
      <c r="H188" s="118" t="s">
        <v>28</v>
      </c>
      <c r="I188" s="172" t="s">
        <v>31</v>
      </c>
      <c r="J188" s="172" t="s">
        <v>19</v>
      </c>
      <c r="K188" s="222">
        <v>34</v>
      </c>
      <c r="L188" s="304">
        <f>UBC_MASUK[[#This Row],[Tg Bulan]]/SUM(COUNTIFS(F:F,"(03) MAR",I:I,"Bisnis",G:G,"2021"))</f>
        <v>46.328000000000003</v>
      </c>
      <c r="M188" s="351" t="str">
        <f t="shared" si="7"/>
        <v>1158,2</v>
      </c>
      <c r="N188" s="304">
        <f>UBC_MASUK[[#This Row],[Tg Tahun]]/SUM(COUNTIFS(G:G,"2021",I:I,"Bisnis"))</f>
        <v>111.18719999999999</v>
      </c>
      <c r="O188" s="170" t="str">
        <f t="shared" si="8"/>
        <v>13898,4</v>
      </c>
    </row>
    <row r="189" spans="2:15" ht="21" x14ac:dyDescent="0.35">
      <c r="B189" s="177">
        <v>44275</v>
      </c>
      <c r="C189" s="176">
        <v>3</v>
      </c>
      <c r="D189" s="171" t="str">
        <f t="shared" si="6"/>
        <v>Q1</v>
      </c>
      <c r="E189" s="176">
        <v>20</v>
      </c>
      <c r="F189" s="224" t="s">
        <v>142</v>
      </c>
      <c r="G189" s="176">
        <v>2021</v>
      </c>
      <c r="H189" s="118" t="s">
        <v>29</v>
      </c>
      <c r="I189" s="172" t="s">
        <v>31</v>
      </c>
      <c r="J189" s="172" t="s">
        <v>8</v>
      </c>
      <c r="K189" s="222">
        <v>70</v>
      </c>
      <c r="L189" s="304">
        <f>UBC_MASUK[[#This Row],[Tg Bulan]]/SUM(COUNTIFS(F:F,"(03) MAR",I:I,"Bisnis",G:G,"2021"))</f>
        <v>46.328000000000003</v>
      </c>
      <c r="M189" s="351" t="str">
        <f t="shared" si="7"/>
        <v>1158,2</v>
      </c>
      <c r="N189" s="304">
        <f>UBC_MASUK[[#This Row],[Tg Tahun]]/SUM(COUNTIFS(G:G,"2021",I:I,"Bisnis"))</f>
        <v>111.18719999999999</v>
      </c>
      <c r="O189" s="170" t="str">
        <f t="shared" si="8"/>
        <v>13898,4</v>
      </c>
    </row>
    <row r="190" spans="2:15" ht="21" x14ac:dyDescent="0.35">
      <c r="B190" s="177">
        <v>44275</v>
      </c>
      <c r="C190" s="176">
        <v>3</v>
      </c>
      <c r="D190" s="171" t="str">
        <f t="shared" si="6"/>
        <v>Q1</v>
      </c>
      <c r="E190" s="176">
        <v>20</v>
      </c>
      <c r="F190" s="224" t="s">
        <v>142</v>
      </c>
      <c r="G190" s="176">
        <v>2021</v>
      </c>
      <c r="H190" s="118" t="s">
        <v>27</v>
      </c>
      <c r="I190" s="172" t="s">
        <v>31</v>
      </c>
      <c r="J190" s="172" t="s">
        <v>8</v>
      </c>
      <c r="K190" s="222">
        <v>12</v>
      </c>
      <c r="L190" s="304">
        <f>UBC_MASUK[[#This Row],[Tg Bulan]]/SUM(COUNTIFS(F:F,"(03) MAR",I:I,"Bisnis",G:G,"2021"))</f>
        <v>46.328000000000003</v>
      </c>
      <c r="M190" s="351" t="str">
        <f t="shared" si="7"/>
        <v>1158,2</v>
      </c>
      <c r="N190" s="304">
        <f>UBC_MASUK[[#This Row],[Tg Tahun]]/SUM(COUNTIFS(G:G,"2021",I:I,"Bisnis"))</f>
        <v>111.18719999999999</v>
      </c>
      <c r="O190" s="170" t="str">
        <f t="shared" si="8"/>
        <v>13898,4</v>
      </c>
    </row>
    <row r="191" spans="2:15" ht="21" x14ac:dyDescent="0.35">
      <c r="B191" s="177">
        <v>44275</v>
      </c>
      <c r="C191" s="176">
        <v>3</v>
      </c>
      <c r="D191" s="171" t="str">
        <f t="shared" si="6"/>
        <v>Q1</v>
      </c>
      <c r="E191" s="176">
        <v>20</v>
      </c>
      <c r="F191" s="224" t="s">
        <v>142</v>
      </c>
      <c r="G191" s="176">
        <v>2021</v>
      </c>
      <c r="H191" s="118" t="s">
        <v>41</v>
      </c>
      <c r="I191" s="172" t="s">
        <v>31</v>
      </c>
      <c r="J191" s="172" t="s">
        <v>8</v>
      </c>
      <c r="K191" s="222">
        <v>0.8</v>
      </c>
      <c r="L191" s="304">
        <f>UBC_MASUK[[#This Row],[Tg Bulan]]/SUM(COUNTIFS(F:F,"(03) MAR",I:I,"Bisnis",G:G,"2021"))</f>
        <v>46.328000000000003</v>
      </c>
      <c r="M191" s="351" t="str">
        <f t="shared" si="7"/>
        <v>1158,2</v>
      </c>
      <c r="N191" s="304">
        <f>UBC_MASUK[[#This Row],[Tg Tahun]]/SUM(COUNTIFS(G:G,"2021",I:I,"Bisnis"))</f>
        <v>111.18719999999999</v>
      </c>
      <c r="O191" s="170" t="str">
        <f t="shared" si="8"/>
        <v>13898,4</v>
      </c>
    </row>
    <row r="192" spans="2:15" ht="21" x14ac:dyDescent="0.35">
      <c r="B192" s="177">
        <v>44275</v>
      </c>
      <c r="C192" s="176">
        <v>3</v>
      </c>
      <c r="D192" s="171" t="str">
        <f t="shared" si="6"/>
        <v>Q1</v>
      </c>
      <c r="E192" s="176">
        <v>20</v>
      </c>
      <c r="F192" s="224" t="s">
        <v>142</v>
      </c>
      <c r="G192" s="176">
        <v>2021</v>
      </c>
      <c r="H192" s="118" t="s">
        <v>308</v>
      </c>
      <c r="I192" s="172" t="s">
        <v>31</v>
      </c>
      <c r="J192" s="172" t="s">
        <v>8</v>
      </c>
      <c r="K192" s="222">
        <v>2</v>
      </c>
      <c r="L192" s="304">
        <f>UBC_MASUK[[#This Row],[Tg Bulan]]/SUM(COUNTIFS(F:F,"(03) MAR",I:I,"Bisnis",G:G,"2021"))</f>
        <v>46.328000000000003</v>
      </c>
      <c r="M192" s="351" t="str">
        <f t="shared" si="7"/>
        <v>1158,2</v>
      </c>
      <c r="N192" s="304">
        <f>UBC_MASUK[[#This Row],[Tg Tahun]]/SUM(COUNTIFS(G:G,"2021",I:I,"Bisnis"))</f>
        <v>111.18719999999999</v>
      </c>
      <c r="O192" s="170" t="str">
        <f t="shared" si="8"/>
        <v>13898,4</v>
      </c>
    </row>
    <row r="193" spans="2:15" ht="21" x14ac:dyDescent="0.35">
      <c r="B193" s="177">
        <v>44277</v>
      </c>
      <c r="C193" s="176">
        <v>4</v>
      </c>
      <c r="D193" s="171" t="str">
        <f t="shared" si="6"/>
        <v>Q1</v>
      </c>
      <c r="E193" s="176">
        <v>22</v>
      </c>
      <c r="F193" s="224" t="s">
        <v>142</v>
      </c>
      <c r="G193" s="176">
        <v>2021</v>
      </c>
      <c r="H193" s="118" t="s">
        <v>28</v>
      </c>
      <c r="I193" s="172" t="s">
        <v>31</v>
      </c>
      <c r="J193" s="172" t="s">
        <v>19</v>
      </c>
      <c r="K193" s="222">
        <v>56</v>
      </c>
      <c r="L193" s="304">
        <f>UBC_MASUK[[#This Row],[Tg Bulan]]/SUM(COUNTIFS(F:F,"(03) MAR",I:I,"Bisnis",G:G,"2021"))</f>
        <v>46.328000000000003</v>
      </c>
      <c r="M193" s="351" t="str">
        <f t="shared" si="7"/>
        <v>1158,2</v>
      </c>
      <c r="N193" s="304">
        <f>UBC_MASUK[[#This Row],[Tg Tahun]]/SUM(COUNTIFS(G:G,"2021",I:I,"Bisnis"))</f>
        <v>111.18719999999999</v>
      </c>
      <c r="O193" s="170" t="str">
        <f t="shared" si="8"/>
        <v>13898,4</v>
      </c>
    </row>
    <row r="194" spans="2:15" ht="21" x14ac:dyDescent="0.35">
      <c r="B194" s="177">
        <v>44277</v>
      </c>
      <c r="C194" s="176">
        <v>4</v>
      </c>
      <c r="D194" s="171" t="str">
        <f t="shared" si="6"/>
        <v>Q1</v>
      </c>
      <c r="E194" s="176">
        <v>22</v>
      </c>
      <c r="F194" s="224" t="s">
        <v>142</v>
      </c>
      <c r="G194" s="176">
        <v>2021</v>
      </c>
      <c r="H194" s="118" t="s">
        <v>27</v>
      </c>
      <c r="I194" s="172" t="s">
        <v>31</v>
      </c>
      <c r="J194" s="172" t="s">
        <v>8</v>
      </c>
      <c r="K194" s="222">
        <v>8</v>
      </c>
      <c r="L194" s="304">
        <f>UBC_MASUK[[#This Row],[Tg Bulan]]/SUM(COUNTIFS(F:F,"(03) MAR",I:I,"Bisnis",G:G,"2021"))</f>
        <v>46.328000000000003</v>
      </c>
      <c r="M194" s="351" t="str">
        <f t="shared" si="7"/>
        <v>1158,2</v>
      </c>
      <c r="N194" s="304">
        <f>UBC_MASUK[[#This Row],[Tg Tahun]]/SUM(COUNTIFS(G:G,"2021",I:I,"Bisnis"))</f>
        <v>111.18719999999999</v>
      </c>
      <c r="O194" s="170" t="str">
        <f t="shared" si="8"/>
        <v>13898,4</v>
      </c>
    </row>
    <row r="195" spans="2:15" ht="21" x14ac:dyDescent="0.35">
      <c r="B195" s="177">
        <v>44275</v>
      </c>
      <c r="C195" s="176">
        <v>3</v>
      </c>
      <c r="D195" s="171" t="str">
        <f t="shared" si="6"/>
        <v>Q1</v>
      </c>
      <c r="E195" s="176">
        <v>20</v>
      </c>
      <c r="F195" s="224" t="s">
        <v>142</v>
      </c>
      <c r="G195" s="176">
        <v>2021</v>
      </c>
      <c r="H195" s="118" t="s">
        <v>138</v>
      </c>
      <c r="I195" s="172" t="s">
        <v>34</v>
      </c>
      <c r="J195" s="172" t="s">
        <v>14</v>
      </c>
      <c r="K195" s="222">
        <v>6</v>
      </c>
      <c r="L195" s="304">
        <f>UBC_MASUK[[#This Row],[Tg Bulan]]/SUM(COUNTIFS(F:F,"(03) MAR",I:I,"Hotel",G:G,"2021"))</f>
        <v>100.70416665</v>
      </c>
      <c r="M195" s="351" t="str">
        <f t="shared" si="7"/>
        <v>201,4083333</v>
      </c>
      <c r="N195" s="304">
        <f>UBC_MASUK[[#This Row],[Tg Tahun]]/SUM(COUNTIFS(G:G,"2021",I:I,"Hotel"))</f>
        <v>345.2714285714286</v>
      </c>
      <c r="O195" s="170" t="str">
        <f t="shared" si="8"/>
        <v>2416,9</v>
      </c>
    </row>
    <row r="196" spans="2:15" ht="21" x14ac:dyDescent="0.35">
      <c r="B196" s="177">
        <v>44256</v>
      </c>
      <c r="C196" s="176">
        <v>1</v>
      </c>
      <c r="D196" s="171" t="str">
        <f t="shared" ref="D196:D259" si="9">IF(F:F="(01) JAN","Q1",IF(F:F="(02) FEB","Q1",IF(F:F="(03) MAR","Q1",IF(F:F="(04) APR","Q2",IF(F:F="(05) MEI","Q2",IF(F:F="(06) JUN","Q2",IF(F:F="(07) JUL","Q3",IF(F:F="(08) AGU","Q3",IF(F:F="(09) SEP","Q3",IF(F:F="(10) OKT","Q4",IF(F:F="(11) NOV","Q4",IF(F:F="(12) DES","Q4"))))))))))))</f>
        <v>Q1</v>
      </c>
      <c r="E196" s="176">
        <v>1</v>
      </c>
      <c r="F196" s="224" t="s">
        <v>142</v>
      </c>
      <c r="G196" s="176">
        <v>2021</v>
      </c>
      <c r="H196" s="118" t="s">
        <v>38</v>
      </c>
      <c r="I196" s="170" t="s">
        <v>290</v>
      </c>
      <c r="J196" s="172" t="s">
        <v>8</v>
      </c>
      <c r="K196" s="222">
        <v>20</v>
      </c>
      <c r="L196" s="304">
        <f>UBC_MASUK[[#This Row],[Tg Bulan]]/SUM(COUNTIFS(F:F,"(03) MAR",I:I,"EB Residential Service",G:G,"2021"))</f>
        <v>35.988888887500003</v>
      </c>
      <c r="M196" s="351" t="str">
        <f t="shared" ref="M196:M259" si="10">IF(I:I="TPS3R","391,433333333333",IF(I:I="TPST3R","1222,225",IF(I:I="TPA","878,975",IF(I:I="Sekolah","64,775",IF(I:I="Pengepul","11981,20833",IF(I:I="Jasa sampah","3712,433333",IF(I:I="Hotel","201,4083333",IF(I:I="EB Residential Service","863,7333333",IF(I:I="Bisnis","1158,2",IF(I:I="Bank Sampah Unit","79,46666667",IF(I:I="Bank Sampah Induk","279,475")))))))))))</f>
        <v>863,7333333</v>
      </c>
      <c r="N196" s="304">
        <f>UBC_MASUK[[#This Row],[Tg Tahun]]/SUM(COUNTIFS(G:G,"2021",I:I,"EB Residential Service"))</f>
        <v>99.661538461538456</v>
      </c>
      <c r="O196" s="170" t="str">
        <f t="shared" ref="O196:O259" si="11">IF(I:I="TPS3R","4607,2",IF(I:I="TPST3R","14666,7",IF(I:I="TPA","10547,7",IF(I:I="Sekolah","777,3",IF(I:I="Pengepul","143774,5",IF(I:I="Jasa sampah","44549,2",IF(I:I="Hotel","2416,9",IF(I:I="EB Residential Service","10364,8",IF(I:I="Bisnis","13898,4",IF(I:I="Bank Sampah Unit","953,6",IF(I:I="Bank Sampah Induk","3353,7")))))))))))</f>
        <v>10364,8</v>
      </c>
    </row>
    <row r="197" spans="2:15" ht="21" x14ac:dyDescent="0.35">
      <c r="B197" s="177">
        <v>44257</v>
      </c>
      <c r="C197" s="176">
        <v>1</v>
      </c>
      <c r="D197" s="171" t="str">
        <f t="shared" si="9"/>
        <v>Q1</v>
      </c>
      <c r="E197" s="176">
        <v>2</v>
      </c>
      <c r="F197" s="224" t="s">
        <v>142</v>
      </c>
      <c r="G197" s="176">
        <v>2021</v>
      </c>
      <c r="H197" s="118" t="s">
        <v>38</v>
      </c>
      <c r="I197" s="170" t="s">
        <v>290</v>
      </c>
      <c r="J197" s="172" t="s">
        <v>8</v>
      </c>
      <c r="K197" s="222">
        <v>25</v>
      </c>
      <c r="L197" s="304">
        <f>UBC_MASUK[[#This Row],[Tg Bulan]]/SUM(COUNTIFS(F:F,"(03) MAR",I:I,"EB Residential Service",G:G,"2021"))</f>
        <v>35.988888887500003</v>
      </c>
      <c r="M197" s="351" t="str">
        <f t="shared" si="10"/>
        <v>863,7333333</v>
      </c>
      <c r="N197" s="304">
        <f>UBC_MASUK[[#This Row],[Tg Tahun]]/SUM(COUNTIFS(G:G,"2021",I:I,"EB Residential Service"))</f>
        <v>99.661538461538456</v>
      </c>
      <c r="O197" s="170" t="str">
        <f t="shared" si="11"/>
        <v>10364,8</v>
      </c>
    </row>
    <row r="198" spans="2:15" ht="21" x14ac:dyDescent="0.35">
      <c r="B198" s="177">
        <v>44258</v>
      </c>
      <c r="C198" s="176">
        <v>1</v>
      </c>
      <c r="D198" s="171" t="str">
        <f t="shared" si="9"/>
        <v>Q1</v>
      </c>
      <c r="E198" s="176">
        <v>3</v>
      </c>
      <c r="F198" s="224" t="s">
        <v>142</v>
      </c>
      <c r="G198" s="176">
        <v>2021</v>
      </c>
      <c r="H198" s="118" t="s">
        <v>38</v>
      </c>
      <c r="I198" s="170" t="s">
        <v>290</v>
      </c>
      <c r="J198" s="172" t="s">
        <v>8</v>
      </c>
      <c r="K198" s="222">
        <v>23</v>
      </c>
      <c r="L198" s="304">
        <f>UBC_MASUK[[#This Row],[Tg Bulan]]/SUM(COUNTIFS(F:F,"(03) MAR",I:I,"EB Residential Service",G:G,"2021"))</f>
        <v>35.988888887500003</v>
      </c>
      <c r="M198" s="351" t="str">
        <f t="shared" si="10"/>
        <v>863,7333333</v>
      </c>
      <c r="N198" s="304">
        <f>UBC_MASUK[[#This Row],[Tg Tahun]]/SUM(COUNTIFS(G:G,"2021",I:I,"EB Residential Service"))</f>
        <v>99.661538461538456</v>
      </c>
      <c r="O198" s="170" t="str">
        <f t="shared" si="11"/>
        <v>10364,8</v>
      </c>
    </row>
    <row r="199" spans="2:15" ht="21" x14ac:dyDescent="0.35">
      <c r="B199" s="177">
        <v>44259</v>
      </c>
      <c r="C199" s="176">
        <v>1</v>
      </c>
      <c r="D199" s="171" t="str">
        <f t="shared" si="9"/>
        <v>Q1</v>
      </c>
      <c r="E199" s="176">
        <v>4</v>
      </c>
      <c r="F199" s="221" t="s">
        <v>142</v>
      </c>
      <c r="G199" s="176">
        <v>2021</v>
      </c>
      <c r="H199" s="118" t="s">
        <v>38</v>
      </c>
      <c r="I199" s="170" t="s">
        <v>290</v>
      </c>
      <c r="J199" s="172" t="s">
        <v>8</v>
      </c>
      <c r="K199" s="222">
        <v>26</v>
      </c>
      <c r="L199" s="304">
        <f>UBC_MASUK[[#This Row],[Tg Bulan]]/SUM(COUNTIFS(F:F,"(03) MAR",I:I,"EB Residential Service",G:G,"2021"))</f>
        <v>35.988888887500003</v>
      </c>
      <c r="M199" s="351" t="str">
        <f t="shared" si="10"/>
        <v>863,7333333</v>
      </c>
      <c r="N199" s="304">
        <f>UBC_MASUK[[#This Row],[Tg Tahun]]/SUM(COUNTIFS(G:G,"2021",I:I,"EB Residential Service"))</f>
        <v>99.661538461538456</v>
      </c>
      <c r="O199" s="170" t="str">
        <f t="shared" si="11"/>
        <v>10364,8</v>
      </c>
    </row>
    <row r="200" spans="2:15" ht="21" x14ac:dyDescent="0.35">
      <c r="B200" s="177">
        <v>44260</v>
      </c>
      <c r="C200" s="176">
        <v>1</v>
      </c>
      <c r="D200" s="171" t="str">
        <f t="shared" si="9"/>
        <v>Q1</v>
      </c>
      <c r="E200" s="176">
        <v>5</v>
      </c>
      <c r="F200" s="224" t="s">
        <v>142</v>
      </c>
      <c r="G200" s="176">
        <v>2021</v>
      </c>
      <c r="H200" s="118" t="s">
        <v>38</v>
      </c>
      <c r="I200" s="170" t="s">
        <v>290</v>
      </c>
      <c r="J200" s="172" t="s">
        <v>8</v>
      </c>
      <c r="K200" s="222">
        <v>22</v>
      </c>
      <c r="L200" s="304">
        <f>UBC_MASUK[[#This Row],[Tg Bulan]]/SUM(COUNTIFS(F:F,"(03) MAR",I:I,"EB Residential Service",G:G,"2021"))</f>
        <v>35.988888887500003</v>
      </c>
      <c r="M200" s="351" t="str">
        <f t="shared" si="10"/>
        <v>863,7333333</v>
      </c>
      <c r="N200" s="304">
        <f>UBC_MASUK[[#This Row],[Tg Tahun]]/SUM(COUNTIFS(G:G,"2021",I:I,"EB Residential Service"))</f>
        <v>99.661538461538456</v>
      </c>
      <c r="O200" s="170" t="str">
        <f t="shared" si="11"/>
        <v>10364,8</v>
      </c>
    </row>
    <row r="201" spans="2:15" ht="21" x14ac:dyDescent="0.35">
      <c r="B201" s="177">
        <v>44261</v>
      </c>
      <c r="C201" s="176">
        <v>1</v>
      </c>
      <c r="D201" s="171" t="str">
        <f t="shared" si="9"/>
        <v>Q1</v>
      </c>
      <c r="E201" s="176">
        <v>6</v>
      </c>
      <c r="F201" s="224" t="s">
        <v>142</v>
      </c>
      <c r="G201" s="176">
        <v>2021</v>
      </c>
      <c r="H201" s="118" t="s">
        <v>38</v>
      </c>
      <c r="I201" s="170" t="s">
        <v>290</v>
      </c>
      <c r="J201" s="172" t="s">
        <v>8</v>
      </c>
      <c r="K201" s="222">
        <v>11</v>
      </c>
      <c r="L201" s="304">
        <f>UBC_MASUK[[#This Row],[Tg Bulan]]/SUM(COUNTIFS(F:F,"(03) MAR",I:I,"EB Residential Service",G:G,"2021"))</f>
        <v>35.988888887500003</v>
      </c>
      <c r="M201" s="351" t="str">
        <f t="shared" si="10"/>
        <v>863,7333333</v>
      </c>
      <c r="N201" s="304">
        <f>UBC_MASUK[[#This Row],[Tg Tahun]]/SUM(COUNTIFS(G:G,"2021",I:I,"EB Residential Service"))</f>
        <v>99.661538461538456</v>
      </c>
      <c r="O201" s="170" t="str">
        <f t="shared" si="11"/>
        <v>10364,8</v>
      </c>
    </row>
    <row r="202" spans="2:15" ht="21" x14ac:dyDescent="0.35">
      <c r="B202" s="177">
        <v>44263</v>
      </c>
      <c r="C202" s="176">
        <v>2</v>
      </c>
      <c r="D202" s="171" t="str">
        <f t="shared" si="9"/>
        <v>Q1</v>
      </c>
      <c r="E202" s="176">
        <v>8</v>
      </c>
      <c r="F202" s="224" t="s">
        <v>142</v>
      </c>
      <c r="G202" s="176">
        <v>2021</v>
      </c>
      <c r="H202" s="118" t="s">
        <v>38</v>
      </c>
      <c r="I202" s="170" t="s">
        <v>290</v>
      </c>
      <c r="J202" s="172" t="s">
        <v>8</v>
      </c>
      <c r="K202" s="222">
        <v>37</v>
      </c>
      <c r="L202" s="304">
        <f>UBC_MASUK[[#This Row],[Tg Bulan]]/SUM(COUNTIFS(F:F,"(03) MAR",I:I,"EB Residential Service",G:G,"2021"))</f>
        <v>35.988888887500003</v>
      </c>
      <c r="M202" s="351" t="str">
        <f t="shared" si="10"/>
        <v>863,7333333</v>
      </c>
      <c r="N202" s="304">
        <f>UBC_MASUK[[#This Row],[Tg Tahun]]/SUM(COUNTIFS(G:G,"2021",I:I,"EB Residential Service"))</f>
        <v>99.661538461538456</v>
      </c>
      <c r="O202" s="170" t="str">
        <f t="shared" si="11"/>
        <v>10364,8</v>
      </c>
    </row>
    <row r="203" spans="2:15" ht="21" x14ac:dyDescent="0.35">
      <c r="B203" s="177">
        <v>44264</v>
      </c>
      <c r="C203" s="176">
        <v>2</v>
      </c>
      <c r="D203" s="171" t="str">
        <f t="shared" si="9"/>
        <v>Q1</v>
      </c>
      <c r="E203" s="176">
        <v>9</v>
      </c>
      <c r="F203" s="224" t="s">
        <v>142</v>
      </c>
      <c r="G203" s="176">
        <v>2021</v>
      </c>
      <c r="H203" s="118" t="s">
        <v>38</v>
      </c>
      <c r="I203" s="170" t="s">
        <v>290</v>
      </c>
      <c r="J203" s="172" t="s">
        <v>8</v>
      </c>
      <c r="K203" s="222">
        <v>25.2</v>
      </c>
      <c r="L203" s="304">
        <f>UBC_MASUK[[#This Row],[Tg Bulan]]/SUM(COUNTIFS(F:F,"(03) MAR",I:I,"EB Residential Service",G:G,"2021"))</f>
        <v>35.988888887500003</v>
      </c>
      <c r="M203" s="351" t="str">
        <f t="shared" si="10"/>
        <v>863,7333333</v>
      </c>
      <c r="N203" s="304">
        <f>UBC_MASUK[[#This Row],[Tg Tahun]]/SUM(COUNTIFS(G:G,"2021",I:I,"EB Residential Service"))</f>
        <v>99.661538461538456</v>
      </c>
      <c r="O203" s="170" t="str">
        <f t="shared" si="11"/>
        <v>10364,8</v>
      </c>
    </row>
    <row r="204" spans="2:15" ht="21" x14ac:dyDescent="0.35">
      <c r="B204" s="177">
        <v>44265</v>
      </c>
      <c r="C204" s="176">
        <v>2</v>
      </c>
      <c r="D204" s="171" t="str">
        <f t="shared" si="9"/>
        <v>Q1</v>
      </c>
      <c r="E204" s="176">
        <v>10</v>
      </c>
      <c r="F204" s="224" t="s">
        <v>142</v>
      </c>
      <c r="G204" s="176">
        <v>2021</v>
      </c>
      <c r="H204" s="118" t="s">
        <v>38</v>
      </c>
      <c r="I204" s="170" t="s">
        <v>290</v>
      </c>
      <c r="J204" s="172" t="s">
        <v>8</v>
      </c>
      <c r="K204" s="222">
        <v>30</v>
      </c>
      <c r="L204" s="304">
        <f>UBC_MASUK[[#This Row],[Tg Bulan]]/SUM(COUNTIFS(F:F,"(03) MAR",I:I,"EB Residential Service",G:G,"2021"))</f>
        <v>35.988888887500003</v>
      </c>
      <c r="M204" s="351" t="str">
        <f t="shared" si="10"/>
        <v>863,7333333</v>
      </c>
      <c r="N204" s="304">
        <f>UBC_MASUK[[#This Row],[Tg Tahun]]/SUM(COUNTIFS(G:G,"2021",I:I,"EB Residential Service"))</f>
        <v>99.661538461538456</v>
      </c>
      <c r="O204" s="170" t="str">
        <f t="shared" si="11"/>
        <v>10364,8</v>
      </c>
    </row>
    <row r="205" spans="2:15" ht="21" x14ac:dyDescent="0.35">
      <c r="B205" s="177">
        <v>44266</v>
      </c>
      <c r="C205" s="176">
        <v>2</v>
      </c>
      <c r="D205" s="171" t="str">
        <f t="shared" si="9"/>
        <v>Q1</v>
      </c>
      <c r="E205" s="176">
        <v>11</v>
      </c>
      <c r="F205" s="224" t="s">
        <v>142</v>
      </c>
      <c r="G205" s="176">
        <v>2021</v>
      </c>
      <c r="H205" s="118" t="s">
        <v>38</v>
      </c>
      <c r="I205" s="170" t="s">
        <v>290</v>
      </c>
      <c r="J205" s="172" t="s">
        <v>8</v>
      </c>
      <c r="K205" s="222">
        <v>25</v>
      </c>
      <c r="L205" s="304">
        <f>UBC_MASUK[[#This Row],[Tg Bulan]]/SUM(COUNTIFS(F:F,"(03) MAR",I:I,"EB Residential Service",G:G,"2021"))</f>
        <v>35.988888887500003</v>
      </c>
      <c r="M205" s="351" t="str">
        <f t="shared" si="10"/>
        <v>863,7333333</v>
      </c>
      <c r="N205" s="304">
        <f>UBC_MASUK[[#This Row],[Tg Tahun]]/SUM(COUNTIFS(G:G,"2021",I:I,"EB Residential Service"))</f>
        <v>99.661538461538456</v>
      </c>
      <c r="O205" s="170" t="str">
        <f t="shared" si="11"/>
        <v>10364,8</v>
      </c>
    </row>
    <row r="206" spans="2:15" ht="21" x14ac:dyDescent="0.35">
      <c r="B206" s="177">
        <v>44267</v>
      </c>
      <c r="C206" s="176">
        <v>2</v>
      </c>
      <c r="D206" s="171" t="str">
        <f t="shared" si="9"/>
        <v>Q1</v>
      </c>
      <c r="E206" s="176">
        <v>12</v>
      </c>
      <c r="F206" s="224" t="s">
        <v>142</v>
      </c>
      <c r="G206" s="176">
        <v>2021</v>
      </c>
      <c r="H206" s="118" t="s">
        <v>38</v>
      </c>
      <c r="I206" s="170" t="s">
        <v>290</v>
      </c>
      <c r="J206" s="172" t="s">
        <v>8</v>
      </c>
      <c r="K206" s="222">
        <v>21</v>
      </c>
      <c r="L206" s="304">
        <f>UBC_MASUK[[#This Row],[Tg Bulan]]/SUM(COUNTIFS(F:F,"(03) MAR",I:I,"EB Residential Service",G:G,"2021"))</f>
        <v>35.988888887500003</v>
      </c>
      <c r="M206" s="351" t="str">
        <f t="shared" si="10"/>
        <v>863,7333333</v>
      </c>
      <c r="N206" s="304">
        <f>UBC_MASUK[[#This Row],[Tg Tahun]]/SUM(COUNTIFS(G:G,"2021",I:I,"EB Residential Service"))</f>
        <v>99.661538461538456</v>
      </c>
      <c r="O206" s="170" t="str">
        <f t="shared" si="11"/>
        <v>10364,8</v>
      </c>
    </row>
    <row r="207" spans="2:15" ht="21" x14ac:dyDescent="0.35">
      <c r="B207" s="177">
        <v>44268</v>
      </c>
      <c r="C207" s="176">
        <v>2</v>
      </c>
      <c r="D207" s="171" t="str">
        <f t="shared" si="9"/>
        <v>Q1</v>
      </c>
      <c r="E207" s="176">
        <v>13</v>
      </c>
      <c r="F207" s="224" t="s">
        <v>142</v>
      </c>
      <c r="G207" s="176">
        <v>2021</v>
      </c>
      <c r="H207" s="118" t="s">
        <v>38</v>
      </c>
      <c r="I207" s="170" t="s">
        <v>290</v>
      </c>
      <c r="J207" s="172" t="s">
        <v>8</v>
      </c>
      <c r="K207" s="222">
        <v>18</v>
      </c>
      <c r="L207" s="304">
        <f>UBC_MASUK[[#This Row],[Tg Bulan]]/SUM(COUNTIFS(F:F,"(03) MAR",I:I,"EB Residential Service",G:G,"2021"))</f>
        <v>35.988888887500003</v>
      </c>
      <c r="M207" s="351" t="str">
        <f t="shared" si="10"/>
        <v>863,7333333</v>
      </c>
      <c r="N207" s="304">
        <f>UBC_MASUK[[#This Row],[Tg Tahun]]/SUM(COUNTIFS(G:G,"2021",I:I,"EB Residential Service"))</f>
        <v>99.661538461538456</v>
      </c>
      <c r="O207" s="170" t="str">
        <f t="shared" si="11"/>
        <v>10364,8</v>
      </c>
    </row>
    <row r="208" spans="2:15" ht="21" x14ac:dyDescent="0.35">
      <c r="B208" s="177">
        <v>44270</v>
      </c>
      <c r="C208" s="176">
        <v>3</v>
      </c>
      <c r="D208" s="171" t="str">
        <f t="shared" si="9"/>
        <v>Q1</v>
      </c>
      <c r="E208" s="176">
        <v>15</v>
      </c>
      <c r="F208" s="224" t="s">
        <v>142</v>
      </c>
      <c r="G208" s="176">
        <v>2021</v>
      </c>
      <c r="H208" s="118" t="s">
        <v>38</v>
      </c>
      <c r="I208" s="170" t="s">
        <v>290</v>
      </c>
      <c r="J208" s="172" t="s">
        <v>8</v>
      </c>
      <c r="K208" s="222">
        <v>25</v>
      </c>
      <c r="L208" s="304">
        <f>UBC_MASUK[[#This Row],[Tg Bulan]]/SUM(COUNTIFS(F:F,"(03) MAR",I:I,"EB Residential Service",G:G,"2021"))</f>
        <v>35.988888887500003</v>
      </c>
      <c r="M208" s="351" t="str">
        <f t="shared" si="10"/>
        <v>863,7333333</v>
      </c>
      <c r="N208" s="304">
        <f>UBC_MASUK[[#This Row],[Tg Tahun]]/SUM(COUNTIFS(G:G,"2021",I:I,"EB Residential Service"))</f>
        <v>99.661538461538456</v>
      </c>
      <c r="O208" s="170" t="str">
        <f t="shared" si="11"/>
        <v>10364,8</v>
      </c>
    </row>
    <row r="209" spans="2:15" ht="21" x14ac:dyDescent="0.35">
      <c r="B209" s="177">
        <v>44271</v>
      </c>
      <c r="C209" s="176">
        <v>3</v>
      </c>
      <c r="D209" s="171" t="str">
        <f t="shared" si="9"/>
        <v>Q1</v>
      </c>
      <c r="E209" s="176">
        <v>16</v>
      </c>
      <c r="F209" s="224" t="s">
        <v>142</v>
      </c>
      <c r="G209" s="176">
        <v>2021</v>
      </c>
      <c r="H209" s="118" t="s">
        <v>38</v>
      </c>
      <c r="I209" s="170" t="s">
        <v>290</v>
      </c>
      <c r="J209" s="172" t="s">
        <v>8</v>
      </c>
      <c r="K209" s="222">
        <v>17</v>
      </c>
      <c r="L209" s="304">
        <f>UBC_MASUK[[#This Row],[Tg Bulan]]/SUM(COUNTIFS(F:F,"(03) MAR",I:I,"EB Residential Service",G:G,"2021"))</f>
        <v>35.988888887500003</v>
      </c>
      <c r="M209" s="351" t="str">
        <f t="shared" si="10"/>
        <v>863,7333333</v>
      </c>
      <c r="N209" s="304">
        <f>UBC_MASUK[[#This Row],[Tg Tahun]]/SUM(COUNTIFS(G:G,"2021",I:I,"EB Residential Service"))</f>
        <v>99.661538461538456</v>
      </c>
      <c r="O209" s="170" t="str">
        <f t="shared" si="11"/>
        <v>10364,8</v>
      </c>
    </row>
    <row r="210" spans="2:15" ht="21" x14ac:dyDescent="0.35">
      <c r="B210" s="177">
        <v>44272</v>
      </c>
      <c r="C210" s="176">
        <v>3</v>
      </c>
      <c r="D210" s="171" t="str">
        <f t="shared" si="9"/>
        <v>Q1</v>
      </c>
      <c r="E210" s="176">
        <v>17</v>
      </c>
      <c r="F210" s="224" t="s">
        <v>142</v>
      </c>
      <c r="G210" s="176">
        <v>2021</v>
      </c>
      <c r="H210" s="118" t="s">
        <v>38</v>
      </c>
      <c r="I210" s="170" t="s">
        <v>290</v>
      </c>
      <c r="J210" s="172" t="s">
        <v>8</v>
      </c>
      <c r="K210" s="222">
        <v>18</v>
      </c>
      <c r="L210" s="304">
        <f>UBC_MASUK[[#This Row],[Tg Bulan]]/SUM(COUNTIFS(F:F,"(03) MAR",I:I,"EB Residential Service",G:G,"2021"))</f>
        <v>35.988888887500003</v>
      </c>
      <c r="M210" s="351" t="str">
        <f t="shared" si="10"/>
        <v>863,7333333</v>
      </c>
      <c r="N210" s="304">
        <f>UBC_MASUK[[#This Row],[Tg Tahun]]/SUM(COUNTIFS(G:G,"2021",I:I,"EB Residential Service"))</f>
        <v>99.661538461538456</v>
      </c>
      <c r="O210" s="170" t="str">
        <f t="shared" si="11"/>
        <v>10364,8</v>
      </c>
    </row>
    <row r="211" spans="2:15" ht="21" x14ac:dyDescent="0.35">
      <c r="B211" s="177">
        <v>44279</v>
      </c>
      <c r="C211" s="176">
        <v>4</v>
      </c>
      <c r="D211" s="171" t="str">
        <f t="shared" si="9"/>
        <v>Q1</v>
      </c>
      <c r="E211" s="176">
        <v>24</v>
      </c>
      <c r="F211" s="224" t="s">
        <v>142</v>
      </c>
      <c r="G211" s="176">
        <v>2021</v>
      </c>
      <c r="H211" s="118" t="s">
        <v>22</v>
      </c>
      <c r="I211" s="172" t="s">
        <v>18</v>
      </c>
      <c r="J211" s="172" t="s">
        <v>19</v>
      </c>
      <c r="K211" s="222">
        <v>1242</v>
      </c>
      <c r="L211" s="304">
        <f>UBC_MASUK[[#This Row],[Tg Bulan]]/SUM(COUNTIFS(F:F,"(03) MAR",I:I,"Pengepul",G:G,"2021"))</f>
        <v>1711.6011899999999</v>
      </c>
      <c r="M211" s="351" t="str">
        <f t="shared" si="10"/>
        <v>11981,20833</v>
      </c>
      <c r="N211" s="304">
        <f>UBC_MASUK[[#This Row],[Tg Tahun]]/SUM(COUNTIFS(G:G,"2021",I:I,"Pengepul"))</f>
        <v>4228.661764705882</v>
      </c>
      <c r="O211" s="170" t="str">
        <f t="shared" si="11"/>
        <v>143774,5</v>
      </c>
    </row>
    <row r="212" spans="2:15" x14ac:dyDescent="0.35">
      <c r="B212" s="177">
        <v>44279</v>
      </c>
      <c r="C212" s="176">
        <v>4</v>
      </c>
      <c r="D212" s="171" t="str">
        <f t="shared" si="9"/>
        <v>Q1</v>
      </c>
      <c r="E212" s="176">
        <v>24</v>
      </c>
      <c r="F212" s="224" t="s">
        <v>142</v>
      </c>
      <c r="G212" s="176">
        <v>2021</v>
      </c>
      <c r="H212" s="118" t="s">
        <v>157</v>
      </c>
      <c r="I212" s="172" t="s">
        <v>37</v>
      </c>
      <c r="J212" s="172" t="s">
        <v>8</v>
      </c>
      <c r="K212" s="173">
        <v>6</v>
      </c>
      <c r="L212" s="304">
        <f>UBC_MASUK[[#This Row],[Tg Bulan]]/SUM(COUNTIFS(F:F,"(03) MAR",I:I,"Bank Sampah Unit",G:G,"2021"))</f>
        <v>13.244444444999999</v>
      </c>
      <c r="M212" s="351" t="str">
        <f t="shared" si="10"/>
        <v>79,46666667</v>
      </c>
      <c r="N212" s="304">
        <f>UBC_MASUK[[#This Row],[Tg Tahun]]/SUM(COUNTIFS(G:G,"2021",I:I,"Bank Sampah Unit"))</f>
        <v>24.451282051282053</v>
      </c>
      <c r="O212" s="170" t="str">
        <f t="shared" si="11"/>
        <v>953,6</v>
      </c>
    </row>
    <row r="213" spans="2:15" x14ac:dyDescent="0.35">
      <c r="B213" s="177">
        <v>44282</v>
      </c>
      <c r="C213" s="176">
        <v>4</v>
      </c>
      <c r="D213" s="171" t="str">
        <f t="shared" si="9"/>
        <v>Q1</v>
      </c>
      <c r="E213" s="176">
        <v>27</v>
      </c>
      <c r="F213" s="224" t="s">
        <v>142</v>
      </c>
      <c r="G213" s="176">
        <v>2021</v>
      </c>
      <c r="H213" s="118" t="s">
        <v>12</v>
      </c>
      <c r="I213" s="172" t="s">
        <v>13</v>
      </c>
      <c r="J213" s="172" t="s">
        <v>14</v>
      </c>
      <c r="K213" s="173">
        <v>109</v>
      </c>
      <c r="L213" s="304">
        <f>UBC_MASUK[[#This Row],[Tg Bulan]]/SUM(COUNTIFS(F:F,"(03) MAR",I:I,"TPST3R",G:G,"2021"))</f>
        <v>611.11249999999995</v>
      </c>
      <c r="M213" s="351" t="str">
        <f t="shared" si="10"/>
        <v>1222,225</v>
      </c>
      <c r="N213" s="304">
        <f>UBC_MASUK[[#This Row],[Tg Tahun]]/SUM(COUNTIFS(G:G,"2021",I:I,"TPST3R"))</f>
        <v>1333.3363636363638</v>
      </c>
      <c r="O213" s="170" t="str">
        <f t="shared" si="11"/>
        <v>14666,7</v>
      </c>
    </row>
    <row r="214" spans="2:15" x14ac:dyDescent="0.35">
      <c r="B214" s="177">
        <v>44282</v>
      </c>
      <c r="C214" s="176">
        <v>4</v>
      </c>
      <c r="D214" s="171" t="str">
        <f t="shared" si="9"/>
        <v>Q1</v>
      </c>
      <c r="E214" s="176">
        <v>27</v>
      </c>
      <c r="F214" s="224" t="s">
        <v>142</v>
      </c>
      <c r="G214" s="176">
        <v>2021</v>
      </c>
      <c r="H214" s="118" t="s">
        <v>15</v>
      </c>
      <c r="I214" s="172" t="s">
        <v>16</v>
      </c>
      <c r="J214" s="172" t="s">
        <v>14</v>
      </c>
      <c r="K214" s="173">
        <v>185</v>
      </c>
      <c r="L214" s="304">
        <f>UBC_MASUK[[#This Row],[Tg Bulan]]/SUM(COUNTIFS(F:F,"(03) MAR",I:I,"TPA",G:G,"2021"))</f>
        <v>878.97500000000002</v>
      </c>
      <c r="M214" s="351" t="str">
        <f t="shared" si="10"/>
        <v>878,975</v>
      </c>
      <c r="N214" s="304">
        <f>UBC_MASUK[[#This Row],[Tg Tahun]]/SUM(COUNTIFS(G:G,"2021",I:I,"TPA"))</f>
        <v>1757.95</v>
      </c>
      <c r="O214" s="170" t="str">
        <f t="shared" si="11"/>
        <v>10547,7</v>
      </c>
    </row>
    <row r="215" spans="2:15" x14ac:dyDescent="0.35">
      <c r="B215" s="177">
        <v>44281</v>
      </c>
      <c r="C215" s="176">
        <v>4</v>
      </c>
      <c r="D215" s="171" t="str">
        <f t="shared" si="9"/>
        <v>Q1</v>
      </c>
      <c r="E215" s="176">
        <v>26</v>
      </c>
      <c r="F215" s="224" t="s">
        <v>142</v>
      </c>
      <c r="G215" s="176">
        <v>2021</v>
      </c>
      <c r="H215" s="118" t="s">
        <v>28</v>
      </c>
      <c r="I215" s="172" t="s">
        <v>31</v>
      </c>
      <c r="J215" s="172" t="s">
        <v>19</v>
      </c>
      <c r="K215" s="173">
        <v>67</v>
      </c>
      <c r="L215" s="304">
        <f>UBC_MASUK[[#This Row],[Tg Bulan]]/SUM(COUNTIFS(F:F,"(03) MAR",I:I,"Bisnis",G:G,"2021"))</f>
        <v>46.328000000000003</v>
      </c>
      <c r="M215" s="351" t="str">
        <f t="shared" si="10"/>
        <v>1158,2</v>
      </c>
      <c r="N215" s="304">
        <f>UBC_MASUK[[#This Row],[Tg Tahun]]/SUM(COUNTIFS(G:G,"2021",I:I,"Bisnis"))</f>
        <v>111.18719999999999</v>
      </c>
      <c r="O215" s="170" t="str">
        <f t="shared" si="11"/>
        <v>13898,4</v>
      </c>
    </row>
    <row r="216" spans="2:15" x14ac:dyDescent="0.35">
      <c r="B216" s="177">
        <v>44281</v>
      </c>
      <c r="C216" s="176">
        <v>4</v>
      </c>
      <c r="D216" s="171" t="str">
        <f t="shared" si="9"/>
        <v>Q1</v>
      </c>
      <c r="E216" s="176">
        <v>26</v>
      </c>
      <c r="F216" s="224" t="s">
        <v>142</v>
      </c>
      <c r="G216" s="176">
        <v>2021</v>
      </c>
      <c r="H216" s="118" t="s">
        <v>35</v>
      </c>
      <c r="I216" s="172" t="s">
        <v>36</v>
      </c>
      <c r="J216" s="172" t="s">
        <v>8</v>
      </c>
      <c r="K216" s="173">
        <v>7</v>
      </c>
      <c r="L216" s="304">
        <f>UBC_MASUK[[#This Row],[Tg Bulan]]/SUM(COUNTIFS(F:F,"(03) MAR",I:I,"Sekolah",G:G,"2021"))</f>
        <v>21.591666666666669</v>
      </c>
      <c r="M216" s="351" t="str">
        <f t="shared" si="10"/>
        <v>64,775</v>
      </c>
      <c r="N216" s="304">
        <f>UBC_MASUK[[#This Row],[Tg Tahun]]/SUM(COUNTIFS(G:G,"2021",I:I,"Sekolah"))</f>
        <v>38.864999999999995</v>
      </c>
      <c r="O216" s="170" t="str">
        <f t="shared" si="11"/>
        <v>777,3</v>
      </c>
    </row>
    <row r="217" spans="2:15" ht="22.5" customHeight="1" x14ac:dyDescent="0.35">
      <c r="B217" s="177">
        <v>44280</v>
      </c>
      <c r="C217" s="176">
        <v>4</v>
      </c>
      <c r="D217" s="171" t="str">
        <f t="shared" si="9"/>
        <v>Q1</v>
      </c>
      <c r="E217" s="176">
        <v>25</v>
      </c>
      <c r="F217" s="224" t="s">
        <v>142</v>
      </c>
      <c r="G217" s="176">
        <v>2021</v>
      </c>
      <c r="H217" s="118" t="s">
        <v>159</v>
      </c>
      <c r="I217" s="172" t="s">
        <v>160</v>
      </c>
      <c r="J217" s="172" t="s">
        <v>161</v>
      </c>
      <c r="K217" s="173">
        <v>38.5</v>
      </c>
      <c r="L217" s="304">
        <f>UBC_MASUK[[#This Row],[Tg Bulan]]/SUM(COUNTIFS(F:F,"(03) MAR",I:I,"Bank Sampah Induk",G:G,"2021"))</f>
        <v>279.47500000000002</v>
      </c>
      <c r="M217" s="351" t="str">
        <f t="shared" si="10"/>
        <v>279,475</v>
      </c>
      <c r="N217" s="304">
        <f>UBC_MASUK[[#This Row],[Tg Tahun]]/SUM(COUNTIFS(G:G,"2021",I:I,"Bank Sampah Induk"))</f>
        <v>419.21249999999998</v>
      </c>
      <c r="O217" s="170" t="str">
        <f t="shared" si="11"/>
        <v>3353,7</v>
      </c>
    </row>
    <row r="218" spans="2:15" x14ac:dyDescent="0.35">
      <c r="B218" s="177">
        <v>44273</v>
      </c>
      <c r="C218" s="176">
        <v>3</v>
      </c>
      <c r="D218" s="171" t="str">
        <f t="shared" si="9"/>
        <v>Q1</v>
      </c>
      <c r="E218" s="176">
        <v>18</v>
      </c>
      <c r="F218" s="224" t="s">
        <v>142</v>
      </c>
      <c r="G218" s="176">
        <v>2021</v>
      </c>
      <c r="H218" s="118" t="s">
        <v>38</v>
      </c>
      <c r="I218" s="170" t="s">
        <v>290</v>
      </c>
      <c r="J218" s="172" t="s">
        <v>8</v>
      </c>
      <c r="K218" s="173">
        <v>23</v>
      </c>
      <c r="L218" s="304">
        <f>UBC_MASUK[[#This Row],[Tg Bulan]]/SUM(COUNTIFS(F:F,"(03) MAR",I:I,"EB Residential Service",G:G,"2021"))</f>
        <v>35.988888887500003</v>
      </c>
      <c r="M218" s="351" t="str">
        <f t="shared" si="10"/>
        <v>863,7333333</v>
      </c>
      <c r="N218" s="304">
        <f>UBC_MASUK[[#This Row],[Tg Tahun]]/SUM(COUNTIFS(G:G,"2021",I:I,"EB Residential Service"))</f>
        <v>99.661538461538456</v>
      </c>
      <c r="O218" s="170" t="str">
        <f t="shared" si="11"/>
        <v>10364,8</v>
      </c>
    </row>
    <row r="219" spans="2:15" x14ac:dyDescent="0.35">
      <c r="B219" s="177">
        <v>44274</v>
      </c>
      <c r="C219" s="176">
        <v>3</v>
      </c>
      <c r="D219" s="171" t="str">
        <f t="shared" si="9"/>
        <v>Q1</v>
      </c>
      <c r="E219" s="176">
        <v>19</v>
      </c>
      <c r="F219" s="224" t="s">
        <v>142</v>
      </c>
      <c r="G219" s="176">
        <v>2021</v>
      </c>
      <c r="H219" s="118" t="s">
        <v>38</v>
      </c>
      <c r="I219" s="170" t="s">
        <v>290</v>
      </c>
      <c r="J219" s="172" t="s">
        <v>8</v>
      </c>
      <c r="K219" s="173">
        <v>18</v>
      </c>
      <c r="L219" s="304">
        <f>UBC_MASUK[[#This Row],[Tg Bulan]]/SUM(COUNTIFS(F:F,"(03) MAR",I:I,"EB Residential Service",G:G,"2021"))</f>
        <v>35.988888887500003</v>
      </c>
      <c r="M219" s="351" t="str">
        <f t="shared" si="10"/>
        <v>863,7333333</v>
      </c>
      <c r="N219" s="304">
        <f>UBC_MASUK[[#This Row],[Tg Tahun]]/SUM(COUNTIFS(G:G,"2021",I:I,"EB Residential Service"))</f>
        <v>99.661538461538456</v>
      </c>
      <c r="O219" s="170" t="str">
        <f t="shared" si="11"/>
        <v>10364,8</v>
      </c>
    </row>
    <row r="220" spans="2:15" x14ac:dyDescent="0.35">
      <c r="B220" s="177">
        <v>44275</v>
      </c>
      <c r="C220" s="176">
        <v>3</v>
      </c>
      <c r="D220" s="171" t="str">
        <f t="shared" si="9"/>
        <v>Q1</v>
      </c>
      <c r="E220" s="176">
        <v>20</v>
      </c>
      <c r="F220" s="224" t="s">
        <v>142</v>
      </c>
      <c r="G220" s="176">
        <v>2021</v>
      </c>
      <c r="H220" s="118" t="s">
        <v>38</v>
      </c>
      <c r="I220" s="170" t="s">
        <v>290</v>
      </c>
      <c r="J220" s="172" t="s">
        <v>8</v>
      </c>
      <c r="K220" s="173">
        <v>22</v>
      </c>
      <c r="L220" s="304">
        <f>UBC_MASUK[[#This Row],[Tg Bulan]]/SUM(COUNTIFS(F:F,"(03) MAR",I:I,"EB Residential Service",G:G,"2021"))</f>
        <v>35.988888887500003</v>
      </c>
      <c r="M220" s="351" t="str">
        <f t="shared" si="10"/>
        <v>863,7333333</v>
      </c>
      <c r="N220" s="304">
        <f>UBC_MASUK[[#This Row],[Tg Tahun]]/SUM(COUNTIFS(G:G,"2021",I:I,"EB Residential Service"))</f>
        <v>99.661538461538456</v>
      </c>
      <c r="O220" s="170" t="str">
        <f t="shared" si="11"/>
        <v>10364,8</v>
      </c>
    </row>
    <row r="221" spans="2:15" x14ac:dyDescent="0.35">
      <c r="B221" s="177">
        <v>44277</v>
      </c>
      <c r="C221" s="176">
        <v>4</v>
      </c>
      <c r="D221" s="171" t="str">
        <f t="shared" si="9"/>
        <v>Q1</v>
      </c>
      <c r="E221" s="176">
        <v>22</v>
      </c>
      <c r="F221" s="224" t="s">
        <v>142</v>
      </c>
      <c r="G221" s="176">
        <v>2021</v>
      </c>
      <c r="H221" s="118" t="s">
        <v>38</v>
      </c>
      <c r="I221" s="170" t="s">
        <v>290</v>
      </c>
      <c r="J221" s="172" t="s">
        <v>8</v>
      </c>
      <c r="K221" s="173">
        <v>31</v>
      </c>
      <c r="L221" s="304">
        <f>UBC_MASUK[[#This Row],[Tg Bulan]]/SUM(COUNTIFS(F:F,"(03) MAR",I:I,"EB Residential Service",G:G,"2021"))</f>
        <v>35.988888887500003</v>
      </c>
      <c r="M221" s="351" t="str">
        <f t="shared" si="10"/>
        <v>863,7333333</v>
      </c>
      <c r="N221" s="304">
        <f>UBC_MASUK[[#This Row],[Tg Tahun]]/SUM(COUNTIFS(G:G,"2021",I:I,"EB Residential Service"))</f>
        <v>99.661538461538456</v>
      </c>
      <c r="O221" s="170" t="str">
        <f t="shared" si="11"/>
        <v>10364,8</v>
      </c>
    </row>
    <row r="222" spans="2:15" x14ac:dyDescent="0.35">
      <c r="B222" s="177">
        <v>44278</v>
      </c>
      <c r="C222" s="176">
        <v>4</v>
      </c>
      <c r="D222" s="171" t="str">
        <f t="shared" si="9"/>
        <v>Q1</v>
      </c>
      <c r="E222" s="176">
        <v>23</v>
      </c>
      <c r="F222" s="224" t="s">
        <v>142</v>
      </c>
      <c r="G222" s="176">
        <v>2021</v>
      </c>
      <c r="H222" s="118" t="s">
        <v>38</v>
      </c>
      <c r="I222" s="170" t="s">
        <v>290</v>
      </c>
      <c r="J222" s="172" t="s">
        <v>8</v>
      </c>
      <c r="K222" s="173">
        <v>13</v>
      </c>
      <c r="L222" s="304">
        <f>UBC_MASUK[[#This Row],[Tg Bulan]]/SUM(COUNTIFS(F:F,"(03) MAR",I:I,"EB Residential Service",G:G,"2021"))</f>
        <v>35.988888887500003</v>
      </c>
      <c r="M222" s="351" t="str">
        <f t="shared" si="10"/>
        <v>863,7333333</v>
      </c>
      <c r="N222" s="304">
        <f>UBC_MASUK[[#This Row],[Tg Tahun]]/SUM(COUNTIFS(G:G,"2021",I:I,"EB Residential Service"))</f>
        <v>99.661538461538456</v>
      </c>
      <c r="O222" s="170" t="str">
        <f t="shared" si="11"/>
        <v>10364,8</v>
      </c>
    </row>
    <row r="223" spans="2:15" x14ac:dyDescent="0.35">
      <c r="B223" s="177">
        <v>44279</v>
      </c>
      <c r="C223" s="176">
        <v>4</v>
      </c>
      <c r="D223" s="171" t="str">
        <f t="shared" si="9"/>
        <v>Q1</v>
      </c>
      <c r="E223" s="176">
        <v>24</v>
      </c>
      <c r="F223" s="224" t="s">
        <v>142</v>
      </c>
      <c r="G223" s="176">
        <v>2021</v>
      </c>
      <c r="H223" s="118" t="s">
        <v>38</v>
      </c>
      <c r="I223" s="170" t="s">
        <v>290</v>
      </c>
      <c r="J223" s="172" t="s">
        <v>8</v>
      </c>
      <c r="K223" s="173">
        <v>15</v>
      </c>
      <c r="L223" s="304">
        <f>UBC_MASUK[[#This Row],[Tg Bulan]]/SUM(COUNTIFS(F:F,"(03) MAR",I:I,"EB Residential Service",G:G,"2021"))</f>
        <v>35.988888887500003</v>
      </c>
      <c r="M223" s="351" t="str">
        <f t="shared" si="10"/>
        <v>863,7333333</v>
      </c>
      <c r="N223" s="304">
        <f>UBC_MASUK[[#This Row],[Tg Tahun]]/SUM(COUNTIFS(G:G,"2021",I:I,"EB Residential Service"))</f>
        <v>99.661538461538456</v>
      </c>
      <c r="O223" s="170" t="str">
        <f t="shared" si="11"/>
        <v>10364,8</v>
      </c>
    </row>
    <row r="224" spans="2:15" x14ac:dyDescent="0.35">
      <c r="B224" s="177">
        <v>44285</v>
      </c>
      <c r="C224" s="176">
        <v>5</v>
      </c>
      <c r="D224" s="171" t="str">
        <f t="shared" si="9"/>
        <v>Q1</v>
      </c>
      <c r="E224" s="176">
        <v>30</v>
      </c>
      <c r="F224" s="224" t="s">
        <v>142</v>
      </c>
      <c r="G224" s="176">
        <v>2021</v>
      </c>
      <c r="H224" s="118" t="s">
        <v>162</v>
      </c>
      <c r="I224" s="172" t="s">
        <v>37</v>
      </c>
      <c r="J224" s="172" t="s">
        <v>8</v>
      </c>
      <c r="K224" s="173">
        <v>0.4</v>
      </c>
      <c r="L224" s="304">
        <f>UBC_MASUK[[#This Row],[Tg Bulan]]/SUM(COUNTIFS(F:F,"(03) MAR",I:I,"Bank Sampah Unit",G:G,"2021"))</f>
        <v>13.244444444999999</v>
      </c>
      <c r="M224" s="351" t="str">
        <f t="shared" si="10"/>
        <v>79,46666667</v>
      </c>
      <c r="N224" s="304">
        <f>UBC_MASUK[[#This Row],[Tg Tahun]]/SUM(COUNTIFS(G:G,"2021",I:I,"Bank Sampah Unit"))</f>
        <v>24.451282051282053</v>
      </c>
      <c r="O224" s="170" t="str">
        <f t="shared" si="11"/>
        <v>953,6</v>
      </c>
    </row>
    <row r="225" spans="2:15" x14ac:dyDescent="0.35">
      <c r="B225" s="177">
        <v>44284</v>
      </c>
      <c r="C225" s="176">
        <v>5</v>
      </c>
      <c r="D225" s="171" t="str">
        <f t="shared" si="9"/>
        <v>Q1</v>
      </c>
      <c r="E225" s="176">
        <v>29</v>
      </c>
      <c r="F225" s="224" t="s">
        <v>142</v>
      </c>
      <c r="G225" s="176">
        <v>2021</v>
      </c>
      <c r="H225" s="118" t="s">
        <v>24</v>
      </c>
      <c r="I225" s="172" t="s">
        <v>21</v>
      </c>
      <c r="J225" s="172" t="s">
        <v>19</v>
      </c>
      <c r="K225" s="173">
        <v>102</v>
      </c>
      <c r="L225" s="304">
        <f>UBC_MASUK[[#This Row],[Tg Bulan]]/SUM(COUNTIFS(F:F,"(03) MAR",I:I,"Jasa sampah",G:G,"2021"))</f>
        <v>530.34761900000001</v>
      </c>
      <c r="M225" s="351" t="str">
        <f t="shared" si="10"/>
        <v>3712,433333</v>
      </c>
      <c r="N225" s="304">
        <f>UBC_MASUK[[#This Row],[Tg Tahun]]/SUM(COUNTIFS(G:G,"2021",I:I,"Jasa sampah"))</f>
        <v>1856.2166666666665</v>
      </c>
      <c r="O225" s="170" t="str">
        <f t="shared" si="11"/>
        <v>44549,2</v>
      </c>
    </row>
    <row r="226" spans="2:15" x14ac:dyDescent="0.35">
      <c r="B226" s="177">
        <v>44284</v>
      </c>
      <c r="C226" s="176">
        <v>5</v>
      </c>
      <c r="D226" s="171" t="str">
        <f t="shared" si="9"/>
        <v>Q1</v>
      </c>
      <c r="E226" s="176">
        <v>29</v>
      </c>
      <c r="F226" s="224" t="s">
        <v>142</v>
      </c>
      <c r="G226" s="176">
        <v>2021</v>
      </c>
      <c r="H226" s="118" t="s">
        <v>29</v>
      </c>
      <c r="I226" s="172" t="s">
        <v>31</v>
      </c>
      <c r="J226" s="172" t="s">
        <v>8</v>
      </c>
      <c r="K226" s="173">
        <v>78</v>
      </c>
      <c r="L226" s="304">
        <f>UBC_MASUK[[#This Row],[Tg Bulan]]/SUM(COUNTIFS(F:F,"(03) MAR",I:I,"Bisnis",G:G,"2021"))</f>
        <v>46.328000000000003</v>
      </c>
      <c r="M226" s="351" t="str">
        <f t="shared" si="10"/>
        <v>1158,2</v>
      </c>
      <c r="N226" s="304">
        <f>UBC_MASUK[[#This Row],[Tg Tahun]]/SUM(COUNTIFS(G:G,"2021",I:I,"Bisnis"))</f>
        <v>111.18719999999999</v>
      </c>
      <c r="O226" s="170" t="str">
        <f t="shared" si="11"/>
        <v>13898,4</v>
      </c>
    </row>
    <row r="227" spans="2:15" x14ac:dyDescent="0.35">
      <c r="B227" s="177">
        <v>44284</v>
      </c>
      <c r="C227" s="176">
        <v>5</v>
      </c>
      <c r="D227" s="171" t="str">
        <f t="shared" si="9"/>
        <v>Q1</v>
      </c>
      <c r="E227" s="176">
        <v>29</v>
      </c>
      <c r="F227" s="224" t="s">
        <v>142</v>
      </c>
      <c r="G227" s="176">
        <v>2021</v>
      </c>
      <c r="H227" s="118" t="s">
        <v>28</v>
      </c>
      <c r="I227" s="172" t="s">
        <v>31</v>
      </c>
      <c r="J227" s="172" t="s">
        <v>8</v>
      </c>
      <c r="K227" s="173">
        <v>12</v>
      </c>
      <c r="L227" s="304">
        <f>UBC_MASUK[[#This Row],[Tg Bulan]]/SUM(COUNTIFS(F:F,"(03) MAR",I:I,"Bisnis",G:G,"2021"))</f>
        <v>46.328000000000003</v>
      </c>
      <c r="M227" s="351" t="str">
        <f t="shared" si="10"/>
        <v>1158,2</v>
      </c>
      <c r="N227" s="304">
        <f>UBC_MASUK[[#This Row],[Tg Tahun]]/SUM(COUNTIFS(G:G,"2021",I:I,"Bisnis"))</f>
        <v>111.18719999999999</v>
      </c>
      <c r="O227" s="170" t="str">
        <f t="shared" si="11"/>
        <v>13898,4</v>
      </c>
    </row>
    <row r="228" spans="2:15" x14ac:dyDescent="0.35">
      <c r="B228" s="177">
        <v>44284</v>
      </c>
      <c r="C228" s="176">
        <v>5</v>
      </c>
      <c r="D228" s="171" t="str">
        <f t="shared" si="9"/>
        <v>Q1</v>
      </c>
      <c r="E228" s="176">
        <v>29</v>
      </c>
      <c r="F228" s="224" t="s">
        <v>142</v>
      </c>
      <c r="G228" s="176">
        <v>2021</v>
      </c>
      <c r="H228" s="118" t="s">
        <v>41</v>
      </c>
      <c r="I228" s="172" t="s">
        <v>31</v>
      </c>
      <c r="J228" s="172" t="s">
        <v>8</v>
      </c>
      <c r="K228" s="173">
        <v>4.0999999999999996</v>
      </c>
      <c r="L228" s="304">
        <f>UBC_MASUK[[#This Row],[Tg Bulan]]/SUM(COUNTIFS(F:F,"(03) MAR",I:I,"Bisnis",G:G,"2021"))</f>
        <v>46.328000000000003</v>
      </c>
      <c r="M228" s="351" t="str">
        <f t="shared" si="10"/>
        <v>1158,2</v>
      </c>
      <c r="N228" s="304">
        <f>UBC_MASUK[[#This Row],[Tg Tahun]]/SUM(COUNTIFS(G:G,"2021",I:I,"Bisnis"))</f>
        <v>111.18719999999999</v>
      </c>
      <c r="O228" s="170" t="str">
        <f t="shared" si="11"/>
        <v>13898,4</v>
      </c>
    </row>
    <row r="229" spans="2:15" ht="25.5" customHeight="1" x14ac:dyDescent="0.35">
      <c r="B229" s="177">
        <v>44280</v>
      </c>
      <c r="C229" s="176">
        <v>4</v>
      </c>
      <c r="D229" s="171" t="str">
        <f t="shared" si="9"/>
        <v>Q1</v>
      </c>
      <c r="E229" s="176">
        <v>25</v>
      </c>
      <c r="F229" s="224" t="s">
        <v>142</v>
      </c>
      <c r="G229" s="176">
        <v>2021</v>
      </c>
      <c r="H229" s="118" t="s">
        <v>38</v>
      </c>
      <c r="I229" s="172" t="s">
        <v>290</v>
      </c>
      <c r="J229" s="172" t="s">
        <v>8</v>
      </c>
      <c r="K229" s="173">
        <v>2</v>
      </c>
      <c r="L229" s="304">
        <f>UBC_MASUK[[#This Row],[Tg Bulan]]/SUM(COUNTIFS(F:F,"(03) MAR",I:I,"EB Residential Service",G:G,"2021"))</f>
        <v>35.988888887500003</v>
      </c>
      <c r="M229" s="351" t="str">
        <f t="shared" si="10"/>
        <v>863,7333333</v>
      </c>
      <c r="N229" s="304">
        <f>UBC_MASUK[[#This Row],[Tg Tahun]]/SUM(COUNTIFS(G:G,"2021",I:I,"EB Residential Service"))</f>
        <v>99.661538461538456</v>
      </c>
      <c r="O229" s="170" t="str">
        <f t="shared" si="11"/>
        <v>10364,8</v>
      </c>
    </row>
    <row r="230" spans="2:15" ht="25.5" customHeight="1" x14ac:dyDescent="0.35">
      <c r="B230" s="177">
        <v>44281</v>
      </c>
      <c r="C230" s="176">
        <v>4</v>
      </c>
      <c r="D230" s="171" t="str">
        <f t="shared" si="9"/>
        <v>Q1</v>
      </c>
      <c r="E230" s="176">
        <v>26</v>
      </c>
      <c r="F230" s="224" t="s">
        <v>142</v>
      </c>
      <c r="G230" s="176">
        <v>2021</v>
      </c>
      <c r="H230" s="118" t="s">
        <v>38</v>
      </c>
      <c r="I230" s="172" t="s">
        <v>290</v>
      </c>
      <c r="J230" s="172" t="s">
        <v>8</v>
      </c>
      <c r="K230" s="173">
        <v>2</v>
      </c>
      <c r="L230" s="304">
        <f>UBC_MASUK[[#This Row],[Tg Bulan]]/SUM(COUNTIFS(F:F,"(03) MAR",I:I,"EB Residential Service",G:G,"2021"))</f>
        <v>35.988888887500003</v>
      </c>
      <c r="M230" s="351" t="str">
        <f t="shared" si="10"/>
        <v>863,7333333</v>
      </c>
      <c r="N230" s="304">
        <f>UBC_MASUK[[#This Row],[Tg Tahun]]/SUM(COUNTIFS(G:G,"2021",I:I,"EB Residential Service"))</f>
        <v>99.661538461538456</v>
      </c>
      <c r="O230" s="170" t="str">
        <f t="shared" si="11"/>
        <v>10364,8</v>
      </c>
    </row>
    <row r="231" spans="2:15" ht="25.5" customHeight="1" x14ac:dyDescent="0.35">
      <c r="B231" s="177">
        <v>44284</v>
      </c>
      <c r="C231" s="176">
        <v>5</v>
      </c>
      <c r="D231" s="171" t="str">
        <f t="shared" si="9"/>
        <v>Q1</v>
      </c>
      <c r="E231" s="176">
        <v>29</v>
      </c>
      <c r="F231" s="224" t="s">
        <v>142</v>
      </c>
      <c r="G231" s="176">
        <v>2021</v>
      </c>
      <c r="H231" s="118" t="s">
        <v>38</v>
      </c>
      <c r="I231" s="172" t="s">
        <v>290</v>
      </c>
      <c r="J231" s="172" t="s">
        <v>8</v>
      </c>
      <c r="K231" s="173">
        <v>1</v>
      </c>
      <c r="L231" s="304">
        <f>UBC_MASUK[[#This Row],[Tg Bulan]]/SUM(COUNTIFS(F:F,"(03) MAR",I:I,"EB Residential Service",G:G,"2021"))</f>
        <v>35.988888887500003</v>
      </c>
      <c r="M231" s="351" t="str">
        <f t="shared" si="10"/>
        <v>863,7333333</v>
      </c>
      <c r="N231" s="304">
        <f>UBC_MASUK[[#This Row],[Tg Tahun]]/SUM(COUNTIFS(G:G,"2021",I:I,"EB Residential Service"))</f>
        <v>99.661538461538456</v>
      </c>
      <c r="O231" s="170" t="str">
        <f t="shared" si="11"/>
        <v>10364,8</v>
      </c>
    </row>
    <row r="232" spans="2:15" ht="25.5" customHeight="1" x14ac:dyDescent="0.35">
      <c r="B232" s="177">
        <v>44284</v>
      </c>
      <c r="C232" s="176">
        <v>5</v>
      </c>
      <c r="D232" s="171" t="str">
        <f t="shared" si="9"/>
        <v>Q1</v>
      </c>
      <c r="E232" s="176">
        <v>29</v>
      </c>
      <c r="F232" s="224" t="s">
        <v>142</v>
      </c>
      <c r="G232" s="176">
        <v>2021</v>
      </c>
      <c r="H232" s="118" t="s">
        <v>359</v>
      </c>
      <c r="I232" s="172" t="s">
        <v>7</v>
      </c>
      <c r="J232" s="172" t="s">
        <v>9</v>
      </c>
      <c r="K232" s="173">
        <v>0</v>
      </c>
      <c r="L232" s="304">
        <f>UBC_MASUK[[#This Row],[Tg Bulan]]/SUM(COUNTIFS(F:F,"(03) MAR",I:I,"TPS3R",G:G,"2021"))</f>
        <v>195.7166666666665</v>
      </c>
      <c r="M232" s="351" t="str">
        <f t="shared" si="10"/>
        <v>391,433333333333</v>
      </c>
      <c r="N232" s="304">
        <f>UBC_MASUK[[#This Row],[Tg Tahun]]/SUM(COUNTIFS(G:G,"2021",I:I,"TPS3R"))</f>
        <v>418.83636363636361</v>
      </c>
      <c r="O232" s="170" t="str">
        <f t="shared" si="11"/>
        <v>4607,2</v>
      </c>
    </row>
    <row r="233" spans="2:15" ht="25.5" customHeight="1" x14ac:dyDescent="0.35">
      <c r="B233" s="177">
        <v>44284</v>
      </c>
      <c r="C233" s="176">
        <v>5</v>
      </c>
      <c r="D233" s="171" t="str">
        <f t="shared" si="9"/>
        <v>Q1</v>
      </c>
      <c r="E233" s="176">
        <v>29</v>
      </c>
      <c r="F233" s="224" t="s">
        <v>142</v>
      </c>
      <c r="G233" s="176">
        <v>2021</v>
      </c>
      <c r="H233" s="118" t="s">
        <v>42</v>
      </c>
      <c r="I233" s="172" t="s">
        <v>31</v>
      </c>
      <c r="J233" s="172" t="s">
        <v>43</v>
      </c>
      <c r="K233" s="173">
        <v>0</v>
      </c>
      <c r="L233" s="304">
        <f>UBC_MASUK[[#This Row],[Tg Bulan]]/SUM(COUNTIFS(F:F,"(03) MAR",I:I,"Bisnis",G:G,"2021"))</f>
        <v>46.328000000000003</v>
      </c>
      <c r="M233" s="351" t="str">
        <f t="shared" si="10"/>
        <v>1158,2</v>
      </c>
      <c r="N233" s="304">
        <f>UBC_MASUK[[#This Row],[Tg Tahun]]/SUM(COUNTIFS(G:G,"2021",I:I,"Bisnis"))</f>
        <v>111.18719999999999</v>
      </c>
      <c r="O233" s="170" t="str">
        <f t="shared" si="11"/>
        <v>13898,4</v>
      </c>
    </row>
    <row r="234" spans="2:15" x14ac:dyDescent="0.35">
      <c r="B234" s="177">
        <v>44287</v>
      </c>
      <c r="C234" s="353">
        <v>1</v>
      </c>
      <c r="D234" s="171" t="str">
        <f t="shared" si="9"/>
        <v>Q2</v>
      </c>
      <c r="E234" s="353">
        <v>1</v>
      </c>
      <c r="F234" s="224" t="s">
        <v>180</v>
      </c>
      <c r="G234" s="170">
        <v>2021</v>
      </c>
      <c r="H234" s="352" t="s">
        <v>25</v>
      </c>
      <c r="I234" s="170" t="s">
        <v>18</v>
      </c>
      <c r="J234" s="170" t="s">
        <v>8</v>
      </c>
      <c r="K234" s="355">
        <v>326</v>
      </c>
      <c r="L234" s="304">
        <f>UBC_MASUK[[#This Row],[Tg Bulan]]/SUM(COUNTIFS(F:F,"(04) APR",I:I,"Pengepul",G:G,"2021"))</f>
        <v>1198.1208329999999</v>
      </c>
      <c r="M234" s="351" t="str">
        <f t="shared" si="10"/>
        <v>11981,20833</v>
      </c>
      <c r="N234" s="304">
        <f>UBC_MASUK[[#This Row],[Tg Tahun]]/SUM(COUNTIFS(G:G,"2021",I:I,"Pengepul"))</f>
        <v>4228.661764705882</v>
      </c>
      <c r="O234" s="170" t="str">
        <f t="shared" si="11"/>
        <v>143774,5</v>
      </c>
    </row>
    <row r="235" spans="2:15" x14ac:dyDescent="0.35">
      <c r="B235" s="177">
        <v>44287</v>
      </c>
      <c r="C235" s="353">
        <v>1</v>
      </c>
      <c r="D235" s="171" t="str">
        <f t="shared" si="9"/>
        <v>Q2</v>
      </c>
      <c r="E235" s="353">
        <v>1</v>
      </c>
      <c r="F235" s="224" t="s">
        <v>180</v>
      </c>
      <c r="G235" s="176">
        <v>2021</v>
      </c>
      <c r="H235" s="352" t="s">
        <v>137</v>
      </c>
      <c r="I235" s="170" t="s">
        <v>13</v>
      </c>
      <c r="J235" s="170" t="s">
        <v>8</v>
      </c>
      <c r="K235" s="355">
        <v>93</v>
      </c>
      <c r="L235" s="304">
        <f>UBC_MASUK[[#This Row],[Tg Bulan]]/SUM(COUNTIFS(F:F,"(04) APR",I:I,"TPST3R",G:G,"2021"))</f>
        <v>407.4083333333333</v>
      </c>
      <c r="M235" s="351" t="str">
        <f t="shared" si="10"/>
        <v>1222,225</v>
      </c>
      <c r="N235" s="304">
        <f>UBC_MASUK[[#This Row],[Tg Tahun]]/SUM(COUNTIFS(G:G,"2021",I:I,"TPST3R"))</f>
        <v>1333.3363636363638</v>
      </c>
      <c r="O235" s="170" t="str">
        <f t="shared" si="11"/>
        <v>14666,7</v>
      </c>
    </row>
    <row r="236" spans="2:15" x14ac:dyDescent="0.35">
      <c r="B236" s="177">
        <v>44287</v>
      </c>
      <c r="C236" s="353">
        <v>1</v>
      </c>
      <c r="D236" s="171" t="str">
        <f t="shared" si="9"/>
        <v>Q2</v>
      </c>
      <c r="E236" s="353">
        <v>1</v>
      </c>
      <c r="F236" s="224" t="s">
        <v>180</v>
      </c>
      <c r="G236" s="170">
        <v>2021</v>
      </c>
      <c r="H236" s="352" t="s">
        <v>181</v>
      </c>
      <c r="I236" s="170" t="s">
        <v>160</v>
      </c>
      <c r="J236" s="170" t="s">
        <v>19</v>
      </c>
      <c r="K236" s="355">
        <v>160</v>
      </c>
      <c r="L236" s="304">
        <f>UBC_MASUK[[#This Row],[Tg Bulan]]/SUM(COUNTIFS(F:F,"(04) APR",I:I,"Bank Sampah Induk",G:G,"2021"))</f>
        <v>93.158333333333346</v>
      </c>
      <c r="M236" s="351" t="str">
        <f t="shared" si="10"/>
        <v>279,475</v>
      </c>
      <c r="N236" s="304">
        <f>UBC_MASUK[[#This Row],[Tg Tahun]]/SUM(COUNTIFS(G:G,"2021",I:I,"Bank Sampah Induk"))</f>
        <v>419.21249999999998</v>
      </c>
      <c r="O236" s="170" t="str">
        <f t="shared" si="11"/>
        <v>3353,7</v>
      </c>
    </row>
    <row r="237" spans="2:15" x14ac:dyDescent="0.35">
      <c r="B237" s="177">
        <v>44287</v>
      </c>
      <c r="C237" s="353">
        <v>1</v>
      </c>
      <c r="D237" s="171" t="str">
        <f t="shared" si="9"/>
        <v>Q2</v>
      </c>
      <c r="E237" s="353">
        <v>1</v>
      </c>
      <c r="F237" s="224" t="s">
        <v>180</v>
      </c>
      <c r="G237" s="170">
        <v>2021</v>
      </c>
      <c r="H237" s="352" t="s">
        <v>23</v>
      </c>
      <c r="I237" s="170" t="s">
        <v>18</v>
      </c>
      <c r="J237" s="170" t="s">
        <v>19</v>
      </c>
      <c r="K237" s="355">
        <v>514</v>
      </c>
      <c r="L237" s="304">
        <f>UBC_MASUK[[#This Row],[Tg Bulan]]/SUM(COUNTIFS(F:F,"(04) APR",I:I,"Pengepul",G:G,"2021"))</f>
        <v>1198.1208329999999</v>
      </c>
      <c r="M237" s="351" t="str">
        <f t="shared" si="10"/>
        <v>11981,20833</v>
      </c>
      <c r="N237" s="304">
        <f>UBC_MASUK[[#This Row],[Tg Tahun]]/SUM(COUNTIFS(G:G,"2021",I:I,"Pengepul"))</f>
        <v>4228.661764705882</v>
      </c>
      <c r="O237" s="170" t="str">
        <f t="shared" si="11"/>
        <v>143774,5</v>
      </c>
    </row>
    <row r="238" spans="2:15" x14ac:dyDescent="0.35">
      <c r="B238" s="177">
        <v>44289</v>
      </c>
      <c r="C238" s="176">
        <v>1</v>
      </c>
      <c r="D238" s="171" t="str">
        <f t="shared" si="9"/>
        <v>Q2</v>
      </c>
      <c r="E238" s="176">
        <v>3</v>
      </c>
      <c r="F238" s="224" t="s">
        <v>180</v>
      </c>
      <c r="G238" s="176">
        <v>2021</v>
      </c>
      <c r="H238" s="118" t="s">
        <v>28</v>
      </c>
      <c r="I238" s="172" t="s">
        <v>31</v>
      </c>
      <c r="J238" s="172" t="s">
        <v>19</v>
      </c>
      <c r="K238" s="173">
        <v>54</v>
      </c>
      <c r="L238" s="304">
        <f>UBC_MASUK[[#This Row],[Tg Bulan]]/SUM(COUNTIFS(F:F,"(04) APR",I:I,"Bisnis",G:G,"2021"))</f>
        <v>42.896296296296299</v>
      </c>
      <c r="M238" s="351" t="str">
        <f t="shared" si="10"/>
        <v>1158,2</v>
      </c>
      <c r="N238" s="304">
        <f>UBC_MASUK[[#This Row],[Tg Tahun]]/SUM(COUNTIFS(G:G,"2021",I:I,"Bisnis"))</f>
        <v>111.18719999999999</v>
      </c>
      <c r="O238" s="170" t="str">
        <f t="shared" si="11"/>
        <v>13898,4</v>
      </c>
    </row>
    <row r="239" spans="2:15" x14ac:dyDescent="0.35">
      <c r="B239" s="177">
        <v>44291</v>
      </c>
      <c r="C239" s="176">
        <v>1</v>
      </c>
      <c r="D239" s="171" t="str">
        <f t="shared" si="9"/>
        <v>Q2</v>
      </c>
      <c r="E239" s="176">
        <v>5</v>
      </c>
      <c r="F239" s="224" t="s">
        <v>180</v>
      </c>
      <c r="G239" s="176">
        <v>2021</v>
      </c>
      <c r="H239" s="118" t="s">
        <v>28</v>
      </c>
      <c r="I239" s="172" t="s">
        <v>31</v>
      </c>
      <c r="J239" s="172" t="s">
        <v>19</v>
      </c>
      <c r="K239" s="173">
        <v>15</v>
      </c>
      <c r="L239" s="304">
        <f>UBC_MASUK[[#This Row],[Tg Bulan]]/SUM(COUNTIFS(F:F,"(04) APR",I:I,"Bisnis",G:G,"2021"))</f>
        <v>42.896296296296299</v>
      </c>
      <c r="M239" s="351" t="str">
        <f t="shared" si="10"/>
        <v>1158,2</v>
      </c>
      <c r="N239" s="304">
        <f>UBC_MASUK[[#This Row],[Tg Tahun]]/SUM(COUNTIFS(G:G,"2021",I:I,"Bisnis"))</f>
        <v>111.18719999999999</v>
      </c>
      <c r="O239" s="170" t="str">
        <f t="shared" si="11"/>
        <v>13898,4</v>
      </c>
    </row>
    <row r="240" spans="2:15" x14ac:dyDescent="0.35">
      <c r="B240" s="177">
        <v>44291</v>
      </c>
      <c r="C240" s="176">
        <v>1</v>
      </c>
      <c r="D240" s="171" t="str">
        <f t="shared" si="9"/>
        <v>Q2</v>
      </c>
      <c r="E240" s="176">
        <v>5</v>
      </c>
      <c r="F240" s="224" t="s">
        <v>180</v>
      </c>
      <c r="G240" s="176">
        <v>2021</v>
      </c>
      <c r="H240" s="118" t="s">
        <v>29</v>
      </c>
      <c r="I240" s="172" t="s">
        <v>31</v>
      </c>
      <c r="J240" s="172" t="s">
        <v>8</v>
      </c>
      <c r="K240" s="173">
        <v>58</v>
      </c>
      <c r="L240" s="304">
        <f>UBC_MASUK[[#This Row],[Tg Bulan]]/SUM(COUNTIFS(F:F,"(04) APR",I:I,"Bisnis",G:G,"2021"))</f>
        <v>42.896296296296299</v>
      </c>
      <c r="M240" s="351" t="str">
        <f t="shared" si="10"/>
        <v>1158,2</v>
      </c>
      <c r="N240" s="304">
        <f>UBC_MASUK[[#This Row],[Tg Tahun]]/SUM(COUNTIFS(G:G,"2021",I:I,"Bisnis"))</f>
        <v>111.18719999999999</v>
      </c>
      <c r="O240" s="170" t="str">
        <f t="shared" si="11"/>
        <v>13898,4</v>
      </c>
    </row>
    <row r="241" spans="2:15" x14ac:dyDescent="0.35">
      <c r="B241" s="177">
        <v>44291</v>
      </c>
      <c r="C241" s="176">
        <v>1</v>
      </c>
      <c r="D241" s="171" t="str">
        <f t="shared" si="9"/>
        <v>Q2</v>
      </c>
      <c r="E241" s="176">
        <v>5</v>
      </c>
      <c r="F241" s="224" t="s">
        <v>180</v>
      </c>
      <c r="G241" s="176">
        <v>2021</v>
      </c>
      <c r="H241" s="118" t="s">
        <v>27</v>
      </c>
      <c r="I241" s="172" t="s">
        <v>31</v>
      </c>
      <c r="J241" s="172" t="s">
        <v>8</v>
      </c>
      <c r="K241" s="173">
        <v>2.2000000000000002</v>
      </c>
      <c r="L241" s="304">
        <f>UBC_MASUK[[#This Row],[Tg Bulan]]/SUM(COUNTIFS(F:F,"(04) APR",I:I,"Bisnis",G:G,"2021"))</f>
        <v>42.896296296296299</v>
      </c>
      <c r="M241" s="351" t="str">
        <f t="shared" si="10"/>
        <v>1158,2</v>
      </c>
      <c r="N241" s="304">
        <f>UBC_MASUK[[#This Row],[Tg Tahun]]/SUM(COUNTIFS(G:G,"2021",I:I,"Bisnis"))</f>
        <v>111.18719999999999</v>
      </c>
      <c r="O241" s="170" t="str">
        <f t="shared" si="11"/>
        <v>13898,4</v>
      </c>
    </row>
    <row r="242" spans="2:15" x14ac:dyDescent="0.35">
      <c r="B242" s="177">
        <v>44291</v>
      </c>
      <c r="C242" s="176">
        <v>1</v>
      </c>
      <c r="D242" s="171" t="str">
        <f t="shared" si="9"/>
        <v>Q2</v>
      </c>
      <c r="E242" s="176">
        <v>5</v>
      </c>
      <c r="F242" s="224" t="s">
        <v>180</v>
      </c>
      <c r="G242" s="176">
        <v>2021</v>
      </c>
      <c r="H242" s="118" t="s">
        <v>41</v>
      </c>
      <c r="I242" s="172" t="s">
        <v>31</v>
      </c>
      <c r="J242" s="172" t="s">
        <v>8</v>
      </c>
      <c r="K242" s="173">
        <v>0.9</v>
      </c>
      <c r="L242" s="304">
        <f>UBC_MASUK[[#This Row],[Tg Bulan]]/SUM(COUNTIFS(F:F,"(04) APR",I:I,"Bisnis",G:G,"2021"))</f>
        <v>42.896296296296299</v>
      </c>
      <c r="M242" s="351" t="str">
        <f t="shared" si="10"/>
        <v>1158,2</v>
      </c>
      <c r="N242" s="304">
        <f>UBC_MASUK[[#This Row],[Tg Tahun]]/SUM(COUNTIFS(G:G,"2021",I:I,"Bisnis"))</f>
        <v>111.18719999999999</v>
      </c>
      <c r="O242" s="170" t="str">
        <f t="shared" si="11"/>
        <v>13898,4</v>
      </c>
    </row>
    <row r="243" spans="2:15" x14ac:dyDescent="0.35">
      <c r="B243" s="177">
        <v>44293</v>
      </c>
      <c r="C243" s="176">
        <v>1</v>
      </c>
      <c r="D243" s="171" t="str">
        <f t="shared" si="9"/>
        <v>Q2</v>
      </c>
      <c r="E243" s="176">
        <v>7</v>
      </c>
      <c r="F243" s="224" t="s">
        <v>180</v>
      </c>
      <c r="G243" s="176">
        <v>2021</v>
      </c>
      <c r="H243" s="118" t="s">
        <v>289</v>
      </c>
      <c r="I243" s="172" t="s">
        <v>31</v>
      </c>
      <c r="J243" s="172" t="s">
        <v>8</v>
      </c>
      <c r="K243" s="173">
        <v>4</v>
      </c>
      <c r="L243" s="304">
        <f>UBC_MASUK[[#This Row],[Tg Bulan]]/SUM(COUNTIFS(F:F,"(04) APR",I:I,"Bisnis",G:G,"2021"))</f>
        <v>42.896296296296299</v>
      </c>
      <c r="M243" s="351" t="str">
        <f t="shared" si="10"/>
        <v>1158,2</v>
      </c>
      <c r="N243" s="304">
        <f>UBC_MASUK[[#This Row],[Tg Tahun]]/SUM(COUNTIFS(G:G,"2021",I:I,"Bisnis"))</f>
        <v>111.18719999999999</v>
      </c>
      <c r="O243" s="170" t="str">
        <f t="shared" si="11"/>
        <v>13898,4</v>
      </c>
    </row>
    <row r="244" spans="2:15" x14ac:dyDescent="0.35">
      <c r="B244" s="177">
        <v>44289</v>
      </c>
      <c r="C244" s="176">
        <v>1</v>
      </c>
      <c r="D244" s="171" t="str">
        <f t="shared" si="9"/>
        <v>Q2</v>
      </c>
      <c r="E244" s="176">
        <v>3</v>
      </c>
      <c r="F244" s="224" t="s">
        <v>180</v>
      </c>
      <c r="G244" s="176">
        <v>2021</v>
      </c>
      <c r="H244" s="118" t="s">
        <v>35</v>
      </c>
      <c r="I244" s="172" t="s">
        <v>36</v>
      </c>
      <c r="J244" s="172" t="s">
        <v>8</v>
      </c>
      <c r="K244" s="173">
        <v>7</v>
      </c>
      <c r="L244" s="304">
        <f>UBC_MASUK[[#This Row],[Tg Bulan]]/SUM(COUNTIFS(F:F,"(04) APR",I:I,"Sekolah",G:G,"2021"))</f>
        <v>12.955000000000002</v>
      </c>
      <c r="M244" s="351" t="str">
        <f t="shared" si="10"/>
        <v>64,775</v>
      </c>
      <c r="N244" s="304">
        <f>UBC_MASUK[[#This Row],[Tg Tahun]]/SUM(COUNTIFS(G:G,"2021",I:I,"Sekolah"))</f>
        <v>38.864999999999995</v>
      </c>
      <c r="O244" s="170" t="str">
        <f t="shared" si="11"/>
        <v>777,3</v>
      </c>
    </row>
    <row r="245" spans="2:15" ht="23.25" customHeight="1" x14ac:dyDescent="0.35">
      <c r="B245" s="177">
        <v>44287</v>
      </c>
      <c r="C245" s="176">
        <v>1</v>
      </c>
      <c r="D245" s="171" t="str">
        <f t="shared" si="9"/>
        <v>Q2</v>
      </c>
      <c r="E245" s="176">
        <v>1</v>
      </c>
      <c r="F245" s="224" t="s">
        <v>180</v>
      </c>
      <c r="G245" s="176">
        <v>2021</v>
      </c>
      <c r="H245" s="118" t="s">
        <v>38</v>
      </c>
      <c r="I245" s="172" t="s">
        <v>290</v>
      </c>
      <c r="J245" s="172" t="s">
        <v>8</v>
      </c>
      <c r="K245" s="173">
        <v>16</v>
      </c>
      <c r="L245" s="304">
        <f>UBC_MASUK[[#This Row],[Tg Bulan]]/SUM(COUNTIFS(F:F,"(04) APR",I:I,"EB Residential Service",G:G,"2021"))</f>
        <v>39.260606059090911</v>
      </c>
      <c r="M245" s="351" t="str">
        <f t="shared" si="10"/>
        <v>863,7333333</v>
      </c>
      <c r="N245" s="304">
        <f>UBC_MASUK[[#This Row],[Tg Tahun]]/SUM(COUNTIFS(G:G,"2021",I:I,"EB Residential Service"))</f>
        <v>99.661538461538456</v>
      </c>
      <c r="O245" s="170" t="str">
        <f t="shared" si="11"/>
        <v>10364,8</v>
      </c>
    </row>
    <row r="246" spans="2:15" ht="23.25" customHeight="1" x14ac:dyDescent="0.35">
      <c r="B246" s="177">
        <v>44289</v>
      </c>
      <c r="C246" s="176">
        <v>1</v>
      </c>
      <c r="D246" s="171" t="str">
        <f t="shared" si="9"/>
        <v>Q2</v>
      </c>
      <c r="E246" s="176">
        <v>3</v>
      </c>
      <c r="F246" s="224" t="s">
        <v>180</v>
      </c>
      <c r="G246" s="176">
        <v>2021</v>
      </c>
      <c r="H246" s="118" t="s">
        <v>38</v>
      </c>
      <c r="I246" s="172" t="s">
        <v>290</v>
      </c>
      <c r="J246" s="172" t="s">
        <v>8</v>
      </c>
      <c r="K246" s="173">
        <v>21</v>
      </c>
      <c r="L246" s="304">
        <f>UBC_MASUK[[#This Row],[Tg Bulan]]/SUM(COUNTIFS(F:F,"(04) APR",I:I,"EB Residential Service",G:G,"2021"))</f>
        <v>39.260606059090911</v>
      </c>
      <c r="M246" s="351" t="str">
        <f t="shared" si="10"/>
        <v>863,7333333</v>
      </c>
      <c r="N246" s="304">
        <f>UBC_MASUK[[#This Row],[Tg Tahun]]/SUM(COUNTIFS(G:G,"2021",I:I,"EB Residential Service"))</f>
        <v>99.661538461538456</v>
      </c>
      <c r="O246" s="170" t="str">
        <f t="shared" si="11"/>
        <v>10364,8</v>
      </c>
    </row>
    <row r="247" spans="2:15" ht="23.25" customHeight="1" x14ac:dyDescent="0.35">
      <c r="B247" s="177">
        <v>44291</v>
      </c>
      <c r="C247" s="176">
        <v>1</v>
      </c>
      <c r="D247" s="171" t="str">
        <f t="shared" si="9"/>
        <v>Q2</v>
      </c>
      <c r="E247" s="176">
        <v>5</v>
      </c>
      <c r="F247" s="224" t="s">
        <v>180</v>
      </c>
      <c r="G247" s="176">
        <v>2021</v>
      </c>
      <c r="H247" s="118" t="s">
        <v>38</v>
      </c>
      <c r="I247" s="172" t="s">
        <v>290</v>
      </c>
      <c r="J247" s="172" t="s">
        <v>8</v>
      </c>
      <c r="K247" s="173">
        <v>17</v>
      </c>
      <c r="L247" s="304">
        <f>UBC_MASUK[[#This Row],[Tg Bulan]]/SUM(COUNTIFS(F:F,"(04) APR",I:I,"EB Residential Service",G:G,"2021"))</f>
        <v>39.260606059090911</v>
      </c>
      <c r="M247" s="351" t="str">
        <f t="shared" si="10"/>
        <v>863,7333333</v>
      </c>
      <c r="N247" s="304">
        <f>UBC_MASUK[[#This Row],[Tg Tahun]]/SUM(COUNTIFS(G:G,"2021",I:I,"EB Residential Service"))</f>
        <v>99.661538461538456</v>
      </c>
      <c r="O247" s="170" t="str">
        <f t="shared" si="11"/>
        <v>10364,8</v>
      </c>
    </row>
    <row r="248" spans="2:15" ht="23.25" customHeight="1" x14ac:dyDescent="0.35">
      <c r="B248" s="177">
        <v>44292</v>
      </c>
      <c r="C248" s="176">
        <v>1</v>
      </c>
      <c r="D248" s="171" t="str">
        <f t="shared" si="9"/>
        <v>Q2</v>
      </c>
      <c r="E248" s="176">
        <v>6</v>
      </c>
      <c r="F248" s="224" t="s">
        <v>180</v>
      </c>
      <c r="G248" s="176">
        <v>2021</v>
      </c>
      <c r="H248" s="118" t="s">
        <v>38</v>
      </c>
      <c r="I248" s="172" t="s">
        <v>290</v>
      </c>
      <c r="J248" s="172" t="s">
        <v>8</v>
      </c>
      <c r="K248" s="173">
        <v>14</v>
      </c>
      <c r="L248" s="304">
        <f>UBC_MASUK[[#This Row],[Tg Bulan]]/SUM(COUNTIFS(F:F,"(04) APR",I:I,"EB Residential Service",G:G,"2021"))</f>
        <v>39.260606059090911</v>
      </c>
      <c r="M248" s="351" t="str">
        <f t="shared" si="10"/>
        <v>863,7333333</v>
      </c>
      <c r="N248" s="304">
        <f>UBC_MASUK[[#This Row],[Tg Tahun]]/SUM(COUNTIFS(G:G,"2021",I:I,"EB Residential Service"))</f>
        <v>99.661538461538456</v>
      </c>
      <c r="O248" s="170" t="str">
        <f t="shared" si="11"/>
        <v>10364,8</v>
      </c>
    </row>
    <row r="249" spans="2:15" x14ac:dyDescent="0.35">
      <c r="B249" s="177">
        <v>44289</v>
      </c>
      <c r="C249" s="176">
        <v>1</v>
      </c>
      <c r="D249" s="171" t="str">
        <f t="shared" si="9"/>
        <v>Q2</v>
      </c>
      <c r="E249" s="176">
        <v>3</v>
      </c>
      <c r="F249" s="224" t="s">
        <v>180</v>
      </c>
      <c r="G249" s="176">
        <v>2021</v>
      </c>
      <c r="H249" s="352" t="s">
        <v>22</v>
      </c>
      <c r="I249" s="170" t="s">
        <v>18</v>
      </c>
      <c r="J249" s="170" t="s">
        <v>19</v>
      </c>
      <c r="K249" s="355">
        <v>1274</v>
      </c>
      <c r="L249" s="304">
        <f>UBC_MASUK[[#This Row],[Tg Bulan]]/SUM(COUNTIFS(F:F,"(04) APR",I:I,"Pengepul",G:G,"2021"))</f>
        <v>1198.1208329999999</v>
      </c>
      <c r="M249" s="351" t="str">
        <f t="shared" si="10"/>
        <v>11981,20833</v>
      </c>
      <c r="N249" s="304">
        <f>UBC_MASUK[[#This Row],[Tg Tahun]]/SUM(COUNTIFS(G:G,"2021",I:I,"Pengepul"))</f>
        <v>4228.661764705882</v>
      </c>
      <c r="O249" s="170" t="str">
        <f t="shared" si="11"/>
        <v>143774,5</v>
      </c>
    </row>
    <row r="250" spans="2:15" x14ac:dyDescent="0.35">
      <c r="B250" s="177">
        <v>44296</v>
      </c>
      <c r="C250" s="176">
        <v>2</v>
      </c>
      <c r="D250" s="171" t="str">
        <f t="shared" si="9"/>
        <v>Q2</v>
      </c>
      <c r="E250" s="176">
        <v>10</v>
      </c>
      <c r="F250" s="224" t="s">
        <v>180</v>
      </c>
      <c r="G250" s="176">
        <v>2021</v>
      </c>
      <c r="H250" s="118" t="s">
        <v>22</v>
      </c>
      <c r="I250" s="172" t="s">
        <v>18</v>
      </c>
      <c r="J250" s="172" t="s">
        <v>19</v>
      </c>
      <c r="K250" s="173">
        <v>1343</v>
      </c>
      <c r="L250" s="304">
        <f>UBC_MASUK[[#This Row],[Tg Bulan]]/SUM(COUNTIFS(F:F,"(04) APR",I:I,"Pengepul",G:G,"2021"))</f>
        <v>1198.1208329999999</v>
      </c>
      <c r="M250" s="351" t="str">
        <f t="shared" si="10"/>
        <v>11981,20833</v>
      </c>
      <c r="N250" s="304">
        <f>UBC_MASUK[[#This Row],[Tg Tahun]]/SUM(COUNTIFS(G:G,"2021",I:I,"Pengepul"))</f>
        <v>4228.661764705882</v>
      </c>
      <c r="O250" s="170" t="str">
        <f t="shared" si="11"/>
        <v>143774,5</v>
      </c>
    </row>
    <row r="251" spans="2:15" x14ac:dyDescent="0.35">
      <c r="B251" s="177">
        <v>44303</v>
      </c>
      <c r="C251" s="176">
        <v>3</v>
      </c>
      <c r="D251" s="171" t="str">
        <f t="shared" si="9"/>
        <v>Q2</v>
      </c>
      <c r="E251" s="176">
        <v>17</v>
      </c>
      <c r="F251" s="224" t="s">
        <v>180</v>
      </c>
      <c r="G251" s="176">
        <v>2021</v>
      </c>
      <c r="H251" s="118" t="s">
        <v>24</v>
      </c>
      <c r="I251" s="172" t="s">
        <v>21</v>
      </c>
      <c r="J251" s="172" t="s">
        <v>19</v>
      </c>
      <c r="K251" s="173">
        <v>547</v>
      </c>
      <c r="L251" s="304">
        <f>UBC_MASUK[[#This Row],[Tg Bulan]]/SUM(COUNTIFS(F:F,"(04) APR",I:I,"Jasa sampah",G:G,"2021"))</f>
        <v>742.48666660000004</v>
      </c>
      <c r="M251" s="351" t="str">
        <f t="shared" si="10"/>
        <v>3712,433333</v>
      </c>
      <c r="N251" s="304">
        <f>UBC_MASUK[[#This Row],[Tg Tahun]]/SUM(COUNTIFS(G:G,"2021",I:I,"Jasa sampah"))</f>
        <v>1856.2166666666665</v>
      </c>
      <c r="O251" s="170" t="str">
        <f t="shared" si="11"/>
        <v>44549,2</v>
      </c>
    </row>
    <row r="252" spans="2:15" x14ac:dyDescent="0.35">
      <c r="B252" s="177">
        <v>44303</v>
      </c>
      <c r="C252" s="176">
        <v>3</v>
      </c>
      <c r="D252" s="171" t="str">
        <f t="shared" si="9"/>
        <v>Q2</v>
      </c>
      <c r="E252" s="176">
        <v>17</v>
      </c>
      <c r="F252" s="224" t="s">
        <v>180</v>
      </c>
      <c r="G252" s="176">
        <v>2021</v>
      </c>
      <c r="H252" s="118" t="s">
        <v>20</v>
      </c>
      <c r="I252" s="172" t="s">
        <v>21</v>
      </c>
      <c r="J252" s="172" t="s">
        <v>19</v>
      </c>
      <c r="K252" s="173">
        <v>40</v>
      </c>
      <c r="L252" s="304">
        <f>UBC_MASUK[[#This Row],[Tg Bulan]]/SUM(COUNTIFS(F:F,"(04) APR",I:I,"Jasa sampah",G:G,"2021"))</f>
        <v>742.48666660000004</v>
      </c>
      <c r="M252" s="351" t="str">
        <f t="shared" si="10"/>
        <v>3712,433333</v>
      </c>
      <c r="N252" s="304">
        <f>UBC_MASUK[[#This Row],[Tg Tahun]]/SUM(COUNTIFS(G:G,"2021",I:I,"Jasa sampah"))</f>
        <v>1856.2166666666665</v>
      </c>
      <c r="O252" s="170" t="str">
        <f t="shared" si="11"/>
        <v>44549,2</v>
      </c>
    </row>
    <row r="253" spans="2:15" x14ac:dyDescent="0.35">
      <c r="B253" s="177">
        <v>44298</v>
      </c>
      <c r="C253" s="176">
        <v>2</v>
      </c>
      <c r="D253" s="171" t="str">
        <f t="shared" si="9"/>
        <v>Q2</v>
      </c>
      <c r="E253" s="176">
        <v>12</v>
      </c>
      <c r="F253" s="224" t="s">
        <v>180</v>
      </c>
      <c r="G253" s="176">
        <v>2021</v>
      </c>
      <c r="H253" s="118" t="s">
        <v>121</v>
      </c>
      <c r="I253" s="172" t="s">
        <v>31</v>
      </c>
      <c r="J253" s="172" t="s">
        <v>8</v>
      </c>
      <c r="K253" s="173">
        <v>12.3</v>
      </c>
      <c r="L253" s="304">
        <f>UBC_MASUK[[#This Row],[Tg Bulan]]/SUM(COUNTIFS(F:F,"(04) APR",I:I,"Bisnis",G:G,"2021"))</f>
        <v>42.896296296296299</v>
      </c>
      <c r="M253" s="351" t="str">
        <f t="shared" si="10"/>
        <v>1158,2</v>
      </c>
      <c r="N253" s="304">
        <f>UBC_MASUK[[#This Row],[Tg Tahun]]/SUM(COUNTIFS(G:G,"2021",I:I,"Bisnis"))</f>
        <v>111.18719999999999</v>
      </c>
      <c r="O253" s="170" t="str">
        <f t="shared" si="11"/>
        <v>13898,4</v>
      </c>
    </row>
    <row r="254" spans="2:15" x14ac:dyDescent="0.35">
      <c r="B254" s="177">
        <v>44295</v>
      </c>
      <c r="C254" s="176">
        <v>2</v>
      </c>
      <c r="D254" s="171" t="str">
        <f t="shared" si="9"/>
        <v>Q2</v>
      </c>
      <c r="E254" s="176">
        <v>9</v>
      </c>
      <c r="F254" s="224" t="s">
        <v>180</v>
      </c>
      <c r="G254" s="176">
        <v>2021</v>
      </c>
      <c r="H254" s="118" t="s">
        <v>28</v>
      </c>
      <c r="I254" s="172" t="s">
        <v>31</v>
      </c>
      <c r="J254" s="172" t="s">
        <v>19</v>
      </c>
      <c r="K254" s="173">
        <v>52</v>
      </c>
      <c r="L254" s="304">
        <f>UBC_MASUK[[#This Row],[Tg Bulan]]/SUM(COUNTIFS(F:F,"(04) APR",I:I,"Bisnis",G:G,"2021"))</f>
        <v>42.896296296296299</v>
      </c>
      <c r="M254" s="351" t="str">
        <f t="shared" si="10"/>
        <v>1158,2</v>
      </c>
      <c r="N254" s="304">
        <f>UBC_MASUK[[#This Row],[Tg Tahun]]/SUM(COUNTIFS(G:G,"2021",I:I,"Bisnis"))</f>
        <v>111.18719999999999</v>
      </c>
      <c r="O254" s="170" t="str">
        <f t="shared" si="11"/>
        <v>13898,4</v>
      </c>
    </row>
    <row r="255" spans="2:15" x14ac:dyDescent="0.35">
      <c r="B255" s="177">
        <v>44295</v>
      </c>
      <c r="C255" s="176">
        <v>2</v>
      </c>
      <c r="D255" s="171" t="str">
        <f t="shared" si="9"/>
        <v>Q2</v>
      </c>
      <c r="E255" s="176">
        <v>9</v>
      </c>
      <c r="F255" s="224" t="s">
        <v>180</v>
      </c>
      <c r="G255" s="176">
        <v>2021</v>
      </c>
      <c r="H255" s="118" t="s">
        <v>309</v>
      </c>
      <c r="I255" s="172" t="s">
        <v>31</v>
      </c>
      <c r="J255" s="172" t="s">
        <v>8</v>
      </c>
      <c r="K255" s="173">
        <v>3</v>
      </c>
      <c r="L255" s="304">
        <f>UBC_MASUK[[#This Row],[Tg Bulan]]/SUM(COUNTIFS(F:F,"(04) APR",I:I,"Bisnis",G:G,"2021"))</f>
        <v>42.896296296296299</v>
      </c>
      <c r="M255" s="351" t="str">
        <f t="shared" si="10"/>
        <v>1158,2</v>
      </c>
      <c r="N255" s="304">
        <f>UBC_MASUK[[#This Row],[Tg Tahun]]/SUM(COUNTIFS(G:G,"2021",I:I,"Bisnis"))</f>
        <v>111.18719999999999</v>
      </c>
      <c r="O255" s="170" t="str">
        <f t="shared" si="11"/>
        <v>13898,4</v>
      </c>
    </row>
    <row r="256" spans="2:15" x14ac:dyDescent="0.35">
      <c r="B256" s="177">
        <v>44299</v>
      </c>
      <c r="C256" s="176">
        <v>2</v>
      </c>
      <c r="D256" s="171" t="str">
        <f t="shared" si="9"/>
        <v>Q2</v>
      </c>
      <c r="E256" s="176">
        <v>13</v>
      </c>
      <c r="F256" s="224" t="s">
        <v>180</v>
      </c>
      <c r="G256" s="176">
        <v>2021</v>
      </c>
      <c r="H256" s="118" t="s">
        <v>41</v>
      </c>
      <c r="I256" s="172" t="s">
        <v>31</v>
      </c>
      <c r="J256" s="172" t="s">
        <v>8</v>
      </c>
      <c r="K256" s="173">
        <v>2.5</v>
      </c>
      <c r="L256" s="304">
        <f>UBC_MASUK[[#This Row],[Tg Bulan]]/SUM(COUNTIFS(F:F,"(04) APR",I:I,"Bisnis",G:G,"2021"))</f>
        <v>42.896296296296299</v>
      </c>
      <c r="M256" s="351" t="str">
        <f t="shared" si="10"/>
        <v>1158,2</v>
      </c>
      <c r="N256" s="304">
        <f>UBC_MASUK[[#This Row],[Tg Tahun]]/SUM(COUNTIFS(G:G,"2021",I:I,"Bisnis"))</f>
        <v>111.18719999999999</v>
      </c>
      <c r="O256" s="170" t="str">
        <f t="shared" si="11"/>
        <v>13898,4</v>
      </c>
    </row>
    <row r="257" spans="2:15" x14ac:dyDescent="0.35">
      <c r="B257" s="177">
        <v>44302</v>
      </c>
      <c r="C257" s="176">
        <v>3</v>
      </c>
      <c r="D257" s="171" t="str">
        <f t="shared" si="9"/>
        <v>Q2</v>
      </c>
      <c r="E257" s="176">
        <v>16</v>
      </c>
      <c r="F257" s="224" t="s">
        <v>180</v>
      </c>
      <c r="G257" s="176">
        <v>2021</v>
      </c>
      <c r="H257" s="118" t="s">
        <v>30</v>
      </c>
      <c r="I257" s="172" t="s">
        <v>31</v>
      </c>
      <c r="J257" s="172" t="s">
        <v>8</v>
      </c>
      <c r="K257" s="173">
        <v>51</v>
      </c>
      <c r="L257" s="304">
        <f>UBC_MASUK[[#This Row],[Tg Bulan]]/SUM(COUNTIFS(F:F,"(04) APR",I:I,"Bisnis",G:G,"2021"))</f>
        <v>42.896296296296299</v>
      </c>
      <c r="M257" s="351" t="str">
        <f t="shared" si="10"/>
        <v>1158,2</v>
      </c>
      <c r="N257" s="304">
        <f>UBC_MASUK[[#This Row],[Tg Tahun]]/SUM(COUNTIFS(G:G,"2021",I:I,"Bisnis"))</f>
        <v>111.18719999999999</v>
      </c>
      <c r="O257" s="170" t="str">
        <f t="shared" si="11"/>
        <v>13898,4</v>
      </c>
    </row>
    <row r="258" spans="2:15" x14ac:dyDescent="0.35">
      <c r="B258" s="177">
        <v>44302</v>
      </c>
      <c r="C258" s="176">
        <v>3</v>
      </c>
      <c r="D258" s="171" t="str">
        <f t="shared" si="9"/>
        <v>Q2</v>
      </c>
      <c r="E258" s="176">
        <v>16</v>
      </c>
      <c r="F258" s="224" t="s">
        <v>180</v>
      </c>
      <c r="G258" s="176">
        <v>2021</v>
      </c>
      <c r="H258" s="118" t="s">
        <v>28</v>
      </c>
      <c r="I258" s="172" t="s">
        <v>31</v>
      </c>
      <c r="J258" s="172" t="s">
        <v>19</v>
      </c>
      <c r="K258" s="173">
        <v>64</v>
      </c>
      <c r="L258" s="304">
        <f>UBC_MASUK[[#This Row],[Tg Bulan]]/SUM(COUNTIFS(F:F,"(04) APR",I:I,"Bisnis",G:G,"2021"))</f>
        <v>42.896296296296299</v>
      </c>
      <c r="M258" s="351" t="str">
        <f t="shared" si="10"/>
        <v>1158,2</v>
      </c>
      <c r="N258" s="304">
        <f>UBC_MASUK[[#This Row],[Tg Tahun]]/SUM(COUNTIFS(G:G,"2021",I:I,"Bisnis"))</f>
        <v>111.18719999999999</v>
      </c>
      <c r="O258" s="170" t="str">
        <f t="shared" si="11"/>
        <v>13898,4</v>
      </c>
    </row>
    <row r="259" spans="2:15" x14ac:dyDescent="0.35">
      <c r="B259" s="177">
        <v>44302</v>
      </c>
      <c r="C259" s="176">
        <v>3</v>
      </c>
      <c r="D259" s="171" t="str">
        <f t="shared" si="9"/>
        <v>Q2</v>
      </c>
      <c r="E259" s="176">
        <v>16</v>
      </c>
      <c r="F259" s="224" t="s">
        <v>180</v>
      </c>
      <c r="G259" s="176">
        <v>2021</v>
      </c>
      <c r="H259" s="118" t="s">
        <v>303</v>
      </c>
      <c r="I259" s="172" t="s">
        <v>31</v>
      </c>
      <c r="J259" s="172" t="s">
        <v>8</v>
      </c>
      <c r="K259" s="173">
        <v>76</v>
      </c>
      <c r="L259" s="304">
        <f>UBC_MASUK[[#This Row],[Tg Bulan]]/SUM(COUNTIFS(F:F,"(04) APR",I:I,"Bisnis",G:G,"2021"))</f>
        <v>42.896296296296299</v>
      </c>
      <c r="M259" s="351" t="str">
        <f t="shared" si="10"/>
        <v>1158,2</v>
      </c>
      <c r="N259" s="304">
        <f>UBC_MASUK[[#This Row],[Tg Tahun]]/SUM(COUNTIFS(G:G,"2021",I:I,"Bisnis"))</f>
        <v>111.18719999999999</v>
      </c>
      <c r="O259" s="170" t="str">
        <f t="shared" si="11"/>
        <v>13898,4</v>
      </c>
    </row>
    <row r="260" spans="2:15" x14ac:dyDescent="0.35">
      <c r="B260" s="177">
        <v>44305</v>
      </c>
      <c r="C260" s="176">
        <v>3</v>
      </c>
      <c r="D260" s="171" t="str">
        <f t="shared" ref="D260:D323" si="12">IF(F:F="(01) JAN","Q1",IF(F:F="(02) FEB","Q1",IF(F:F="(03) MAR","Q1",IF(F:F="(04) APR","Q2",IF(F:F="(05) MEI","Q2",IF(F:F="(06) JUN","Q2",IF(F:F="(07) JUL","Q3",IF(F:F="(08) AGU","Q3",IF(F:F="(09) SEP","Q3",IF(F:F="(10) OKT","Q4",IF(F:F="(11) NOV","Q4",IF(F:F="(12) DES","Q4"))))))))))))</f>
        <v>Q2</v>
      </c>
      <c r="E260" s="176">
        <v>19</v>
      </c>
      <c r="F260" s="224" t="s">
        <v>180</v>
      </c>
      <c r="G260" s="176">
        <v>2021</v>
      </c>
      <c r="H260" s="118" t="s">
        <v>304</v>
      </c>
      <c r="I260" s="172" t="s">
        <v>31</v>
      </c>
      <c r="J260" s="172" t="s">
        <v>8</v>
      </c>
      <c r="K260" s="173">
        <v>35</v>
      </c>
      <c r="L260" s="304">
        <f>UBC_MASUK[[#This Row],[Tg Bulan]]/SUM(COUNTIFS(F:F,"(04) APR",I:I,"Bisnis",G:G,"2021"))</f>
        <v>42.896296296296299</v>
      </c>
      <c r="M260" s="351" t="str">
        <f t="shared" ref="M260:M323" si="13">IF(I:I="TPS3R","391,433333333333",IF(I:I="TPST3R","1222,225",IF(I:I="TPA","878,975",IF(I:I="Sekolah","64,775",IF(I:I="Pengepul","11981,20833",IF(I:I="Jasa sampah","3712,433333",IF(I:I="Hotel","201,4083333",IF(I:I="EB Residential Service","863,7333333",IF(I:I="Bisnis","1158,2",IF(I:I="Bank Sampah Unit","79,46666667",IF(I:I="Bank Sampah Induk","279,475")))))))))))</f>
        <v>1158,2</v>
      </c>
      <c r="N260" s="304">
        <f>UBC_MASUK[[#This Row],[Tg Tahun]]/SUM(COUNTIFS(G:G,"2021",I:I,"Bisnis"))</f>
        <v>111.18719999999999</v>
      </c>
      <c r="O260" s="170" t="str">
        <f t="shared" ref="O260:O323" si="14">IF(I:I="TPS3R","4607,2",IF(I:I="TPST3R","14666,7",IF(I:I="TPA","10547,7",IF(I:I="Sekolah","777,3",IF(I:I="Pengepul","143774,5",IF(I:I="Jasa sampah","44549,2",IF(I:I="Hotel","2416,9",IF(I:I="EB Residential Service","10364,8",IF(I:I="Bisnis","13898,4",IF(I:I="Bank Sampah Unit","953,6",IF(I:I="Bank Sampah Induk","3353,7")))))))))))</f>
        <v>13898,4</v>
      </c>
    </row>
    <row r="261" spans="2:15" x14ac:dyDescent="0.35">
      <c r="B261" s="177">
        <v>44305</v>
      </c>
      <c r="C261" s="176">
        <v>3</v>
      </c>
      <c r="D261" s="171" t="str">
        <f t="shared" si="12"/>
        <v>Q2</v>
      </c>
      <c r="E261" s="176">
        <v>19</v>
      </c>
      <c r="F261" s="224" t="s">
        <v>180</v>
      </c>
      <c r="G261" s="176">
        <v>2021</v>
      </c>
      <c r="H261" s="118" t="s">
        <v>305</v>
      </c>
      <c r="I261" s="172" t="s">
        <v>31</v>
      </c>
      <c r="J261" s="172" t="s">
        <v>8</v>
      </c>
      <c r="K261" s="173">
        <v>2</v>
      </c>
      <c r="L261" s="304">
        <f>UBC_MASUK[[#This Row],[Tg Bulan]]/SUM(COUNTIFS(F:F,"(04) APR",I:I,"Bisnis",G:G,"2021"))</f>
        <v>42.896296296296299</v>
      </c>
      <c r="M261" s="351" t="str">
        <f t="shared" si="13"/>
        <v>1158,2</v>
      </c>
      <c r="N261" s="304">
        <f>UBC_MASUK[[#This Row],[Tg Tahun]]/SUM(COUNTIFS(G:G,"2021",I:I,"Bisnis"))</f>
        <v>111.18719999999999</v>
      </c>
      <c r="O261" s="170" t="str">
        <f t="shared" si="14"/>
        <v>13898,4</v>
      </c>
    </row>
    <row r="262" spans="2:15" x14ac:dyDescent="0.35">
      <c r="B262" s="177">
        <v>44295</v>
      </c>
      <c r="C262" s="176">
        <v>2</v>
      </c>
      <c r="D262" s="171" t="str">
        <f t="shared" si="12"/>
        <v>Q2</v>
      </c>
      <c r="E262" s="176">
        <v>9</v>
      </c>
      <c r="F262" s="224" t="s">
        <v>180</v>
      </c>
      <c r="G262" s="176">
        <v>2021</v>
      </c>
      <c r="H262" s="118" t="s">
        <v>35</v>
      </c>
      <c r="I262" s="172" t="s">
        <v>306</v>
      </c>
      <c r="J262" s="172" t="s">
        <v>8</v>
      </c>
      <c r="K262" s="173">
        <v>4</v>
      </c>
      <c r="L262" s="304">
        <f>UBC_MASUK[[#This Row],[Tg Bulan]]/SUM(COUNTIFS(F:F,"(04) APR",I:I,"Sekolah",G:G,"2021"))</f>
        <v>12.955000000000002</v>
      </c>
      <c r="M262" s="351" t="str">
        <f t="shared" si="13"/>
        <v>64,775</v>
      </c>
      <c r="N262" s="304">
        <f>UBC_MASUK[[#This Row],[Tg Tahun]]/SUM(COUNTIFS(G:G,"2021",I:I,"Sekolah"))</f>
        <v>38.864999999999995</v>
      </c>
      <c r="O262" s="170" t="str">
        <f t="shared" si="14"/>
        <v>777,3</v>
      </c>
    </row>
    <row r="263" spans="2:15" x14ac:dyDescent="0.35">
      <c r="B263" s="177">
        <v>44302</v>
      </c>
      <c r="C263" s="176">
        <v>3</v>
      </c>
      <c r="D263" s="171" t="str">
        <f t="shared" si="12"/>
        <v>Q2</v>
      </c>
      <c r="E263" s="176">
        <v>16</v>
      </c>
      <c r="F263" s="224" t="s">
        <v>180</v>
      </c>
      <c r="G263" s="176">
        <v>2021</v>
      </c>
      <c r="H263" s="118" t="s">
        <v>47</v>
      </c>
      <c r="I263" s="172" t="s">
        <v>306</v>
      </c>
      <c r="J263" s="172" t="s">
        <v>32</v>
      </c>
      <c r="K263" s="173">
        <v>2</v>
      </c>
      <c r="L263" s="304">
        <f>UBC_MASUK[[#This Row],[Tg Bulan]]/SUM(COUNTIFS(F:F,"(04) APR",I:I,"Sekolah",G:G,"2021"))</f>
        <v>12.955000000000002</v>
      </c>
      <c r="M263" s="351" t="str">
        <f t="shared" si="13"/>
        <v>64,775</v>
      </c>
      <c r="N263" s="304">
        <f>UBC_MASUK[[#This Row],[Tg Tahun]]/SUM(COUNTIFS(G:G,"2021",I:I,"Sekolah"))</f>
        <v>38.864999999999995</v>
      </c>
      <c r="O263" s="170" t="str">
        <f t="shared" si="14"/>
        <v>777,3</v>
      </c>
    </row>
    <row r="264" spans="2:15" x14ac:dyDescent="0.35">
      <c r="B264" s="177">
        <v>44302</v>
      </c>
      <c r="C264" s="176">
        <v>3</v>
      </c>
      <c r="D264" s="171" t="str">
        <f t="shared" si="12"/>
        <v>Q2</v>
      </c>
      <c r="E264" s="176">
        <v>16</v>
      </c>
      <c r="F264" s="224" t="s">
        <v>180</v>
      </c>
      <c r="G264" s="176">
        <v>2021</v>
      </c>
      <c r="H264" s="118" t="s">
        <v>35</v>
      </c>
      <c r="I264" s="172" t="s">
        <v>306</v>
      </c>
      <c r="J264" s="172" t="s">
        <v>8</v>
      </c>
      <c r="K264" s="173">
        <v>3</v>
      </c>
      <c r="L264" s="304">
        <f>UBC_MASUK[[#This Row],[Tg Bulan]]/SUM(COUNTIFS(F:F,"(04) APR",I:I,"Sekolah",G:G,"2021"))</f>
        <v>12.955000000000002</v>
      </c>
      <c r="M264" s="351" t="str">
        <f t="shared" si="13"/>
        <v>64,775</v>
      </c>
      <c r="N264" s="304">
        <f>UBC_MASUK[[#This Row],[Tg Tahun]]/SUM(COUNTIFS(G:G,"2021",I:I,"Sekolah"))</f>
        <v>38.864999999999995</v>
      </c>
      <c r="O264" s="170" t="str">
        <f t="shared" si="14"/>
        <v>777,3</v>
      </c>
    </row>
    <row r="265" spans="2:15" x14ac:dyDescent="0.35">
      <c r="B265" s="177">
        <v>44305</v>
      </c>
      <c r="C265" s="176">
        <v>3</v>
      </c>
      <c r="D265" s="171" t="str">
        <f t="shared" si="12"/>
        <v>Q2</v>
      </c>
      <c r="E265" s="176">
        <v>19</v>
      </c>
      <c r="F265" s="224" t="s">
        <v>180</v>
      </c>
      <c r="G265" s="176">
        <v>2021</v>
      </c>
      <c r="H265" s="118" t="s">
        <v>154</v>
      </c>
      <c r="I265" s="172" t="s">
        <v>37</v>
      </c>
      <c r="J265" s="172" t="s">
        <v>8</v>
      </c>
      <c r="K265" s="173">
        <v>7</v>
      </c>
      <c r="L265" s="304">
        <f>UBC_MASUK[[#This Row],[Tg Bulan]]/SUM(COUNTIFS(F:F,"(04) APR",I:I,"Bank Sampah Unit",G:G,"2021"))</f>
        <v>19.866666667499999</v>
      </c>
      <c r="M265" s="351" t="str">
        <f t="shared" si="13"/>
        <v>79,46666667</v>
      </c>
      <c r="N265" s="304">
        <f>UBC_MASUK[[#This Row],[Tg Tahun]]/SUM(COUNTIFS(G:G,"2021",I:I,"Bank Sampah Unit"))</f>
        <v>24.451282051282053</v>
      </c>
      <c r="O265" s="170" t="str">
        <f t="shared" si="14"/>
        <v>953,6</v>
      </c>
    </row>
    <row r="266" spans="2:15" x14ac:dyDescent="0.35">
      <c r="B266" s="177">
        <v>44306</v>
      </c>
      <c r="C266" s="176">
        <v>3</v>
      </c>
      <c r="D266" s="171" t="str">
        <f t="shared" si="12"/>
        <v>Q2</v>
      </c>
      <c r="E266" s="176">
        <v>20</v>
      </c>
      <c r="F266" s="224" t="s">
        <v>180</v>
      </c>
      <c r="G266" s="176">
        <v>2021</v>
      </c>
      <c r="H266" s="118" t="s">
        <v>149</v>
      </c>
      <c r="I266" s="172" t="s">
        <v>37</v>
      </c>
      <c r="J266" s="172" t="s">
        <v>8</v>
      </c>
      <c r="K266" s="173">
        <v>1.3</v>
      </c>
      <c r="L266" s="304">
        <f>UBC_MASUK[[#This Row],[Tg Bulan]]/SUM(COUNTIFS(F:F,"(04) APR",I:I,"Bank Sampah Unit",G:G,"2021"))</f>
        <v>19.866666667499999</v>
      </c>
      <c r="M266" s="351" t="str">
        <f t="shared" si="13"/>
        <v>79,46666667</v>
      </c>
      <c r="N266" s="304">
        <f>UBC_MASUK[[#This Row],[Tg Tahun]]/SUM(COUNTIFS(G:G,"2021",I:I,"Bank Sampah Unit"))</f>
        <v>24.451282051282053</v>
      </c>
      <c r="O266" s="170" t="str">
        <f t="shared" si="14"/>
        <v>953,6</v>
      </c>
    </row>
    <row r="267" spans="2:15" x14ac:dyDescent="0.35">
      <c r="B267" s="177">
        <v>44305</v>
      </c>
      <c r="C267" s="176">
        <v>3</v>
      </c>
      <c r="D267" s="171" t="str">
        <f t="shared" si="12"/>
        <v>Q2</v>
      </c>
      <c r="E267" s="176">
        <v>19</v>
      </c>
      <c r="F267" s="224" t="s">
        <v>180</v>
      </c>
      <c r="G267" s="176">
        <v>2021</v>
      </c>
      <c r="H267" s="118" t="s">
        <v>28</v>
      </c>
      <c r="I267" s="172" t="s">
        <v>31</v>
      </c>
      <c r="J267" s="172" t="s">
        <v>19</v>
      </c>
      <c r="K267" s="173">
        <v>16</v>
      </c>
      <c r="L267" s="304">
        <f>UBC_MASUK[[#This Row],[Tg Bulan]]/SUM(COUNTIFS(F:F,"(04) APR",I:I,"Bisnis",G:G,"2021"))</f>
        <v>42.896296296296299</v>
      </c>
      <c r="M267" s="351" t="str">
        <f t="shared" si="13"/>
        <v>1158,2</v>
      </c>
      <c r="N267" s="304">
        <f>UBC_MASUK[[#This Row],[Tg Tahun]]/SUM(COUNTIFS(G:G,"2021",I:I,"Bisnis"))</f>
        <v>111.18719999999999</v>
      </c>
      <c r="O267" s="170" t="str">
        <f t="shared" si="14"/>
        <v>13898,4</v>
      </c>
    </row>
    <row r="268" spans="2:15" x14ac:dyDescent="0.35">
      <c r="B268" s="177">
        <v>44306</v>
      </c>
      <c r="C268" s="176">
        <v>3</v>
      </c>
      <c r="D268" s="171" t="str">
        <f t="shared" si="12"/>
        <v>Q2</v>
      </c>
      <c r="E268" s="176">
        <v>20</v>
      </c>
      <c r="F268" s="224" t="s">
        <v>180</v>
      </c>
      <c r="G268" s="176">
        <v>2021</v>
      </c>
      <c r="H268" s="118" t="s">
        <v>12</v>
      </c>
      <c r="I268" s="172" t="s">
        <v>13</v>
      </c>
      <c r="J268" s="172" t="s">
        <v>14</v>
      </c>
      <c r="K268" s="173">
        <v>233</v>
      </c>
      <c r="L268" s="304">
        <f>UBC_MASUK[[#This Row],[Tg Bulan]]/SUM(COUNTIFS(F:F,"(04) APR",I:I,"TPST3R"))</f>
        <v>407.4083333333333</v>
      </c>
      <c r="M268" s="351" t="str">
        <f t="shared" si="13"/>
        <v>1222,225</v>
      </c>
      <c r="N268" s="304">
        <f>UBC_MASUK[[#This Row],[Tg Tahun]]/SUM(COUNTIFS(G:G,"2021",I:I,"TPST3R"))</f>
        <v>1333.3363636363638</v>
      </c>
      <c r="O268" s="170" t="str">
        <f t="shared" si="14"/>
        <v>14666,7</v>
      </c>
    </row>
    <row r="269" spans="2:15" x14ac:dyDescent="0.35">
      <c r="B269" s="177">
        <v>44306</v>
      </c>
      <c r="C269" s="176">
        <v>3</v>
      </c>
      <c r="D269" s="171" t="str">
        <f t="shared" si="12"/>
        <v>Q2</v>
      </c>
      <c r="E269" s="176">
        <v>20</v>
      </c>
      <c r="F269" s="224" t="s">
        <v>180</v>
      </c>
      <c r="G269" s="176">
        <v>2021</v>
      </c>
      <c r="H269" s="118" t="s">
        <v>307</v>
      </c>
      <c r="I269" s="172" t="s">
        <v>7</v>
      </c>
      <c r="J269" s="172" t="s">
        <v>9</v>
      </c>
      <c r="K269" s="173">
        <v>50.87</v>
      </c>
      <c r="L269" s="304">
        <f>UBC_MASUK[[#This Row],[Tg Bulan]]/SUM(COUNTIFS(F:F,"(04) APR",I:I,"TPS3R"))</f>
        <v>391.433333333333</v>
      </c>
      <c r="M269" s="351" t="str">
        <f t="shared" si="13"/>
        <v>391,433333333333</v>
      </c>
      <c r="N269" s="304">
        <f>UBC_MASUK[[#This Row],[Tg Tahun]]/SUM(COUNTIFS(G:G,"2021",I:I,"TPS3R"))</f>
        <v>418.83636363636361</v>
      </c>
      <c r="O269" s="170" t="str">
        <f t="shared" si="14"/>
        <v>4607,2</v>
      </c>
    </row>
    <row r="270" spans="2:15" x14ac:dyDescent="0.35">
      <c r="B270" s="357">
        <v>44308</v>
      </c>
      <c r="C270" s="353">
        <v>4</v>
      </c>
      <c r="D270" s="171" t="str">
        <f t="shared" si="12"/>
        <v>Q2</v>
      </c>
      <c r="E270" s="353">
        <v>22</v>
      </c>
      <c r="F270" s="224" t="s">
        <v>180</v>
      </c>
      <c r="G270" s="170">
        <v>2021</v>
      </c>
      <c r="H270" s="352" t="s">
        <v>22</v>
      </c>
      <c r="I270" s="170" t="s">
        <v>18</v>
      </c>
      <c r="J270" s="170" t="s">
        <v>19</v>
      </c>
      <c r="K270" s="355">
        <v>1522</v>
      </c>
      <c r="L270" s="304">
        <f>UBC_MASUK[[#This Row],[Tg Bulan]]/SUM(COUNTIFS(F:F,"(04) APR",I:I,"Pengepul",G:G,"2021"))</f>
        <v>1198.1208329999999</v>
      </c>
      <c r="M270" s="351" t="str">
        <f t="shared" si="13"/>
        <v>11981,20833</v>
      </c>
      <c r="N270" s="304">
        <f>UBC_MASUK[[#This Row],[Tg Tahun]]/SUM(COUNTIFS(G:G,"2021",I:I,"Pengepul"))</f>
        <v>4228.661764705882</v>
      </c>
      <c r="O270" s="170" t="str">
        <f t="shared" si="14"/>
        <v>143774,5</v>
      </c>
    </row>
    <row r="271" spans="2:15" x14ac:dyDescent="0.35">
      <c r="B271" s="177">
        <v>44310</v>
      </c>
      <c r="C271" s="176">
        <v>4</v>
      </c>
      <c r="D271" s="171" t="str">
        <f t="shared" si="12"/>
        <v>Q2</v>
      </c>
      <c r="E271" s="176">
        <v>24</v>
      </c>
      <c r="F271" s="224" t="s">
        <v>180</v>
      </c>
      <c r="G271" s="176">
        <v>2021</v>
      </c>
      <c r="H271" s="118" t="s">
        <v>17</v>
      </c>
      <c r="I271" s="172" t="s">
        <v>18</v>
      </c>
      <c r="J271" s="172" t="s">
        <v>19</v>
      </c>
      <c r="K271" s="173">
        <v>257</v>
      </c>
      <c r="L271" s="304">
        <f>UBC_MASUK[[#This Row],[Tg Bulan]]/SUM(COUNTIFS(F:F,"(04) APR",I:I,"Pengepul",G:G,"2021"))</f>
        <v>1198.1208329999999</v>
      </c>
      <c r="M271" s="351" t="str">
        <f t="shared" si="13"/>
        <v>11981,20833</v>
      </c>
      <c r="N271" s="304">
        <f>UBC_MASUK[[#This Row],[Tg Tahun]]/SUM(COUNTIFS(G:G,"2021",I:I,"Pengepul"))</f>
        <v>4228.661764705882</v>
      </c>
      <c r="O271" s="170" t="str">
        <f t="shared" si="14"/>
        <v>143774,5</v>
      </c>
    </row>
    <row r="272" spans="2:15" x14ac:dyDescent="0.35">
      <c r="B272" s="177">
        <v>44310</v>
      </c>
      <c r="C272" s="176">
        <v>4</v>
      </c>
      <c r="D272" s="171" t="str">
        <f t="shared" si="12"/>
        <v>Q2</v>
      </c>
      <c r="E272" s="176">
        <v>24</v>
      </c>
      <c r="F272" s="224" t="s">
        <v>180</v>
      </c>
      <c r="G272" s="176">
        <v>2021</v>
      </c>
      <c r="H272" s="118" t="s">
        <v>22</v>
      </c>
      <c r="I272" s="172" t="s">
        <v>18</v>
      </c>
      <c r="J272" s="172" t="s">
        <v>19</v>
      </c>
      <c r="K272" s="173">
        <v>218</v>
      </c>
      <c r="L272" s="304">
        <f>UBC_MASUK[[#This Row],[Tg Bulan]]/SUM(COUNTIFS(F:F,"(04) APR",I:I,"Pengepul",G:G,"2021"))</f>
        <v>1198.1208329999999</v>
      </c>
      <c r="M272" s="351" t="str">
        <f t="shared" si="13"/>
        <v>11981,20833</v>
      </c>
      <c r="N272" s="304">
        <f>UBC_MASUK[[#This Row],[Tg Tahun]]/SUM(COUNTIFS(G:G,"2021",I:I,"Pengepul"))</f>
        <v>4228.661764705882</v>
      </c>
      <c r="O272" s="170" t="str">
        <f t="shared" si="14"/>
        <v>143774,5</v>
      </c>
    </row>
    <row r="273" spans="2:15" x14ac:dyDescent="0.35">
      <c r="B273" s="177">
        <v>44309</v>
      </c>
      <c r="C273" s="176">
        <v>4</v>
      </c>
      <c r="D273" s="171" t="str">
        <f t="shared" si="12"/>
        <v>Q2</v>
      </c>
      <c r="E273" s="176">
        <v>23</v>
      </c>
      <c r="F273" s="224" t="s">
        <v>180</v>
      </c>
      <c r="G273" s="176">
        <v>2021</v>
      </c>
      <c r="H273" s="118" t="s">
        <v>138</v>
      </c>
      <c r="I273" s="172" t="s">
        <v>34</v>
      </c>
      <c r="J273" s="172" t="s">
        <v>14</v>
      </c>
      <c r="K273" s="173">
        <v>2</v>
      </c>
      <c r="L273" s="304">
        <f>UBC_MASUK[[#This Row],[Tg Bulan]]/SUM(COUNTIFS(F:F,"(04) APR",I:I,"Hotel"))</f>
        <v>201.40833330000001</v>
      </c>
      <c r="M273" s="351" t="str">
        <f t="shared" si="13"/>
        <v>201,4083333</v>
      </c>
      <c r="N273" s="304">
        <f>UBC_MASUK[[#This Row],[Tg Tahun]]/SUM(COUNTIFS(G:G,"2021",I:I,"Hotel"))</f>
        <v>345.2714285714286</v>
      </c>
      <c r="O273" s="170" t="str">
        <f t="shared" si="14"/>
        <v>2416,9</v>
      </c>
    </row>
    <row r="274" spans="2:15" x14ac:dyDescent="0.35">
      <c r="B274" s="177">
        <v>44309</v>
      </c>
      <c r="C274" s="176">
        <v>4</v>
      </c>
      <c r="D274" s="171" t="str">
        <f t="shared" si="12"/>
        <v>Q2</v>
      </c>
      <c r="E274" s="176">
        <v>23</v>
      </c>
      <c r="F274" s="224" t="s">
        <v>180</v>
      </c>
      <c r="G274" s="176">
        <v>2021</v>
      </c>
      <c r="H274" s="118" t="s">
        <v>310</v>
      </c>
      <c r="I274" s="172" t="s">
        <v>31</v>
      </c>
      <c r="J274" s="172" t="s">
        <v>8</v>
      </c>
      <c r="K274" s="173">
        <v>3.5</v>
      </c>
      <c r="L274" s="304">
        <f>UBC_MASUK[[#This Row],[Tg Bulan]]/SUM(COUNTIFS(F:F,"(04) APR",I:I,"Bisnis",G:G,"2021"))</f>
        <v>42.896296296296299</v>
      </c>
      <c r="M274" s="351" t="str">
        <f t="shared" si="13"/>
        <v>1158,2</v>
      </c>
      <c r="N274" s="304">
        <f>UBC_MASUK[[#This Row],[Tg Tahun]]/SUM(COUNTIFS(G:G,"2021",I:I,"Bisnis"))</f>
        <v>111.18719999999999</v>
      </c>
      <c r="O274" s="170" t="str">
        <f t="shared" si="14"/>
        <v>13898,4</v>
      </c>
    </row>
    <row r="275" spans="2:15" x14ac:dyDescent="0.35">
      <c r="B275" s="177">
        <v>44309</v>
      </c>
      <c r="C275" s="176">
        <v>4</v>
      </c>
      <c r="D275" s="171" t="str">
        <f t="shared" si="12"/>
        <v>Q2</v>
      </c>
      <c r="E275" s="176">
        <v>23</v>
      </c>
      <c r="F275" s="224" t="s">
        <v>180</v>
      </c>
      <c r="G275" s="176">
        <v>2021</v>
      </c>
      <c r="H275" s="118" t="s">
        <v>303</v>
      </c>
      <c r="I275" s="172" t="s">
        <v>31</v>
      </c>
      <c r="J275" s="172" t="s">
        <v>8</v>
      </c>
      <c r="K275" s="173">
        <v>51</v>
      </c>
      <c r="L275" s="304">
        <f>UBC_MASUK[[#This Row],[Tg Bulan]]/SUM(COUNTIFS(F:F,"(04) APR",I:I,"Bisnis",G:G,"2021"))</f>
        <v>42.896296296296299</v>
      </c>
      <c r="M275" s="351" t="str">
        <f t="shared" si="13"/>
        <v>1158,2</v>
      </c>
      <c r="N275" s="304">
        <f>UBC_MASUK[[#This Row],[Tg Tahun]]/SUM(COUNTIFS(G:G,"2021",I:I,"Bisnis"))</f>
        <v>111.18719999999999</v>
      </c>
      <c r="O275" s="170" t="str">
        <f t="shared" si="14"/>
        <v>13898,4</v>
      </c>
    </row>
    <row r="276" spans="2:15" x14ac:dyDescent="0.35">
      <c r="B276" s="177">
        <v>44309</v>
      </c>
      <c r="C276" s="176">
        <v>4</v>
      </c>
      <c r="D276" s="171" t="str">
        <f t="shared" si="12"/>
        <v>Q2</v>
      </c>
      <c r="E276" s="176">
        <v>23</v>
      </c>
      <c r="F276" s="224" t="s">
        <v>180</v>
      </c>
      <c r="G276" s="176">
        <v>2021</v>
      </c>
      <c r="H276" s="118" t="s">
        <v>28</v>
      </c>
      <c r="I276" s="172" t="s">
        <v>31</v>
      </c>
      <c r="J276" s="172" t="s">
        <v>19</v>
      </c>
      <c r="K276" s="173">
        <v>54</v>
      </c>
      <c r="L276" s="304">
        <f>UBC_MASUK[[#This Row],[Tg Bulan]]/SUM(COUNTIFS(F:F,"(04) APR",I:I,"Bisnis",G:G,"2021"))</f>
        <v>42.896296296296299</v>
      </c>
      <c r="M276" s="351" t="str">
        <f t="shared" si="13"/>
        <v>1158,2</v>
      </c>
      <c r="N276" s="304">
        <f>UBC_MASUK[[#This Row],[Tg Tahun]]/SUM(COUNTIFS(G:G,"2021",I:I,"Bisnis"))</f>
        <v>111.18719999999999</v>
      </c>
      <c r="O276" s="170" t="str">
        <f t="shared" si="14"/>
        <v>13898,4</v>
      </c>
    </row>
    <row r="277" spans="2:15" x14ac:dyDescent="0.35">
      <c r="B277" s="177">
        <v>44307</v>
      </c>
      <c r="C277" s="176">
        <v>3</v>
      </c>
      <c r="D277" s="171" t="str">
        <f t="shared" si="12"/>
        <v>Q2</v>
      </c>
      <c r="E277" s="176">
        <v>21</v>
      </c>
      <c r="F277" s="224" t="s">
        <v>180</v>
      </c>
      <c r="G277" s="176">
        <v>2021</v>
      </c>
      <c r="H277" s="118" t="s">
        <v>42</v>
      </c>
      <c r="I277" s="172" t="s">
        <v>31</v>
      </c>
      <c r="J277" s="172" t="s">
        <v>43</v>
      </c>
      <c r="K277" s="173">
        <v>183</v>
      </c>
      <c r="L277" s="304">
        <f>UBC_MASUK[[#This Row],[Tg Bulan]]/SUM(COUNTIFS(F:F,"(04) APR",I:I,"Bisnis",G:G,"2021"))</f>
        <v>42.896296296296299</v>
      </c>
      <c r="M277" s="351" t="str">
        <f t="shared" si="13"/>
        <v>1158,2</v>
      </c>
      <c r="N277" s="304">
        <f>UBC_MASUK[[#This Row],[Tg Tahun]]/SUM(COUNTIFS(G:G,"2021",I:I,"Bisnis"))</f>
        <v>111.18719999999999</v>
      </c>
      <c r="O277" s="170" t="str">
        <f t="shared" si="14"/>
        <v>13898,4</v>
      </c>
    </row>
    <row r="278" spans="2:15" x14ac:dyDescent="0.35">
      <c r="B278" s="177">
        <v>44293</v>
      </c>
      <c r="C278" s="176">
        <v>1</v>
      </c>
      <c r="D278" s="171" t="str">
        <f t="shared" si="12"/>
        <v>Q2</v>
      </c>
      <c r="E278" s="176">
        <v>7</v>
      </c>
      <c r="F278" s="224" t="s">
        <v>180</v>
      </c>
      <c r="G278" s="176">
        <v>2021</v>
      </c>
      <c r="H278" s="118" t="s">
        <v>38</v>
      </c>
      <c r="I278" s="170" t="s">
        <v>290</v>
      </c>
      <c r="J278" s="172" t="s">
        <v>8</v>
      </c>
      <c r="K278" s="173">
        <v>18</v>
      </c>
      <c r="L278" s="304">
        <f>UBC_MASUK[[#This Row],[Tg Bulan]]/SUM(COUNTIFS(F:F,"(04) APR",I:I,"EB Residential Service"))</f>
        <v>39.260606059090911</v>
      </c>
      <c r="M278" s="351" t="str">
        <f t="shared" si="13"/>
        <v>863,7333333</v>
      </c>
      <c r="N278" s="304">
        <f>UBC_MASUK[[#This Row],[Tg Tahun]]/SUM(COUNTIFS(G:G,"2021",I:I,"EB Residential Service"))</f>
        <v>99.661538461538456</v>
      </c>
      <c r="O278" s="170" t="str">
        <f t="shared" si="14"/>
        <v>10364,8</v>
      </c>
    </row>
    <row r="279" spans="2:15" x14ac:dyDescent="0.35">
      <c r="B279" s="177">
        <v>44294</v>
      </c>
      <c r="C279" s="176">
        <v>2</v>
      </c>
      <c r="D279" s="171" t="str">
        <f t="shared" si="12"/>
        <v>Q2</v>
      </c>
      <c r="E279" s="176">
        <v>8</v>
      </c>
      <c r="F279" s="224" t="s">
        <v>180</v>
      </c>
      <c r="G279" s="176">
        <v>2021</v>
      </c>
      <c r="H279" s="118" t="s">
        <v>38</v>
      </c>
      <c r="I279" s="170" t="s">
        <v>290</v>
      </c>
      <c r="J279" s="172" t="s">
        <v>8</v>
      </c>
      <c r="K279" s="173">
        <v>19</v>
      </c>
      <c r="L279" s="304">
        <f>UBC_MASUK[[#This Row],[Tg Bulan]]/SUM(COUNTIFS(F:F,"(04) APR",I:I,"EB Residential Service",G:G,"2021"))</f>
        <v>39.260606059090911</v>
      </c>
      <c r="M279" s="351" t="str">
        <f t="shared" si="13"/>
        <v>863,7333333</v>
      </c>
      <c r="N279" s="304">
        <f>UBC_MASUK[[#This Row],[Tg Tahun]]/SUM(COUNTIFS(G:G,"2021",I:I,"EB Residential Service"))</f>
        <v>99.661538461538456</v>
      </c>
      <c r="O279" s="170" t="str">
        <f t="shared" si="14"/>
        <v>10364,8</v>
      </c>
    </row>
    <row r="280" spans="2:15" x14ac:dyDescent="0.35">
      <c r="B280" s="177">
        <v>44295</v>
      </c>
      <c r="C280" s="176">
        <v>2</v>
      </c>
      <c r="D280" s="171" t="str">
        <f t="shared" si="12"/>
        <v>Q2</v>
      </c>
      <c r="E280" s="176">
        <v>9</v>
      </c>
      <c r="F280" s="224" t="s">
        <v>180</v>
      </c>
      <c r="G280" s="176">
        <v>2021</v>
      </c>
      <c r="H280" s="118" t="s">
        <v>38</v>
      </c>
      <c r="I280" s="170" t="s">
        <v>290</v>
      </c>
      <c r="J280" s="172" t="s">
        <v>8</v>
      </c>
      <c r="K280" s="173">
        <v>21</v>
      </c>
      <c r="L280" s="304">
        <f>UBC_MASUK[[#This Row],[Tg Bulan]]/SUM(COUNTIFS(F:F,"(04) APR",I:I,"EB Residential Service",G:G,"2021"))</f>
        <v>39.260606059090911</v>
      </c>
      <c r="M280" s="351" t="str">
        <f t="shared" si="13"/>
        <v>863,7333333</v>
      </c>
      <c r="N280" s="304">
        <f>UBC_MASUK[[#This Row],[Tg Tahun]]/SUM(COUNTIFS(G:G,"2021",I:I,"EB Residential Service"))</f>
        <v>99.661538461538456</v>
      </c>
      <c r="O280" s="170" t="str">
        <f t="shared" si="14"/>
        <v>10364,8</v>
      </c>
    </row>
    <row r="281" spans="2:15" x14ac:dyDescent="0.35">
      <c r="B281" s="177">
        <v>44296</v>
      </c>
      <c r="C281" s="176">
        <v>2</v>
      </c>
      <c r="D281" s="171" t="str">
        <f t="shared" si="12"/>
        <v>Q2</v>
      </c>
      <c r="E281" s="176">
        <v>10</v>
      </c>
      <c r="F281" s="224" t="s">
        <v>180</v>
      </c>
      <c r="G281" s="176">
        <v>2021</v>
      </c>
      <c r="H281" s="118" t="s">
        <v>38</v>
      </c>
      <c r="I281" s="170" t="s">
        <v>290</v>
      </c>
      <c r="J281" s="172" t="s">
        <v>8</v>
      </c>
      <c r="K281" s="173">
        <v>24</v>
      </c>
      <c r="L281" s="304">
        <f>UBC_MASUK[[#This Row],[Tg Bulan]]/SUM(COUNTIFS(F:F,"(04) APR",I:I,"EB Residential Service",G:G,"2021"))</f>
        <v>39.260606059090911</v>
      </c>
      <c r="M281" s="351" t="str">
        <f t="shared" si="13"/>
        <v>863,7333333</v>
      </c>
      <c r="N281" s="304">
        <f>UBC_MASUK[[#This Row],[Tg Tahun]]/SUM(COUNTIFS(G:G,"2021",I:I,"EB Residential Service"))</f>
        <v>99.661538461538456</v>
      </c>
      <c r="O281" s="170" t="str">
        <f t="shared" si="14"/>
        <v>10364,8</v>
      </c>
    </row>
    <row r="282" spans="2:15" x14ac:dyDescent="0.35">
      <c r="B282" s="177">
        <v>44298</v>
      </c>
      <c r="C282" s="176">
        <v>2</v>
      </c>
      <c r="D282" s="171" t="str">
        <f t="shared" si="12"/>
        <v>Q2</v>
      </c>
      <c r="E282" s="176">
        <v>12</v>
      </c>
      <c r="F282" s="224" t="s">
        <v>180</v>
      </c>
      <c r="G282" s="176">
        <v>2021</v>
      </c>
      <c r="H282" s="118" t="s">
        <v>38</v>
      </c>
      <c r="I282" s="170" t="s">
        <v>290</v>
      </c>
      <c r="J282" s="172" t="s">
        <v>8</v>
      </c>
      <c r="K282" s="173">
        <v>14</v>
      </c>
      <c r="L282" s="304">
        <f>UBC_MASUK[[#This Row],[Tg Bulan]]/SUM(COUNTIFS(F:F,"(04) APR",I:I,"EB Residential Service",G:G,"2021"))</f>
        <v>39.260606059090911</v>
      </c>
      <c r="M282" s="351" t="str">
        <f t="shared" si="13"/>
        <v>863,7333333</v>
      </c>
      <c r="N282" s="304">
        <f>UBC_MASUK[[#This Row],[Tg Tahun]]/SUM(COUNTIFS(G:G,"2021",I:I,"EB Residential Service"))</f>
        <v>99.661538461538456</v>
      </c>
      <c r="O282" s="170" t="str">
        <f t="shared" si="14"/>
        <v>10364,8</v>
      </c>
    </row>
    <row r="283" spans="2:15" x14ac:dyDescent="0.35">
      <c r="B283" s="177">
        <v>44299</v>
      </c>
      <c r="C283" s="176">
        <v>2</v>
      </c>
      <c r="D283" s="171" t="str">
        <f t="shared" si="12"/>
        <v>Q2</v>
      </c>
      <c r="E283" s="176">
        <v>13</v>
      </c>
      <c r="F283" s="224" t="s">
        <v>180</v>
      </c>
      <c r="G283" s="176">
        <v>2021</v>
      </c>
      <c r="H283" s="118" t="s">
        <v>38</v>
      </c>
      <c r="I283" s="170" t="s">
        <v>290</v>
      </c>
      <c r="J283" s="172" t="s">
        <v>8</v>
      </c>
      <c r="K283" s="173">
        <v>20</v>
      </c>
      <c r="L283" s="304">
        <f>UBC_MASUK[[#This Row],[Tg Bulan]]/SUM(COUNTIFS(F:F,"(04) APR",I:I,"EB Residential Service",G:G,"2021"))</f>
        <v>39.260606059090911</v>
      </c>
      <c r="M283" s="351" t="str">
        <f t="shared" si="13"/>
        <v>863,7333333</v>
      </c>
      <c r="N283" s="304">
        <f>UBC_MASUK[[#This Row],[Tg Tahun]]/SUM(COUNTIFS(G:G,"2021",I:I,"EB Residential Service"))</f>
        <v>99.661538461538456</v>
      </c>
      <c r="O283" s="170" t="str">
        <f t="shared" si="14"/>
        <v>10364,8</v>
      </c>
    </row>
    <row r="284" spans="2:15" x14ac:dyDescent="0.35">
      <c r="B284" s="177">
        <v>44300</v>
      </c>
      <c r="C284" s="176">
        <v>2</v>
      </c>
      <c r="D284" s="171" t="str">
        <f t="shared" si="12"/>
        <v>Q2</v>
      </c>
      <c r="E284" s="176">
        <v>14</v>
      </c>
      <c r="F284" s="224" t="s">
        <v>180</v>
      </c>
      <c r="G284" s="176">
        <v>2021</v>
      </c>
      <c r="H284" s="118" t="s">
        <v>38</v>
      </c>
      <c r="I284" s="170" t="s">
        <v>290</v>
      </c>
      <c r="J284" s="172" t="s">
        <v>8</v>
      </c>
      <c r="K284" s="173">
        <v>27</v>
      </c>
      <c r="L284" s="304">
        <f>UBC_MASUK[[#This Row],[Tg Bulan]]/SUM(COUNTIFS(F:F,"(04) APR",I:I,"EB Residential Service",G:G,"2021"))</f>
        <v>39.260606059090911</v>
      </c>
      <c r="M284" s="351" t="str">
        <f t="shared" si="13"/>
        <v>863,7333333</v>
      </c>
      <c r="N284" s="304">
        <f>UBC_MASUK[[#This Row],[Tg Tahun]]/SUM(COUNTIFS(G:G,"2021",I:I,"EB Residential Service"))</f>
        <v>99.661538461538456</v>
      </c>
      <c r="O284" s="170" t="str">
        <f t="shared" si="14"/>
        <v>10364,8</v>
      </c>
    </row>
    <row r="285" spans="2:15" x14ac:dyDescent="0.35">
      <c r="B285" s="177">
        <v>44301</v>
      </c>
      <c r="C285" s="176">
        <v>3</v>
      </c>
      <c r="D285" s="171" t="str">
        <f t="shared" si="12"/>
        <v>Q2</v>
      </c>
      <c r="E285" s="176">
        <v>15</v>
      </c>
      <c r="F285" s="224" t="s">
        <v>180</v>
      </c>
      <c r="G285" s="176">
        <v>2021</v>
      </c>
      <c r="H285" s="118" t="s">
        <v>38</v>
      </c>
      <c r="I285" s="170" t="s">
        <v>290</v>
      </c>
      <c r="J285" s="172" t="s">
        <v>8</v>
      </c>
      <c r="K285" s="173">
        <v>7</v>
      </c>
      <c r="L285" s="304">
        <f>UBC_MASUK[[#This Row],[Tg Bulan]]/SUM(COUNTIFS(F:F,"(04) APR",I:I,"EB Residential Service",G:G,"2021"))</f>
        <v>39.260606059090911</v>
      </c>
      <c r="M285" s="351" t="str">
        <f t="shared" si="13"/>
        <v>863,7333333</v>
      </c>
      <c r="N285" s="304">
        <f>UBC_MASUK[[#This Row],[Tg Tahun]]/SUM(COUNTIFS(G:G,"2021",I:I,"EB Residential Service"))</f>
        <v>99.661538461538456</v>
      </c>
      <c r="O285" s="170" t="str">
        <f t="shared" si="14"/>
        <v>10364,8</v>
      </c>
    </row>
    <row r="286" spans="2:15" x14ac:dyDescent="0.35">
      <c r="B286" s="177">
        <v>44302</v>
      </c>
      <c r="C286" s="176">
        <v>3</v>
      </c>
      <c r="D286" s="171" t="str">
        <f t="shared" si="12"/>
        <v>Q2</v>
      </c>
      <c r="E286" s="176">
        <v>16</v>
      </c>
      <c r="F286" s="224" t="s">
        <v>180</v>
      </c>
      <c r="G286" s="176">
        <v>2021</v>
      </c>
      <c r="H286" s="118" t="s">
        <v>38</v>
      </c>
      <c r="I286" s="170" t="s">
        <v>290</v>
      </c>
      <c r="J286" s="172" t="s">
        <v>8</v>
      </c>
      <c r="K286" s="173">
        <v>21</v>
      </c>
      <c r="L286" s="304">
        <f>UBC_MASUK[[#This Row],[Tg Bulan]]/SUM(COUNTIFS(F:F,"(04) APR",I:I,"EB Residential Service",G:G,"2021"))</f>
        <v>39.260606059090911</v>
      </c>
      <c r="M286" s="351" t="str">
        <f t="shared" si="13"/>
        <v>863,7333333</v>
      </c>
      <c r="N286" s="304">
        <f>UBC_MASUK[[#This Row],[Tg Tahun]]/SUM(COUNTIFS(G:G,"2021",I:I,"EB Residential Service"))</f>
        <v>99.661538461538456</v>
      </c>
      <c r="O286" s="170" t="str">
        <f t="shared" si="14"/>
        <v>10364,8</v>
      </c>
    </row>
    <row r="287" spans="2:15" x14ac:dyDescent="0.35">
      <c r="B287" s="177">
        <v>44303</v>
      </c>
      <c r="C287" s="176">
        <v>3</v>
      </c>
      <c r="D287" s="171" t="str">
        <f t="shared" si="12"/>
        <v>Q2</v>
      </c>
      <c r="E287" s="176">
        <v>17</v>
      </c>
      <c r="F287" s="224" t="s">
        <v>180</v>
      </c>
      <c r="G287" s="176">
        <v>2021</v>
      </c>
      <c r="H287" s="118" t="s">
        <v>38</v>
      </c>
      <c r="I287" s="170" t="s">
        <v>290</v>
      </c>
      <c r="J287" s="172" t="s">
        <v>8</v>
      </c>
      <c r="K287" s="173">
        <v>19</v>
      </c>
      <c r="L287" s="304">
        <f>UBC_MASUK[[#This Row],[Tg Bulan]]/SUM(COUNTIFS(F:F,"(04) APR",I:I,"EB Residential Service",G:G,"2021"))</f>
        <v>39.260606059090911</v>
      </c>
      <c r="M287" s="351" t="str">
        <f t="shared" si="13"/>
        <v>863,7333333</v>
      </c>
      <c r="N287" s="304">
        <f>UBC_MASUK[[#This Row],[Tg Tahun]]/SUM(COUNTIFS(G:G,"2021",I:I,"EB Residential Service"))</f>
        <v>99.661538461538456</v>
      </c>
      <c r="O287" s="170" t="str">
        <f t="shared" si="14"/>
        <v>10364,8</v>
      </c>
    </row>
    <row r="288" spans="2:15" x14ac:dyDescent="0.35">
      <c r="B288" s="177">
        <v>44305</v>
      </c>
      <c r="C288" s="176">
        <v>3</v>
      </c>
      <c r="D288" s="171" t="str">
        <f t="shared" si="12"/>
        <v>Q2</v>
      </c>
      <c r="E288" s="176">
        <v>19</v>
      </c>
      <c r="F288" s="224" t="s">
        <v>180</v>
      </c>
      <c r="G288" s="176">
        <v>2021</v>
      </c>
      <c r="H288" s="118" t="s">
        <v>38</v>
      </c>
      <c r="I288" s="170" t="s">
        <v>290</v>
      </c>
      <c r="J288" s="172" t="s">
        <v>8</v>
      </c>
      <c r="K288" s="173">
        <v>18</v>
      </c>
      <c r="L288" s="304">
        <f>UBC_MASUK[[#This Row],[Tg Bulan]]/SUM(COUNTIFS(F:F,"(04) APR",I:I,"EB Residential Service",G:G,"2021"))</f>
        <v>39.260606059090911</v>
      </c>
      <c r="M288" s="351" t="str">
        <f t="shared" si="13"/>
        <v>863,7333333</v>
      </c>
      <c r="N288" s="304">
        <f>UBC_MASUK[[#This Row],[Tg Tahun]]/SUM(COUNTIFS(G:G,"2021",I:I,"EB Residential Service"))</f>
        <v>99.661538461538456</v>
      </c>
      <c r="O288" s="170" t="str">
        <f t="shared" si="14"/>
        <v>10364,8</v>
      </c>
    </row>
    <row r="289" spans="2:15" x14ac:dyDescent="0.35">
      <c r="B289" s="177">
        <v>44312</v>
      </c>
      <c r="C289" s="176">
        <v>4</v>
      </c>
      <c r="D289" s="171" t="str">
        <f t="shared" si="12"/>
        <v>Q2</v>
      </c>
      <c r="E289" s="176">
        <v>26</v>
      </c>
      <c r="F289" s="224" t="s">
        <v>180</v>
      </c>
      <c r="G289" s="176">
        <v>2021</v>
      </c>
      <c r="H289" s="118" t="s">
        <v>312</v>
      </c>
      <c r="I289" s="172" t="s">
        <v>31</v>
      </c>
      <c r="J289" s="172" t="s">
        <v>19</v>
      </c>
      <c r="K289" s="173">
        <v>24</v>
      </c>
      <c r="L289" s="304">
        <f>UBC_MASUK[[#This Row],[Tg Bulan]]/SUM(COUNTIFS(F:F,"(04) APR",I:I,"Bisnis",G:G,"2021"))</f>
        <v>42.896296296296299</v>
      </c>
      <c r="M289" s="351" t="str">
        <f t="shared" si="13"/>
        <v>1158,2</v>
      </c>
      <c r="N289" s="304">
        <f>UBC_MASUK[[#This Row],[Tg Tahun]]/SUM(COUNTIFS(G:G,"2021",I:I,"Bisnis"))</f>
        <v>111.18719999999999</v>
      </c>
      <c r="O289" s="170" t="str">
        <f t="shared" si="14"/>
        <v>13898,4</v>
      </c>
    </row>
    <row r="290" spans="2:15" x14ac:dyDescent="0.35">
      <c r="B290" s="177">
        <v>44312</v>
      </c>
      <c r="C290" s="176">
        <v>4</v>
      </c>
      <c r="D290" s="171" t="str">
        <f t="shared" si="12"/>
        <v>Q2</v>
      </c>
      <c r="E290" s="176">
        <v>26</v>
      </c>
      <c r="F290" s="224" t="s">
        <v>180</v>
      </c>
      <c r="G290" s="176">
        <v>2021</v>
      </c>
      <c r="H290" s="118" t="s">
        <v>27</v>
      </c>
      <c r="I290" s="172" t="s">
        <v>31</v>
      </c>
      <c r="J290" s="172" t="s">
        <v>8</v>
      </c>
      <c r="K290" s="173">
        <v>28</v>
      </c>
      <c r="L290" s="304">
        <f>UBC_MASUK[[#This Row],[Tg Bulan]]/SUM(COUNTIFS(F:F,"(04) APR",I:I,"Bisnis",G:G,"2021"))</f>
        <v>42.896296296296299</v>
      </c>
      <c r="M290" s="351" t="str">
        <f t="shared" si="13"/>
        <v>1158,2</v>
      </c>
      <c r="N290" s="304">
        <f>UBC_MASUK[[#This Row],[Tg Tahun]]/SUM(COUNTIFS(G:G,"2021",I:I,"Bisnis"))</f>
        <v>111.18719999999999</v>
      </c>
      <c r="O290" s="170" t="str">
        <f t="shared" si="14"/>
        <v>13898,4</v>
      </c>
    </row>
    <row r="291" spans="2:15" x14ac:dyDescent="0.35">
      <c r="B291" s="177">
        <v>44312</v>
      </c>
      <c r="C291" s="176">
        <v>4</v>
      </c>
      <c r="D291" s="171" t="str">
        <f t="shared" si="12"/>
        <v>Q2</v>
      </c>
      <c r="E291" s="176">
        <v>26</v>
      </c>
      <c r="F291" s="224" t="s">
        <v>180</v>
      </c>
      <c r="G291" s="176">
        <v>2021</v>
      </c>
      <c r="H291" s="118" t="s">
        <v>25</v>
      </c>
      <c r="I291" s="172" t="s">
        <v>18</v>
      </c>
      <c r="J291" s="172" t="s">
        <v>8</v>
      </c>
      <c r="K291" s="173">
        <v>300</v>
      </c>
      <c r="L291" s="304">
        <f>UBC_MASUK[[#This Row],[Tg Bulan]]/SUM(COUNTIFS(F:F,"(04) APR",I:I,"Pengepul",G:G,"2021"))</f>
        <v>1198.1208329999999</v>
      </c>
      <c r="M291" s="351" t="str">
        <f t="shared" si="13"/>
        <v>11981,20833</v>
      </c>
      <c r="N291" s="304">
        <f>UBC_MASUK[[#This Row],[Tg Tahun]]/SUM(COUNTIFS(G:G,"2021",I:I,"Pengepul"))</f>
        <v>4228.661764705882</v>
      </c>
      <c r="O291" s="170" t="str">
        <f t="shared" si="14"/>
        <v>143774,5</v>
      </c>
    </row>
    <row r="292" spans="2:15" x14ac:dyDescent="0.35">
      <c r="B292" s="177">
        <v>44312</v>
      </c>
      <c r="C292" s="176">
        <v>4</v>
      </c>
      <c r="D292" s="171" t="str">
        <f t="shared" si="12"/>
        <v>Q2</v>
      </c>
      <c r="E292" s="176">
        <v>26</v>
      </c>
      <c r="F292" s="224" t="s">
        <v>180</v>
      </c>
      <c r="G292" s="176">
        <v>2021</v>
      </c>
      <c r="H292" s="118" t="s">
        <v>313</v>
      </c>
      <c r="I292" s="172" t="s">
        <v>18</v>
      </c>
      <c r="J292" s="172" t="s">
        <v>19</v>
      </c>
      <c r="K292" s="173">
        <v>308</v>
      </c>
      <c r="L292" s="304">
        <f>UBC_MASUK[[#This Row],[Tg Bulan]]/SUM(COUNTIFS(F:F,"(04) APR",I:I,"Pengepul",G:G,"2021"))</f>
        <v>1198.1208329999999</v>
      </c>
      <c r="M292" s="351" t="str">
        <f t="shared" si="13"/>
        <v>11981,20833</v>
      </c>
      <c r="N292" s="304">
        <f>UBC_MASUK[[#This Row],[Tg Tahun]]/SUM(COUNTIFS(G:G,"2021",I:I,"Pengepul"))</f>
        <v>4228.661764705882</v>
      </c>
      <c r="O292" s="170" t="str">
        <f t="shared" si="14"/>
        <v>143774,5</v>
      </c>
    </row>
    <row r="293" spans="2:15" x14ac:dyDescent="0.35">
      <c r="B293" s="177">
        <v>44312</v>
      </c>
      <c r="C293" s="176">
        <v>4</v>
      </c>
      <c r="D293" s="171" t="str">
        <f t="shared" si="12"/>
        <v>Q2</v>
      </c>
      <c r="E293" s="176">
        <v>26</v>
      </c>
      <c r="F293" s="224" t="s">
        <v>180</v>
      </c>
      <c r="G293" s="176">
        <v>2021</v>
      </c>
      <c r="H293" s="118" t="s">
        <v>24</v>
      </c>
      <c r="I293" s="172" t="s">
        <v>21</v>
      </c>
      <c r="J293" s="172" t="s">
        <v>19</v>
      </c>
      <c r="K293" s="173">
        <v>48</v>
      </c>
      <c r="L293" s="304">
        <f>UBC_MASUK[[#This Row],[Tg Bulan]]/SUM(COUNTIFS(F:F,"(04) APR",I:I,"Jasa sampah",G:G,"2021"))</f>
        <v>742.48666660000004</v>
      </c>
      <c r="M293" s="351" t="str">
        <f t="shared" si="13"/>
        <v>3712,433333</v>
      </c>
      <c r="N293" s="304">
        <f>UBC_MASUK[[#This Row],[Tg Tahun]]/SUM(COUNTIFS(G:G,"2021",I:I,"Jasa sampah"))</f>
        <v>1856.2166666666665</v>
      </c>
      <c r="O293" s="170" t="str">
        <f t="shared" si="14"/>
        <v>44549,2</v>
      </c>
    </row>
    <row r="294" spans="2:15" x14ac:dyDescent="0.35">
      <c r="B294" s="177">
        <v>44312</v>
      </c>
      <c r="C294" s="176">
        <v>4</v>
      </c>
      <c r="D294" s="171" t="str">
        <f t="shared" si="12"/>
        <v>Q2</v>
      </c>
      <c r="E294" s="176">
        <v>26</v>
      </c>
      <c r="F294" s="224" t="s">
        <v>180</v>
      </c>
      <c r="G294" s="176">
        <v>2021</v>
      </c>
      <c r="H294" s="118" t="s">
        <v>20</v>
      </c>
      <c r="I294" s="172" t="s">
        <v>21</v>
      </c>
      <c r="J294" s="172" t="s">
        <v>19</v>
      </c>
      <c r="K294" s="173">
        <v>25</v>
      </c>
      <c r="L294" s="304">
        <f>UBC_MASUK[[#This Row],[Tg Bulan]]/SUM(COUNTIFS(F:F,"(04) APR",I:I,"Jasa sampah",G:G,"2021"))</f>
        <v>742.48666660000004</v>
      </c>
      <c r="M294" s="351" t="str">
        <f t="shared" si="13"/>
        <v>3712,433333</v>
      </c>
      <c r="N294" s="304">
        <f>UBC_MASUK[[#This Row],[Tg Tahun]]/SUM(COUNTIFS(G:G,"2021",I:I,"Jasa sampah"))</f>
        <v>1856.2166666666665</v>
      </c>
      <c r="O294" s="170" t="str">
        <f t="shared" si="14"/>
        <v>44549,2</v>
      </c>
    </row>
    <row r="295" spans="2:15" x14ac:dyDescent="0.35">
      <c r="B295" s="177">
        <v>44313</v>
      </c>
      <c r="C295" s="176">
        <v>4</v>
      </c>
      <c r="D295" s="171" t="str">
        <f t="shared" si="12"/>
        <v>Q2</v>
      </c>
      <c r="E295" s="176">
        <v>27</v>
      </c>
      <c r="F295" s="224" t="s">
        <v>180</v>
      </c>
      <c r="G295" s="176">
        <v>2021</v>
      </c>
      <c r="H295" s="118" t="s">
        <v>12</v>
      </c>
      <c r="I295" s="172" t="s">
        <v>13</v>
      </c>
      <c r="J295" s="172" t="s">
        <v>14</v>
      </c>
      <c r="K295" s="173">
        <v>94</v>
      </c>
      <c r="L295" s="304">
        <f>UBC_MASUK[[#This Row],[Tg Bulan]]/SUM(COUNTIFS(F:F,"(04) APR",I:I,"TPST3R",G:G,"2021"))</f>
        <v>407.4083333333333</v>
      </c>
      <c r="M295" s="351" t="str">
        <f t="shared" si="13"/>
        <v>1222,225</v>
      </c>
      <c r="N295" s="304">
        <f>UBC_MASUK[[#This Row],[Tg Tahun]]/SUM(COUNTIFS(G:G,"2021",I:I,"TPST3R"))</f>
        <v>1333.3363636363638</v>
      </c>
      <c r="O295" s="170" t="str">
        <f t="shared" si="14"/>
        <v>14666,7</v>
      </c>
    </row>
    <row r="296" spans="2:15" x14ac:dyDescent="0.35">
      <c r="B296" s="177">
        <v>44313</v>
      </c>
      <c r="C296" s="176">
        <v>4</v>
      </c>
      <c r="D296" s="171" t="str">
        <f t="shared" si="12"/>
        <v>Q2</v>
      </c>
      <c r="E296" s="176">
        <v>27</v>
      </c>
      <c r="F296" s="224" t="s">
        <v>180</v>
      </c>
      <c r="G296" s="176">
        <v>2021</v>
      </c>
      <c r="H296" s="118" t="s">
        <v>314</v>
      </c>
      <c r="I296" s="172" t="s">
        <v>160</v>
      </c>
      <c r="J296" s="172" t="s">
        <v>14</v>
      </c>
      <c r="K296" s="173">
        <v>22</v>
      </c>
      <c r="L296" s="304">
        <f>UBC_MASUK[[#This Row],[Tg Bulan]]/SUM(COUNTIFS(F:F,"(04) APR",I:I,"Bank Sampah Induk",G:G,"2021"))</f>
        <v>93.158333333333346</v>
      </c>
      <c r="M296" s="351" t="str">
        <f t="shared" si="13"/>
        <v>279,475</v>
      </c>
      <c r="N296" s="304">
        <f>UBC_MASUK[[#This Row],[Tg Tahun]]/SUM(COUNTIFS(G:G,"2021",I:I,"Bank Sampah Induk"))</f>
        <v>419.21249999999998</v>
      </c>
      <c r="O296" s="170" t="str">
        <f t="shared" si="14"/>
        <v>3353,7</v>
      </c>
    </row>
    <row r="297" spans="2:15" x14ac:dyDescent="0.35">
      <c r="B297" s="177">
        <v>44313</v>
      </c>
      <c r="C297" s="176">
        <v>4</v>
      </c>
      <c r="D297" s="171" t="str">
        <f t="shared" si="12"/>
        <v>Q2</v>
      </c>
      <c r="E297" s="176">
        <v>27</v>
      </c>
      <c r="F297" s="224" t="s">
        <v>180</v>
      </c>
      <c r="G297" s="176">
        <v>2021</v>
      </c>
      <c r="H297" s="118" t="s">
        <v>315</v>
      </c>
      <c r="I297" s="172" t="s">
        <v>31</v>
      </c>
      <c r="J297" s="172" t="s">
        <v>19</v>
      </c>
      <c r="K297" s="173">
        <v>1.7</v>
      </c>
      <c r="L297" s="304">
        <f>UBC_MASUK[[#This Row],[Tg Bulan]]/SUM(COUNTIFS(F:F,"(04) APR",I:I,"Bisnis",G:G,"2021"))</f>
        <v>42.896296296296299</v>
      </c>
      <c r="M297" s="351" t="str">
        <f t="shared" si="13"/>
        <v>1158,2</v>
      </c>
      <c r="N297" s="304">
        <f>UBC_MASUK[[#This Row],[Tg Tahun]]/SUM(COUNTIFS(G:G,"2021",I:I,"Bisnis"))</f>
        <v>111.18719999999999</v>
      </c>
      <c r="O297" s="170" t="str">
        <f t="shared" si="14"/>
        <v>13898,4</v>
      </c>
    </row>
    <row r="298" spans="2:15" x14ac:dyDescent="0.35">
      <c r="B298" s="177">
        <v>44313</v>
      </c>
      <c r="C298" s="353">
        <v>4</v>
      </c>
      <c r="D298" s="171" t="str">
        <f t="shared" si="12"/>
        <v>Q2</v>
      </c>
      <c r="E298" s="353">
        <v>27</v>
      </c>
      <c r="F298" s="224" t="s">
        <v>180</v>
      </c>
      <c r="G298" s="170">
        <v>2021</v>
      </c>
      <c r="H298" s="118" t="s">
        <v>41</v>
      </c>
      <c r="I298" s="172" t="s">
        <v>31</v>
      </c>
      <c r="J298" s="170" t="s">
        <v>8</v>
      </c>
      <c r="K298" s="355">
        <v>1.9</v>
      </c>
      <c r="L298" s="304">
        <f>UBC_MASUK[[#This Row],[Tg Bulan]]/SUM(COUNTIFS(F:F,"(04) APR",I:I,"Bisnis",G:G,"2021"))</f>
        <v>42.896296296296299</v>
      </c>
      <c r="M298" s="351" t="str">
        <f t="shared" si="13"/>
        <v>1158,2</v>
      </c>
      <c r="N298" s="304">
        <f>UBC_MASUK[[#This Row],[Tg Tahun]]/SUM(COUNTIFS(G:G,"2021",I:I,"Bisnis"))</f>
        <v>111.18719999999999</v>
      </c>
      <c r="O298" s="170" t="str">
        <f t="shared" si="14"/>
        <v>13898,4</v>
      </c>
    </row>
    <row r="299" spans="2:15" x14ac:dyDescent="0.35">
      <c r="B299" s="177">
        <v>44313</v>
      </c>
      <c r="C299" s="176">
        <v>4</v>
      </c>
      <c r="D299" s="171" t="str">
        <f t="shared" si="12"/>
        <v>Q2</v>
      </c>
      <c r="E299" s="176">
        <v>27</v>
      </c>
      <c r="F299" s="224" t="s">
        <v>180</v>
      </c>
      <c r="G299" s="176">
        <v>2021</v>
      </c>
      <c r="H299" s="118" t="s">
        <v>316</v>
      </c>
      <c r="I299" s="172" t="s">
        <v>37</v>
      </c>
      <c r="J299" s="172" t="s">
        <v>8</v>
      </c>
      <c r="K299" s="173">
        <v>2.4</v>
      </c>
      <c r="L299" s="304">
        <f>UBC_MASUK[[#This Row],[Tg Bulan]]/SUM(COUNTIFS(F:F,"(04) APR",I:I,"Bank Sampah Unit",G:G,"2021"))</f>
        <v>19.866666667499999</v>
      </c>
      <c r="M299" s="351" t="str">
        <f t="shared" si="13"/>
        <v>79,46666667</v>
      </c>
      <c r="N299" s="304">
        <f>UBC_MASUK[[#This Row],[Tg Tahun]]/SUM(COUNTIFS(G:G,"2021",I:I,"Bank Sampah Unit"))</f>
        <v>24.451282051282053</v>
      </c>
      <c r="O299" s="170" t="str">
        <f t="shared" si="14"/>
        <v>953,6</v>
      </c>
    </row>
    <row r="300" spans="2:15" x14ac:dyDescent="0.35">
      <c r="B300" s="177">
        <v>44306</v>
      </c>
      <c r="C300" s="176">
        <v>3</v>
      </c>
      <c r="D300" s="171" t="str">
        <f t="shared" si="12"/>
        <v>Q2</v>
      </c>
      <c r="E300" s="176">
        <v>20</v>
      </c>
      <c r="F300" s="224" t="s">
        <v>180</v>
      </c>
      <c r="G300" s="176">
        <v>2021</v>
      </c>
      <c r="H300" s="118" t="s">
        <v>38</v>
      </c>
      <c r="I300" s="172" t="s">
        <v>290</v>
      </c>
      <c r="J300" s="172" t="s">
        <v>8</v>
      </c>
      <c r="K300" s="173">
        <v>22</v>
      </c>
      <c r="L300" s="304">
        <f>UBC_MASUK[[#This Row],[Tg Bulan]]/SUM(COUNTIFS(F:F,"(04) APR",I:I,"EB Residential Service",G:G,"2021"))</f>
        <v>39.260606059090911</v>
      </c>
      <c r="M300" s="351" t="str">
        <f t="shared" si="13"/>
        <v>863,7333333</v>
      </c>
      <c r="N300" s="304">
        <f>UBC_MASUK[[#This Row],[Tg Tahun]]/SUM(COUNTIFS(G:G,"2021",I:I,"EB Residential Service"))</f>
        <v>99.661538461538456</v>
      </c>
      <c r="O300" s="170" t="str">
        <f t="shared" si="14"/>
        <v>10364,8</v>
      </c>
    </row>
    <row r="301" spans="2:15" x14ac:dyDescent="0.35">
      <c r="B301" s="177">
        <v>44308</v>
      </c>
      <c r="C301" s="176">
        <v>4</v>
      </c>
      <c r="D301" s="171" t="str">
        <f t="shared" si="12"/>
        <v>Q2</v>
      </c>
      <c r="E301" s="176">
        <v>22</v>
      </c>
      <c r="F301" s="224" t="s">
        <v>180</v>
      </c>
      <c r="G301" s="176">
        <v>2021</v>
      </c>
      <c r="H301" s="118" t="s">
        <v>38</v>
      </c>
      <c r="I301" s="172" t="s">
        <v>290</v>
      </c>
      <c r="J301" s="172" t="s">
        <v>8</v>
      </c>
      <c r="K301" s="173">
        <v>19</v>
      </c>
      <c r="L301" s="304">
        <f>UBC_MASUK[[#This Row],[Tg Bulan]]/SUM(COUNTIFS(F:F,"(04) APR",I:I,"EB Residential Service",G:G,"2021"))</f>
        <v>39.260606059090911</v>
      </c>
      <c r="M301" s="351" t="str">
        <f t="shared" si="13"/>
        <v>863,7333333</v>
      </c>
      <c r="N301" s="304">
        <f>UBC_MASUK[[#This Row],[Tg Tahun]]/SUM(COUNTIFS(G:G,"2021",I:I,"EB Residential Service"))</f>
        <v>99.661538461538456</v>
      </c>
      <c r="O301" s="170" t="str">
        <f t="shared" si="14"/>
        <v>10364,8</v>
      </c>
    </row>
    <row r="302" spans="2:15" x14ac:dyDescent="0.35">
      <c r="B302" s="177">
        <v>44309</v>
      </c>
      <c r="C302" s="176">
        <v>4</v>
      </c>
      <c r="D302" s="171" t="str">
        <f t="shared" si="12"/>
        <v>Q2</v>
      </c>
      <c r="E302" s="176">
        <v>23</v>
      </c>
      <c r="F302" s="224" t="s">
        <v>180</v>
      </c>
      <c r="G302" s="176">
        <v>2021</v>
      </c>
      <c r="H302" s="118" t="s">
        <v>38</v>
      </c>
      <c r="I302" s="172" t="s">
        <v>290</v>
      </c>
      <c r="J302" s="172" t="s">
        <v>8</v>
      </c>
      <c r="K302" s="173">
        <v>32</v>
      </c>
      <c r="L302" s="304">
        <f>UBC_MASUK[[#This Row],[Tg Bulan]]/SUM(COUNTIFS(F:F,"(04) APR",I:I,"EB Residential Service",G:G,"2021"))</f>
        <v>39.260606059090911</v>
      </c>
      <c r="M302" s="351" t="str">
        <f t="shared" si="13"/>
        <v>863,7333333</v>
      </c>
      <c r="N302" s="304">
        <f>UBC_MASUK[[#This Row],[Tg Tahun]]/SUM(COUNTIFS(G:G,"2021",I:I,"EB Residential Service"))</f>
        <v>99.661538461538456</v>
      </c>
      <c r="O302" s="170" t="str">
        <f t="shared" si="14"/>
        <v>10364,8</v>
      </c>
    </row>
    <row r="303" spans="2:15" x14ac:dyDescent="0.35">
      <c r="B303" s="177">
        <v>44312</v>
      </c>
      <c r="C303" s="176">
        <v>4</v>
      </c>
      <c r="D303" s="171" t="str">
        <f t="shared" si="12"/>
        <v>Q2</v>
      </c>
      <c r="E303" s="176">
        <v>26</v>
      </c>
      <c r="F303" s="224" t="s">
        <v>180</v>
      </c>
      <c r="G303" s="176">
        <v>2021</v>
      </c>
      <c r="H303" s="118" t="s">
        <v>38</v>
      </c>
      <c r="I303" s="172" t="s">
        <v>290</v>
      </c>
      <c r="J303" s="172" t="s">
        <v>8</v>
      </c>
      <c r="K303" s="173">
        <v>21</v>
      </c>
      <c r="L303" s="304">
        <f>UBC_MASUK[[#This Row],[Tg Bulan]]/SUM(COUNTIFS(F:F,"(04) APR",I:I,"EB Residential Service",G:G,"2021"))</f>
        <v>39.260606059090911</v>
      </c>
      <c r="M303" s="351" t="str">
        <f t="shared" si="13"/>
        <v>863,7333333</v>
      </c>
      <c r="N303" s="304">
        <f>UBC_MASUK[[#This Row],[Tg Tahun]]/SUM(COUNTIFS(G:G,"2021",I:I,"EB Residential Service"))</f>
        <v>99.661538461538456</v>
      </c>
      <c r="O303" s="170" t="str">
        <f t="shared" si="14"/>
        <v>10364,8</v>
      </c>
    </row>
    <row r="304" spans="2:15" x14ac:dyDescent="0.35">
      <c r="B304" s="177">
        <v>44313</v>
      </c>
      <c r="C304" s="176">
        <v>4</v>
      </c>
      <c r="D304" s="171" t="str">
        <f t="shared" si="12"/>
        <v>Q2</v>
      </c>
      <c r="E304" s="176">
        <v>27</v>
      </c>
      <c r="F304" s="224" t="s">
        <v>180</v>
      </c>
      <c r="G304" s="176">
        <v>2021</v>
      </c>
      <c r="H304" s="118" t="s">
        <v>38</v>
      </c>
      <c r="I304" s="172" t="s">
        <v>290</v>
      </c>
      <c r="J304" s="172" t="s">
        <v>8</v>
      </c>
      <c r="K304" s="173">
        <v>20</v>
      </c>
      <c r="L304" s="304">
        <f>UBC_MASUK[[#This Row],[Tg Bulan]]/SUM(COUNTIFS(F:F,"(04) APR",I:I,"EB Residential Service",G:G,"2021"))</f>
        <v>39.260606059090911</v>
      </c>
      <c r="M304" s="351" t="str">
        <f t="shared" si="13"/>
        <v>863,7333333</v>
      </c>
      <c r="N304" s="304">
        <f>UBC_MASUK[[#This Row],[Tg Tahun]]/SUM(COUNTIFS(G:G,"2021",I:I,"EB Residential Service"))</f>
        <v>99.661538461538456</v>
      </c>
      <c r="O304" s="170" t="str">
        <f t="shared" si="14"/>
        <v>10364,8</v>
      </c>
    </row>
    <row r="305" spans="2:15" x14ac:dyDescent="0.35">
      <c r="B305" s="177">
        <v>44315</v>
      </c>
      <c r="C305" s="176">
        <v>5</v>
      </c>
      <c r="D305" s="171" t="str">
        <f t="shared" si="12"/>
        <v>Q2</v>
      </c>
      <c r="E305" s="176">
        <v>29</v>
      </c>
      <c r="F305" s="224" t="s">
        <v>180</v>
      </c>
      <c r="G305" s="176">
        <v>2021</v>
      </c>
      <c r="H305" s="118" t="s">
        <v>38</v>
      </c>
      <c r="I305" s="172" t="s">
        <v>290</v>
      </c>
      <c r="J305" s="172" t="s">
        <v>8</v>
      </c>
      <c r="K305" s="173">
        <v>28</v>
      </c>
      <c r="L305" s="304">
        <f>UBC_MASUK[[#This Row],[Tg Bulan]]/SUM(COUNTIFS(F:F,"(04) APR",I:I,"EB Residential Service",G:G,"2021"))</f>
        <v>39.260606059090911</v>
      </c>
      <c r="M305" s="351" t="str">
        <f t="shared" si="13"/>
        <v>863,7333333</v>
      </c>
      <c r="N305" s="304">
        <f>UBC_MASUK[[#This Row],[Tg Tahun]]/SUM(COUNTIFS(G:G,"2021",I:I,"EB Residential Service"))</f>
        <v>99.661538461538456</v>
      </c>
      <c r="O305" s="170" t="str">
        <f t="shared" si="14"/>
        <v>10364,8</v>
      </c>
    </row>
    <row r="306" spans="2:15" x14ac:dyDescent="0.35">
      <c r="B306" s="177">
        <v>44316</v>
      </c>
      <c r="C306" s="176">
        <v>5</v>
      </c>
      <c r="D306" s="171" t="str">
        <f t="shared" si="12"/>
        <v>Q2</v>
      </c>
      <c r="E306" s="176">
        <v>30</v>
      </c>
      <c r="F306" s="224" t="s">
        <v>180</v>
      </c>
      <c r="G306" s="176">
        <v>2021</v>
      </c>
      <c r="H306" s="118" t="s">
        <v>38</v>
      </c>
      <c r="I306" s="172" t="s">
        <v>290</v>
      </c>
      <c r="J306" s="172" t="s">
        <v>8</v>
      </c>
      <c r="K306" s="173">
        <v>27</v>
      </c>
      <c r="L306" s="304">
        <f>UBC_MASUK[[#This Row],[Tg Bulan]]/SUM(COUNTIFS(F:F,"(04) APR",I:I,"EB Residential Service",G:G,"2021"))</f>
        <v>39.260606059090911</v>
      </c>
      <c r="M306" s="351" t="str">
        <f t="shared" si="13"/>
        <v>863,7333333</v>
      </c>
      <c r="N306" s="304">
        <f>UBC_MASUK[[#This Row],[Tg Tahun]]/SUM(COUNTIFS(G:G,"2021",I:I,"EB Residential Service"))</f>
        <v>99.661538461538456</v>
      </c>
      <c r="O306" s="170" t="str">
        <f t="shared" si="14"/>
        <v>10364,8</v>
      </c>
    </row>
    <row r="307" spans="2:15" x14ac:dyDescent="0.35">
      <c r="B307" s="177">
        <v>44316</v>
      </c>
      <c r="C307" s="176">
        <v>5</v>
      </c>
      <c r="D307" s="171" t="str">
        <f t="shared" si="12"/>
        <v>Q2</v>
      </c>
      <c r="E307" s="176">
        <v>30</v>
      </c>
      <c r="F307" s="224" t="s">
        <v>180</v>
      </c>
      <c r="G307" s="176">
        <v>2021</v>
      </c>
      <c r="H307" s="118" t="s">
        <v>22</v>
      </c>
      <c r="I307" s="172" t="s">
        <v>18</v>
      </c>
      <c r="J307" s="172" t="s">
        <v>19</v>
      </c>
      <c r="K307" s="173">
        <v>1213</v>
      </c>
      <c r="L307" s="304">
        <f>UBC_MASUK[[#This Row],[Tg Bulan]]/SUM(COUNTIFS(F:F,"(04) APR",I:I,"Pengepul",G:G,"2021"))</f>
        <v>1198.1208329999999</v>
      </c>
      <c r="M307" s="351" t="str">
        <f t="shared" si="13"/>
        <v>11981,20833</v>
      </c>
      <c r="N307" s="304">
        <f>UBC_MASUK[[#This Row],[Tg Tahun]]/SUM(COUNTIFS(G:G,"2021",I:I,"Pengepul"))</f>
        <v>4228.661764705882</v>
      </c>
      <c r="O307" s="170" t="str">
        <f t="shared" si="14"/>
        <v>143774,5</v>
      </c>
    </row>
    <row r="308" spans="2:15" x14ac:dyDescent="0.35">
      <c r="B308" s="177">
        <v>44316</v>
      </c>
      <c r="C308" s="176">
        <v>5</v>
      </c>
      <c r="D308" s="171" t="str">
        <f t="shared" si="12"/>
        <v>Q2</v>
      </c>
      <c r="E308" s="176">
        <v>30</v>
      </c>
      <c r="F308" s="224" t="s">
        <v>180</v>
      </c>
      <c r="G308" s="176">
        <v>2021</v>
      </c>
      <c r="H308" s="118" t="s">
        <v>83</v>
      </c>
      <c r="I308" s="172" t="s">
        <v>21</v>
      </c>
      <c r="J308" s="172" t="s">
        <v>8</v>
      </c>
      <c r="K308" s="173">
        <v>77</v>
      </c>
      <c r="L308" s="304">
        <f>UBC_MASUK[[#This Row],[Tg Bulan]]/SUM(COUNTIFS(F:F,"(04) APR",I:I,"Jasa sampah",G:G,"2021"))</f>
        <v>742.48666660000004</v>
      </c>
      <c r="M308" s="351" t="str">
        <f t="shared" si="13"/>
        <v>3712,433333</v>
      </c>
      <c r="N308" s="304">
        <f>UBC_MASUK[[#This Row],[Tg Tahun]]/SUM(COUNTIFS(G:G,"2021",I:I,"Jasa sampah"))</f>
        <v>1856.2166666666665</v>
      </c>
      <c r="O308" s="170" t="str">
        <f t="shared" si="14"/>
        <v>44549,2</v>
      </c>
    </row>
    <row r="309" spans="2:15" x14ac:dyDescent="0.35">
      <c r="B309" s="177">
        <v>44313</v>
      </c>
      <c r="C309" s="176">
        <v>4</v>
      </c>
      <c r="D309" s="171" t="str">
        <f t="shared" si="12"/>
        <v>Q2</v>
      </c>
      <c r="E309" s="176">
        <v>27</v>
      </c>
      <c r="F309" s="224" t="s">
        <v>180</v>
      </c>
      <c r="G309" s="176">
        <v>2021</v>
      </c>
      <c r="H309" s="118" t="s">
        <v>159</v>
      </c>
      <c r="I309" s="172" t="s">
        <v>160</v>
      </c>
      <c r="J309" s="172" t="s">
        <v>161</v>
      </c>
      <c r="K309" s="173">
        <v>0</v>
      </c>
      <c r="L309" s="304">
        <f>UBC_MASUK[[#This Row],[Tg Bulan]]/SUM(COUNTIFS(F:F,"(04) APR",I:I,"Bank Sampah Induk",G:G,"2021"))</f>
        <v>93.158333333333346</v>
      </c>
      <c r="M309" s="351" t="str">
        <f t="shared" si="13"/>
        <v>279,475</v>
      </c>
      <c r="N309" s="304">
        <f>UBC_MASUK[[#This Row],[Tg Tahun]]/SUM(COUNTIFS(G:G,"2021",I:I,"Bank Sampah Induk"))</f>
        <v>419.21249999999998</v>
      </c>
      <c r="O309" s="170" t="str">
        <f t="shared" si="14"/>
        <v>3353,7</v>
      </c>
    </row>
    <row r="310" spans="2:15" x14ac:dyDescent="0.35">
      <c r="B310" s="177">
        <v>44315</v>
      </c>
      <c r="C310" s="176">
        <v>5</v>
      </c>
      <c r="D310" s="171" t="str">
        <f t="shared" si="12"/>
        <v>Q2</v>
      </c>
      <c r="E310" s="176">
        <v>29</v>
      </c>
      <c r="F310" s="224" t="s">
        <v>180</v>
      </c>
      <c r="G310" s="176">
        <v>2021</v>
      </c>
      <c r="H310" s="118" t="s">
        <v>121</v>
      </c>
      <c r="I310" s="172" t="s">
        <v>31</v>
      </c>
      <c r="J310" s="172" t="s">
        <v>8</v>
      </c>
      <c r="K310" s="173">
        <v>10</v>
      </c>
      <c r="L310" s="304">
        <f>UBC_MASUK[[#This Row],[Tg Bulan]]/SUM(COUNTIFS(F:F,"(04) APR",I:I,"Bisnis",G:G,"2021"))</f>
        <v>42.896296296296299</v>
      </c>
      <c r="M310" s="351" t="str">
        <f t="shared" si="13"/>
        <v>1158,2</v>
      </c>
      <c r="N310" s="304">
        <f>UBC_MASUK[[#This Row],[Tg Tahun]]/SUM(COUNTIFS(G:G,"2021",I:I,"Bisnis"))</f>
        <v>111.18719999999999</v>
      </c>
      <c r="O310" s="170" t="str">
        <f t="shared" si="14"/>
        <v>13898,4</v>
      </c>
    </row>
    <row r="311" spans="2:15" x14ac:dyDescent="0.35">
      <c r="B311" s="177">
        <v>44316</v>
      </c>
      <c r="C311" s="176">
        <v>5</v>
      </c>
      <c r="D311" s="171" t="str">
        <f t="shared" si="12"/>
        <v>Q2</v>
      </c>
      <c r="E311" s="176">
        <v>30</v>
      </c>
      <c r="F311" s="224" t="s">
        <v>180</v>
      </c>
      <c r="G311" s="176">
        <v>2021</v>
      </c>
      <c r="H311" s="118" t="s">
        <v>312</v>
      </c>
      <c r="I311" s="172" t="s">
        <v>31</v>
      </c>
      <c r="J311" s="172" t="s">
        <v>19</v>
      </c>
      <c r="K311" s="173">
        <v>56</v>
      </c>
      <c r="L311" s="304">
        <f>UBC_MASUK[[#This Row],[Tg Bulan]]/SUM(COUNTIFS(F:F,"(04) APR",I:I,"Bisnis",G:G,"2021"))</f>
        <v>42.896296296296299</v>
      </c>
      <c r="M311" s="351" t="str">
        <f t="shared" si="13"/>
        <v>1158,2</v>
      </c>
      <c r="N311" s="304">
        <f>UBC_MASUK[[#This Row],[Tg Tahun]]/SUM(COUNTIFS(G:G,"2021",I:I,"Bisnis"))</f>
        <v>111.18719999999999</v>
      </c>
      <c r="O311" s="170" t="str">
        <f t="shared" si="14"/>
        <v>13898,4</v>
      </c>
    </row>
    <row r="312" spans="2:15" x14ac:dyDescent="0.35">
      <c r="B312" s="177">
        <v>44316</v>
      </c>
      <c r="C312" s="176">
        <v>5</v>
      </c>
      <c r="D312" s="171" t="str">
        <f t="shared" si="12"/>
        <v>Q2</v>
      </c>
      <c r="E312" s="176">
        <v>30</v>
      </c>
      <c r="F312" s="224" t="s">
        <v>180</v>
      </c>
      <c r="G312" s="176">
        <v>2021</v>
      </c>
      <c r="H312" s="118" t="s">
        <v>303</v>
      </c>
      <c r="I312" s="172" t="s">
        <v>31</v>
      </c>
      <c r="J312" s="172" t="s">
        <v>8</v>
      </c>
      <c r="K312" s="173">
        <v>46</v>
      </c>
      <c r="L312" s="304">
        <f>UBC_MASUK[[#This Row],[Tg Bulan]]/SUM(COUNTIFS(F:F,"(04) APR",I:I,"Bisnis",G:G,"2021"))</f>
        <v>42.896296296296299</v>
      </c>
      <c r="M312" s="351" t="str">
        <f t="shared" si="13"/>
        <v>1158,2</v>
      </c>
      <c r="N312" s="304">
        <f>UBC_MASUK[[#This Row],[Tg Tahun]]/SUM(COUNTIFS(G:G,"2021",I:I,"Bisnis"))</f>
        <v>111.18719999999999</v>
      </c>
      <c r="O312" s="170" t="str">
        <f t="shared" si="14"/>
        <v>13898,4</v>
      </c>
    </row>
    <row r="313" spans="2:15" x14ac:dyDescent="0.35">
      <c r="B313" s="177">
        <v>44316</v>
      </c>
      <c r="C313" s="176">
        <v>5</v>
      </c>
      <c r="D313" s="171" t="str">
        <f t="shared" si="12"/>
        <v>Q2</v>
      </c>
      <c r="E313" s="176">
        <v>30</v>
      </c>
      <c r="F313" s="224" t="s">
        <v>180</v>
      </c>
      <c r="G313" s="176">
        <v>2021</v>
      </c>
      <c r="H313" s="118" t="s">
        <v>35</v>
      </c>
      <c r="I313" s="172" t="s">
        <v>36</v>
      </c>
      <c r="J313" s="172" t="s">
        <v>8</v>
      </c>
      <c r="K313" s="173">
        <v>17</v>
      </c>
      <c r="L313" s="304">
        <f>UBC_MASUK[[#This Row],[Tg Bulan]]/SUM(COUNTIFS(F:F,"(04) APR",I:I,"Sekolah",G:G,"2021"))</f>
        <v>12.955000000000002</v>
      </c>
      <c r="M313" s="351" t="str">
        <f t="shared" si="13"/>
        <v>64,775</v>
      </c>
      <c r="N313" s="304">
        <f>UBC_MASUK[[#This Row],[Tg Tahun]]/SUM(COUNTIFS(G:G,"2021",I:I,"Sekolah"))</f>
        <v>38.864999999999995</v>
      </c>
      <c r="O313" s="170" t="str">
        <f t="shared" si="14"/>
        <v>777,3</v>
      </c>
    </row>
    <row r="314" spans="2:15" x14ac:dyDescent="0.35">
      <c r="B314" s="177">
        <v>44316</v>
      </c>
      <c r="C314" s="176">
        <v>5</v>
      </c>
      <c r="D314" s="171" t="str">
        <f t="shared" si="12"/>
        <v>Q2</v>
      </c>
      <c r="E314" s="176">
        <v>30</v>
      </c>
      <c r="F314" s="224" t="s">
        <v>180</v>
      </c>
      <c r="G314" s="176">
        <v>2021</v>
      </c>
      <c r="H314" s="352" t="s">
        <v>15</v>
      </c>
      <c r="I314" s="170" t="s">
        <v>16</v>
      </c>
      <c r="J314" s="170" t="s">
        <v>14</v>
      </c>
      <c r="K314" s="355">
        <v>0</v>
      </c>
      <c r="L314" s="304">
        <f>UBC_MASUK[[#This Row],[Tg Bulan]]/SUM(COUNTIFS(F:F,"(04) APR",I:I,"TPA",G:G,"2021"))</f>
        <v>878.97500000000002</v>
      </c>
      <c r="M314" s="351" t="str">
        <f t="shared" si="13"/>
        <v>878,975</v>
      </c>
      <c r="N314" s="304">
        <f>UBC_MASUK[[#This Row],[Tg Tahun]]/SUM(COUNTIFS(G:G,"2021",I:I,"TPA"))</f>
        <v>1757.95</v>
      </c>
      <c r="O314" s="170" t="str">
        <f t="shared" si="14"/>
        <v>10547,7</v>
      </c>
    </row>
    <row r="315" spans="2:15" x14ac:dyDescent="0.35">
      <c r="B315" s="177">
        <v>44316</v>
      </c>
      <c r="C315" s="176">
        <v>5</v>
      </c>
      <c r="D315" s="171" t="str">
        <f t="shared" si="12"/>
        <v>Q2</v>
      </c>
      <c r="E315" s="176">
        <v>30</v>
      </c>
      <c r="F315" s="224" t="s">
        <v>180</v>
      </c>
      <c r="G315" s="176">
        <v>2021</v>
      </c>
      <c r="H315" s="118" t="s">
        <v>336</v>
      </c>
      <c r="I315" s="172" t="s">
        <v>37</v>
      </c>
      <c r="J315" s="172" t="s">
        <v>8</v>
      </c>
      <c r="K315" s="173">
        <v>0.3</v>
      </c>
      <c r="L315" s="304">
        <f>UBC_MASUK[[#This Row],[Tg Bulan]]/SUM(COUNTIFS(F:F,"(04) APR",I:I,"Bank Sampah Unit",G:G,"2021"))</f>
        <v>19.866666667499999</v>
      </c>
      <c r="M315" s="351" t="str">
        <f t="shared" si="13"/>
        <v>79,46666667</v>
      </c>
      <c r="N315" s="304">
        <f>UBC_MASUK[[#This Row],[Tg Tahun]]/SUM(COUNTIFS(G:G,"2021",I:I,"Bank Sampah Unit"))</f>
        <v>24.451282051282053</v>
      </c>
      <c r="O315" s="170" t="str">
        <f t="shared" si="14"/>
        <v>953,6</v>
      </c>
    </row>
    <row r="316" spans="2:15" x14ac:dyDescent="0.35">
      <c r="B316" s="177">
        <v>44319</v>
      </c>
      <c r="C316" s="176">
        <v>1</v>
      </c>
      <c r="D316" s="171" t="str">
        <f t="shared" si="12"/>
        <v>Q2</v>
      </c>
      <c r="E316" s="176">
        <v>3</v>
      </c>
      <c r="F316" s="224" t="s">
        <v>347</v>
      </c>
      <c r="G316" s="176">
        <v>2021</v>
      </c>
      <c r="H316" s="118" t="s">
        <v>27</v>
      </c>
      <c r="I316" s="172" t="s">
        <v>31</v>
      </c>
      <c r="J316" s="172" t="s">
        <v>8</v>
      </c>
      <c r="K316" s="173">
        <v>14</v>
      </c>
      <c r="L316" s="304">
        <f>UBC_MASUK[[#This Row],[Tg Bulan]]/SUM(COUNTIFS(F:F,"(05) MEI",I:I,"Bisnis",G:G,"2021"))</f>
        <v>35.096969696969701</v>
      </c>
      <c r="M316" s="351" t="str">
        <f t="shared" si="13"/>
        <v>1158,2</v>
      </c>
      <c r="N316" s="304">
        <f>UBC_MASUK[[#This Row],[Tg Tahun]]/SUM(COUNTIFS(G:G,"2021",I:I,"Bisnis"))</f>
        <v>111.18719999999999</v>
      </c>
      <c r="O316" s="170" t="str">
        <f t="shared" si="14"/>
        <v>13898,4</v>
      </c>
    </row>
    <row r="317" spans="2:15" x14ac:dyDescent="0.35">
      <c r="B317" s="177">
        <v>44319</v>
      </c>
      <c r="C317" s="176">
        <v>1</v>
      </c>
      <c r="D317" s="171" t="str">
        <f t="shared" si="12"/>
        <v>Q2</v>
      </c>
      <c r="E317" s="176">
        <v>3</v>
      </c>
      <c r="F317" s="224" t="s">
        <v>347</v>
      </c>
      <c r="G317" s="176">
        <v>2021</v>
      </c>
      <c r="H317" s="118" t="s">
        <v>312</v>
      </c>
      <c r="I317" s="172" t="s">
        <v>31</v>
      </c>
      <c r="J317" s="172" t="s">
        <v>19</v>
      </c>
      <c r="K317" s="173">
        <v>32</v>
      </c>
      <c r="L317" s="304">
        <f>UBC_MASUK[[#This Row],[Tg Bulan]]/SUM(COUNTIFS(F:F,"(05) MEI",I:I,"Bisnis",G:G,"2021"))</f>
        <v>35.096969696969701</v>
      </c>
      <c r="M317" s="351" t="str">
        <f t="shared" si="13"/>
        <v>1158,2</v>
      </c>
      <c r="N317" s="304">
        <f>UBC_MASUK[[#This Row],[Tg Tahun]]/SUM(COUNTIFS(G:G,"2021",I:I,"Bisnis"))</f>
        <v>111.18719999999999</v>
      </c>
      <c r="O317" s="170" t="str">
        <f t="shared" si="14"/>
        <v>13898,4</v>
      </c>
    </row>
    <row r="318" spans="2:15" x14ac:dyDescent="0.35">
      <c r="B318" s="177">
        <v>44319</v>
      </c>
      <c r="C318" s="176">
        <v>1</v>
      </c>
      <c r="D318" s="171" t="str">
        <f t="shared" si="12"/>
        <v>Q2</v>
      </c>
      <c r="E318" s="176">
        <v>3</v>
      </c>
      <c r="F318" s="224" t="s">
        <v>347</v>
      </c>
      <c r="G318" s="176">
        <v>2021</v>
      </c>
      <c r="H318" s="118" t="s">
        <v>303</v>
      </c>
      <c r="I318" s="172" t="s">
        <v>31</v>
      </c>
      <c r="J318" s="172" t="s">
        <v>8</v>
      </c>
      <c r="K318" s="173">
        <v>29</v>
      </c>
      <c r="L318" s="304">
        <f>UBC_MASUK[[#This Row],[Tg Bulan]]/SUM(COUNTIFS(F:F,"(05) MEI",I:I,"Bisnis",G:G,"2021"))</f>
        <v>35.096969696969701</v>
      </c>
      <c r="M318" s="351" t="str">
        <f t="shared" si="13"/>
        <v>1158,2</v>
      </c>
      <c r="N318" s="304">
        <f>UBC_MASUK[[#This Row],[Tg Tahun]]/SUM(COUNTIFS(G:G,"2021",I:I,"Bisnis"))</f>
        <v>111.18719999999999</v>
      </c>
      <c r="O318" s="170" t="str">
        <f t="shared" si="14"/>
        <v>13898,4</v>
      </c>
    </row>
    <row r="319" spans="2:15" x14ac:dyDescent="0.35">
      <c r="B319" s="177">
        <v>44319</v>
      </c>
      <c r="C319" s="176">
        <v>1</v>
      </c>
      <c r="D319" s="171" t="str">
        <f t="shared" si="12"/>
        <v>Q2</v>
      </c>
      <c r="E319" s="176">
        <v>3</v>
      </c>
      <c r="F319" s="224" t="s">
        <v>347</v>
      </c>
      <c r="G319" s="176">
        <v>2021</v>
      </c>
      <c r="H319" s="118" t="s">
        <v>41</v>
      </c>
      <c r="I319" s="172" t="s">
        <v>31</v>
      </c>
      <c r="J319" s="172" t="s">
        <v>8</v>
      </c>
      <c r="K319" s="173">
        <v>2.8</v>
      </c>
      <c r="L319" s="304">
        <f>UBC_MASUK[[#This Row],[Tg Bulan]]/SUM(COUNTIFS(F:F,"(05) MEI",I:I,"Bisnis",G:G,"2021"))</f>
        <v>35.096969696969701</v>
      </c>
      <c r="M319" s="351" t="str">
        <f t="shared" si="13"/>
        <v>1158,2</v>
      </c>
      <c r="N319" s="304">
        <f>UBC_MASUK[[#This Row],[Tg Tahun]]/SUM(COUNTIFS(G:G,"2021",I:I,"Bisnis"))</f>
        <v>111.18719999999999</v>
      </c>
      <c r="O319" s="170" t="str">
        <f t="shared" si="14"/>
        <v>13898,4</v>
      </c>
    </row>
    <row r="320" spans="2:15" x14ac:dyDescent="0.35">
      <c r="B320" s="177">
        <v>44320</v>
      </c>
      <c r="C320" s="176">
        <v>1</v>
      </c>
      <c r="D320" s="171" t="str">
        <f t="shared" si="12"/>
        <v>Q2</v>
      </c>
      <c r="E320" s="176">
        <v>4</v>
      </c>
      <c r="F320" s="224" t="s">
        <v>347</v>
      </c>
      <c r="G320" s="176">
        <v>2021</v>
      </c>
      <c r="H320" s="118" t="s">
        <v>23</v>
      </c>
      <c r="I320" s="172" t="s">
        <v>18</v>
      </c>
      <c r="J320" s="172" t="s">
        <v>19</v>
      </c>
      <c r="K320" s="173">
        <v>496</v>
      </c>
      <c r="L320" s="304">
        <f>UBC_MASUK[[#This Row],[Tg Bulan]]/SUM(COUNTIFS(F:F,"(05) MEI",I:I,"Pengepul",G:G,"2021"))</f>
        <v>3993.7361099999998</v>
      </c>
      <c r="M320" s="351" t="str">
        <f t="shared" si="13"/>
        <v>11981,20833</v>
      </c>
      <c r="N320" s="304">
        <f>UBC_MASUK[[#This Row],[Tg Tahun]]/SUM(COUNTIFS(G:G,"2021",I:I,"Pengepul"))</f>
        <v>4228.661764705882</v>
      </c>
      <c r="O320" s="170" t="str">
        <f t="shared" si="14"/>
        <v>143774,5</v>
      </c>
    </row>
    <row r="321" spans="2:15" x14ac:dyDescent="0.35">
      <c r="B321" s="177">
        <v>44322</v>
      </c>
      <c r="C321" s="176">
        <v>1</v>
      </c>
      <c r="D321" s="171" t="str">
        <f t="shared" si="12"/>
        <v>Q2</v>
      </c>
      <c r="E321" s="176">
        <v>6</v>
      </c>
      <c r="F321" s="224" t="s">
        <v>347</v>
      </c>
      <c r="G321" s="176">
        <v>2021</v>
      </c>
      <c r="H321" s="118" t="s">
        <v>22</v>
      </c>
      <c r="I321" s="172" t="s">
        <v>18</v>
      </c>
      <c r="J321" s="172" t="s">
        <v>19</v>
      </c>
      <c r="K321" s="173">
        <v>887</v>
      </c>
      <c r="L321" s="304">
        <f>UBC_MASUK[[#This Row],[Tg Bulan]]/SUM(COUNTIFS(F:F,"(05) MEI",I:I,"Pengepul",G:G,"2021"))</f>
        <v>3993.7361099999998</v>
      </c>
      <c r="M321" s="351" t="str">
        <f t="shared" si="13"/>
        <v>11981,20833</v>
      </c>
      <c r="N321" s="304">
        <f>UBC_MASUK[[#This Row],[Tg Tahun]]/SUM(COUNTIFS(G:G,"2021",I:I,"Pengepul"))</f>
        <v>4228.661764705882</v>
      </c>
      <c r="O321" s="170" t="str">
        <f t="shared" si="14"/>
        <v>143774,5</v>
      </c>
    </row>
    <row r="322" spans="2:15" x14ac:dyDescent="0.35">
      <c r="B322" s="177">
        <v>44323</v>
      </c>
      <c r="C322" s="176">
        <v>1</v>
      </c>
      <c r="D322" s="171" t="str">
        <f t="shared" si="12"/>
        <v>Q2</v>
      </c>
      <c r="E322" s="176">
        <v>7</v>
      </c>
      <c r="F322" s="224" t="s">
        <v>347</v>
      </c>
      <c r="G322" s="176">
        <v>2021</v>
      </c>
      <c r="H322" s="118" t="s">
        <v>35</v>
      </c>
      <c r="I322" s="172" t="s">
        <v>36</v>
      </c>
      <c r="J322" s="172" t="s">
        <v>8</v>
      </c>
      <c r="K322" s="173">
        <v>5</v>
      </c>
      <c r="L322" s="304">
        <f>UBC_MASUK[[#This Row],[Tg Bulan]]/SUM(COUNTIFS(F:F,"(05) MEI",I:I,"Sekolah",G:G,"2021"))</f>
        <v>16.193750000000001</v>
      </c>
      <c r="M322" s="351" t="str">
        <f t="shared" si="13"/>
        <v>64,775</v>
      </c>
      <c r="N322" s="304">
        <f>UBC_MASUK[[#This Row],[Tg Tahun]]/SUM(COUNTIFS(G:G,"2021",I:I,"Sekolah"))</f>
        <v>38.864999999999995</v>
      </c>
      <c r="O322" s="170" t="str">
        <f t="shared" si="14"/>
        <v>777,3</v>
      </c>
    </row>
    <row r="323" spans="2:15" x14ac:dyDescent="0.35">
      <c r="B323" s="177">
        <v>44323</v>
      </c>
      <c r="C323" s="176">
        <v>1</v>
      </c>
      <c r="D323" s="171" t="str">
        <f t="shared" si="12"/>
        <v>Q2</v>
      </c>
      <c r="E323" s="176">
        <v>7</v>
      </c>
      <c r="F323" s="224" t="s">
        <v>347</v>
      </c>
      <c r="G323" s="176">
        <v>2021</v>
      </c>
      <c r="H323" s="118" t="s">
        <v>348</v>
      </c>
      <c r="I323" s="172" t="s">
        <v>160</v>
      </c>
      <c r="J323" s="172" t="s">
        <v>19</v>
      </c>
      <c r="K323" s="173">
        <v>57</v>
      </c>
      <c r="L323" s="304">
        <f>UBC_MASUK[[#This Row],[Tg Bulan]]/SUM(COUNTIFS(F:F,"(05) MEI",I:I,"Bank Sampah Induk",G:G,"2021"))</f>
        <v>139.73750000000001</v>
      </c>
      <c r="M323" s="351" t="str">
        <f t="shared" si="13"/>
        <v>279,475</v>
      </c>
      <c r="N323" s="304">
        <f>UBC_MASUK[[#This Row],[Tg Tahun]]/SUM(COUNTIFS(G:G,"2021",I:I,"Bank Sampah Induk"))</f>
        <v>419.21249999999998</v>
      </c>
      <c r="O323" s="170" t="str">
        <f t="shared" si="14"/>
        <v>3353,7</v>
      </c>
    </row>
    <row r="324" spans="2:15" x14ac:dyDescent="0.35">
      <c r="B324" s="177">
        <v>44323</v>
      </c>
      <c r="C324" s="176">
        <v>1</v>
      </c>
      <c r="D324" s="171" t="str">
        <f t="shared" ref="D324:D378" si="15">IF(F:F="(01) JAN","Q1",IF(F:F="(02) FEB","Q1",IF(F:F="(03) MAR","Q1",IF(F:F="(04) APR","Q2",IF(F:F="(05) MEI","Q2",IF(F:F="(06) JUN","Q2",IF(F:F="(07) JUL","Q3",IF(F:F="(08) AGU","Q3",IF(F:F="(09) SEP","Q3",IF(F:F="(10) OKT","Q4",IF(F:F="(11) NOV","Q4",IF(F:F="(12) DES","Q4"))))))))))))</f>
        <v>Q2</v>
      </c>
      <c r="E324" s="176">
        <v>7</v>
      </c>
      <c r="F324" s="224" t="s">
        <v>347</v>
      </c>
      <c r="G324" s="176">
        <v>2021</v>
      </c>
      <c r="H324" s="118" t="s">
        <v>27</v>
      </c>
      <c r="I324" s="172" t="s">
        <v>31</v>
      </c>
      <c r="J324" s="172" t="s">
        <v>8</v>
      </c>
      <c r="K324" s="173">
        <v>22</v>
      </c>
      <c r="L324" s="304">
        <f>UBC_MASUK[[#This Row],[Tg Bulan]]/SUM(COUNTIFS(F:F,"(05) MEI",I:I,"Bisnis",G:G,"2021"))</f>
        <v>35.096969696969701</v>
      </c>
      <c r="M324" s="351" t="str">
        <f t="shared" ref="M324:M378" si="16">IF(I:I="TPS3R","391,433333333333",IF(I:I="TPST3R","1222,225",IF(I:I="TPA","878,975",IF(I:I="Sekolah","64,775",IF(I:I="Pengepul","11981,20833",IF(I:I="Jasa sampah","3712,433333",IF(I:I="Hotel","201,4083333",IF(I:I="EB Residential Service","863,7333333",IF(I:I="Bisnis","1158,2",IF(I:I="Bank Sampah Unit","79,46666667",IF(I:I="Bank Sampah Induk","279,475")))))))))))</f>
        <v>1158,2</v>
      </c>
      <c r="N324" s="304">
        <f>UBC_MASUK[[#This Row],[Tg Tahun]]/SUM(COUNTIFS(G:G,"2021",I:I,"Bisnis"))</f>
        <v>111.18719999999999</v>
      </c>
      <c r="O324" s="170" t="str">
        <f t="shared" ref="O324:O378" si="17">IF(I:I="TPS3R","4607,2",IF(I:I="TPST3R","14666,7",IF(I:I="TPA","10547,7",IF(I:I="Sekolah","777,3",IF(I:I="Pengepul","143774,5",IF(I:I="Jasa sampah","44549,2",IF(I:I="Hotel","2416,9",IF(I:I="EB Residential Service","10364,8",IF(I:I="Bisnis","13898,4",IF(I:I="Bank Sampah Unit","953,6",IF(I:I="Bank Sampah Induk","3353,7")))))))))))</f>
        <v>13898,4</v>
      </c>
    </row>
    <row r="325" spans="2:15" x14ac:dyDescent="0.35">
      <c r="B325" s="177">
        <v>44323</v>
      </c>
      <c r="C325" s="176">
        <v>1</v>
      </c>
      <c r="D325" s="171" t="str">
        <f t="shared" si="15"/>
        <v>Q2</v>
      </c>
      <c r="E325" s="176">
        <v>7</v>
      </c>
      <c r="F325" s="224" t="s">
        <v>347</v>
      </c>
      <c r="G325" s="176">
        <v>2021</v>
      </c>
      <c r="H325" s="118" t="s">
        <v>310</v>
      </c>
      <c r="I325" s="172" t="s">
        <v>31</v>
      </c>
      <c r="J325" s="172" t="s">
        <v>8</v>
      </c>
      <c r="K325" s="173">
        <v>2</v>
      </c>
      <c r="L325" s="304">
        <f>UBC_MASUK[[#This Row],[Tg Bulan]]/SUM(COUNTIFS(F:F,"(05) MEI",I:I,"Bisnis",G:G,"2021"))</f>
        <v>35.096969696969701</v>
      </c>
      <c r="M325" s="351" t="str">
        <f t="shared" si="16"/>
        <v>1158,2</v>
      </c>
      <c r="N325" s="304">
        <f>UBC_MASUK[[#This Row],[Tg Tahun]]/SUM(COUNTIFS(G:G,"2021",I:I,"Bisnis"))</f>
        <v>111.18719999999999</v>
      </c>
      <c r="O325" s="170" t="str">
        <f t="shared" si="17"/>
        <v>13898,4</v>
      </c>
    </row>
    <row r="326" spans="2:15" x14ac:dyDescent="0.35">
      <c r="B326" s="177">
        <v>44323</v>
      </c>
      <c r="C326" s="176">
        <v>1</v>
      </c>
      <c r="D326" s="171" t="str">
        <f t="shared" si="15"/>
        <v>Q2</v>
      </c>
      <c r="E326" s="176">
        <v>7</v>
      </c>
      <c r="F326" s="224" t="s">
        <v>347</v>
      </c>
      <c r="G326" s="176">
        <v>2021</v>
      </c>
      <c r="H326" s="118" t="s">
        <v>312</v>
      </c>
      <c r="I326" s="172" t="s">
        <v>31</v>
      </c>
      <c r="J326" s="172" t="s">
        <v>19</v>
      </c>
      <c r="K326" s="173">
        <v>52</v>
      </c>
      <c r="L326" s="304">
        <f>UBC_MASUK[[#This Row],[Tg Bulan]]/SUM(COUNTIFS(F:F,"(05) MEI",I:I,"Bisnis",G:G,"2021"))</f>
        <v>35.096969696969701</v>
      </c>
      <c r="M326" s="351" t="str">
        <f t="shared" si="16"/>
        <v>1158,2</v>
      </c>
      <c r="N326" s="304">
        <f>UBC_MASUK[[#This Row],[Tg Tahun]]/SUM(COUNTIFS(G:G,"2021",I:I,"Bisnis"))</f>
        <v>111.18719999999999</v>
      </c>
      <c r="O326" s="170" t="str">
        <f t="shared" si="17"/>
        <v>13898,4</v>
      </c>
    </row>
    <row r="327" spans="2:15" x14ac:dyDescent="0.35">
      <c r="B327" s="177">
        <v>44328</v>
      </c>
      <c r="C327" s="176">
        <v>2</v>
      </c>
      <c r="D327" s="171" t="str">
        <f t="shared" si="15"/>
        <v>Q2</v>
      </c>
      <c r="E327" s="176">
        <v>12</v>
      </c>
      <c r="F327" s="224" t="s">
        <v>347</v>
      </c>
      <c r="G327" s="176">
        <v>2021</v>
      </c>
      <c r="H327" s="118" t="s">
        <v>312</v>
      </c>
      <c r="I327" s="172" t="s">
        <v>31</v>
      </c>
      <c r="J327" s="172" t="s">
        <v>19</v>
      </c>
      <c r="K327" s="173">
        <v>36</v>
      </c>
      <c r="L327" s="304">
        <f>UBC_MASUK[[#This Row],[Tg Bulan]]/SUM(COUNTIFS(F:F,"(05) MEI",I:I,"Bisnis",G:G,"2021"))</f>
        <v>35.096969696969701</v>
      </c>
      <c r="M327" s="351" t="str">
        <f t="shared" si="16"/>
        <v>1158,2</v>
      </c>
      <c r="N327" s="304">
        <f>UBC_MASUK[[#This Row],[Tg Tahun]]/SUM(COUNTIFS(G:G,"2021",I:I,"Bisnis"))</f>
        <v>111.18719999999999</v>
      </c>
      <c r="O327" s="170" t="str">
        <f t="shared" si="17"/>
        <v>13898,4</v>
      </c>
    </row>
    <row r="328" spans="2:15" x14ac:dyDescent="0.35">
      <c r="B328" s="177">
        <v>44328</v>
      </c>
      <c r="C328" s="176">
        <v>2</v>
      </c>
      <c r="D328" s="171" t="str">
        <f t="shared" si="15"/>
        <v>Q2</v>
      </c>
      <c r="E328" s="176">
        <v>12</v>
      </c>
      <c r="F328" s="224" t="s">
        <v>347</v>
      </c>
      <c r="G328" s="176">
        <v>2021</v>
      </c>
      <c r="H328" s="118" t="s">
        <v>303</v>
      </c>
      <c r="I328" s="172" t="s">
        <v>31</v>
      </c>
      <c r="J328" s="172" t="s">
        <v>8</v>
      </c>
      <c r="K328" s="173">
        <v>56.9</v>
      </c>
      <c r="L328" s="304">
        <f>UBC_MASUK[[#This Row],[Tg Bulan]]/SUM(COUNTIFS(F:F,"(05) MEI",I:I,"Bisnis",G:G,"2021"))</f>
        <v>35.096969696969701</v>
      </c>
      <c r="M328" s="351" t="str">
        <f t="shared" si="16"/>
        <v>1158,2</v>
      </c>
      <c r="N328" s="304">
        <f>UBC_MASUK[[#This Row],[Tg Tahun]]/SUM(COUNTIFS(G:G,"2021",I:I,"Bisnis"))</f>
        <v>111.18719999999999</v>
      </c>
      <c r="O328" s="170" t="str">
        <f t="shared" si="17"/>
        <v>13898,4</v>
      </c>
    </row>
    <row r="329" spans="2:15" x14ac:dyDescent="0.35">
      <c r="B329" s="177">
        <v>44328</v>
      </c>
      <c r="C329" s="176">
        <v>2</v>
      </c>
      <c r="D329" s="171" t="str">
        <f t="shared" si="15"/>
        <v>Q2</v>
      </c>
      <c r="E329" s="176">
        <v>12</v>
      </c>
      <c r="F329" s="224" t="s">
        <v>347</v>
      </c>
      <c r="G329" s="176">
        <v>2021</v>
      </c>
      <c r="H329" s="118" t="s">
        <v>315</v>
      </c>
      <c r="I329" s="172" t="s">
        <v>31</v>
      </c>
      <c r="J329" s="172" t="s">
        <v>19</v>
      </c>
      <c r="K329" s="173">
        <v>1</v>
      </c>
      <c r="L329" s="304">
        <f>UBC_MASUK[[#This Row],[Tg Bulan]]/SUM(COUNTIFS(F:F,"(05) MEI",I:I,"Bisnis",G:G,"2021"))</f>
        <v>35.096969696969701</v>
      </c>
      <c r="M329" s="351" t="str">
        <f t="shared" si="16"/>
        <v>1158,2</v>
      </c>
      <c r="N329" s="304">
        <f>UBC_MASUK[[#This Row],[Tg Tahun]]/SUM(COUNTIFS(G:G,"2021",I:I,"Bisnis"))</f>
        <v>111.18719999999999</v>
      </c>
      <c r="O329" s="170" t="str">
        <f t="shared" si="17"/>
        <v>13898,4</v>
      </c>
    </row>
    <row r="330" spans="2:15" x14ac:dyDescent="0.35">
      <c r="B330" s="177">
        <v>44328</v>
      </c>
      <c r="C330" s="176">
        <v>2</v>
      </c>
      <c r="D330" s="171" t="str">
        <f t="shared" si="15"/>
        <v>Q2</v>
      </c>
      <c r="E330" s="176">
        <v>12</v>
      </c>
      <c r="F330" s="224" t="s">
        <v>347</v>
      </c>
      <c r="G330" s="176">
        <v>2021</v>
      </c>
      <c r="H330" s="118" t="s">
        <v>27</v>
      </c>
      <c r="I330" s="172" t="s">
        <v>31</v>
      </c>
      <c r="J330" s="172" t="s">
        <v>8</v>
      </c>
      <c r="K330" s="173">
        <v>11</v>
      </c>
      <c r="L330" s="304">
        <f>UBC_MASUK[[#This Row],[Tg Bulan]]/SUM(COUNTIFS(F:F,"(05) MEI",I:I,"Bisnis",G:G,"2021"))</f>
        <v>35.096969696969701</v>
      </c>
      <c r="M330" s="351" t="str">
        <f t="shared" si="16"/>
        <v>1158,2</v>
      </c>
      <c r="N330" s="304">
        <f>UBC_MASUK[[#This Row],[Tg Tahun]]/SUM(COUNTIFS(G:G,"2021",I:I,"Bisnis"))</f>
        <v>111.18719999999999</v>
      </c>
      <c r="O330" s="170" t="str">
        <f t="shared" si="17"/>
        <v>13898,4</v>
      </c>
    </row>
    <row r="331" spans="2:15" x14ac:dyDescent="0.35">
      <c r="B331" s="177">
        <v>44328</v>
      </c>
      <c r="C331" s="176">
        <v>2</v>
      </c>
      <c r="D331" s="171" t="str">
        <f t="shared" si="15"/>
        <v>Q2</v>
      </c>
      <c r="E331" s="176">
        <v>12</v>
      </c>
      <c r="F331" s="224" t="s">
        <v>347</v>
      </c>
      <c r="G331" s="176">
        <v>2021</v>
      </c>
      <c r="H331" s="118" t="s">
        <v>41</v>
      </c>
      <c r="I331" s="172" t="s">
        <v>31</v>
      </c>
      <c r="J331" s="172" t="s">
        <v>8</v>
      </c>
      <c r="K331" s="173">
        <v>3</v>
      </c>
      <c r="L331" s="304">
        <f>UBC_MASUK[[#This Row],[Tg Bulan]]/SUM(COUNTIFS(F:F,"(05) MEI",I:I,"Bisnis",G:G,"2021"))</f>
        <v>35.096969696969701</v>
      </c>
      <c r="M331" s="351" t="str">
        <f t="shared" si="16"/>
        <v>1158,2</v>
      </c>
      <c r="N331" s="304">
        <f>UBC_MASUK[[#This Row],[Tg Tahun]]/SUM(COUNTIFS(G:G,"2021",I:I,"Bisnis"))</f>
        <v>111.18719999999999</v>
      </c>
      <c r="O331" s="170" t="str">
        <f t="shared" si="17"/>
        <v>13898,4</v>
      </c>
    </row>
    <row r="332" spans="2:15" x14ac:dyDescent="0.35">
      <c r="B332" s="177">
        <v>44331</v>
      </c>
      <c r="C332" s="176">
        <v>2</v>
      </c>
      <c r="D332" s="171" t="str">
        <f t="shared" si="15"/>
        <v>Q2</v>
      </c>
      <c r="E332" s="176">
        <v>12</v>
      </c>
      <c r="F332" s="224" t="s">
        <v>347</v>
      </c>
      <c r="G332" s="176">
        <v>2021</v>
      </c>
      <c r="H332" s="118" t="s">
        <v>312</v>
      </c>
      <c r="I332" s="172" t="s">
        <v>31</v>
      </c>
      <c r="J332" s="172" t="s">
        <v>19</v>
      </c>
      <c r="K332" s="173">
        <v>32</v>
      </c>
      <c r="L332" s="304">
        <f>UBC_MASUK[[#This Row],[Tg Bulan]]/SUM(COUNTIFS(F:F,"(05) MEI",I:I,"Bisnis",G:G,"2021"))</f>
        <v>35.096969696969701</v>
      </c>
      <c r="M332" s="351" t="str">
        <f t="shared" si="16"/>
        <v>1158,2</v>
      </c>
      <c r="N332" s="304">
        <f>UBC_MASUK[[#This Row],[Tg Tahun]]/SUM(COUNTIFS(G:G,"2021",I:I,"Bisnis"))</f>
        <v>111.18719999999999</v>
      </c>
      <c r="O332" s="170" t="str">
        <f t="shared" si="17"/>
        <v>13898,4</v>
      </c>
    </row>
    <row r="333" spans="2:15" x14ac:dyDescent="0.35">
      <c r="B333" s="177">
        <v>44331</v>
      </c>
      <c r="C333" s="176">
        <v>2</v>
      </c>
      <c r="D333" s="171" t="str">
        <f t="shared" si="15"/>
        <v>Q2</v>
      </c>
      <c r="E333" s="176">
        <v>12</v>
      </c>
      <c r="F333" s="224" t="s">
        <v>347</v>
      </c>
      <c r="G333" s="176">
        <v>2021</v>
      </c>
      <c r="H333" s="118" t="s">
        <v>350</v>
      </c>
      <c r="I333" s="172" t="s">
        <v>21</v>
      </c>
      <c r="J333" s="172" t="s">
        <v>8</v>
      </c>
      <c r="K333" s="173">
        <v>110</v>
      </c>
      <c r="L333" s="304">
        <f>UBC_MASUK[[#This Row],[Tg Bulan]]/SUM(COUNTIFS(F:F,"(05) MEI",I:I,"Jasa Sampah",G:G,"2021"))</f>
        <v>928.10833324999999</v>
      </c>
      <c r="M333" s="351" t="str">
        <f t="shared" si="16"/>
        <v>3712,433333</v>
      </c>
      <c r="N333" s="304">
        <f>UBC_MASUK[[#This Row],[Tg Tahun]]/SUM(COUNTIFS(G:G,"2021",I:I,"Jasa sampah"))</f>
        <v>1856.2166666666665</v>
      </c>
      <c r="O333" s="170" t="str">
        <f t="shared" si="17"/>
        <v>44549,2</v>
      </c>
    </row>
    <row r="334" spans="2:15" x14ac:dyDescent="0.35">
      <c r="B334" s="177">
        <v>44331</v>
      </c>
      <c r="C334" s="176">
        <v>2</v>
      </c>
      <c r="D334" s="171" t="str">
        <f t="shared" si="15"/>
        <v>Q2</v>
      </c>
      <c r="E334" s="176">
        <v>12</v>
      </c>
      <c r="F334" s="224" t="s">
        <v>347</v>
      </c>
      <c r="G334" s="176">
        <v>2021</v>
      </c>
      <c r="H334" s="118" t="s">
        <v>351</v>
      </c>
      <c r="I334" s="172" t="s">
        <v>21</v>
      </c>
      <c r="J334" s="172" t="s">
        <v>8</v>
      </c>
      <c r="K334" s="173">
        <v>69</v>
      </c>
      <c r="L334" s="304">
        <f>UBC_MASUK[[#This Row],[Tg Bulan]]/SUM(COUNTIFS(F:F,"(05) MEI",I:I,"Jasa Sampah",G:G,"2021"))</f>
        <v>928.10833324999999</v>
      </c>
      <c r="M334" s="351" t="str">
        <f t="shared" si="16"/>
        <v>3712,433333</v>
      </c>
      <c r="N334" s="304">
        <f>UBC_MASUK[[#This Row],[Tg Tahun]]/SUM(COUNTIFS(G:G,"2021",I:I,"Jasa sampah"))</f>
        <v>1856.2166666666665</v>
      </c>
      <c r="O334" s="170" t="str">
        <f t="shared" si="17"/>
        <v>44549,2</v>
      </c>
    </row>
    <row r="335" spans="2:15" x14ac:dyDescent="0.35">
      <c r="B335" s="177">
        <v>44331</v>
      </c>
      <c r="C335" s="176">
        <v>2</v>
      </c>
      <c r="D335" s="171" t="str">
        <f t="shared" si="15"/>
        <v>Q2</v>
      </c>
      <c r="E335" s="176">
        <v>12</v>
      </c>
      <c r="F335" s="224" t="s">
        <v>347</v>
      </c>
      <c r="G335" s="176">
        <v>2021</v>
      </c>
      <c r="H335" s="118" t="s">
        <v>39</v>
      </c>
      <c r="I335" s="172" t="s">
        <v>21</v>
      </c>
      <c r="J335" s="172" t="s">
        <v>8</v>
      </c>
      <c r="K335" s="173">
        <v>114</v>
      </c>
      <c r="L335" s="304">
        <f>UBC_MASUK[[#This Row],[Tg Bulan]]/SUM(COUNTIFS(F:F,"(05) MEI",I:I,"Jasa Sampah",G:G,"2021"))</f>
        <v>928.10833324999999</v>
      </c>
      <c r="M335" s="351" t="str">
        <f t="shared" si="16"/>
        <v>3712,433333</v>
      </c>
      <c r="N335" s="304">
        <f>UBC_MASUK[[#This Row],[Tg Tahun]]/SUM(COUNTIFS(G:G,"2021",I:I,"Jasa sampah"))</f>
        <v>1856.2166666666665</v>
      </c>
      <c r="O335" s="170" t="str">
        <f t="shared" si="17"/>
        <v>44549,2</v>
      </c>
    </row>
    <row r="336" spans="2:15" x14ac:dyDescent="0.35">
      <c r="B336" s="177">
        <v>44331</v>
      </c>
      <c r="C336" s="176">
        <v>2</v>
      </c>
      <c r="D336" s="171" t="str">
        <f t="shared" si="15"/>
        <v>Q2</v>
      </c>
      <c r="E336" s="176">
        <v>12</v>
      </c>
      <c r="F336" s="224" t="s">
        <v>347</v>
      </c>
      <c r="G336" s="176">
        <v>2021</v>
      </c>
      <c r="H336" s="118" t="s">
        <v>361</v>
      </c>
      <c r="I336" s="172" t="s">
        <v>7</v>
      </c>
      <c r="J336" s="172" t="s">
        <v>8</v>
      </c>
      <c r="K336" s="173">
        <v>10</v>
      </c>
      <c r="L336" s="304">
        <f>UBC_MASUK[[#This Row],[Tg Bulan]]/SUM(COUNTIFS(F:F,"(05) MEI",I:I,"TPS3R",G:G,"2021"))</f>
        <v>130.47777777777767</v>
      </c>
      <c r="M336" s="351" t="str">
        <f t="shared" si="16"/>
        <v>391,433333333333</v>
      </c>
      <c r="N336" s="304">
        <f>UBC_MASUK[[#This Row],[Tg Tahun]]/SUM(COUNTIFS(G:G,"2021",I:I,"TPS3R"))</f>
        <v>418.83636363636361</v>
      </c>
      <c r="O336" s="170" t="str">
        <f t="shared" si="17"/>
        <v>4607,2</v>
      </c>
    </row>
    <row r="337" spans="2:15" x14ac:dyDescent="0.35">
      <c r="B337" s="177">
        <v>44331</v>
      </c>
      <c r="C337" s="176">
        <v>2</v>
      </c>
      <c r="D337" s="171" t="str">
        <f t="shared" si="15"/>
        <v>Q2</v>
      </c>
      <c r="E337" s="176">
        <v>12</v>
      </c>
      <c r="F337" s="224" t="s">
        <v>347</v>
      </c>
      <c r="G337" s="176">
        <v>2021</v>
      </c>
      <c r="H337" s="118" t="s">
        <v>35</v>
      </c>
      <c r="I337" s="172" t="s">
        <v>36</v>
      </c>
      <c r="J337" s="172" t="s">
        <v>8</v>
      </c>
      <c r="K337" s="173">
        <v>4</v>
      </c>
      <c r="L337" s="304">
        <f>UBC_MASUK[[#This Row],[Tg Bulan]]/SUM(COUNTIFS(F:F,"(05) MEI",I:I,"Sekolah",G:G,"2021"))</f>
        <v>16.193750000000001</v>
      </c>
      <c r="M337" s="351" t="str">
        <f t="shared" si="16"/>
        <v>64,775</v>
      </c>
      <c r="N337" s="304">
        <f>UBC_MASUK[[#This Row],[Tg Tahun]]/SUM(COUNTIFS(G:G,"2021",I:I,"Sekolah"))</f>
        <v>38.864999999999995</v>
      </c>
      <c r="O337" s="170" t="str">
        <f t="shared" si="17"/>
        <v>777,3</v>
      </c>
    </row>
    <row r="338" spans="2:15" x14ac:dyDescent="0.35">
      <c r="B338" s="477">
        <v>44333</v>
      </c>
      <c r="C338" s="478">
        <v>3</v>
      </c>
      <c r="D338" s="171" t="str">
        <f t="shared" si="15"/>
        <v>Q2</v>
      </c>
      <c r="E338" s="478">
        <v>17</v>
      </c>
      <c r="F338" s="479" t="s">
        <v>347</v>
      </c>
      <c r="G338" s="478">
        <v>2021</v>
      </c>
      <c r="H338" s="481" t="s">
        <v>146</v>
      </c>
      <c r="I338" s="482" t="s">
        <v>37</v>
      </c>
      <c r="J338" s="482" t="s">
        <v>8</v>
      </c>
      <c r="K338" s="480">
        <v>3.2</v>
      </c>
      <c r="L338" s="304">
        <f>UBC_MASUK[[#This Row],[Tg Bulan]]/SUM(COUNTIFS(F:F,"(05) MEI",I:I,"Bank Sampah Unit",G:G,"2021"))</f>
        <v>6.1128205130769224</v>
      </c>
      <c r="M338" s="475" t="str">
        <f t="shared" si="16"/>
        <v>79,46666667</v>
      </c>
      <c r="N338" s="304">
        <f>UBC_MASUK[[#This Row],[Tg Tahun]]/SUM(COUNTIFS(G:G,"2021",I:I,"Bank Sampah Unit"))</f>
        <v>24.451282051282053</v>
      </c>
      <c r="O338" s="476" t="str">
        <f t="shared" si="17"/>
        <v>953,6</v>
      </c>
    </row>
    <row r="339" spans="2:15" x14ac:dyDescent="0.35">
      <c r="B339" s="477">
        <v>44333</v>
      </c>
      <c r="C339" s="478">
        <v>3</v>
      </c>
      <c r="D339" s="171" t="str">
        <f t="shared" si="15"/>
        <v>Q2</v>
      </c>
      <c r="E339" s="478">
        <v>17</v>
      </c>
      <c r="F339" s="479" t="s">
        <v>347</v>
      </c>
      <c r="G339" s="478">
        <v>2021</v>
      </c>
      <c r="H339" s="481" t="s">
        <v>352</v>
      </c>
      <c r="I339" s="482" t="s">
        <v>37</v>
      </c>
      <c r="J339" s="482" t="s">
        <v>8</v>
      </c>
      <c r="K339" s="480">
        <v>2.6</v>
      </c>
      <c r="L339" s="304">
        <f>UBC_MASUK[[#This Row],[Tg Bulan]]/SUM(COUNTIFS(F:F,"(05) MEI",I:I,"Bank Sampah Unit",G:G,"2021"))</f>
        <v>6.1128205130769224</v>
      </c>
      <c r="M339" s="475" t="str">
        <f t="shared" si="16"/>
        <v>79,46666667</v>
      </c>
      <c r="N339" s="304">
        <f>UBC_MASUK[[#This Row],[Tg Tahun]]/SUM(COUNTIFS(G:G,"2021",I:I,"Bank Sampah Unit"))</f>
        <v>24.451282051282053</v>
      </c>
      <c r="O339" s="476" t="str">
        <f t="shared" si="17"/>
        <v>953,6</v>
      </c>
    </row>
    <row r="340" spans="2:15" x14ac:dyDescent="0.35">
      <c r="B340" s="477">
        <v>44333</v>
      </c>
      <c r="C340" s="478">
        <v>3</v>
      </c>
      <c r="D340" s="171" t="str">
        <f t="shared" si="15"/>
        <v>Q2</v>
      </c>
      <c r="E340" s="478">
        <v>17</v>
      </c>
      <c r="F340" s="479" t="s">
        <v>347</v>
      </c>
      <c r="G340" s="478">
        <v>2021</v>
      </c>
      <c r="H340" s="481" t="s">
        <v>353</v>
      </c>
      <c r="I340" s="482" t="s">
        <v>37</v>
      </c>
      <c r="J340" s="482" t="s">
        <v>8</v>
      </c>
      <c r="K340" s="480">
        <v>3.6</v>
      </c>
      <c r="L340" s="304">
        <f>UBC_MASUK[[#This Row],[Tg Bulan]]/SUM(COUNTIFS(F:F,"(05) MEI",I:I,"Bank Sampah Unit",G:G,"2021"))</f>
        <v>6.1128205130769224</v>
      </c>
      <c r="M340" s="475" t="str">
        <f t="shared" si="16"/>
        <v>79,46666667</v>
      </c>
      <c r="N340" s="304">
        <f>UBC_MASUK[[#This Row],[Tg Tahun]]/SUM(COUNTIFS(G:G,"2021",I:I,"Bank Sampah Unit"))</f>
        <v>24.451282051282053</v>
      </c>
      <c r="O340" s="476" t="str">
        <f t="shared" si="17"/>
        <v>953,6</v>
      </c>
    </row>
    <row r="341" spans="2:15" x14ac:dyDescent="0.35">
      <c r="B341" s="477">
        <v>44326</v>
      </c>
      <c r="C341" s="478">
        <v>2</v>
      </c>
      <c r="D341" s="171" t="str">
        <f t="shared" si="15"/>
        <v>Q2</v>
      </c>
      <c r="E341" s="478">
        <v>10</v>
      </c>
      <c r="F341" s="479" t="s">
        <v>347</v>
      </c>
      <c r="G341" s="478">
        <v>2021</v>
      </c>
      <c r="H341" s="481" t="s">
        <v>148</v>
      </c>
      <c r="I341" s="482" t="s">
        <v>37</v>
      </c>
      <c r="J341" s="482" t="s">
        <v>8</v>
      </c>
      <c r="K341" s="480">
        <v>8</v>
      </c>
      <c r="L341" s="304">
        <f>UBC_MASUK[[#This Row],[Tg Bulan]]/SUM(COUNTIFS(F:F,"(05) MEI",I:I,"Bank Sampah Unit",G:G,"2021"))</f>
        <v>6.1128205130769224</v>
      </c>
      <c r="M341" s="475" t="str">
        <f t="shared" si="16"/>
        <v>79,46666667</v>
      </c>
      <c r="N341" s="304">
        <f>UBC_MASUK[[#This Row],[Tg Tahun]]/SUM(COUNTIFS(G:G,"2021",I:I,"Bank Sampah Unit"))</f>
        <v>24.451282051282053</v>
      </c>
      <c r="O341" s="476" t="str">
        <f t="shared" si="17"/>
        <v>953,6</v>
      </c>
    </row>
    <row r="342" spans="2:15" x14ac:dyDescent="0.35">
      <c r="B342" s="477">
        <v>44326</v>
      </c>
      <c r="C342" s="478">
        <v>2</v>
      </c>
      <c r="D342" s="171" t="str">
        <f t="shared" si="15"/>
        <v>Q2</v>
      </c>
      <c r="E342" s="478">
        <v>10</v>
      </c>
      <c r="F342" s="479" t="s">
        <v>347</v>
      </c>
      <c r="G342" s="478">
        <v>2021</v>
      </c>
      <c r="H342" s="481" t="s">
        <v>147</v>
      </c>
      <c r="I342" s="482" t="s">
        <v>37</v>
      </c>
      <c r="J342" s="482" t="s">
        <v>8</v>
      </c>
      <c r="K342" s="480">
        <v>5</v>
      </c>
      <c r="L342" s="304">
        <f>UBC_MASUK[[#This Row],[Tg Bulan]]/SUM(COUNTIFS(F:F,"(05) MEI",I:I,"Bank Sampah Unit",G:G,"2021"))</f>
        <v>6.1128205130769224</v>
      </c>
      <c r="M342" s="475" t="str">
        <f t="shared" si="16"/>
        <v>79,46666667</v>
      </c>
      <c r="N342" s="304">
        <f>UBC_MASUK[[#This Row],[Tg Tahun]]/SUM(COUNTIFS(G:G,"2021",I:I,"Bank Sampah Unit"))</f>
        <v>24.451282051282053</v>
      </c>
      <c r="O342" s="476" t="str">
        <f t="shared" si="17"/>
        <v>953,6</v>
      </c>
    </row>
    <row r="343" spans="2:15" x14ac:dyDescent="0.35">
      <c r="B343" s="477">
        <v>44326</v>
      </c>
      <c r="C343" s="478">
        <v>2</v>
      </c>
      <c r="D343" s="171" t="str">
        <f t="shared" si="15"/>
        <v>Q2</v>
      </c>
      <c r="E343" s="478">
        <v>10</v>
      </c>
      <c r="F343" s="479" t="s">
        <v>347</v>
      </c>
      <c r="G343" s="478">
        <v>2021</v>
      </c>
      <c r="H343" s="481" t="s">
        <v>354</v>
      </c>
      <c r="I343" s="482" t="s">
        <v>37</v>
      </c>
      <c r="J343" s="482" t="s">
        <v>8</v>
      </c>
      <c r="K343" s="480">
        <v>1.3</v>
      </c>
      <c r="L343" s="304">
        <f>UBC_MASUK[[#This Row],[Tg Bulan]]/SUM(COUNTIFS(F:F,"(05) MEI",I:I,"Bank Sampah Unit",G:G,"2021"))</f>
        <v>6.1128205130769224</v>
      </c>
      <c r="M343" s="475" t="str">
        <f t="shared" si="16"/>
        <v>79,46666667</v>
      </c>
      <c r="N343" s="304">
        <f>UBC_MASUK[[#This Row],[Tg Tahun]]/SUM(COUNTIFS(G:G,"2021",I:I,"Bank Sampah Unit"))</f>
        <v>24.451282051282053</v>
      </c>
      <c r="O343" s="476" t="str">
        <f t="shared" si="17"/>
        <v>953,6</v>
      </c>
    </row>
    <row r="344" spans="2:15" x14ac:dyDescent="0.35">
      <c r="B344" s="477">
        <v>44334</v>
      </c>
      <c r="C344" s="478">
        <v>3</v>
      </c>
      <c r="D344" s="171" t="str">
        <f t="shared" si="15"/>
        <v>Q2</v>
      </c>
      <c r="E344" s="478">
        <v>18</v>
      </c>
      <c r="F344" s="479" t="s">
        <v>347</v>
      </c>
      <c r="G344" s="478">
        <v>2021</v>
      </c>
      <c r="H344" s="481" t="s">
        <v>154</v>
      </c>
      <c r="I344" s="482" t="s">
        <v>37</v>
      </c>
      <c r="J344" s="482" t="s">
        <v>8</v>
      </c>
      <c r="K344" s="480">
        <v>6</v>
      </c>
      <c r="L344" s="304">
        <f>UBC_MASUK[[#This Row],[Tg Bulan]]/SUM(COUNTIFS(F:F,"(05) MEI",I:I,"Bank Sampah Unit",G:G,"2021"))</f>
        <v>6.1128205130769224</v>
      </c>
      <c r="M344" s="475" t="str">
        <f t="shared" si="16"/>
        <v>79,46666667</v>
      </c>
      <c r="N344" s="304">
        <f>UBC_MASUK[[#This Row],[Tg Tahun]]/SUM(COUNTIFS(G:G,"2021",I:I,"Bank Sampah Unit"))</f>
        <v>24.451282051282053</v>
      </c>
      <c r="O344" s="476" t="str">
        <f t="shared" si="17"/>
        <v>953,6</v>
      </c>
    </row>
    <row r="345" spans="2:15" x14ac:dyDescent="0.35">
      <c r="B345" s="477">
        <v>44335</v>
      </c>
      <c r="C345" s="478">
        <v>3</v>
      </c>
      <c r="D345" s="171" t="str">
        <f t="shared" si="15"/>
        <v>Q2</v>
      </c>
      <c r="E345" s="478">
        <v>19</v>
      </c>
      <c r="F345" s="479" t="s">
        <v>347</v>
      </c>
      <c r="G345" s="478">
        <v>2021</v>
      </c>
      <c r="H345" s="481" t="s">
        <v>312</v>
      </c>
      <c r="I345" s="482" t="s">
        <v>31</v>
      </c>
      <c r="J345" s="482" t="s">
        <v>19</v>
      </c>
      <c r="K345" s="480">
        <v>42</v>
      </c>
      <c r="L345" s="304">
        <f>UBC_MASUK[[#This Row],[Tg Bulan]]/SUM(COUNTIFS(F:F,"(05) MEI",I:I,"Bisnis",G:G,"2021"))</f>
        <v>35.096969696969701</v>
      </c>
      <c r="M345" s="475" t="str">
        <f t="shared" si="16"/>
        <v>1158,2</v>
      </c>
      <c r="N345" s="304">
        <f>UBC_MASUK[[#This Row],[Tg Tahun]]/SUM(COUNTIFS(G:G,"2021",I:I,"Bisnis"))</f>
        <v>111.18719999999999</v>
      </c>
      <c r="O345" s="476" t="str">
        <f t="shared" si="17"/>
        <v>13898,4</v>
      </c>
    </row>
    <row r="346" spans="2:15" x14ac:dyDescent="0.35">
      <c r="B346" s="477">
        <v>44335</v>
      </c>
      <c r="C346" s="478">
        <v>3</v>
      </c>
      <c r="D346" s="171" t="str">
        <f t="shared" si="15"/>
        <v>Q2</v>
      </c>
      <c r="E346" s="478">
        <v>19</v>
      </c>
      <c r="F346" s="479" t="s">
        <v>347</v>
      </c>
      <c r="G346" s="478">
        <v>2021</v>
      </c>
      <c r="H346" s="481" t="s">
        <v>304</v>
      </c>
      <c r="I346" s="482" t="s">
        <v>31</v>
      </c>
      <c r="J346" s="482" t="s">
        <v>8</v>
      </c>
      <c r="K346" s="480">
        <v>10</v>
      </c>
      <c r="L346" s="304">
        <f>UBC_MASUK[[#This Row],[Tg Bulan]]/SUM(COUNTIFS(F:F,"(05) MEI",I:I,"Bisnis",G:G,"2021"))</f>
        <v>35.096969696969701</v>
      </c>
      <c r="M346" s="475" t="str">
        <f t="shared" si="16"/>
        <v>1158,2</v>
      </c>
      <c r="N346" s="304">
        <f>UBC_MASUK[[#This Row],[Tg Tahun]]/SUM(COUNTIFS(G:G,"2021",I:I,"Bisnis"))</f>
        <v>111.18719999999999</v>
      </c>
      <c r="O346" s="476" t="str">
        <f t="shared" si="17"/>
        <v>13898,4</v>
      </c>
    </row>
    <row r="347" spans="2:15" x14ac:dyDescent="0.35">
      <c r="B347" s="477">
        <v>44335</v>
      </c>
      <c r="C347" s="478">
        <v>3</v>
      </c>
      <c r="D347" s="171" t="str">
        <f t="shared" si="15"/>
        <v>Q2</v>
      </c>
      <c r="E347" s="478">
        <v>19</v>
      </c>
      <c r="F347" s="479" t="s">
        <v>347</v>
      </c>
      <c r="G347" s="478">
        <v>2021</v>
      </c>
      <c r="H347" s="481" t="s">
        <v>355</v>
      </c>
      <c r="I347" s="482" t="s">
        <v>31</v>
      </c>
      <c r="J347" s="482" t="s">
        <v>19</v>
      </c>
      <c r="K347" s="480">
        <v>2</v>
      </c>
      <c r="L347" s="304">
        <f>UBC_MASUK[[#This Row],[Tg Bulan]]/SUM(COUNTIFS(F:F,"(05) MEI",I:I,"Bisnis",G:G,"2021"))</f>
        <v>35.096969696969701</v>
      </c>
      <c r="M347" s="475" t="str">
        <f t="shared" si="16"/>
        <v>1158,2</v>
      </c>
      <c r="N347" s="304">
        <f>UBC_MASUK[[#This Row],[Tg Tahun]]/SUM(COUNTIFS(G:G,"2021",I:I,"Bisnis"))</f>
        <v>111.18719999999999</v>
      </c>
      <c r="O347" s="476" t="str">
        <f t="shared" si="17"/>
        <v>13898,4</v>
      </c>
    </row>
    <row r="348" spans="2:15" x14ac:dyDescent="0.35">
      <c r="B348" s="477">
        <v>44335</v>
      </c>
      <c r="C348" s="478">
        <v>3</v>
      </c>
      <c r="D348" s="171" t="str">
        <f t="shared" si="15"/>
        <v>Q2</v>
      </c>
      <c r="E348" s="478">
        <v>19</v>
      </c>
      <c r="F348" s="479" t="s">
        <v>347</v>
      </c>
      <c r="G348" s="478">
        <v>2021</v>
      </c>
      <c r="H348" s="481" t="s">
        <v>41</v>
      </c>
      <c r="I348" s="482" t="s">
        <v>31</v>
      </c>
      <c r="J348" s="482" t="s">
        <v>8</v>
      </c>
      <c r="K348" s="480">
        <v>1.8</v>
      </c>
      <c r="L348" s="304">
        <f>UBC_MASUK[[#This Row],[Tg Bulan]]/SUM(COUNTIFS(F:F,"(05) MEI",I:I,"Bisnis",G:G,"2021"))</f>
        <v>35.096969696969701</v>
      </c>
      <c r="M348" s="475" t="str">
        <f t="shared" si="16"/>
        <v>1158,2</v>
      </c>
      <c r="N348" s="304">
        <f>UBC_MASUK[[#This Row],[Tg Tahun]]/SUM(COUNTIFS(G:G,"2021",I:I,"Bisnis"))</f>
        <v>111.18719999999999</v>
      </c>
      <c r="O348" s="476" t="str">
        <f t="shared" si="17"/>
        <v>13898,4</v>
      </c>
    </row>
    <row r="349" spans="2:15" x14ac:dyDescent="0.35">
      <c r="B349" s="177">
        <v>44335</v>
      </c>
      <c r="C349" s="176">
        <v>3</v>
      </c>
      <c r="D349" s="171" t="str">
        <f t="shared" si="15"/>
        <v>Q2</v>
      </c>
      <c r="E349" s="176">
        <v>19</v>
      </c>
      <c r="F349" s="224" t="s">
        <v>347</v>
      </c>
      <c r="G349" s="176">
        <v>2021</v>
      </c>
      <c r="H349" s="118" t="s">
        <v>358</v>
      </c>
      <c r="I349" s="172" t="s">
        <v>37</v>
      </c>
      <c r="J349" s="172" t="s">
        <v>8</v>
      </c>
      <c r="K349" s="485">
        <v>2.2000000000000002</v>
      </c>
      <c r="L349" s="304">
        <f>UBC_MASUK[[#This Row],[Tg Bulan]]/SUM(COUNTIFS(F:F,"(05) MEI",I:I,"Bank Sampah Unit",G:G,"2021"))</f>
        <v>6.1128205130769224</v>
      </c>
      <c r="M349" s="475" t="str">
        <f t="shared" si="16"/>
        <v>79,46666667</v>
      </c>
      <c r="N349" s="304">
        <f>UBC_MASUK[[#This Row],[Tg Tahun]]/SUM(COUNTIFS(G:G,"2021",I:I,"Bank Sampah Unit"))</f>
        <v>24.451282051282053</v>
      </c>
      <c r="O349" s="476" t="str">
        <f t="shared" si="17"/>
        <v>953,6</v>
      </c>
    </row>
    <row r="350" spans="2:15" x14ac:dyDescent="0.35">
      <c r="B350" s="177">
        <v>44337</v>
      </c>
      <c r="C350" s="176">
        <v>3</v>
      </c>
      <c r="D350" s="171" t="str">
        <f t="shared" si="15"/>
        <v>Q2</v>
      </c>
      <c r="E350" s="176">
        <v>21</v>
      </c>
      <c r="F350" s="224" t="s">
        <v>347</v>
      </c>
      <c r="G350" s="176">
        <v>2021</v>
      </c>
      <c r="H350" s="118" t="s">
        <v>152</v>
      </c>
      <c r="I350" s="172" t="s">
        <v>37</v>
      </c>
      <c r="J350" s="172" t="s">
        <v>8</v>
      </c>
      <c r="K350" s="485">
        <v>4.5999999999999996</v>
      </c>
      <c r="L350" s="304">
        <f>UBC_MASUK[[#This Row],[Tg Bulan]]/SUM(COUNTIFS(F:F,"(05) MEI",I:I,"Bank Sampah Unit",G:G,"2021"))</f>
        <v>6.1128205130769224</v>
      </c>
      <c r="M350" s="475" t="str">
        <f t="shared" si="16"/>
        <v>79,46666667</v>
      </c>
      <c r="N350" s="304">
        <f>UBC_MASUK[[#This Row],[Tg Tahun]]/SUM(COUNTIFS(G:G,"2021",I:I,"Bank Sampah Unit"))</f>
        <v>24.451282051282053</v>
      </c>
      <c r="O350" s="476" t="str">
        <f t="shared" si="17"/>
        <v>953,6</v>
      </c>
    </row>
    <row r="351" spans="2:15" x14ac:dyDescent="0.35">
      <c r="B351" s="177">
        <v>44340</v>
      </c>
      <c r="C351" s="176">
        <v>4</v>
      </c>
      <c r="D351" s="171" t="str">
        <f t="shared" si="15"/>
        <v>Q2</v>
      </c>
      <c r="E351" s="176">
        <v>24</v>
      </c>
      <c r="F351" s="224" t="s">
        <v>347</v>
      </c>
      <c r="G351" s="176">
        <v>2021</v>
      </c>
      <c r="H351" s="118" t="s">
        <v>151</v>
      </c>
      <c r="I351" s="172" t="s">
        <v>37</v>
      </c>
      <c r="J351" s="172" t="s">
        <v>8</v>
      </c>
      <c r="K351" s="485">
        <v>4.8</v>
      </c>
      <c r="L351" s="304">
        <f>UBC_MASUK[[#This Row],[Tg Bulan]]/SUM(COUNTIFS(F:F,"(05) MEI",I:I,"Bank Sampah Unit",G:G,"2021"))</f>
        <v>6.1128205130769224</v>
      </c>
      <c r="M351" s="475" t="str">
        <f t="shared" si="16"/>
        <v>79,46666667</v>
      </c>
      <c r="N351" s="304">
        <f>UBC_MASUK[[#This Row],[Tg Tahun]]/SUM(COUNTIFS(G:G,"2021",I:I,"Bank Sampah Unit"))</f>
        <v>24.451282051282053</v>
      </c>
      <c r="O351" s="476" t="str">
        <f t="shared" si="17"/>
        <v>953,6</v>
      </c>
    </row>
    <row r="352" spans="2:15" x14ac:dyDescent="0.35">
      <c r="B352" s="177">
        <v>44340</v>
      </c>
      <c r="C352" s="176">
        <v>4</v>
      </c>
      <c r="D352" s="171" t="str">
        <f t="shared" si="15"/>
        <v>Q2</v>
      </c>
      <c r="E352" s="176">
        <v>24</v>
      </c>
      <c r="F352" s="224" t="s">
        <v>347</v>
      </c>
      <c r="G352" s="176">
        <v>2021</v>
      </c>
      <c r="H352" s="118" t="s">
        <v>157</v>
      </c>
      <c r="I352" s="172" t="s">
        <v>37</v>
      </c>
      <c r="J352" s="172" t="s">
        <v>8</v>
      </c>
      <c r="K352" s="485">
        <v>4</v>
      </c>
      <c r="L352" s="304">
        <f>UBC_MASUK[[#This Row],[Tg Bulan]]/SUM(COUNTIFS(F:F,"(05) MEI",I:I,"Bank Sampah Unit",G:G,"2021"))</f>
        <v>6.1128205130769224</v>
      </c>
      <c r="M352" s="475" t="str">
        <f t="shared" si="16"/>
        <v>79,46666667</v>
      </c>
      <c r="N352" s="304">
        <f>UBC_MASUK[[#This Row],[Tg Tahun]]/SUM(COUNTIFS(G:G,"2021",I:I,"Bank Sampah Unit"))</f>
        <v>24.451282051282053</v>
      </c>
      <c r="O352" s="476" t="str">
        <f t="shared" si="17"/>
        <v>953,6</v>
      </c>
    </row>
    <row r="353" spans="2:15" x14ac:dyDescent="0.35">
      <c r="B353" s="177">
        <v>44336</v>
      </c>
      <c r="C353" s="176">
        <v>3</v>
      </c>
      <c r="D353" s="171" t="str">
        <f t="shared" si="15"/>
        <v>Q2</v>
      </c>
      <c r="E353" s="176">
        <v>20</v>
      </c>
      <c r="F353" s="224" t="s">
        <v>347</v>
      </c>
      <c r="G353" s="176">
        <v>2021</v>
      </c>
      <c r="H353" s="118" t="s">
        <v>17</v>
      </c>
      <c r="I353" s="172" t="s">
        <v>18</v>
      </c>
      <c r="J353" s="172" t="s">
        <v>19</v>
      </c>
      <c r="K353" s="485">
        <v>415</v>
      </c>
      <c r="L353" s="304">
        <f>UBC_MASUK[[#This Row],[Tg Bulan]]/SUM(COUNTIFS(F:F,"(05) MEI",I:I,"Pengepul",G:G,"2021"))</f>
        <v>3993.7361099999998</v>
      </c>
      <c r="M353" s="475" t="str">
        <f t="shared" si="16"/>
        <v>11981,20833</v>
      </c>
      <c r="N353" s="304">
        <f>UBC_MASUK[[#This Row],[Tg Tahun]]/SUM(COUNTIFS(G:G,"2021",I:I,"Pengepul"))</f>
        <v>4228.661764705882</v>
      </c>
      <c r="O353" s="476" t="str">
        <f t="shared" si="17"/>
        <v>143774,5</v>
      </c>
    </row>
    <row r="354" spans="2:15" x14ac:dyDescent="0.35">
      <c r="B354" s="177">
        <v>44336</v>
      </c>
      <c r="C354" s="176">
        <v>3</v>
      </c>
      <c r="D354" s="171" t="str">
        <f t="shared" si="15"/>
        <v>Q2</v>
      </c>
      <c r="E354" s="176">
        <v>20</v>
      </c>
      <c r="F354" s="224" t="s">
        <v>347</v>
      </c>
      <c r="G354" s="176">
        <v>2021</v>
      </c>
      <c r="H354" s="118" t="s">
        <v>121</v>
      </c>
      <c r="I354" s="172" t="s">
        <v>31</v>
      </c>
      <c r="J354" s="172" t="s">
        <v>8</v>
      </c>
      <c r="K354" s="485">
        <v>14</v>
      </c>
      <c r="L354" s="304">
        <f>UBC_MASUK[[#This Row],[Tg Bulan]]/SUM(COUNTIFS(F:F,"(05) MEI",I:I,"Bisnis",G:G,"2021"))</f>
        <v>35.096969696969701</v>
      </c>
      <c r="M354" s="475" t="str">
        <f t="shared" si="16"/>
        <v>1158,2</v>
      </c>
      <c r="N354" s="304">
        <f>UBC_MASUK[[#This Row],[Tg Tahun]]/SUM(COUNTIFS(G:G,"2021",I:I,"Bisnis"))</f>
        <v>111.18719999999999</v>
      </c>
      <c r="O354" s="476" t="str">
        <f t="shared" si="17"/>
        <v>13898,4</v>
      </c>
    </row>
    <row r="355" spans="2:15" x14ac:dyDescent="0.35">
      <c r="B355" s="177">
        <v>44336</v>
      </c>
      <c r="C355" s="176">
        <v>3</v>
      </c>
      <c r="D355" s="171" t="str">
        <f t="shared" si="15"/>
        <v>Q2</v>
      </c>
      <c r="E355" s="176">
        <v>20</v>
      </c>
      <c r="F355" s="224" t="s">
        <v>347</v>
      </c>
      <c r="G355" s="176">
        <v>2021</v>
      </c>
      <c r="H355" s="118" t="s">
        <v>356</v>
      </c>
      <c r="I355" s="172" t="s">
        <v>31</v>
      </c>
      <c r="J355" s="172" t="s">
        <v>8</v>
      </c>
      <c r="K355" s="485">
        <v>2</v>
      </c>
      <c r="L355" s="304">
        <f>UBC_MASUK[[#This Row],[Tg Bulan]]/SUM(COUNTIFS(F:F,"(05) MEI",I:I,"Bisnis",G:G,"2021"))</f>
        <v>35.096969696969701</v>
      </c>
      <c r="M355" s="475" t="str">
        <f t="shared" si="16"/>
        <v>1158,2</v>
      </c>
      <c r="N355" s="304">
        <f>UBC_MASUK[[#This Row],[Tg Tahun]]/SUM(COUNTIFS(G:G,"2021",I:I,"Bisnis"))</f>
        <v>111.18719999999999</v>
      </c>
      <c r="O355" s="476" t="str">
        <f t="shared" si="17"/>
        <v>13898,4</v>
      </c>
    </row>
    <row r="356" spans="2:15" x14ac:dyDescent="0.35">
      <c r="B356" s="177">
        <v>44337</v>
      </c>
      <c r="C356" s="176">
        <v>3</v>
      </c>
      <c r="D356" s="171" t="str">
        <f t="shared" si="15"/>
        <v>Q2</v>
      </c>
      <c r="E356" s="176">
        <v>21</v>
      </c>
      <c r="F356" s="224" t="s">
        <v>347</v>
      </c>
      <c r="G356" s="176">
        <v>2021</v>
      </c>
      <c r="H356" s="118" t="s">
        <v>312</v>
      </c>
      <c r="I356" s="172" t="s">
        <v>31</v>
      </c>
      <c r="J356" s="172" t="s">
        <v>19</v>
      </c>
      <c r="K356" s="485">
        <v>27</v>
      </c>
      <c r="L356" s="304">
        <f>UBC_MASUK[[#This Row],[Tg Bulan]]/SUM(COUNTIFS(F:F,"(05) MEI",I:I,"Bisnis",G:G,"2021"))</f>
        <v>35.096969696969701</v>
      </c>
      <c r="M356" s="475" t="str">
        <f t="shared" si="16"/>
        <v>1158,2</v>
      </c>
      <c r="N356" s="304">
        <f>UBC_MASUK[[#This Row],[Tg Tahun]]/SUM(COUNTIFS(G:G,"2021",I:I,"Bisnis"))</f>
        <v>111.18719999999999</v>
      </c>
      <c r="O356" s="476" t="str">
        <f t="shared" si="17"/>
        <v>13898,4</v>
      </c>
    </row>
    <row r="357" spans="2:15" x14ac:dyDescent="0.35">
      <c r="B357" s="177">
        <v>44337</v>
      </c>
      <c r="C357" s="176">
        <v>3</v>
      </c>
      <c r="D357" s="171" t="str">
        <f t="shared" si="15"/>
        <v>Q2</v>
      </c>
      <c r="E357" s="176">
        <v>21</v>
      </c>
      <c r="F357" s="224" t="s">
        <v>347</v>
      </c>
      <c r="G357" s="176">
        <v>2021</v>
      </c>
      <c r="H357" s="118" t="s">
        <v>30</v>
      </c>
      <c r="I357" s="172" t="s">
        <v>31</v>
      </c>
      <c r="J357" s="172" t="s">
        <v>19</v>
      </c>
      <c r="K357" s="485">
        <v>12</v>
      </c>
      <c r="L357" s="304">
        <f>UBC_MASUK[[#This Row],[Tg Bulan]]/SUM(COUNTIFS(F:F,"(05) MEI",I:I,"Bisnis",G:G,"2021"))</f>
        <v>35.096969696969701</v>
      </c>
      <c r="M357" s="475" t="str">
        <f t="shared" si="16"/>
        <v>1158,2</v>
      </c>
      <c r="N357" s="304">
        <f>UBC_MASUK[[#This Row],[Tg Tahun]]/SUM(COUNTIFS(G:G,"2021",I:I,"Bisnis"))</f>
        <v>111.18719999999999</v>
      </c>
      <c r="O357" s="476" t="str">
        <f t="shared" si="17"/>
        <v>13898,4</v>
      </c>
    </row>
    <row r="358" spans="2:15" x14ac:dyDescent="0.35">
      <c r="B358" s="177">
        <v>44337</v>
      </c>
      <c r="C358" s="176">
        <v>3</v>
      </c>
      <c r="D358" s="171" t="str">
        <f t="shared" si="15"/>
        <v>Q2</v>
      </c>
      <c r="E358" s="176">
        <v>21</v>
      </c>
      <c r="F358" s="224" t="s">
        <v>347</v>
      </c>
      <c r="G358" s="176">
        <v>2021</v>
      </c>
      <c r="H358" s="118" t="s">
        <v>35</v>
      </c>
      <c r="I358" s="172" t="s">
        <v>36</v>
      </c>
      <c r="J358" s="172" t="s">
        <v>8</v>
      </c>
      <c r="K358" s="485">
        <v>3</v>
      </c>
      <c r="L358" s="304">
        <f>UBC_MASUK[[#This Row],[Tg Bulan]]/SUM(COUNTIFS(F:F,"(05) MEI",I:I,"Sekolah",G:G,"2021"))</f>
        <v>16.193750000000001</v>
      </c>
      <c r="M358" s="475" t="str">
        <f t="shared" si="16"/>
        <v>64,775</v>
      </c>
      <c r="N358" s="304">
        <f>UBC_MASUK[[#This Row],[Tg Tahun]]/SUM(COUNTIFS(G:G,"2021",I:I,"Sekolah"))</f>
        <v>38.864999999999995</v>
      </c>
      <c r="O358" s="476" t="str">
        <f t="shared" si="17"/>
        <v>777,3</v>
      </c>
    </row>
    <row r="359" spans="2:15" x14ac:dyDescent="0.35">
      <c r="B359" s="177">
        <v>44337</v>
      </c>
      <c r="C359" s="176">
        <v>3</v>
      </c>
      <c r="D359" s="171" t="str">
        <f t="shared" si="15"/>
        <v>Q2</v>
      </c>
      <c r="E359" s="176">
        <v>21</v>
      </c>
      <c r="F359" s="224" t="s">
        <v>347</v>
      </c>
      <c r="G359" s="176">
        <v>2021</v>
      </c>
      <c r="H359" s="118" t="s">
        <v>44</v>
      </c>
      <c r="I359" s="172" t="s">
        <v>34</v>
      </c>
      <c r="J359" s="172" t="s">
        <v>14</v>
      </c>
      <c r="K359" s="485">
        <v>4</v>
      </c>
      <c r="L359" s="304">
        <f>UBC_MASUK[[#This Row],[Tg Bulan]]/SUM(COUNTIFS(F:F,"(05) MEI",I:I,"Hotel",G:G,"2021"))</f>
        <v>201.40833330000001</v>
      </c>
      <c r="M359" s="475" t="str">
        <f t="shared" si="16"/>
        <v>201,4083333</v>
      </c>
      <c r="N359" s="304">
        <f>UBC_MASUK[[#This Row],[Tg Tahun]]/SUM(COUNTIFS(G:G,"2021",I:I,"Hotel"))</f>
        <v>345.2714285714286</v>
      </c>
      <c r="O359" s="476" t="str">
        <f t="shared" si="17"/>
        <v>2416,9</v>
      </c>
    </row>
    <row r="360" spans="2:15" x14ac:dyDescent="0.35">
      <c r="B360" s="177">
        <v>44340</v>
      </c>
      <c r="C360" s="176">
        <v>3</v>
      </c>
      <c r="D360" s="171" t="str">
        <f t="shared" si="15"/>
        <v>Q2</v>
      </c>
      <c r="E360" s="176">
        <v>24</v>
      </c>
      <c r="F360" s="224" t="s">
        <v>347</v>
      </c>
      <c r="G360" s="176">
        <v>2021</v>
      </c>
      <c r="H360" s="118" t="s">
        <v>312</v>
      </c>
      <c r="I360" s="172" t="s">
        <v>31</v>
      </c>
      <c r="J360" s="172" t="s">
        <v>19</v>
      </c>
      <c r="K360" s="485">
        <v>31</v>
      </c>
      <c r="L360" s="304">
        <f>UBC_MASUK[[#This Row],[Tg Bulan]]/SUM(COUNTIFS(F:F,"(05) MEI",I:I,"Bisnis",G:G,"2021"))</f>
        <v>35.096969696969701</v>
      </c>
      <c r="M360" s="475" t="str">
        <f t="shared" si="16"/>
        <v>1158,2</v>
      </c>
      <c r="N360" s="304">
        <f>UBC_MASUK[[#This Row],[Tg Tahun]]/SUM(COUNTIFS(G:G,"2021",I:I,"Bisnis"))</f>
        <v>111.18719999999999</v>
      </c>
      <c r="O360" s="476" t="str">
        <f t="shared" si="17"/>
        <v>13898,4</v>
      </c>
    </row>
    <row r="361" spans="2:15" x14ac:dyDescent="0.35">
      <c r="B361" s="177">
        <v>44340</v>
      </c>
      <c r="C361" s="176">
        <v>3</v>
      </c>
      <c r="D361" s="171" t="str">
        <f t="shared" si="15"/>
        <v>Q2</v>
      </c>
      <c r="E361" s="176">
        <v>24</v>
      </c>
      <c r="F361" s="224" t="s">
        <v>347</v>
      </c>
      <c r="G361" s="176">
        <v>2021</v>
      </c>
      <c r="H361" s="118" t="s">
        <v>304</v>
      </c>
      <c r="I361" s="172" t="s">
        <v>31</v>
      </c>
      <c r="J361" s="172" t="s">
        <v>19</v>
      </c>
      <c r="K361" s="485">
        <v>13</v>
      </c>
      <c r="L361" s="304">
        <f>UBC_MASUK[[#This Row],[Tg Bulan]]/SUM(COUNTIFS(F:F,"(05) MEI",I:I,"Bisnis",G:G,"2021"))</f>
        <v>35.096969696969701</v>
      </c>
      <c r="M361" s="475" t="str">
        <f t="shared" si="16"/>
        <v>1158,2</v>
      </c>
      <c r="N361" s="304">
        <f>UBC_MASUK[[#This Row],[Tg Tahun]]/SUM(COUNTIFS(G:G,"2021",I:I,"Bisnis"))</f>
        <v>111.18719999999999</v>
      </c>
      <c r="O361" s="476" t="str">
        <f t="shared" si="17"/>
        <v>13898,4</v>
      </c>
    </row>
    <row r="362" spans="2:15" x14ac:dyDescent="0.35">
      <c r="B362" s="177">
        <v>44340</v>
      </c>
      <c r="C362" s="176">
        <v>3</v>
      </c>
      <c r="D362" s="171" t="str">
        <f t="shared" si="15"/>
        <v>Q2</v>
      </c>
      <c r="E362" s="176">
        <v>24</v>
      </c>
      <c r="F362" s="224" t="s">
        <v>347</v>
      </c>
      <c r="G362" s="176">
        <v>2021</v>
      </c>
      <c r="H362" s="118" t="s">
        <v>303</v>
      </c>
      <c r="I362" s="172" t="s">
        <v>31</v>
      </c>
      <c r="J362" s="172" t="s">
        <v>8</v>
      </c>
      <c r="K362" s="485">
        <v>90</v>
      </c>
      <c r="L362" s="304">
        <f>UBC_MASUK[[#This Row],[Tg Bulan]]/SUM(COUNTIFS(F:F,"(05) MEI",I:I,"Bisnis",G:G,"2021"))</f>
        <v>35.096969696969701</v>
      </c>
      <c r="M362" s="475" t="str">
        <f t="shared" si="16"/>
        <v>1158,2</v>
      </c>
      <c r="N362" s="304">
        <f>UBC_MASUK[[#This Row],[Tg Tahun]]/SUM(COUNTIFS(G:G,"2021",I:I,"Bisnis"))</f>
        <v>111.18719999999999</v>
      </c>
      <c r="O362" s="476" t="str">
        <f t="shared" si="17"/>
        <v>13898,4</v>
      </c>
    </row>
    <row r="363" spans="2:15" x14ac:dyDescent="0.35">
      <c r="B363" s="177">
        <v>44340</v>
      </c>
      <c r="C363" s="176">
        <v>3</v>
      </c>
      <c r="D363" s="171" t="str">
        <f t="shared" si="15"/>
        <v>Q2</v>
      </c>
      <c r="E363" s="176">
        <v>24</v>
      </c>
      <c r="F363" s="224" t="s">
        <v>347</v>
      </c>
      <c r="G363" s="176">
        <v>2021</v>
      </c>
      <c r="H363" s="118" t="s">
        <v>41</v>
      </c>
      <c r="I363" s="172" t="s">
        <v>31</v>
      </c>
      <c r="J363" s="172" t="s">
        <v>8</v>
      </c>
      <c r="K363" s="485">
        <v>1.4</v>
      </c>
      <c r="L363" s="304">
        <f>UBC_MASUK[[#This Row],[Tg Bulan]]/SUM(COUNTIFS(F:F,"(05) MEI",I:I,"Bisnis",G:G,"2021"))</f>
        <v>35.096969696969701</v>
      </c>
      <c r="M363" s="475" t="str">
        <f t="shared" si="16"/>
        <v>1158,2</v>
      </c>
      <c r="N363" s="304">
        <f>UBC_MASUK[[#This Row],[Tg Tahun]]/SUM(COUNTIFS(G:G,"2021",I:I,"Bisnis"))</f>
        <v>111.18719999999999</v>
      </c>
      <c r="O363" s="476" t="str">
        <f t="shared" si="17"/>
        <v>13898,4</v>
      </c>
    </row>
    <row r="364" spans="2:15" x14ac:dyDescent="0.35">
      <c r="B364" s="177">
        <v>44343</v>
      </c>
      <c r="C364" s="176">
        <v>4</v>
      </c>
      <c r="D364" s="171" t="str">
        <f t="shared" si="15"/>
        <v>Q2</v>
      </c>
      <c r="E364" s="176">
        <v>27</v>
      </c>
      <c r="F364" s="224" t="s">
        <v>347</v>
      </c>
      <c r="G364" s="176">
        <v>2021</v>
      </c>
      <c r="H364" s="118" t="s">
        <v>357</v>
      </c>
      <c r="I364" s="172" t="s">
        <v>21</v>
      </c>
      <c r="J364" s="172" t="s">
        <v>19</v>
      </c>
      <c r="K364" s="485">
        <v>457</v>
      </c>
      <c r="L364" s="304">
        <f>UBC_MASUK[[#This Row],[Tg Bulan]]/SUM(COUNTIFS(F:F,"(05) MEI",I:I,"Jasa Sampah",G:G,"2021"))</f>
        <v>928.10833324999999</v>
      </c>
      <c r="M364" s="475" t="str">
        <f t="shared" si="16"/>
        <v>3712,433333</v>
      </c>
      <c r="N364" s="304">
        <f>UBC_MASUK[[#This Row],[Tg Tahun]]/SUM(COUNTIFS(G:G,"2021",I:I,"Jasa sampah"))</f>
        <v>1856.2166666666665</v>
      </c>
      <c r="O364" s="476" t="str">
        <f t="shared" si="17"/>
        <v>44549,2</v>
      </c>
    </row>
    <row r="365" spans="2:15" x14ac:dyDescent="0.35">
      <c r="B365" s="177">
        <v>44343</v>
      </c>
      <c r="C365" s="176">
        <v>4</v>
      </c>
      <c r="D365" s="171" t="str">
        <f t="shared" si="15"/>
        <v>Q2</v>
      </c>
      <c r="E365" s="176">
        <v>27</v>
      </c>
      <c r="F365" s="224" t="s">
        <v>347</v>
      </c>
      <c r="G365" s="176">
        <v>2021</v>
      </c>
      <c r="H365" s="118" t="s">
        <v>315</v>
      </c>
      <c r="I365" s="172" t="s">
        <v>31</v>
      </c>
      <c r="J365" s="172" t="s">
        <v>19</v>
      </c>
      <c r="K365" s="485">
        <v>1.5</v>
      </c>
      <c r="L365" s="304">
        <f>UBC_MASUK[[#This Row],[Tg Bulan]]/SUM(COUNTIFS(F:F,"(05) MEI",I:I,"Bisnis",G:G,"2021"))</f>
        <v>35.096969696969701</v>
      </c>
      <c r="M365" s="475" t="str">
        <f t="shared" si="16"/>
        <v>1158,2</v>
      </c>
      <c r="N365" s="304">
        <f>UBC_MASUK[[#This Row],[Tg Tahun]]/SUM(COUNTIFS(G:G,"2021",I:I,"Bisnis"))</f>
        <v>111.18719999999999</v>
      </c>
      <c r="O365" s="476" t="str">
        <f t="shared" si="17"/>
        <v>13898,4</v>
      </c>
    </row>
    <row r="366" spans="2:15" x14ac:dyDescent="0.35">
      <c r="B366" s="177">
        <v>44344</v>
      </c>
      <c r="C366" s="176">
        <v>4</v>
      </c>
      <c r="D366" s="171" t="str">
        <f t="shared" si="15"/>
        <v>Q2</v>
      </c>
      <c r="E366" s="176">
        <v>28</v>
      </c>
      <c r="F366" s="224" t="s">
        <v>347</v>
      </c>
      <c r="G366" s="176">
        <v>2021</v>
      </c>
      <c r="H366" s="118" t="s">
        <v>312</v>
      </c>
      <c r="I366" s="172" t="s">
        <v>31</v>
      </c>
      <c r="J366" s="172" t="s">
        <v>19</v>
      </c>
      <c r="K366" s="485">
        <v>39</v>
      </c>
      <c r="L366" s="304">
        <f>UBC_MASUK[[#This Row],[Tg Bulan]]/SUM(COUNTIFS(F:F,"(05) MEI",I:I,"Bisnis",G:G,"2021"))</f>
        <v>35.096969696969701</v>
      </c>
      <c r="M366" s="475" t="str">
        <f t="shared" si="16"/>
        <v>1158,2</v>
      </c>
      <c r="N366" s="304">
        <f>UBC_MASUK[[#This Row],[Tg Tahun]]/SUM(COUNTIFS(G:G,"2021",I:I,"Bisnis"))</f>
        <v>111.18719999999999</v>
      </c>
      <c r="O366" s="476" t="str">
        <f t="shared" si="17"/>
        <v>13898,4</v>
      </c>
    </row>
    <row r="367" spans="2:15" x14ac:dyDescent="0.35">
      <c r="B367" s="177">
        <v>44344</v>
      </c>
      <c r="C367" s="176">
        <v>4</v>
      </c>
      <c r="D367" s="171" t="str">
        <f t="shared" si="15"/>
        <v>Q2</v>
      </c>
      <c r="E367" s="176">
        <v>28</v>
      </c>
      <c r="F367" s="224" t="s">
        <v>347</v>
      </c>
      <c r="G367" s="176">
        <v>2021</v>
      </c>
      <c r="H367" s="118" t="s">
        <v>30</v>
      </c>
      <c r="I367" s="172" t="s">
        <v>31</v>
      </c>
      <c r="J367" s="172" t="s">
        <v>19</v>
      </c>
      <c r="K367" s="485">
        <v>37</v>
      </c>
      <c r="L367" s="304">
        <f>UBC_MASUK[[#This Row],[Tg Bulan]]/SUM(COUNTIFS(F:F,"(05) MEI",I:I,"Bisnis",G:G,"2021"))</f>
        <v>35.096969696969701</v>
      </c>
      <c r="M367" s="475" t="str">
        <f t="shared" si="16"/>
        <v>1158,2</v>
      </c>
      <c r="N367" s="304">
        <f>UBC_MASUK[[#This Row],[Tg Tahun]]/SUM(COUNTIFS(G:G,"2021",I:I,"Bisnis"))</f>
        <v>111.18719999999999</v>
      </c>
      <c r="O367" s="476" t="str">
        <f t="shared" si="17"/>
        <v>13898,4</v>
      </c>
    </row>
    <row r="368" spans="2:15" x14ac:dyDescent="0.35">
      <c r="B368" s="177">
        <v>44344</v>
      </c>
      <c r="C368" s="176">
        <v>4</v>
      </c>
      <c r="D368" s="171" t="str">
        <f t="shared" si="15"/>
        <v>Q2</v>
      </c>
      <c r="E368" s="176">
        <v>28</v>
      </c>
      <c r="F368" s="224" t="s">
        <v>347</v>
      </c>
      <c r="G368" s="176">
        <v>2021</v>
      </c>
      <c r="H368" s="118" t="s">
        <v>360</v>
      </c>
      <c r="I368" s="172" t="s">
        <v>7</v>
      </c>
      <c r="J368" s="172" t="s">
        <v>8</v>
      </c>
      <c r="K368" s="485">
        <v>23</v>
      </c>
      <c r="L368" s="304">
        <f>UBC_MASUK[[#This Row],[Tg Bulan]]/SUM(COUNTIFS(F:F,"(05) MEI",I:I,"TPS3R",G:G,"2021"))</f>
        <v>130.47777777777767</v>
      </c>
      <c r="M368" s="475" t="str">
        <f t="shared" si="16"/>
        <v>391,433333333333</v>
      </c>
      <c r="N368" s="304">
        <f>UBC_MASUK[[#This Row],[Tg Tahun]]/SUM(COUNTIFS(G:G,"2021",I:I,"TPS3R"))</f>
        <v>418.83636363636361</v>
      </c>
      <c r="O368" s="476" t="str">
        <f t="shared" si="17"/>
        <v>4607,2</v>
      </c>
    </row>
    <row r="369" spans="2:15" x14ac:dyDescent="0.35">
      <c r="B369" s="177">
        <v>44344</v>
      </c>
      <c r="C369" s="176">
        <v>4</v>
      </c>
      <c r="D369" s="171" t="str">
        <f t="shared" si="15"/>
        <v>Q2</v>
      </c>
      <c r="E369" s="176">
        <v>28</v>
      </c>
      <c r="F369" s="224" t="s">
        <v>347</v>
      </c>
      <c r="G369" s="176">
        <v>2021</v>
      </c>
      <c r="H369" s="118" t="s">
        <v>359</v>
      </c>
      <c r="I369" s="172" t="s">
        <v>7</v>
      </c>
      <c r="J369" s="172" t="s">
        <v>9</v>
      </c>
      <c r="K369" s="485">
        <v>60</v>
      </c>
      <c r="L369" s="304">
        <f>UBC_MASUK[[#This Row],[Tg Bulan]]/SUM(COUNTIFS(F:F,"(05) MEI",I:I,"TPS3R",G:G,"2021"))</f>
        <v>130.47777777777767</v>
      </c>
      <c r="M369" s="475" t="str">
        <f t="shared" si="16"/>
        <v>391,433333333333</v>
      </c>
      <c r="N369" s="304">
        <f>UBC_MASUK[[#This Row],[Tg Tahun]]/SUM(COUNTIFS(G:G,"2021",I:I,"TPS3R"))</f>
        <v>418.83636363636361</v>
      </c>
      <c r="O369" s="476" t="str">
        <f t="shared" si="17"/>
        <v>4607,2</v>
      </c>
    </row>
    <row r="370" spans="2:15" x14ac:dyDescent="0.35">
      <c r="B370" s="177">
        <v>44344</v>
      </c>
      <c r="C370" s="176">
        <v>4</v>
      </c>
      <c r="D370" s="171" t="str">
        <f t="shared" si="15"/>
        <v>Q2</v>
      </c>
      <c r="E370" s="176">
        <v>28</v>
      </c>
      <c r="F370" s="224" t="s">
        <v>347</v>
      </c>
      <c r="G370" s="176">
        <v>2021</v>
      </c>
      <c r="H370" s="118" t="s">
        <v>35</v>
      </c>
      <c r="I370" s="172" t="s">
        <v>36</v>
      </c>
      <c r="J370" s="172" t="s">
        <v>8</v>
      </c>
      <c r="K370" s="485">
        <v>8</v>
      </c>
      <c r="L370" s="304">
        <f>UBC_MASUK[[#This Row],[Tg Bulan]]/SUM(COUNTIFS(F:F,"(05) MEI",I:I,"Sekolah",G:G,"2021"))</f>
        <v>16.193750000000001</v>
      </c>
      <c r="M370" s="351" t="str">
        <f t="shared" si="16"/>
        <v>64,775</v>
      </c>
      <c r="N370" s="304">
        <f>UBC_MASUK[[#This Row],[Tg Tahun]]/SUM(COUNTIFS(G:G,"2021",I:I,"Sekolah"))</f>
        <v>38.864999999999995</v>
      </c>
      <c r="O370" s="170" t="str">
        <f t="shared" si="17"/>
        <v>777,3</v>
      </c>
    </row>
    <row r="371" spans="2:15" x14ac:dyDescent="0.35">
      <c r="B371" s="486">
        <v>44347</v>
      </c>
      <c r="C371" s="487">
        <v>5</v>
      </c>
      <c r="D371" s="488" t="str">
        <f t="shared" si="15"/>
        <v>Q2</v>
      </c>
      <c r="E371" s="487">
        <v>31</v>
      </c>
      <c r="F371" s="224" t="s">
        <v>347</v>
      </c>
      <c r="G371" s="176">
        <v>2021</v>
      </c>
      <c r="H371" s="489" t="s">
        <v>159</v>
      </c>
      <c r="I371" s="476" t="s">
        <v>160</v>
      </c>
      <c r="J371" s="476" t="s">
        <v>161</v>
      </c>
      <c r="K371" s="480">
        <v>0</v>
      </c>
      <c r="L371" s="304">
        <f>UBC_MASUK[[#This Row],[Tg Bulan]]/SUM(COUNTIFS(F:F,"(05) MEI",I:I,"Bank Sampah Induk",G:G,"2021"))</f>
        <v>139.73750000000001</v>
      </c>
      <c r="M371" s="475" t="str">
        <f t="shared" si="16"/>
        <v>279,475</v>
      </c>
      <c r="N371" s="304">
        <f>UBC_MASUK[[#This Row],[Tg Tahun]]/SUM(COUNTIFS(G:G,"2021",I:I,"Bank Sampah Induk"))</f>
        <v>419.21249999999998</v>
      </c>
      <c r="O371" s="476" t="str">
        <f t="shared" si="17"/>
        <v>3353,7</v>
      </c>
    </row>
    <row r="372" spans="2:15" x14ac:dyDescent="0.35">
      <c r="B372" s="486">
        <v>44347</v>
      </c>
      <c r="C372" s="487">
        <v>5</v>
      </c>
      <c r="D372" s="488" t="str">
        <f t="shared" si="15"/>
        <v>Q2</v>
      </c>
      <c r="E372" s="487">
        <v>31</v>
      </c>
      <c r="F372" s="224" t="s">
        <v>347</v>
      </c>
      <c r="G372" s="176">
        <v>2021</v>
      </c>
      <c r="H372" s="489" t="s">
        <v>42</v>
      </c>
      <c r="I372" s="476" t="s">
        <v>31</v>
      </c>
      <c r="J372" s="476" t="s">
        <v>43</v>
      </c>
      <c r="K372" s="480">
        <v>0</v>
      </c>
      <c r="L372" s="304">
        <f>UBC_MASUK[[#This Row],[Tg Bulan]]/SUM(COUNTIFS(F:F,"(05) MEI",I:I,"Bisnis",G:G,"2021"))</f>
        <v>35.096969696969701</v>
      </c>
      <c r="M372" s="475" t="str">
        <f t="shared" si="16"/>
        <v>1158,2</v>
      </c>
      <c r="N372" s="304">
        <f>UBC_MASUK[[#This Row],[Tg Tahun]]/SUM(COUNTIFS(G:G,"2021",I:I,"Bisnis"))</f>
        <v>111.18719999999999</v>
      </c>
      <c r="O372" s="476" t="str">
        <f t="shared" si="17"/>
        <v>13898,4</v>
      </c>
    </row>
    <row r="373" spans="2:15" x14ac:dyDescent="0.35">
      <c r="B373" s="486">
        <v>44347</v>
      </c>
      <c r="C373" s="487">
        <v>5</v>
      </c>
      <c r="D373" s="488" t="str">
        <f t="shared" si="15"/>
        <v>Q2</v>
      </c>
      <c r="E373" s="487">
        <v>31</v>
      </c>
      <c r="F373" s="224" t="s">
        <v>347</v>
      </c>
      <c r="G373" s="176">
        <v>2021</v>
      </c>
      <c r="H373" s="489" t="s">
        <v>15</v>
      </c>
      <c r="I373" s="476" t="s">
        <v>16</v>
      </c>
      <c r="J373" s="476" t="s">
        <v>14</v>
      </c>
      <c r="K373" s="480">
        <v>0</v>
      </c>
      <c r="L373" s="304">
        <f>UBC_MASUK[[#This Row],[Tg Bulan]]/SUM(COUNTIFS(F:F,"(05) MEI",I:I,"TPA",G:G,"2021"))</f>
        <v>878.97500000000002</v>
      </c>
      <c r="M373" s="475" t="str">
        <f t="shared" si="16"/>
        <v>878,975</v>
      </c>
      <c r="N373" s="304">
        <f>UBC_MASUK[[#This Row],[Tg Tahun]]/SUM(COUNTIFS(G:G,"2021",I:I,"TPA"))</f>
        <v>1757.95</v>
      </c>
      <c r="O373" s="476" t="str">
        <f t="shared" si="17"/>
        <v>10547,7</v>
      </c>
    </row>
    <row r="374" spans="2:15" x14ac:dyDescent="0.35">
      <c r="B374" s="486">
        <v>44347</v>
      </c>
      <c r="C374" s="487">
        <v>5</v>
      </c>
      <c r="D374" s="488" t="str">
        <f t="shared" si="15"/>
        <v>Q2</v>
      </c>
      <c r="E374" s="487">
        <v>31</v>
      </c>
      <c r="F374" s="224" t="s">
        <v>347</v>
      </c>
      <c r="G374" s="176">
        <v>2021</v>
      </c>
      <c r="H374" s="489" t="s">
        <v>12</v>
      </c>
      <c r="I374" s="476" t="s">
        <v>13</v>
      </c>
      <c r="J374" s="476" t="s">
        <v>14</v>
      </c>
      <c r="K374" s="480">
        <v>0</v>
      </c>
      <c r="L374" s="304">
        <f>UBC_MASUK[[#This Row],[Tg Bulan]]/SUM(COUNTIFS(F:F,"(05) MEI",I:I,"TPST3R",G:G,"2021"))</f>
        <v>1222.2249999999999</v>
      </c>
      <c r="M374" s="475" t="str">
        <f t="shared" si="16"/>
        <v>1222,225</v>
      </c>
      <c r="N374" s="304">
        <f>UBC_MASUK[[#This Row],[Tg Tahun]]/SUM(COUNTIFS(G:G,"2021",I:I,"TPST3R"))</f>
        <v>1333.3363636363638</v>
      </c>
      <c r="O374" s="476" t="str">
        <f t="shared" si="17"/>
        <v>14666,7</v>
      </c>
    </row>
    <row r="375" spans="2:15" x14ac:dyDescent="0.35">
      <c r="B375" s="177">
        <v>44347</v>
      </c>
      <c r="C375" s="176">
        <v>5</v>
      </c>
      <c r="D375" s="488" t="str">
        <f t="shared" si="15"/>
        <v>Q2</v>
      </c>
      <c r="E375" s="176">
        <v>31</v>
      </c>
      <c r="F375" s="224" t="s">
        <v>347</v>
      </c>
      <c r="G375" s="176">
        <v>2021</v>
      </c>
      <c r="H375" s="118" t="s">
        <v>27</v>
      </c>
      <c r="I375" s="172" t="s">
        <v>31</v>
      </c>
      <c r="J375" s="172" t="s">
        <v>8</v>
      </c>
      <c r="K375" s="173">
        <v>10</v>
      </c>
      <c r="L375" s="304">
        <f>UBC_MASUK[[#This Row],[Tg Bulan]]/SUM(COUNTIFS(F:F,"(05) MEI",I:I,"Bisnis",G:G,"2021"))</f>
        <v>35.096969696969701</v>
      </c>
      <c r="M375" s="475" t="str">
        <f t="shared" si="16"/>
        <v>1158,2</v>
      </c>
      <c r="N375" s="304">
        <f>UBC_MASUK[[#This Row],[Tg Tahun]]/SUM(COUNTIFS(G:G,"2021",I:I,"Bisnis"))</f>
        <v>111.18719999999999</v>
      </c>
      <c r="O375" s="476" t="str">
        <f t="shared" si="17"/>
        <v>13898,4</v>
      </c>
    </row>
    <row r="376" spans="2:15" x14ac:dyDescent="0.35">
      <c r="B376" s="177">
        <v>44347</v>
      </c>
      <c r="C376" s="176">
        <v>5</v>
      </c>
      <c r="D376" s="488" t="str">
        <f t="shared" si="15"/>
        <v>Q2</v>
      </c>
      <c r="E376" s="176">
        <v>31</v>
      </c>
      <c r="F376" s="224" t="s">
        <v>347</v>
      </c>
      <c r="G376" s="176">
        <v>2021</v>
      </c>
      <c r="H376" s="118" t="s">
        <v>312</v>
      </c>
      <c r="I376" s="172" t="s">
        <v>31</v>
      </c>
      <c r="J376" s="172" t="s">
        <v>19</v>
      </c>
      <c r="K376" s="173">
        <v>32</v>
      </c>
      <c r="L376" s="304">
        <f>UBC_MASUK[[#This Row],[Tg Bulan]]/SUM(COUNTIFS(F:F,"(05) MEI",I:I,"Bisnis",G:G,"2021"))</f>
        <v>35.096969696969701</v>
      </c>
      <c r="M376" s="475" t="str">
        <f t="shared" si="16"/>
        <v>1158,2</v>
      </c>
      <c r="N376" s="304">
        <f>UBC_MASUK[[#This Row],[Tg Tahun]]/SUM(COUNTIFS(G:G,"2021",I:I,"Bisnis"))</f>
        <v>111.18719999999999</v>
      </c>
      <c r="O376" s="476" t="str">
        <f t="shared" si="17"/>
        <v>13898,4</v>
      </c>
    </row>
    <row r="377" spans="2:15" x14ac:dyDescent="0.35">
      <c r="B377" s="177">
        <v>44347</v>
      </c>
      <c r="C377" s="176">
        <v>5</v>
      </c>
      <c r="D377" s="488" t="str">
        <f t="shared" si="15"/>
        <v>Q2</v>
      </c>
      <c r="E377" s="176">
        <v>31</v>
      </c>
      <c r="F377" s="224" t="s">
        <v>347</v>
      </c>
      <c r="G377" s="176">
        <v>2021</v>
      </c>
      <c r="H377" s="118" t="s">
        <v>41</v>
      </c>
      <c r="I377" s="172" t="s">
        <v>31</v>
      </c>
      <c r="J377" s="172" t="s">
        <v>8</v>
      </c>
      <c r="K377" s="173">
        <v>0.8</v>
      </c>
      <c r="L377" s="304">
        <f>UBC_MASUK[[#This Row],[Tg Bulan]]/SUM(COUNTIFS(F:F,"(05) MEI",I:I,"Bisnis",G:G,"2021"))</f>
        <v>35.096969696969701</v>
      </c>
      <c r="M377" s="475" t="str">
        <f t="shared" si="16"/>
        <v>1158,2</v>
      </c>
      <c r="N377" s="304">
        <f>UBC_MASUK[[#This Row],[Tg Tahun]]/SUM(COUNTIFS(G:G,"2021",I:I,"Bisnis"))</f>
        <v>111.18719999999999</v>
      </c>
      <c r="O377" s="476" t="str">
        <f t="shared" si="17"/>
        <v>13898,4</v>
      </c>
    </row>
    <row r="378" spans="2:15" x14ac:dyDescent="0.35">
      <c r="B378" s="177">
        <v>44347</v>
      </c>
      <c r="C378" s="176">
        <v>5</v>
      </c>
      <c r="D378" s="488" t="str">
        <f t="shared" si="15"/>
        <v>Q2</v>
      </c>
      <c r="E378" s="176">
        <v>31</v>
      </c>
      <c r="F378" s="224" t="s">
        <v>347</v>
      </c>
      <c r="G378" s="176">
        <v>2021</v>
      </c>
      <c r="H378" s="118" t="s">
        <v>303</v>
      </c>
      <c r="I378" s="172" t="s">
        <v>31</v>
      </c>
      <c r="J378" s="172" t="s">
        <v>8</v>
      </c>
      <c r="K378" s="173">
        <v>47</v>
      </c>
      <c r="L378" s="304">
        <f>UBC_MASUK[[#This Row],[Tg Bulan]]/SUM(COUNTIFS(F:F,"(05) MEI",I:I,"Bisnis",G:G,"2021"))</f>
        <v>35.096969696969701</v>
      </c>
      <c r="M378" s="351" t="str">
        <f t="shared" si="16"/>
        <v>1158,2</v>
      </c>
      <c r="N378" s="304">
        <f>UBC_MASUK[[#This Row],[Tg Tahun]]/SUM(COUNTIFS(G:G,"2021",I:I,"Bisnis"))</f>
        <v>111.18719999999999</v>
      </c>
      <c r="O378" s="170" t="str">
        <f t="shared" si="17"/>
        <v>13898,4</v>
      </c>
    </row>
    <row r="379" spans="2:15" x14ac:dyDescent="0.35">
      <c r="B379" s="177">
        <v>44317</v>
      </c>
      <c r="C379" s="176">
        <v>1</v>
      </c>
      <c r="D379" s="488" t="str">
        <f t="shared" ref="D379:D390" si="18">IF(F:F="(01) JAN","Q1",IF(F:F="(02) FEB","Q1",IF(F:F="(03) MAR","Q1",IF(F:F="(04) APR","Q2",IF(F:F="(05) MEI","Q2",IF(F:F="(06) JUN","Q2",IF(F:F="(07) JUL","Q3",IF(F:F="(08) AGU","Q3",IF(F:F="(09) SEP","Q3",IF(F:F="(10) OKT","Q4",IF(F:F="(11) NOV","Q4",IF(F:F="(12) DES","Q4"))))))))))))</f>
        <v>Q2</v>
      </c>
      <c r="E379" s="176">
        <v>1</v>
      </c>
      <c r="F379" s="224" t="s">
        <v>347</v>
      </c>
      <c r="G379" s="176">
        <v>2021</v>
      </c>
      <c r="H379" s="118" t="s">
        <v>38</v>
      </c>
      <c r="I379" s="172" t="s">
        <v>290</v>
      </c>
      <c r="J379" s="172" t="s">
        <v>8</v>
      </c>
      <c r="K379" s="173">
        <v>13</v>
      </c>
      <c r="L379" s="304">
        <f>UBC_MASUK[[#This Row],[Tg Bulan]]/SUM(COUNTIFS(F:F,"(05) MEI",I:I,"EB Residential Service",G:G,"2021"))</f>
        <v>71.977777775000007</v>
      </c>
      <c r="M379" s="475" t="str">
        <f t="shared" ref="M379:M390" si="19">IF(I:I="TPS3R","391,433333333333",IF(I:I="TPST3R","1222,225",IF(I:I="TPA","878,975",IF(I:I="Sekolah","64,775",IF(I:I="Pengepul","11981,20833",IF(I:I="Jasa sampah","3712,433333",IF(I:I="Hotel","201,4083333",IF(I:I="EB Residential Service","863,7333333",IF(I:I="Bisnis","1158,2",IF(I:I="Bank Sampah Unit","79,46666667",IF(I:I="Bank Sampah Induk","279,475")))))))))))</f>
        <v>863,7333333</v>
      </c>
      <c r="N379" s="304">
        <f>UBC_MASUK[[#This Row],[Tg Tahun]]/SUM(COUNTIFS(G:G,"2021",I:I,"EB Residential Service"))</f>
        <v>99.661538461538456</v>
      </c>
      <c r="O379" s="476" t="str">
        <f t="shared" ref="O379:O390" si="20">IF(I:I="TPS3R","4607,2",IF(I:I="TPST3R","14666,7",IF(I:I="TPA","10547,7",IF(I:I="Sekolah","777,3",IF(I:I="Pengepul","143774,5",IF(I:I="Jasa sampah","44549,2",IF(I:I="Hotel","2416,9",IF(I:I="EB Residential Service","10364,8",IF(I:I="Bisnis","13898,4",IF(I:I="Bank Sampah Unit","953,6",IF(I:I="Bank Sampah Induk","3353,7")))))))))))</f>
        <v>10364,8</v>
      </c>
    </row>
    <row r="380" spans="2:15" x14ac:dyDescent="0.35">
      <c r="B380" s="177">
        <v>44319</v>
      </c>
      <c r="C380" s="176">
        <v>1</v>
      </c>
      <c r="D380" s="488" t="str">
        <f t="shared" si="18"/>
        <v>Q2</v>
      </c>
      <c r="E380" s="176">
        <v>3</v>
      </c>
      <c r="F380" s="224" t="s">
        <v>347</v>
      </c>
      <c r="G380" s="176">
        <v>2021</v>
      </c>
      <c r="H380" s="118" t="s">
        <v>38</v>
      </c>
      <c r="I380" s="172" t="s">
        <v>290</v>
      </c>
      <c r="J380" s="172" t="s">
        <v>8</v>
      </c>
      <c r="K380" s="173">
        <v>26</v>
      </c>
      <c r="L380" s="304">
        <f>UBC_MASUK[[#This Row],[Tg Bulan]]/SUM(COUNTIFS(F:F,"(05) MEI",I:I,"EB Residential Service",G:G,"2021"))</f>
        <v>71.977777775000007</v>
      </c>
      <c r="M380" s="475" t="str">
        <f t="shared" si="19"/>
        <v>863,7333333</v>
      </c>
      <c r="N380" s="304">
        <f>UBC_MASUK[[#This Row],[Tg Tahun]]/SUM(COUNTIFS(G:G,"2021",I:I,"EB Residential Service"))</f>
        <v>99.661538461538456</v>
      </c>
      <c r="O380" s="476" t="str">
        <f t="shared" si="20"/>
        <v>10364,8</v>
      </c>
    </row>
    <row r="381" spans="2:15" x14ac:dyDescent="0.35">
      <c r="B381" s="177">
        <v>44320</v>
      </c>
      <c r="C381" s="176">
        <v>1</v>
      </c>
      <c r="D381" s="488" t="str">
        <f t="shared" si="18"/>
        <v>Q2</v>
      </c>
      <c r="E381" s="176">
        <v>4</v>
      </c>
      <c r="F381" s="224" t="s">
        <v>347</v>
      </c>
      <c r="G381" s="176">
        <v>2021</v>
      </c>
      <c r="H381" s="118" t="s">
        <v>38</v>
      </c>
      <c r="I381" s="172" t="s">
        <v>290</v>
      </c>
      <c r="J381" s="172" t="s">
        <v>8</v>
      </c>
      <c r="K381" s="173">
        <v>24</v>
      </c>
      <c r="L381" s="304">
        <f>UBC_MASUK[[#This Row],[Tg Bulan]]/SUM(COUNTIFS(F:F,"(05) MEI",I:I,"EB Residential Service",G:G,"2021"))</f>
        <v>71.977777775000007</v>
      </c>
      <c r="M381" s="475" t="str">
        <f t="shared" si="19"/>
        <v>863,7333333</v>
      </c>
      <c r="N381" s="304">
        <f>UBC_MASUK[[#This Row],[Tg Tahun]]/SUM(COUNTIFS(G:G,"2021",I:I,"EB Residential Service"))</f>
        <v>99.661538461538456</v>
      </c>
      <c r="O381" s="476" t="str">
        <f t="shared" si="20"/>
        <v>10364,8</v>
      </c>
    </row>
    <row r="382" spans="2:15" x14ac:dyDescent="0.35">
      <c r="B382" s="177">
        <v>44321</v>
      </c>
      <c r="C382" s="176">
        <v>1</v>
      </c>
      <c r="D382" s="488" t="str">
        <f t="shared" si="18"/>
        <v>Q2</v>
      </c>
      <c r="E382" s="176">
        <v>5</v>
      </c>
      <c r="F382" s="224" t="s">
        <v>347</v>
      </c>
      <c r="G382" s="176">
        <v>2021</v>
      </c>
      <c r="H382" s="118" t="s">
        <v>38</v>
      </c>
      <c r="I382" s="172" t="s">
        <v>290</v>
      </c>
      <c r="J382" s="172" t="s">
        <v>8</v>
      </c>
      <c r="K382" s="173">
        <v>22</v>
      </c>
      <c r="L382" s="304">
        <f>UBC_MASUK[[#This Row],[Tg Bulan]]/SUM(COUNTIFS(F:F,"(05) MEI",I:I,"EB Residential Service",G:G,"2021"))</f>
        <v>71.977777775000007</v>
      </c>
      <c r="M382" s="475" t="str">
        <f t="shared" si="19"/>
        <v>863,7333333</v>
      </c>
      <c r="N382" s="304">
        <f>UBC_MASUK[[#This Row],[Tg Tahun]]/SUM(COUNTIFS(G:G,"2021",I:I,"EB Residential Service"))</f>
        <v>99.661538461538456</v>
      </c>
      <c r="O382" s="476" t="str">
        <f t="shared" si="20"/>
        <v>10364,8</v>
      </c>
    </row>
    <row r="383" spans="2:15" x14ac:dyDescent="0.35">
      <c r="B383" s="177">
        <v>44322</v>
      </c>
      <c r="C383" s="176">
        <v>1</v>
      </c>
      <c r="D383" s="488" t="str">
        <f t="shared" si="18"/>
        <v>Q2</v>
      </c>
      <c r="E383" s="176">
        <v>6</v>
      </c>
      <c r="F383" s="224" t="s">
        <v>347</v>
      </c>
      <c r="G383" s="176">
        <v>2021</v>
      </c>
      <c r="H383" s="118" t="s">
        <v>38</v>
      </c>
      <c r="I383" s="172" t="s">
        <v>290</v>
      </c>
      <c r="J383" s="172" t="s">
        <v>8</v>
      </c>
      <c r="K383" s="173">
        <v>16</v>
      </c>
      <c r="L383" s="304">
        <f>UBC_MASUK[[#This Row],[Tg Bulan]]/SUM(COUNTIFS(F:F,"(05) MEI",I:I,"EB Residential Service",G:G,"2021"))</f>
        <v>71.977777775000007</v>
      </c>
      <c r="M383" s="475" t="str">
        <f t="shared" si="19"/>
        <v>863,7333333</v>
      </c>
      <c r="N383" s="304">
        <f>UBC_MASUK[[#This Row],[Tg Tahun]]/SUM(COUNTIFS(G:G,"2021",I:I,"EB Residential Service"))</f>
        <v>99.661538461538456</v>
      </c>
      <c r="O383" s="476" t="str">
        <f t="shared" si="20"/>
        <v>10364,8</v>
      </c>
    </row>
    <row r="384" spans="2:15" x14ac:dyDescent="0.35">
      <c r="B384" s="177">
        <v>44323</v>
      </c>
      <c r="C384" s="176">
        <v>1</v>
      </c>
      <c r="D384" s="488" t="str">
        <f t="shared" si="18"/>
        <v>Q2</v>
      </c>
      <c r="E384" s="176">
        <v>7</v>
      </c>
      <c r="F384" s="224" t="s">
        <v>347</v>
      </c>
      <c r="G384" s="176">
        <v>2021</v>
      </c>
      <c r="H384" s="118" t="s">
        <v>38</v>
      </c>
      <c r="I384" s="172" t="s">
        <v>290</v>
      </c>
      <c r="J384" s="172" t="s">
        <v>8</v>
      </c>
      <c r="K384" s="173">
        <v>18</v>
      </c>
      <c r="L384" s="304">
        <f>UBC_MASUK[[#This Row],[Tg Bulan]]/SUM(COUNTIFS(F:F,"(05) MEI",I:I,"EB Residential Service",G:G,"2021"))</f>
        <v>71.977777775000007</v>
      </c>
      <c r="M384" s="475" t="str">
        <f t="shared" si="19"/>
        <v>863,7333333</v>
      </c>
      <c r="N384" s="304">
        <f>UBC_MASUK[[#This Row],[Tg Tahun]]/SUM(COUNTIFS(G:G,"2021",I:I,"EB Residential Service"))</f>
        <v>99.661538461538456</v>
      </c>
      <c r="O384" s="476" t="str">
        <f t="shared" si="20"/>
        <v>10364,8</v>
      </c>
    </row>
    <row r="385" spans="2:15" x14ac:dyDescent="0.35">
      <c r="B385" s="177">
        <v>44326</v>
      </c>
      <c r="C385" s="176">
        <v>2</v>
      </c>
      <c r="D385" s="488" t="str">
        <f t="shared" si="18"/>
        <v>Q2</v>
      </c>
      <c r="E385" s="176">
        <v>10</v>
      </c>
      <c r="F385" s="224" t="s">
        <v>347</v>
      </c>
      <c r="G385" s="176">
        <v>2021</v>
      </c>
      <c r="H385" s="118" t="s">
        <v>38</v>
      </c>
      <c r="I385" s="172" t="s">
        <v>290</v>
      </c>
      <c r="J385" s="172" t="s">
        <v>8</v>
      </c>
      <c r="K385" s="173">
        <v>19</v>
      </c>
      <c r="L385" s="304">
        <f>UBC_MASUK[[#This Row],[Tg Bulan]]/SUM(COUNTIFS(F:F,"(05) MEI",I:I,"EB Residential Service",G:G,"2021"))</f>
        <v>71.977777775000007</v>
      </c>
      <c r="M385" s="475" t="str">
        <f t="shared" si="19"/>
        <v>863,7333333</v>
      </c>
      <c r="N385" s="304">
        <f>UBC_MASUK[[#This Row],[Tg Tahun]]/SUM(COUNTIFS(G:G,"2021",I:I,"EB Residential Service"))</f>
        <v>99.661538461538456</v>
      </c>
      <c r="O385" s="476" t="str">
        <f t="shared" si="20"/>
        <v>10364,8</v>
      </c>
    </row>
    <row r="386" spans="2:15" x14ac:dyDescent="0.35">
      <c r="B386" s="177">
        <v>44327</v>
      </c>
      <c r="C386" s="176">
        <v>2</v>
      </c>
      <c r="D386" s="488" t="str">
        <f t="shared" si="18"/>
        <v>Q2</v>
      </c>
      <c r="E386" s="176">
        <v>11</v>
      </c>
      <c r="F386" s="224" t="s">
        <v>347</v>
      </c>
      <c r="G386" s="176">
        <v>2021</v>
      </c>
      <c r="H386" s="118" t="s">
        <v>38</v>
      </c>
      <c r="I386" s="172" t="s">
        <v>290</v>
      </c>
      <c r="J386" s="172" t="s">
        <v>8</v>
      </c>
      <c r="K386" s="173">
        <v>16</v>
      </c>
      <c r="L386" s="304">
        <f>UBC_MASUK[[#This Row],[Tg Bulan]]/SUM(COUNTIFS(F:F,"(05) MEI",I:I,"EB Residential Service",G:G,"2021"))</f>
        <v>71.977777775000007</v>
      </c>
      <c r="M386" s="475" t="str">
        <f t="shared" si="19"/>
        <v>863,7333333</v>
      </c>
      <c r="N386" s="304">
        <f>UBC_MASUK[[#This Row],[Tg Tahun]]/SUM(COUNTIFS(G:G,"2021",I:I,"EB Residential Service"))</f>
        <v>99.661538461538456</v>
      </c>
      <c r="O386" s="476" t="str">
        <f t="shared" si="20"/>
        <v>10364,8</v>
      </c>
    </row>
    <row r="387" spans="2:15" x14ac:dyDescent="0.35">
      <c r="B387" s="177">
        <v>44328</v>
      </c>
      <c r="C387" s="176">
        <v>2</v>
      </c>
      <c r="D387" s="488" t="str">
        <f t="shared" si="18"/>
        <v>Q2</v>
      </c>
      <c r="E387" s="176">
        <v>12</v>
      </c>
      <c r="F387" s="224" t="s">
        <v>347</v>
      </c>
      <c r="G387" s="176">
        <v>2021</v>
      </c>
      <c r="H387" s="118" t="s">
        <v>38</v>
      </c>
      <c r="I387" s="172" t="s">
        <v>290</v>
      </c>
      <c r="J387" s="172" t="s">
        <v>8</v>
      </c>
      <c r="K387" s="173">
        <v>86</v>
      </c>
      <c r="L387" s="304">
        <f>UBC_MASUK[[#This Row],[Tg Bulan]]/SUM(COUNTIFS(F:F,"(05) MEI",I:I,"EB Residential Service",G:G,"2021"))</f>
        <v>71.977777775000007</v>
      </c>
      <c r="M387" s="475" t="str">
        <f t="shared" si="19"/>
        <v>863,7333333</v>
      </c>
      <c r="N387" s="304">
        <f>UBC_MASUK[[#This Row],[Tg Tahun]]/SUM(COUNTIFS(G:G,"2021",I:I,"EB Residential Service"))</f>
        <v>99.661538461538456</v>
      </c>
      <c r="O387" s="476" t="str">
        <f t="shared" si="20"/>
        <v>10364,8</v>
      </c>
    </row>
    <row r="388" spans="2:15" x14ac:dyDescent="0.35">
      <c r="B388" s="177">
        <v>44329</v>
      </c>
      <c r="C388" s="176">
        <v>2</v>
      </c>
      <c r="D388" s="488" t="str">
        <f t="shared" si="18"/>
        <v>Q2</v>
      </c>
      <c r="E388" s="176">
        <v>13</v>
      </c>
      <c r="F388" s="224" t="s">
        <v>347</v>
      </c>
      <c r="G388" s="176">
        <v>2021</v>
      </c>
      <c r="H388" s="118" t="s">
        <v>38</v>
      </c>
      <c r="I388" s="172" t="s">
        <v>290</v>
      </c>
      <c r="J388" s="172" t="s">
        <v>8</v>
      </c>
      <c r="K388" s="173">
        <v>13</v>
      </c>
      <c r="L388" s="304">
        <f>UBC_MASUK[[#This Row],[Tg Bulan]]/SUM(COUNTIFS(F:F,"(05) MEI",I:I,"EB Residential Service",G:G,"2021"))</f>
        <v>71.977777775000007</v>
      </c>
      <c r="M388" s="475" t="str">
        <f t="shared" si="19"/>
        <v>863,7333333</v>
      </c>
      <c r="N388" s="304">
        <f>UBC_MASUK[[#This Row],[Tg Tahun]]/SUM(COUNTIFS(G:G,"2021",I:I,"EB Residential Service"))</f>
        <v>99.661538461538456</v>
      </c>
      <c r="O388" s="476" t="str">
        <f t="shared" si="20"/>
        <v>10364,8</v>
      </c>
    </row>
    <row r="389" spans="2:15" x14ac:dyDescent="0.35">
      <c r="B389" s="177">
        <v>44335</v>
      </c>
      <c r="C389" s="176">
        <v>3</v>
      </c>
      <c r="D389" s="488" t="str">
        <f t="shared" si="18"/>
        <v>Q2</v>
      </c>
      <c r="E389" s="176">
        <v>19</v>
      </c>
      <c r="F389" s="224" t="s">
        <v>347</v>
      </c>
      <c r="G389" s="176">
        <v>2021</v>
      </c>
      <c r="H389" s="118" t="s">
        <v>38</v>
      </c>
      <c r="I389" s="172" t="s">
        <v>290</v>
      </c>
      <c r="J389" s="172" t="s">
        <v>8</v>
      </c>
      <c r="K389" s="173">
        <v>15</v>
      </c>
      <c r="L389" s="304">
        <f>UBC_MASUK[[#This Row],[Tg Bulan]]/SUM(COUNTIFS(F:F,"(05) MEI",I:I,"EB Residential Service",G:G,"2021"))</f>
        <v>71.977777775000007</v>
      </c>
      <c r="M389" s="475" t="str">
        <f t="shared" si="19"/>
        <v>863,7333333</v>
      </c>
      <c r="N389" s="304">
        <f>UBC_MASUK[[#This Row],[Tg Tahun]]/SUM(COUNTIFS(G:G,"2021",I:I,"EB Residential Service"))</f>
        <v>99.661538461538456</v>
      </c>
      <c r="O389" s="476" t="str">
        <f t="shared" si="20"/>
        <v>10364,8</v>
      </c>
    </row>
    <row r="390" spans="2:15" x14ac:dyDescent="0.35">
      <c r="B390" s="177">
        <v>44337</v>
      </c>
      <c r="C390" s="176">
        <v>3</v>
      </c>
      <c r="D390" s="488" t="str">
        <f t="shared" si="18"/>
        <v>Q2</v>
      </c>
      <c r="E390" s="176">
        <v>21</v>
      </c>
      <c r="F390" s="224" t="s">
        <v>347</v>
      </c>
      <c r="G390" s="176">
        <v>2021</v>
      </c>
      <c r="H390" s="118" t="s">
        <v>38</v>
      </c>
      <c r="I390" s="172" t="s">
        <v>290</v>
      </c>
      <c r="J390" s="172" t="s">
        <v>8</v>
      </c>
      <c r="K390" s="173">
        <v>26</v>
      </c>
      <c r="L390" s="304">
        <f>UBC_MASUK[[#This Row],[Tg Bulan]]/SUM(COUNTIFS(F:F,"(05) MEI",I:I,"EB Residential Service",G:G,"2021"))</f>
        <v>71.977777775000007</v>
      </c>
      <c r="M390" s="351" t="str">
        <f t="shared" si="19"/>
        <v>863,7333333</v>
      </c>
      <c r="N390" s="304">
        <f>UBC_MASUK[[#This Row],[Tg Tahun]]/SUM(COUNTIFS(G:G,"2021",I:I,"EB Residential Service"))</f>
        <v>99.661538461538456</v>
      </c>
      <c r="O390" s="170" t="str">
        <f t="shared" si="20"/>
        <v>10364,8</v>
      </c>
    </row>
    <row r="391" spans="2:15" x14ac:dyDescent="0.35">
      <c r="B391" s="177">
        <v>44344</v>
      </c>
      <c r="C391" s="176">
        <v>4</v>
      </c>
      <c r="D391" s="171" t="s">
        <v>179</v>
      </c>
      <c r="E391" s="176">
        <v>28</v>
      </c>
      <c r="F391" s="224" t="s">
        <v>347</v>
      </c>
      <c r="G391" s="176">
        <v>2021</v>
      </c>
      <c r="H391" s="118" t="s">
        <v>362</v>
      </c>
      <c r="I391" s="172" t="s">
        <v>37</v>
      </c>
      <c r="J391" s="172" t="s">
        <v>8</v>
      </c>
      <c r="K391" s="173">
        <v>2</v>
      </c>
      <c r="L391" s="304">
        <f>UBC_MASUK[[#This Row],[Tg Bulan]]/SUM(COUNTIFS(F:F,"(05) MEI",I:I,"Bank Sampah Unit",G:G,"2021"))</f>
        <v>6.1128205130769224</v>
      </c>
      <c r="M391" s="475" t="str">
        <f t="shared" ref="M391:M392" si="21">IF(I:I="TPS3R","391,433333333333",IF(I:I="TPST3R","1222,225",IF(I:I="TPA","878,975",IF(I:I="Sekolah","64,775",IF(I:I="Pengepul","11981,20833",IF(I:I="Jasa sampah","3712,433333",IF(I:I="Hotel","201,4083333",IF(I:I="EB Residential Service","863,7333333",IF(I:I="Bisnis","1158,2",IF(I:I="Bank Sampah Unit","79,46666667",IF(I:I="Bank Sampah Induk","279,475")))))))))))</f>
        <v>79,46666667</v>
      </c>
      <c r="N391" s="304">
        <f>UBC_MASUK[[#This Row],[Tg Tahun]]/SUM(COUNTIFS(G:G,"2021",I:I,"Bank Sampah Unit"))</f>
        <v>24.451282051282053</v>
      </c>
      <c r="O391" s="476" t="str">
        <f t="shared" ref="O391:O392" si="22">IF(I:I="TPS3R","4607,2",IF(I:I="TPST3R","14666,7",IF(I:I="TPA","10547,7",IF(I:I="Sekolah","777,3",IF(I:I="Pengepul","143774,5",IF(I:I="Jasa sampah","44549,2",IF(I:I="Hotel","2416,9",IF(I:I="EB Residential Service","10364,8",IF(I:I="Bisnis","13898,4",IF(I:I="Bank Sampah Unit","953,6",IF(I:I="Bank Sampah Induk","3353,7")))))))))))</f>
        <v>953,6</v>
      </c>
    </row>
    <row r="392" spans="2:15" x14ac:dyDescent="0.35">
      <c r="B392" s="177">
        <v>44347</v>
      </c>
      <c r="C392" s="176">
        <v>5</v>
      </c>
      <c r="D392" s="171" t="s">
        <v>179</v>
      </c>
      <c r="E392" s="176">
        <v>31</v>
      </c>
      <c r="F392" s="224" t="s">
        <v>347</v>
      </c>
      <c r="G392" s="176">
        <v>2021</v>
      </c>
      <c r="H392" s="118" t="s">
        <v>363</v>
      </c>
      <c r="I392" s="172" t="s">
        <v>37</v>
      </c>
      <c r="J392" s="172" t="s">
        <v>8</v>
      </c>
      <c r="K392" s="173">
        <v>1</v>
      </c>
      <c r="L392" s="304">
        <f>UBC_MASUK[[#This Row],[Tg Bulan]]/SUM(COUNTIFS(F:F,"(05) MEI",I:I,"Bank Sampah Unit",G:G,"2021"))</f>
        <v>6.1128205130769224</v>
      </c>
      <c r="M392" s="351" t="str">
        <f t="shared" si="21"/>
        <v>79,46666667</v>
      </c>
      <c r="N392" s="304">
        <f>UBC_MASUK[[#This Row],[Tg Tahun]]/SUM(COUNTIFS(G:G,"2021",I:I,"Bank Sampah Unit"))</f>
        <v>24.451282051282053</v>
      </c>
      <c r="O392" s="170" t="str">
        <f t="shared" si="22"/>
        <v>953,6</v>
      </c>
    </row>
  </sheetData>
  <phoneticPr fontId="2"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E01A9-1AAE-4591-964C-56113F916194}">
  <sheetPr>
    <tabColor theme="5" tint="0.39997558519241921"/>
  </sheetPr>
  <dimension ref="B3:AA8"/>
  <sheetViews>
    <sheetView zoomScale="80" zoomScaleNormal="80" workbookViewId="0">
      <selection activeCell="A13" sqref="A13"/>
    </sheetView>
  </sheetViews>
  <sheetFormatPr defaultRowHeight="15" x14ac:dyDescent="0.25"/>
  <cols>
    <col min="2" max="2" width="17.42578125" style="1" bestFit="1" customWidth="1"/>
    <col min="3" max="3" width="16.140625" customWidth="1"/>
    <col min="4" max="4" width="10.85546875" customWidth="1"/>
    <col min="6" max="7" width="24.140625" style="120" customWidth="1"/>
    <col min="8" max="8" width="22.28515625" style="120" customWidth="1"/>
    <col min="9" max="9" width="20.42578125" style="120" customWidth="1"/>
    <col min="10" max="10" width="22.28515625" style="242" customWidth="1"/>
    <col min="11" max="11" width="19.85546875" style="120" customWidth="1"/>
    <col min="12" max="12" width="20.42578125" style="120" customWidth="1"/>
    <col min="13" max="13" width="26.5703125" style="120" customWidth="1"/>
    <col min="14" max="14" width="21.7109375" style="120" customWidth="1"/>
    <col min="15" max="15" width="22.5703125" style="161" customWidth="1"/>
    <col min="16" max="16" width="22.7109375" customWidth="1"/>
    <col min="17" max="17" width="28.42578125" style="120" customWidth="1"/>
    <col min="18" max="18" width="24.5703125" customWidth="1"/>
    <col min="19" max="19" width="20.5703125" style="120" customWidth="1"/>
    <col min="20" max="20" width="18.85546875" customWidth="1"/>
    <col min="21" max="21" width="17.140625" customWidth="1"/>
    <col min="22" max="22" width="15.7109375" bestFit="1" customWidth="1"/>
    <col min="23" max="23" width="16" bestFit="1" customWidth="1"/>
    <col min="24" max="24" width="15.7109375" bestFit="1" customWidth="1"/>
    <col min="26" max="26" width="25.28515625" bestFit="1" customWidth="1"/>
  </cols>
  <sheetData>
    <row r="3" spans="2:27" s="6" customFormat="1" ht="48.75" customHeight="1" x14ac:dyDescent="0.25">
      <c r="B3" s="128" t="s">
        <v>62</v>
      </c>
      <c r="C3" s="122" t="s">
        <v>90</v>
      </c>
      <c r="D3" s="122" t="s">
        <v>139</v>
      </c>
      <c r="E3" s="122" t="s">
        <v>91</v>
      </c>
      <c r="F3" s="124" t="s">
        <v>320</v>
      </c>
      <c r="G3" s="124" t="s">
        <v>337</v>
      </c>
      <c r="H3" s="124" t="s">
        <v>132</v>
      </c>
      <c r="I3" s="124" t="s">
        <v>93</v>
      </c>
      <c r="J3" s="438" t="s">
        <v>92</v>
      </c>
      <c r="K3" s="124" t="s">
        <v>321</v>
      </c>
      <c r="L3" s="124" t="s">
        <v>322</v>
      </c>
      <c r="M3" s="124" t="s">
        <v>185</v>
      </c>
      <c r="N3" s="124" t="s">
        <v>323</v>
      </c>
      <c r="O3" s="159" t="s">
        <v>94</v>
      </c>
      <c r="P3" s="122" t="s">
        <v>95</v>
      </c>
      <c r="Q3" s="124" t="s">
        <v>96</v>
      </c>
      <c r="R3" s="122" t="s">
        <v>97</v>
      </c>
      <c r="S3" s="124" t="s">
        <v>98</v>
      </c>
      <c r="T3" s="123" t="s">
        <v>99</v>
      </c>
      <c r="U3" s="122" t="s">
        <v>116</v>
      </c>
      <c r="V3" s="122" t="s">
        <v>122</v>
      </c>
      <c r="W3" s="122" t="s">
        <v>123</v>
      </c>
      <c r="X3" s="122" t="s">
        <v>294</v>
      </c>
      <c r="Z3" s="417" t="s">
        <v>335</v>
      </c>
    </row>
    <row r="4" spans="2:27" ht="24" x14ac:dyDescent="0.25">
      <c r="B4" s="217">
        <v>44214</v>
      </c>
      <c r="C4" s="125" t="s">
        <v>140</v>
      </c>
      <c r="D4" s="125" t="s">
        <v>120</v>
      </c>
      <c r="E4" s="125">
        <v>2021</v>
      </c>
      <c r="F4" s="126">
        <v>9566.2999999999993</v>
      </c>
      <c r="G4" s="234">
        <v>4426.3999999999996</v>
      </c>
      <c r="H4" s="126">
        <v>9270</v>
      </c>
      <c r="I4" s="126">
        <f>UBC_KELUAR[[#This Row],[Collected H-1 Sell (Kg)]]+UBC_KELUAR[[#This Row],[Sisa KMK Bulan Lalu (Kg)]]-UBC_KELUAR[[#This Row],[Delivered to Papermill (Kg)]]</f>
        <v>413.39999999999964</v>
      </c>
      <c r="J4" s="439">
        <f>I4/(UBC_KELUAR[[#This Row],[Collected H-1 Sell (Kg)]]+UBC_KELUAR[[#This Row],[Sisa KMK Bulan Lalu (Kg)]])</f>
        <v>4.2691616580952933E-2</v>
      </c>
      <c r="K4" s="126">
        <v>5257</v>
      </c>
      <c r="L4" s="126">
        <f>F4+K4-H4-I4</f>
        <v>5139.8999999999996</v>
      </c>
      <c r="M4" s="126" t="s">
        <v>186</v>
      </c>
      <c r="N4" s="126">
        <v>9300</v>
      </c>
      <c r="O4" s="160">
        <f>H4-N4</f>
        <v>-30</v>
      </c>
      <c r="P4" s="127">
        <f>O4/H4*100</f>
        <v>-0.3236245954692557</v>
      </c>
      <c r="Q4" s="126">
        <v>372</v>
      </c>
      <c r="R4" s="127">
        <f>Q4/N4*100</f>
        <v>4</v>
      </c>
      <c r="S4" s="126">
        <f>Q4+O4</f>
        <v>342</v>
      </c>
      <c r="T4" s="127">
        <f>S4/H4*100</f>
        <v>3.6893203883495143</v>
      </c>
      <c r="U4" s="126">
        <f>UBC_KELUAR[[#This Row],[Received at Papermill (Kg)]]-UBC_KELUAR[[#This Row],[Moisture Content and Contaminant (Kg)]]</f>
        <v>8928</v>
      </c>
      <c r="V4" s="294">
        <v>20833.330000000002</v>
      </c>
      <c r="W4" s="294">
        <f>UBC_KELUAR[[#This Row],[Tg Tahun]]/SUM(COUNTIF(E:E,"2021"))</f>
        <v>62500</v>
      </c>
      <c r="X4" s="294">
        <v>250000</v>
      </c>
      <c r="Z4" s="416">
        <v>4426.3999999999996</v>
      </c>
      <c r="AA4" s="120"/>
    </row>
    <row r="5" spans="2:27" ht="24" x14ac:dyDescent="0.25">
      <c r="B5" s="217">
        <v>44252</v>
      </c>
      <c r="C5" s="125" t="s">
        <v>141</v>
      </c>
      <c r="D5" s="125" t="s">
        <v>120</v>
      </c>
      <c r="E5" s="125">
        <v>2021</v>
      </c>
      <c r="F5" s="126">
        <v>7967.8</v>
      </c>
      <c r="G5" s="234">
        <v>7720.3</v>
      </c>
      <c r="H5" s="126">
        <v>11758</v>
      </c>
      <c r="I5" s="126">
        <f>UBC_KELUAR[[#This Row],[Collected H-1 Sell (Kg)]]+UBC_KELUAR[[#This Row],[Sisa KMK Bulan Lalu (Kg)]]-UBC_KELUAR[[#This Row],[Delivered to Papermill (Kg)]]</f>
        <v>1102.2000000000007</v>
      </c>
      <c r="J5" s="439">
        <f>I5/(UBC_KELUAR[[#This Row],[Collected H-1 Sell (Kg)]]+UBC_KELUAR[[#This Row],[Sisa KMK Bulan Lalu (Kg)]])</f>
        <v>8.5706287616055796E-2</v>
      </c>
      <c r="K5" s="126">
        <f>L4</f>
        <v>5139.8999999999996</v>
      </c>
      <c r="L5" s="126">
        <f>F5+K5-H5-I5</f>
        <v>247.5</v>
      </c>
      <c r="M5" s="126" t="s">
        <v>186</v>
      </c>
      <c r="N5" s="126">
        <v>11800</v>
      </c>
      <c r="O5" s="160">
        <f t="shared" ref="O5:O6" si="0">H5-N5</f>
        <v>-42</v>
      </c>
      <c r="P5" s="127">
        <f>O5/H5*100</f>
        <v>-0.35720360605545159</v>
      </c>
      <c r="Q5" s="126">
        <v>944</v>
      </c>
      <c r="R5" s="127">
        <f>Q5/N5*100</f>
        <v>8</v>
      </c>
      <c r="S5" s="126">
        <f>Q5+O5</f>
        <v>902</v>
      </c>
      <c r="T5" s="127">
        <f>S5/H5*100</f>
        <v>7.6713726824289843</v>
      </c>
      <c r="U5" s="126">
        <f>UBC_KELUAR[[#This Row],[Received at Papermill (Kg)]]-UBC_KELUAR[[#This Row],[Moisture Content and Contaminant (Kg)]]</f>
        <v>10856</v>
      </c>
      <c r="V5" s="294">
        <v>20833.330000000002</v>
      </c>
      <c r="W5" s="294">
        <f>UBC_KELUAR[[#This Row],[Tg Tahun]]/SUM(COUNTIF(E:E,"2021"))</f>
        <v>62500</v>
      </c>
      <c r="X5" s="294">
        <v>250000</v>
      </c>
      <c r="Z5" s="416">
        <v>7720.3</v>
      </c>
      <c r="AA5" s="120"/>
    </row>
    <row r="6" spans="2:27" ht="24" x14ac:dyDescent="0.25">
      <c r="B6" s="217">
        <v>44285</v>
      </c>
      <c r="C6" s="125" t="s">
        <v>142</v>
      </c>
      <c r="D6" s="125" t="s">
        <v>120</v>
      </c>
      <c r="E6" s="125">
        <v>2021</v>
      </c>
      <c r="F6" s="126">
        <v>9277</v>
      </c>
      <c r="G6" s="234">
        <v>9276.6</v>
      </c>
      <c r="H6" s="126">
        <v>8985</v>
      </c>
      <c r="I6" s="126">
        <f>UBC_KELUAR[[#This Row],[Collected H-1 Sell (Kg)]]+UBC_KELUAR[[#This Row],[Sisa KMK Bulan Lalu (Kg)]]-UBC_KELUAR[[#This Row],[Delivered to Papermill (Kg)]]</f>
        <v>539.10000000000036</v>
      </c>
      <c r="J6" s="439">
        <f>I6/(UBC_KELUAR[[#This Row],[Collected H-1 Sell (Kg)]]+UBC_KELUAR[[#This Row],[Sisa KMK Bulan Lalu (Kg)]])</f>
        <v>5.6603773584905696E-2</v>
      </c>
      <c r="K6" s="126">
        <f>L5</f>
        <v>247.5</v>
      </c>
      <c r="L6" s="126">
        <f>F6+K6-H6-I6</f>
        <v>0.3999999999996362</v>
      </c>
      <c r="M6" s="126" t="s">
        <v>186</v>
      </c>
      <c r="N6" s="126">
        <v>8930</v>
      </c>
      <c r="O6" s="160">
        <f t="shared" si="0"/>
        <v>55</v>
      </c>
      <c r="P6" s="127">
        <f>O6/H6*100</f>
        <v>0.6121313299944352</v>
      </c>
      <c r="Q6" s="126">
        <v>777</v>
      </c>
      <c r="R6" s="127">
        <f>Q6/N6*100</f>
        <v>8.7010078387458005</v>
      </c>
      <c r="S6" s="126">
        <f>Q6+O6</f>
        <v>832</v>
      </c>
      <c r="T6" s="127">
        <f>S6/H6*100</f>
        <v>9.259877573734002</v>
      </c>
      <c r="U6" s="126">
        <f>UBC_KELUAR[[#This Row],[Received at Papermill (Kg)]]-UBC_KELUAR[[#This Row],[Moisture Content and Contaminant (Kg)]]</f>
        <v>8153</v>
      </c>
      <c r="V6" s="294">
        <v>20833.330000000002</v>
      </c>
      <c r="W6" s="294">
        <f>UBC_KELUAR[[#This Row],[Tg Tahun]]/SUM(COUNTIF(E:E,"2021"))</f>
        <v>62500</v>
      </c>
      <c r="X6" s="294">
        <v>250000</v>
      </c>
      <c r="Z6" s="416">
        <v>9276.6</v>
      </c>
      <c r="AA6" s="120"/>
    </row>
    <row r="7" spans="2:27" ht="24" x14ac:dyDescent="0.25">
      <c r="B7" s="361">
        <v>44314</v>
      </c>
      <c r="C7" s="362" t="s">
        <v>180</v>
      </c>
      <c r="D7" s="362" t="s">
        <v>179</v>
      </c>
      <c r="E7" s="362">
        <v>2021</v>
      </c>
      <c r="F7" s="363">
        <v>10062.870000000001</v>
      </c>
      <c r="G7" s="234">
        <v>8588.57</v>
      </c>
      <c r="H7" s="363">
        <v>8373</v>
      </c>
      <c r="I7" s="126">
        <f>UBC_KELUAR[[#This Row],[Collected H-1 Sell (Kg)]]+UBC_KELUAR[[#This Row],[Sisa KMK Bulan Lalu (Kg)]]-UBC_KELUAR[[#This Row],[Delivered to Papermill (Kg)]]</f>
        <v>215.96999999999935</v>
      </c>
      <c r="J7" s="439">
        <f>I7/(UBC_KELUAR[[#This Row],[Collected H-1 Sell (Kg)]]+UBC_KELUAR[[#This Row],[Sisa KMK Bulan Lalu (Kg)]])</f>
        <v>2.5145040674260051E-2</v>
      </c>
      <c r="K7" s="363">
        <f>L6</f>
        <v>0.3999999999996362</v>
      </c>
      <c r="L7" s="126">
        <f>F7+K7-H7-I7</f>
        <v>1474.3000000000011</v>
      </c>
      <c r="M7" s="126" t="s">
        <v>186</v>
      </c>
      <c r="N7" s="363">
        <v>8340</v>
      </c>
      <c r="O7" s="364">
        <f>H7-N7</f>
        <v>33</v>
      </c>
      <c r="P7" s="127">
        <f>O7/H7*100</f>
        <v>0.39412396990326043</v>
      </c>
      <c r="Q7" s="363">
        <v>650</v>
      </c>
      <c r="R7" s="127">
        <f>Q7/N7*100</f>
        <v>7.7937649880095927</v>
      </c>
      <c r="S7" s="126">
        <f>Q7+O7</f>
        <v>683</v>
      </c>
      <c r="T7" s="127">
        <f>S7/H7*100</f>
        <v>8.1571718619371794</v>
      </c>
      <c r="U7" s="363">
        <f>UBC_KELUAR[[#This Row],[Received at Papermill (Kg)]]-UBC_KELUAR[[#This Row],[Moisture Content and Contaminant (Kg)]]</f>
        <v>7690</v>
      </c>
      <c r="V7" s="294">
        <v>20833.330000000002</v>
      </c>
      <c r="W7" s="294">
        <f>UBC_KELUAR[[#This Row],[Tg Tahun]]/SUM(COUNTIF(E:E,"2021"))</f>
        <v>62500</v>
      </c>
      <c r="X7" s="294">
        <v>250000</v>
      </c>
      <c r="Z7" s="416">
        <v>8588.57</v>
      </c>
      <c r="AA7" s="120"/>
    </row>
    <row r="8" spans="2:27" x14ac:dyDescent="0.25">
      <c r="N8" s="120" t="s">
        <v>182</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2F1CA-A2A4-4883-BE98-0E9BA56CCDAC}">
  <sheetPr>
    <tabColor theme="9" tint="0.39997558519241921"/>
  </sheetPr>
  <dimension ref="B3:J88"/>
  <sheetViews>
    <sheetView workbookViewId="0">
      <selection activeCell="A4" sqref="A4"/>
    </sheetView>
  </sheetViews>
  <sheetFormatPr defaultRowHeight="15" x14ac:dyDescent="0.25"/>
  <cols>
    <col min="2" max="2" width="16.7109375" style="43" customWidth="1"/>
    <col min="3" max="3" width="16.5703125" customWidth="1"/>
    <col min="4" max="4" width="17.85546875" customWidth="1"/>
    <col min="5" max="5" width="32.28515625" bestFit="1" customWidth="1"/>
    <col min="6" max="6" width="44.7109375" bestFit="1" customWidth="1"/>
    <col min="7" max="7" width="42.7109375" bestFit="1" customWidth="1"/>
    <col min="8" max="8" width="22.85546875" customWidth="1"/>
    <col min="9" max="9" width="27.140625" customWidth="1"/>
    <col min="10" max="10" width="27.28515625" customWidth="1"/>
    <col min="11" max="11" width="13.42578125" customWidth="1"/>
  </cols>
  <sheetData>
    <row r="3" spans="2:10" x14ac:dyDescent="0.25">
      <c r="B3" s="43" t="s">
        <v>62</v>
      </c>
      <c r="C3" t="s">
        <v>2</v>
      </c>
      <c r="D3" t="s">
        <v>3</v>
      </c>
      <c r="E3" t="s">
        <v>187</v>
      </c>
      <c r="F3" t="s">
        <v>188</v>
      </c>
      <c r="G3" t="s">
        <v>189</v>
      </c>
      <c r="H3" t="s">
        <v>5</v>
      </c>
      <c r="I3" t="s">
        <v>67</v>
      </c>
      <c r="J3" t="s">
        <v>190</v>
      </c>
    </row>
    <row r="4" spans="2:10" x14ac:dyDescent="0.25">
      <c r="B4" s="296">
        <v>43487</v>
      </c>
      <c r="C4" s="297" t="s">
        <v>140</v>
      </c>
      <c r="D4" s="298">
        <v>2019</v>
      </c>
      <c r="E4" s="297" t="s">
        <v>261</v>
      </c>
      <c r="F4" s="297" t="s">
        <v>193</v>
      </c>
      <c r="G4" s="297" t="s">
        <v>201</v>
      </c>
      <c r="H4" s="297" t="s">
        <v>37</v>
      </c>
      <c r="I4" s="297" t="s">
        <v>8</v>
      </c>
      <c r="J4" s="298">
        <v>34</v>
      </c>
    </row>
    <row r="5" spans="2:10" x14ac:dyDescent="0.25">
      <c r="B5" s="296">
        <v>43508</v>
      </c>
      <c r="C5" s="297" t="s">
        <v>141</v>
      </c>
      <c r="D5" s="298">
        <v>2019</v>
      </c>
      <c r="E5" s="297" t="s">
        <v>261</v>
      </c>
      <c r="F5" s="297" t="s">
        <v>193</v>
      </c>
      <c r="G5" s="297" t="s">
        <v>202</v>
      </c>
      <c r="H5" s="297" t="s">
        <v>37</v>
      </c>
      <c r="I5" s="297" t="s">
        <v>8</v>
      </c>
      <c r="J5" s="298">
        <v>56</v>
      </c>
    </row>
    <row r="6" spans="2:10" x14ac:dyDescent="0.25">
      <c r="B6" s="296">
        <v>43483</v>
      </c>
      <c r="C6" s="297" t="s">
        <v>140</v>
      </c>
      <c r="D6" s="298">
        <v>2019</v>
      </c>
      <c r="E6" s="297" t="s">
        <v>261</v>
      </c>
      <c r="F6" s="297" t="s">
        <v>193</v>
      </c>
      <c r="G6" s="297" t="s">
        <v>203</v>
      </c>
      <c r="H6" s="297" t="s">
        <v>37</v>
      </c>
      <c r="I6" s="297" t="s">
        <v>8</v>
      </c>
      <c r="J6" s="298">
        <v>35</v>
      </c>
    </row>
    <row r="7" spans="2:10" x14ac:dyDescent="0.25">
      <c r="B7" s="296">
        <v>43535</v>
      </c>
      <c r="C7" s="297" t="s">
        <v>142</v>
      </c>
      <c r="D7" s="298">
        <v>2019</v>
      </c>
      <c r="E7" s="297" t="s">
        <v>261</v>
      </c>
      <c r="F7" s="297" t="s">
        <v>193</v>
      </c>
      <c r="G7" s="297" t="s">
        <v>204</v>
      </c>
      <c r="H7" s="297" t="s">
        <v>37</v>
      </c>
      <c r="I7" s="297" t="s">
        <v>8</v>
      </c>
      <c r="J7" s="298">
        <v>100</v>
      </c>
    </row>
    <row r="8" spans="2:10" x14ac:dyDescent="0.25">
      <c r="B8" s="296">
        <v>44472</v>
      </c>
      <c r="C8" s="297" t="s">
        <v>142</v>
      </c>
      <c r="D8" s="298">
        <v>2019</v>
      </c>
      <c r="E8" s="297" t="s">
        <v>261</v>
      </c>
      <c r="F8" s="297" t="s">
        <v>193</v>
      </c>
      <c r="G8" s="297" t="s">
        <v>205</v>
      </c>
      <c r="H8" s="297" t="s">
        <v>37</v>
      </c>
      <c r="I8" s="297" t="s">
        <v>8</v>
      </c>
      <c r="J8" s="298">
        <v>65</v>
      </c>
    </row>
    <row r="9" spans="2:10" x14ac:dyDescent="0.25">
      <c r="B9" s="296">
        <v>43534</v>
      </c>
      <c r="C9" s="297" t="s">
        <v>142</v>
      </c>
      <c r="D9" s="298">
        <v>2019</v>
      </c>
      <c r="E9" s="297" t="s">
        <v>261</v>
      </c>
      <c r="F9" s="297" t="s">
        <v>193</v>
      </c>
      <c r="G9" s="297" t="s">
        <v>206</v>
      </c>
      <c r="H9" s="297" t="s">
        <v>37</v>
      </c>
      <c r="I9" s="297" t="s">
        <v>8</v>
      </c>
      <c r="J9" s="298">
        <v>53</v>
      </c>
    </row>
    <row r="10" spans="2:10" x14ac:dyDescent="0.25">
      <c r="B10" s="296">
        <v>43539</v>
      </c>
      <c r="C10" s="297" t="s">
        <v>142</v>
      </c>
      <c r="D10" s="298">
        <v>2019</v>
      </c>
      <c r="E10" s="297" t="s">
        <v>261</v>
      </c>
      <c r="F10" s="297" t="s">
        <v>193</v>
      </c>
      <c r="G10" s="297" t="s">
        <v>207</v>
      </c>
      <c r="H10" s="297" t="s">
        <v>37</v>
      </c>
      <c r="I10" s="297" t="s">
        <v>8</v>
      </c>
      <c r="J10" s="298">
        <v>150</v>
      </c>
    </row>
    <row r="11" spans="2:10" x14ac:dyDescent="0.25">
      <c r="B11" s="296">
        <v>43538</v>
      </c>
      <c r="C11" s="297" t="s">
        <v>142</v>
      </c>
      <c r="D11" s="298">
        <v>2019</v>
      </c>
      <c r="E11" s="297" t="s">
        <v>261</v>
      </c>
      <c r="F11" s="297" t="s">
        <v>193</v>
      </c>
      <c r="G11" s="297" t="s">
        <v>208</v>
      </c>
      <c r="H11" s="297" t="s">
        <v>37</v>
      </c>
      <c r="I11" s="297" t="s">
        <v>8</v>
      </c>
      <c r="J11" s="298">
        <v>84</v>
      </c>
    </row>
    <row r="12" spans="2:10" x14ac:dyDescent="0.25">
      <c r="B12" s="296">
        <v>43539</v>
      </c>
      <c r="C12" s="297" t="s">
        <v>142</v>
      </c>
      <c r="D12" s="298">
        <v>2019</v>
      </c>
      <c r="E12" s="297" t="s">
        <v>261</v>
      </c>
      <c r="F12" s="297" t="s">
        <v>193</v>
      </c>
      <c r="G12" s="297" t="s">
        <v>209</v>
      </c>
      <c r="H12" s="297" t="s">
        <v>37</v>
      </c>
      <c r="I12" s="297" t="s">
        <v>8</v>
      </c>
      <c r="J12" s="298">
        <v>50</v>
      </c>
    </row>
    <row r="13" spans="2:10" x14ac:dyDescent="0.25">
      <c r="B13" s="296">
        <v>43542</v>
      </c>
      <c r="C13" s="297" t="s">
        <v>142</v>
      </c>
      <c r="D13" s="298">
        <v>2019</v>
      </c>
      <c r="E13" s="297" t="s">
        <v>261</v>
      </c>
      <c r="F13" s="297" t="s">
        <v>193</v>
      </c>
      <c r="G13" s="297" t="s">
        <v>210</v>
      </c>
      <c r="H13" s="297" t="s">
        <v>37</v>
      </c>
      <c r="I13" s="297" t="s">
        <v>8</v>
      </c>
      <c r="J13" s="298">
        <v>151</v>
      </c>
    </row>
    <row r="14" spans="2:10" x14ac:dyDescent="0.25">
      <c r="B14" s="296">
        <v>43545</v>
      </c>
      <c r="C14" s="297" t="s">
        <v>142</v>
      </c>
      <c r="D14" s="298">
        <v>2019</v>
      </c>
      <c r="E14" s="297" t="s">
        <v>261</v>
      </c>
      <c r="F14" s="297" t="s">
        <v>193</v>
      </c>
      <c r="G14" s="297" t="s">
        <v>211</v>
      </c>
      <c r="H14" s="297" t="s">
        <v>37</v>
      </c>
      <c r="I14" s="297" t="s">
        <v>8</v>
      </c>
      <c r="J14" s="298">
        <v>89</v>
      </c>
    </row>
    <row r="15" spans="2:10" x14ac:dyDescent="0.25">
      <c r="B15" s="296">
        <v>43545</v>
      </c>
      <c r="C15" s="297" t="s">
        <v>142</v>
      </c>
      <c r="D15" s="298">
        <v>2019</v>
      </c>
      <c r="E15" s="297" t="s">
        <v>261</v>
      </c>
      <c r="F15" s="297" t="s">
        <v>193</v>
      </c>
      <c r="G15" s="297" t="s">
        <v>212</v>
      </c>
      <c r="H15" s="297" t="s">
        <v>37</v>
      </c>
      <c r="I15" s="297" t="s">
        <v>8</v>
      </c>
      <c r="J15" s="298">
        <v>235</v>
      </c>
    </row>
    <row r="16" spans="2:10" x14ac:dyDescent="0.25">
      <c r="B16" s="296">
        <v>43546</v>
      </c>
      <c r="C16" s="297" t="s">
        <v>142</v>
      </c>
      <c r="D16" s="298">
        <v>2019</v>
      </c>
      <c r="E16" s="297" t="s">
        <v>261</v>
      </c>
      <c r="F16" s="297" t="s">
        <v>193</v>
      </c>
      <c r="G16" s="297" t="s">
        <v>213</v>
      </c>
      <c r="H16" s="297" t="s">
        <v>37</v>
      </c>
      <c r="I16" s="297" t="s">
        <v>8</v>
      </c>
      <c r="J16" s="298">
        <v>67</v>
      </c>
    </row>
    <row r="17" spans="2:10" x14ac:dyDescent="0.25">
      <c r="B17" s="296">
        <v>43542</v>
      </c>
      <c r="C17" s="297" t="s">
        <v>142</v>
      </c>
      <c r="D17" s="298">
        <v>2019</v>
      </c>
      <c r="E17" s="297" t="s">
        <v>261</v>
      </c>
      <c r="F17" s="297" t="s">
        <v>193</v>
      </c>
      <c r="G17" s="297" t="s">
        <v>214</v>
      </c>
      <c r="H17" s="297" t="s">
        <v>37</v>
      </c>
      <c r="I17" s="297" t="s">
        <v>8</v>
      </c>
      <c r="J17" s="298">
        <v>102</v>
      </c>
    </row>
    <row r="18" spans="2:10" x14ac:dyDescent="0.25">
      <c r="B18" s="296">
        <v>43554</v>
      </c>
      <c r="C18" s="297" t="s">
        <v>142</v>
      </c>
      <c r="D18" s="298">
        <v>2019</v>
      </c>
      <c r="E18" s="297" t="s">
        <v>261</v>
      </c>
      <c r="F18" s="297" t="s">
        <v>193</v>
      </c>
      <c r="G18" s="297" t="s">
        <v>215</v>
      </c>
      <c r="H18" s="297" t="s">
        <v>37</v>
      </c>
      <c r="I18" s="297" t="s">
        <v>8</v>
      </c>
      <c r="J18" s="298">
        <v>212</v>
      </c>
    </row>
    <row r="19" spans="2:10" x14ac:dyDescent="0.25">
      <c r="B19" s="296">
        <v>43554</v>
      </c>
      <c r="C19" s="297" t="s">
        <v>142</v>
      </c>
      <c r="D19" s="298">
        <v>2019</v>
      </c>
      <c r="E19" s="297" t="s">
        <v>261</v>
      </c>
      <c r="F19" s="297" t="s">
        <v>193</v>
      </c>
      <c r="G19" s="297" t="s">
        <v>216</v>
      </c>
      <c r="H19" s="297" t="s">
        <v>37</v>
      </c>
      <c r="I19" s="297" t="s">
        <v>8</v>
      </c>
      <c r="J19" s="298">
        <v>115</v>
      </c>
    </row>
    <row r="20" spans="2:10" x14ac:dyDescent="0.25">
      <c r="B20" s="296">
        <v>43503</v>
      </c>
      <c r="C20" s="297" t="s">
        <v>141</v>
      </c>
      <c r="D20" s="298">
        <v>2019</v>
      </c>
      <c r="E20" s="297" t="s">
        <v>261</v>
      </c>
      <c r="F20" s="297" t="s">
        <v>193</v>
      </c>
      <c r="G20" s="297" t="s">
        <v>217</v>
      </c>
      <c r="H20" s="297" t="s">
        <v>37</v>
      </c>
      <c r="I20" s="297" t="s">
        <v>8</v>
      </c>
      <c r="J20" s="298">
        <v>24</v>
      </c>
    </row>
    <row r="21" spans="2:10" x14ac:dyDescent="0.25">
      <c r="B21" s="296">
        <v>43501</v>
      </c>
      <c r="C21" s="297" t="s">
        <v>141</v>
      </c>
      <c r="D21" s="298">
        <v>2019</v>
      </c>
      <c r="E21" s="297" t="s">
        <v>261</v>
      </c>
      <c r="F21" s="297" t="s">
        <v>193</v>
      </c>
      <c r="G21" s="297" t="s">
        <v>218</v>
      </c>
      <c r="H21" s="297" t="s">
        <v>37</v>
      </c>
      <c r="I21" s="297" t="s">
        <v>8</v>
      </c>
      <c r="J21" s="298">
        <v>189</v>
      </c>
    </row>
    <row r="22" spans="2:10" x14ac:dyDescent="0.25">
      <c r="B22" s="296">
        <v>43646</v>
      </c>
      <c r="C22" s="297" t="s">
        <v>219</v>
      </c>
      <c r="D22" s="298">
        <v>2019</v>
      </c>
      <c r="E22" s="297" t="s">
        <v>261</v>
      </c>
      <c r="F22" s="297" t="s">
        <v>193</v>
      </c>
      <c r="G22" s="297" t="s">
        <v>220</v>
      </c>
      <c r="H22" s="297" t="s">
        <v>37</v>
      </c>
      <c r="I22" s="297" t="s">
        <v>8</v>
      </c>
      <c r="J22" s="298">
        <v>145</v>
      </c>
    </row>
    <row r="23" spans="2:10" x14ac:dyDescent="0.25">
      <c r="B23" s="296">
        <v>43653</v>
      </c>
      <c r="C23" s="297" t="s">
        <v>221</v>
      </c>
      <c r="D23" s="298">
        <v>2019</v>
      </c>
      <c r="E23" s="297" t="s">
        <v>261</v>
      </c>
      <c r="F23" s="297" t="s">
        <v>193</v>
      </c>
      <c r="G23" s="297" t="s">
        <v>222</v>
      </c>
      <c r="H23" s="297" t="s">
        <v>37</v>
      </c>
      <c r="I23" s="297" t="s">
        <v>8</v>
      </c>
      <c r="J23" s="298">
        <v>98</v>
      </c>
    </row>
    <row r="24" spans="2:10" x14ac:dyDescent="0.25">
      <c r="B24" s="296">
        <v>43629</v>
      </c>
      <c r="C24" s="297" t="s">
        <v>219</v>
      </c>
      <c r="D24" s="298">
        <v>2019</v>
      </c>
      <c r="E24" s="297" t="s">
        <v>261</v>
      </c>
      <c r="F24" s="297" t="s">
        <v>193</v>
      </c>
      <c r="G24" s="297" t="s">
        <v>223</v>
      </c>
      <c r="H24" s="297" t="s">
        <v>37</v>
      </c>
      <c r="I24" s="297" t="s">
        <v>8</v>
      </c>
      <c r="J24" s="298">
        <v>151</v>
      </c>
    </row>
    <row r="25" spans="2:10" x14ac:dyDescent="0.25">
      <c r="B25" s="296">
        <v>43637</v>
      </c>
      <c r="C25" s="297" t="s">
        <v>219</v>
      </c>
      <c r="D25" s="298">
        <v>2019</v>
      </c>
      <c r="E25" s="297" t="s">
        <v>261</v>
      </c>
      <c r="F25" s="297" t="s">
        <v>193</v>
      </c>
      <c r="G25" s="297" t="s">
        <v>224</v>
      </c>
      <c r="H25" s="297" t="s">
        <v>37</v>
      </c>
      <c r="I25" s="297" t="s">
        <v>8</v>
      </c>
      <c r="J25" s="298">
        <v>115</v>
      </c>
    </row>
    <row r="26" spans="2:10" x14ac:dyDescent="0.25">
      <c r="B26" s="296">
        <v>43637</v>
      </c>
      <c r="C26" s="297" t="s">
        <v>219</v>
      </c>
      <c r="D26" s="298">
        <v>2019</v>
      </c>
      <c r="E26" s="297" t="s">
        <v>261</v>
      </c>
      <c r="F26" s="297" t="s">
        <v>193</v>
      </c>
      <c r="G26" s="297" t="s">
        <v>225</v>
      </c>
      <c r="H26" s="297" t="s">
        <v>37</v>
      </c>
      <c r="I26" s="297" t="s">
        <v>8</v>
      </c>
      <c r="J26" s="298">
        <v>283</v>
      </c>
    </row>
    <row r="27" spans="2:10" x14ac:dyDescent="0.25">
      <c r="B27" s="296">
        <v>43743</v>
      </c>
      <c r="C27" s="297" t="s">
        <v>191</v>
      </c>
      <c r="D27" s="298">
        <v>2019</v>
      </c>
      <c r="E27" s="297" t="s">
        <v>261</v>
      </c>
      <c r="F27" s="297" t="s">
        <v>193</v>
      </c>
      <c r="G27" s="297" t="s">
        <v>226</v>
      </c>
      <c r="H27" s="297" t="s">
        <v>37</v>
      </c>
      <c r="I27" s="297" t="s">
        <v>8</v>
      </c>
      <c r="J27" s="298">
        <v>114</v>
      </c>
    </row>
    <row r="28" spans="2:10" x14ac:dyDescent="0.25">
      <c r="B28" s="296">
        <v>43743</v>
      </c>
      <c r="C28" s="297" t="s">
        <v>191</v>
      </c>
      <c r="D28" s="298">
        <v>2019</v>
      </c>
      <c r="E28" s="297" t="s">
        <v>261</v>
      </c>
      <c r="F28" s="297" t="s">
        <v>193</v>
      </c>
      <c r="G28" s="297" t="s">
        <v>227</v>
      </c>
      <c r="H28" s="297" t="s">
        <v>37</v>
      </c>
      <c r="I28" s="297" t="s">
        <v>8</v>
      </c>
      <c r="J28" s="298">
        <v>101</v>
      </c>
    </row>
    <row r="29" spans="2:10" x14ac:dyDescent="0.25">
      <c r="B29" s="296">
        <v>43754</v>
      </c>
      <c r="C29" s="297" t="s">
        <v>191</v>
      </c>
      <c r="D29" s="298">
        <v>2019</v>
      </c>
      <c r="E29" s="297" t="s">
        <v>261</v>
      </c>
      <c r="F29" s="297" t="s">
        <v>193</v>
      </c>
      <c r="G29" s="297" t="s">
        <v>228</v>
      </c>
      <c r="H29" s="297" t="s">
        <v>37</v>
      </c>
      <c r="I29" s="297" t="s">
        <v>8</v>
      </c>
      <c r="J29" s="298">
        <v>49</v>
      </c>
    </row>
    <row r="30" spans="2:10" x14ac:dyDescent="0.25">
      <c r="B30" s="296">
        <v>43745</v>
      </c>
      <c r="C30" s="297" t="s">
        <v>191</v>
      </c>
      <c r="D30" s="298">
        <v>2019</v>
      </c>
      <c r="E30" s="297" t="s">
        <v>261</v>
      </c>
      <c r="F30" s="297" t="s">
        <v>193</v>
      </c>
      <c r="G30" s="297" t="s">
        <v>229</v>
      </c>
      <c r="H30" s="297" t="s">
        <v>37</v>
      </c>
      <c r="I30" s="297" t="s">
        <v>8</v>
      </c>
      <c r="J30" s="298">
        <v>45</v>
      </c>
    </row>
    <row r="31" spans="2:10" x14ac:dyDescent="0.25">
      <c r="B31" s="296">
        <v>43750</v>
      </c>
      <c r="C31" s="297" t="s">
        <v>191</v>
      </c>
      <c r="D31" s="298">
        <v>2019</v>
      </c>
      <c r="E31" s="297" t="s">
        <v>261</v>
      </c>
      <c r="F31" s="297" t="s">
        <v>193</v>
      </c>
      <c r="G31" s="297" t="s">
        <v>230</v>
      </c>
      <c r="H31" s="297" t="s">
        <v>37</v>
      </c>
      <c r="I31" s="297" t="s">
        <v>8</v>
      </c>
      <c r="J31" s="298">
        <v>95</v>
      </c>
    </row>
    <row r="32" spans="2:10" x14ac:dyDescent="0.25">
      <c r="B32" s="296">
        <v>43745</v>
      </c>
      <c r="C32" s="297" t="s">
        <v>191</v>
      </c>
      <c r="D32" s="298">
        <v>2019</v>
      </c>
      <c r="E32" s="297" t="s">
        <v>261</v>
      </c>
      <c r="F32" s="297" t="s">
        <v>193</v>
      </c>
      <c r="G32" s="297" t="s">
        <v>231</v>
      </c>
      <c r="H32" s="297" t="s">
        <v>37</v>
      </c>
      <c r="I32" s="297" t="s">
        <v>8</v>
      </c>
      <c r="J32" s="298">
        <v>131</v>
      </c>
    </row>
    <row r="33" spans="2:10" x14ac:dyDescent="0.25">
      <c r="B33" s="296">
        <v>43753</v>
      </c>
      <c r="C33" s="297" t="s">
        <v>191</v>
      </c>
      <c r="D33" s="298">
        <v>2019</v>
      </c>
      <c r="E33" s="297" t="s">
        <v>261</v>
      </c>
      <c r="F33" s="297" t="s">
        <v>193</v>
      </c>
      <c r="G33" s="297" t="s">
        <v>232</v>
      </c>
      <c r="H33" s="297" t="s">
        <v>37</v>
      </c>
      <c r="I33" s="297" t="s">
        <v>8</v>
      </c>
      <c r="J33" s="298">
        <v>103</v>
      </c>
    </row>
    <row r="34" spans="2:10" x14ac:dyDescent="0.25">
      <c r="B34" s="296">
        <v>43753</v>
      </c>
      <c r="C34" s="297" t="s">
        <v>191</v>
      </c>
      <c r="D34" s="298">
        <v>2019</v>
      </c>
      <c r="E34" s="297" t="s">
        <v>261</v>
      </c>
      <c r="F34" s="297" t="s">
        <v>193</v>
      </c>
      <c r="G34" s="297" t="s">
        <v>233</v>
      </c>
      <c r="H34" s="297" t="s">
        <v>37</v>
      </c>
      <c r="I34" s="297" t="s">
        <v>8</v>
      </c>
      <c r="J34" s="298">
        <v>122</v>
      </c>
    </row>
    <row r="35" spans="2:10" x14ac:dyDescent="0.25">
      <c r="B35" s="296">
        <v>43754</v>
      </c>
      <c r="C35" s="297" t="s">
        <v>191</v>
      </c>
      <c r="D35" s="298">
        <v>2019</v>
      </c>
      <c r="E35" s="297" t="s">
        <v>261</v>
      </c>
      <c r="F35" s="297" t="s">
        <v>193</v>
      </c>
      <c r="G35" s="297" t="s">
        <v>234</v>
      </c>
      <c r="H35" s="297" t="s">
        <v>37</v>
      </c>
      <c r="I35" s="297" t="s">
        <v>8</v>
      </c>
      <c r="J35" s="298">
        <v>82</v>
      </c>
    </row>
    <row r="36" spans="2:10" x14ac:dyDescent="0.25">
      <c r="B36" s="296">
        <v>43746</v>
      </c>
      <c r="C36" s="297" t="s">
        <v>191</v>
      </c>
      <c r="D36" s="298">
        <v>2019</v>
      </c>
      <c r="E36" s="297" t="s">
        <v>261</v>
      </c>
      <c r="F36" s="297" t="s">
        <v>193</v>
      </c>
      <c r="G36" s="297" t="s">
        <v>235</v>
      </c>
      <c r="H36" s="297" t="s">
        <v>37</v>
      </c>
      <c r="I36" s="297" t="s">
        <v>8</v>
      </c>
      <c r="J36" s="298">
        <v>67</v>
      </c>
    </row>
    <row r="37" spans="2:10" x14ac:dyDescent="0.25">
      <c r="B37" s="296">
        <v>43749</v>
      </c>
      <c r="C37" s="297" t="s">
        <v>191</v>
      </c>
      <c r="D37" s="298">
        <v>2019</v>
      </c>
      <c r="E37" s="297" t="s">
        <v>261</v>
      </c>
      <c r="F37" s="297" t="s">
        <v>193</v>
      </c>
      <c r="G37" s="297" t="s">
        <v>236</v>
      </c>
      <c r="H37" s="297" t="s">
        <v>37</v>
      </c>
      <c r="I37" s="297" t="s">
        <v>8</v>
      </c>
      <c r="J37" s="298">
        <v>122</v>
      </c>
    </row>
    <row r="38" spans="2:10" x14ac:dyDescent="0.25">
      <c r="B38" s="296">
        <v>43751</v>
      </c>
      <c r="C38" s="297" t="s">
        <v>191</v>
      </c>
      <c r="D38" s="298">
        <v>2019</v>
      </c>
      <c r="E38" s="297" t="s">
        <v>261</v>
      </c>
      <c r="F38" s="297" t="s">
        <v>193</v>
      </c>
      <c r="G38" s="297" t="s">
        <v>237</v>
      </c>
      <c r="H38" s="297" t="s">
        <v>37</v>
      </c>
      <c r="I38" s="297" t="s">
        <v>8</v>
      </c>
      <c r="J38" s="298">
        <v>64</v>
      </c>
    </row>
    <row r="39" spans="2:10" x14ac:dyDescent="0.25">
      <c r="B39" s="296">
        <v>43772</v>
      </c>
      <c r="C39" s="297" t="s">
        <v>238</v>
      </c>
      <c r="D39" s="298">
        <v>2019</v>
      </c>
      <c r="E39" s="297" t="s">
        <v>261</v>
      </c>
      <c r="F39" s="297" t="s">
        <v>193</v>
      </c>
      <c r="G39" s="297" t="s">
        <v>239</v>
      </c>
      <c r="H39" s="297" t="s">
        <v>37</v>
      </c>
      <c r="I39" s="297" t="s">
        <v>8</v>
      </c>
      <c r="J39" s="298">
        <v>135</v>
      </c>
    </row>
    <row r="40" spans="2:10" x14ac:dyDescent="0.25">
      <c r="B40" s="296">
        <v>43773</v>
      </c>
      <c r="C40" s="297" t="s">
        <v>238</v>
      </c>
      <c r="D40" s="298">
        <v>2019</v>
      </c>
      <c r="E40" s="297" t="s">
        <v>261</v>
      </c>
      <c r="F40" s="297" t="s">
        <v>193</v>
      </c>
      <c r="G40" s="297" t="s">
        <v>240</v>
      </c>
      <c r="H40" s="297" t="s">
        <v>37</v>
      </c>
      <c r="I40" s="297" t="s">
        <v>8</v>
      </c>
      <c r="J40" s="298">
        <v>120</v>
      </c>
    </row>
    <row r="41" spans="2:10" x14ac:dyDescent="0.25">
      <c r="B41" s="296">
        <v>43780</v>
      </c>
      <c r="C41" s="297" t="s">
        <v>238</v>
      </c>
      <c r="D41" s="298">
        <v>2019</v>
      </c>
      <c r="E41" s="297" t="s">
        <v>261</v>
      </c>
      <c r="F41" s="297" t="s">
        <v>193</v>
      </c>
      <c r="G41" s="297" t="s">
        <v>241</v>
      </c>
      <c r="H41" s="297" t="s">
        <v>37</v>
      </c>
      <c r="I41" s="297" t="s">
        <v>8</v>
      </c>
      <c r="J41" s="298">
        <v>108</v>
      </c>
    </row>
    <row r="42" spans="2:10" x14ac:dyDescent="0.25">
      <c r="B42" s="296">
        <v>43772</v>
      </c>
      <c r="C42" s="297" t="s">
        <v>238</v>
      </c>
      <c r="D42" s="298">
        <v>2019</v>
      </c>
      <c r="E42" s="297" t="s">
        <v>261</v>
      </c>
      <c r="F42" s="297" t="s">
        <v>193</v>
      </c>
      <c r="G42" s="297" t="s">
        <v>242</v>
      </c>
      <c r="H42" s="297" t="s">
        <v>37</v>
      </c>
      <c r="I42" s="297" t="s">
        <v>8</v>
      </c>
      <c r="J42" s="298">
        <v>89</v>
      </c>
    </row>
    <row r="43" spans="2:10" x14ac:dyDescent="0.25">
      <c r="B43" s="296">
        <v>43777</v>
      </c>
      <c r="C43" s="297" t="s">
        <v>238</v>
      </c>
      <c r="D43" s="298">
        <v>2019</v>
      </c>
      <c r="E43" s="297" t="s">
        <v>261</v>
      </c>
      <c r="F43" s="297" t="s">
        <v>193</v>
      </c>
      <c r="G43" s="297" t="s">
        <v>243</v>
      </c>
      <c r="H43" s="297" t="s">
        <v>37</v>
      </c>
      <c r="I43" s="297" t="s">
        <v>8</v>
      </c>
      <c r="J43" s="298">
        <v>64</v>
      </c>
    </row>
    <row r="44" spans="2:10" x14ac:dyDescent="0.25">
      <c r="B44" s="296">
        <v>43779</v>
      </c>
      <c r="C44" s="297" t="s">
        <v>238</v>
      </c>
      <c r="D44" s="298">
        <v>2019</v>
      </c>
      <c r="E44" s="297" t="s">
        <v>261</v>
      </c>
      <c r="F44" s="297" t="s">
        <v>193</v>
      </c>
      <c r="G44" s="297" t="s">
        <v>244</v>
      </c>
      <c r="H44" s="297" t="s">
        <v>37</v>
      </c>
      <c r="I44" s="297" t="s">
        <v>8</v>
      </c>
      <c r="J44" s="298">
        <v>76</v>
      </c>
    </row>
    <row r="45" spans="2:10" x14ac:dyDescent="0.25">
      <c r="B45" s="296">
        <v>43781</v>
      </c>
      <c r="C45" s="297" t="s">
        <v>238</v>
      </c>
      <c r="D45" s="298">
        <v>2019</v>
      </c>
      <c r="E45" s="297" t="s">
        <v>261</v>
      </c>
      <c r="F45" s="297" t="s">
        <v>193</v>
      </c>
      <c r="G45" s="297" t="s">
        <v>245</v>
      </c>
      <c r="H45" s="297" t="s">
        <v>37</v>
      </c>
      <c r="I45" s="297" t="s">
        <v>8</v>
      </c>
      <c r="J45" s="298">
        <v>105</v>
      </c>
    </row>
    <row r="46" spans="2:10" x14ac:dyDescent="0.25">
      <c r="B46" s="296">
        <v>43835</v>
      </c>
      <c r="C46" s="297" t="s">
        <v>140</v>
      </c>
      <c r="D46" s="298">
        <v>2020</v>
      </c>
      <c r="E46" s="297" t="s">
        <v>261</v>
      </c>
      <c r="F46" s="297" t="s">
        <v>193</v>
      </c>
      <c r="G46" s="297" t="s">
        <v>246</v>
      </c>
      <c r="H46" s="297" t="s">
        <v>37</v>
      </c>
      <c r="I46" s="297" t="s">
        <v>8</v>
      </c>
      <c r="J46" s="298">
        <v>134</v>
      </c>
    </row>
    <row r="47" spans="2:10" x14ac:dyDescent="0.25">
      <c r="B47" s="296">
        <v>43835</v>
      </c>
      <c r="C47" s="297" t="s">
        <v>140</v>
      </c>
      <c r="D47" s="298">
        <v>2020</v>
      </c>
      <c r="E47" s="297" t="s">
        <v>261</v>
      </c>
      <c r="F47" s="297" t="s">
        <v>193</v>
      </c>
      <c r="G47" s="297" t="s">
        <v>247</v>
      </c>
      <c r="H47" s="297" t="s">
        <v>37</v>
      </c>
      <c r="I47" s="297" t="s">
        <v>8</v>
      </c>
      <c r="J47" s="298">
        <v>105</v>
      </c>
    </row>
    <row r="48" spans="2:10" x14ac:dyDescent="0.25">
      <c r="B48" s="296">
        <v>43835</v>
      </c>
      <c r="C48" s="297" t="s">
        <v>140</v>
      </c>
      <c r="D48" s="298">
        <v>2020</v>
      </c>
      <c r="E48" s="297" t="s">
        <v>261</v>
      </c>
      <c r="F48" s="297" t="s">
        <v>193</v>
      </c>
      <c r="G48" s="297" t="s">
        <v>248</v>
      </c>
      <c r="H48" s="297" t="s">
        <v>37</v>
      </c>
      <c r="I48" s="297" t="s">
        <v>8</v>
      </c>
      <c r="J48" s="298">
        <v>164</v>
      </c>
    </row>
    <row r="49" spans="2:10" x14ac:dyDescent="0.25">
      <c r="B49" s="296">
        <v>43835</v>
      </c>
      <c r="C49" s="297" t="s">
        <v>140</v>
      </c>
      <c r="D49" s="298">
        <v>2020</v>
      </c>
      <c r="E49" s="297" t="s">
        <v>261</v>
      </c>
      <c r="F49" s="297" t="s">
        <v>193</v>
      </c>
      <c r="G49" s="297" t="s">
        <v>249</v>
      </c>
      <c r="H49" s="297" t="s">
        <v>37</v>
      </c>
      <c r="I49" s="297" t="s">
        <v>8</v>
      </c>
      <c r="J49" s="298">
        <v>208</v>
      </c>
    </row>
    <row r="50" spans="2:10" x14ac:dyDescent="0.25">
      <c r="B50" s="296" t="s">
        <v>262</v>
      </c>
      <c r="C50" s="297" t="s">
        <v>196</v>
      </c>
      <c r="D50" s="298">
        <v>2020</v>
      </c>
      <c r="E50" s="297" t="s">
        <v>200</v>
      </c>
      <c r="F50" s="297" t="s">
        <v>193</v>
      </c>
      <c r="G50" s="297" t="s">
        <v>198</v>
      </c>
      <c r="H50" s="297" t="s">
        <v>250</v>
      </c>
      <c r="I50" s="297" t="s">
        <v>161</v>
      </c>
      <c r="J50" s="298">
        <v>40</v>
      </c>
    </row>
    <row r="51" spans="2:10" x14ac:dyDescent="0.25">
      <c r="B51" s="296">
        <v>44014</v>
      </c>
      <c r="C51" s="297" t="s">
        <v>221</v>
      </c>
      <c r="D51" s="298">
        <v>2020</v>
      </c>
      <c r="E51" s="297" t="s">
        <v>200</v>
      </c>
      <c r="F51" s="297" t="s">
        <v>193</v>
      </c>
      <c r="G51" s="297" t="s">
        <v>199</v>
      </c>
      <c r="H51" s="297" t="s">
        <v>250</v>
      </c>
      <c r="I51" s="297" t="s">
        <v>9</v>
      </c>
      <c r="J51" s="298">
        <v>40</v>
      </c>
    </row>
    <row r="52" spans="2:10" x14ac:dyDescent="0.25">
      <c r="B52" s="296">
        <v>44117</v>
      </c>
      <c r="C52" s="297" t="s">
        <v>191</v>
      </c>
      <c r="D52" s="298">
        <v>2020</v>
      </c>
      <c r="E52" s="297" t="s">
        <v>192</v>
      </c>
      <c r="F52" s="297" t="s">
        <v>193</v>
      </c>
      <c r="G52" s="297" t="s">
        <v>195</v>
      </c>
      <c r="H52" s="297" t="s">
        <v>36</v>
      </c>
      <c r="I52" s="297" t="s">
        <v>8</v>
      </c>
      <c r="J52" s="298">
        <v>105</v>
      </c>
    </row>
    <row r="53" spans="2:10" x14ac:dyDescent="0.25">
      <c r="B53" s="296">
        <v>44132</v>
      </c>
      <c r="C53" s="297" t="s">
        <v>191</v>
      </c>
      <c r="D53" s="298">
        <v>2020</v>
      </c>
      <c r="E53" s="297" t="s">
        <v>192</v>
      </c>
      <c r="F53" s="297" t="s">
        <v>193</v>
      </c>
      <c r="G53" s="297" t="s">
        <v>195</v>
      </c>
      <c r="H53" s="297" t="s">
        <v>36</v>
      </c>
      <c r="I53" s="297" t="s">
        <v>8</v>
      </c>
      <c r="J53" s="298">
        <v>40</v>
      </c>
    </row>
    <row r="54" spans="2:10" x14ac:dyDescent="0.25">
      <c r="B54" s="296">
        <v>44212</v>
      </c>
      <c r="C54" s="297" t="s">
        <v>140</v>
      </c>
      <c r="D54" s="298">
        <v>2021</v>
      </c>
      <c r="E54" s="297" t="s">
        <v>192</v>
      </c>
      <c r="F54" s="297" t="s">
        <v>197</v>
      </c>
      <c r="G54" s="297" t="s">
        <v>194</v>
      </c>
      <c r="H54" s="297" t="s">
        <v>36</v>
      </c>
      <c r="I54" s="297" t="s">
        <v>14</v>
      </c>
      <c r="J54" s="298">
        <v>30</v>
      </c>
    </row>
    <row r="55" spans="2:10" x14ac:dyDescent="0.25">
      <c r="B55" s="296">
        <v>44253</v>
      </c>
      <c r="C55" s="297" t="s">
        <v>141</v>
      </c>
      <c r="D55" s="298">
        <v>2021</v>
      </c>
      <c r="E55" s="297" t="s">
        <v>192</v>
      </c>
      <c r="F55" s="297" t="s">
        <v>193</v>
      </c>
      <c r="G55" s="297" t="s">
        <v>194</v>
      </c>
      <c r="H55" s="297" t="s">
        <v>36</v>
      </c>
      <c r="I55" s="297" t="s">
        <v>14</v>
      </c>
      <c r="J55" s="298">
        <v>20</v>
      </c>
    </row>
    <row r="56" spans="2:10" x14ac:dyDescent="0.25">
      <c r="B56" s="296">
        <v>44251</v>
      </c>
      <c r="C56" s="297" t="s">
        <v>141</v>
      </c>
      <c r="D56" s="298">
        <v>2021</v>
      </c>
      <c r="E56" s="297" t="s">
        <v>251</v>
      </c>
      <c r="F56" s="297" t="s">
        <v>193</v>
      </c>
      <c r="G56" s="297" t="s">
        <v>252</v>
      </c>
      <c r="H56" s="297" t="s">
        <v>18</v>
      </c>
      <c r="I56" s="297" t="s">
        <v>14</v>
      </c>
      <c r="J56" s="298">
        <v>12</v>
      </c>
    </row>
    <row r="57" spans="2:10" x14ac:dyDescent="0.25">
      <c r="B57" s="296">
        <v>43577</v>
      </c>
      <c r="C57" s="297" t="s">
        <v>180</v>
      </c>
      <c r="D57" s="298">
        <v>2019</v>
      </c>
      <c r="E57" s="297" t="s">
        <v>264</v>
      </c>
      <c r="F57" s="297" t="s">
        <v>193</v>
      </c>
      <c r="G57" s="297" t="s">
        <v>265</v>
      </c>
      <c r="H57" s="297" t="s">
        <v>36</v>
      </c>
      <c r="I57" s="297" t="s">
        <v>14</v>
      </c>
      <c r="J57" s="298">
        <v>25</v>
      </c>
    </row>
    <row r="58" spans="2:10" x14ac:dyDescent="0.25">
      <c r="B58" s="296">
        <v>43476</v>
      </c>
      <c r="C58" s="297" t="s">
        <v>140</v>
      </c>
      <c r="D58" s="298">
        <v>2019</v>
      </c>
      <c r="E58" s="297" t="s">
        <v>266</v>
      </c>
      <c r="F58" s="297" t="s">
        <v>193</v>
      </c>
      <c r="G58" s="297" t="s">
        <v>267</v>
      </c>
      <c r="H58" s="297" t="s">
        <v>34</v>
      </c>
      <c r="I58" s="297" t="s">
        <v>8</v>
      </c>
      <c r="J58" s="298">
        <v>15</v>
      </c>
    </row>
    <row r="59" spans="2:10" x14ac:dyDescent="0.25">
      <c r="B59" s="296">
        <v>43570</v>
      </c>
      <c r="C59" s="297" t="s">
        <v>180</v>
      </c>
      <c r="D59" s="298">
        <v>2019</v>
      </c>
      <c r="E59" s="297" t="s">
        <v>266</v>
      </c>
      <c r="F59" s="297" t="s">
        <v>193</v>
      </c>
      <c r="G59" s="297" t="s">
        <v>268</v>
      </c>
      <c r="H59" s="297" t="s">
        <v>34</v>
      </c>
      <c r="I59" s="297" t="s">
        <v>8</v>
      </c>
      <c r="J59" s="298">
        <v>60</v>
      </c>
    </row>
    <row r="60" spans="2:10" x14ac:dyDescent="0.25">
      <c r="B60" s="296">
        <v>43497</v>
      </c>
      <c r="C60" s="297" t="s">
        <v>141</v>
      </c>
      <c r="D60" s="298">
        <v>2019</v>
      </c>
      <c r="E60" s="297" t="s">
        <v>264</v>
      </c>
      <c r="F60" s="297" t="s">
        <v>193</v>
      </c>
      <c r="G60" s="297" t="s">
        <v>269</v>
      </c>
      <c r="H60" s="297" t="s">
        <v>36</v>
      </c>
      <c r="I60" s="297" t="s">
        <v>19</v>
      </c>
      <c r="J60" s="298">
        <v>35</v>
      </c>
    </row>
    <row r="61" spans="2:10" x14ac:dyDescent="0.25">
      <c r="B61" s="296">
        <v>43677</v>
      </c>
      <c r="C61" s="297" t="s">
        <v>221</v>
      </c>
      <c r="D61" s="298">
        <v>2019</v>
      </c>
      <c r="E61" s="297" t="s">
        <v>270</v>
      </c>
      <c r="F61" s="297" t="s">
        <v>193</v>
      </c>
      <c r="G61" s="297" t="s">
        <v>271</v>
      </c>
      <c r="H61" s="297" t="s">
        <v>31</v>
      </c>
      <c r="I61" s="297" t="s">
        <v>8</v>
      </c>
      <c r="J61" s="298">
        <v>20</v>
      </c>
    </row>
    <row r="62" spans="2:10" x14ac:dyDescent="0.25">
      <c r="B62" s="296">
        <v>43801</v>
      </c>
      <c r="C62" s="297" t="s">
        <v>259</v>
      </c>
      <c r="D62" s="298">
        <v>2019</v>
      </c>
      <c r="E62" s="297" t="s">
        <v>272</v>
      </c>
      <c r="F62" s="297" t="s">
        <v>193</v>
      </c>
      <c r="G62" s="297" t="s">
        <v>273</v>
      </c>
      <c r="H62" s="297" t="s">
        <v>36</v>
      </c>
      <c r="I62" s="297" t="s">
        <v>8</v>
      </c>
      <c r="J62" s="298">
        <v>25</v>
      </c>
    </row>
    <row r="63" spans="2:10" x14ac:dyDescent="0.25">
      <c r="B63" s="296">
        <v>43804</v>
      </c>
      <c r="C63" s="297" t="s">
        <v>259</v>
      </c>
      <c r="D63" s="298">
        <v>2019</v>
      </c>
      <c r="E63" s="297" t="s">
        <v>272</v>
      </c>
      <c r="F63" s="297" t="s">
        <v>193</v>
      </c>
      <c r="G63" s="297" t="s">
        <v>274</v>
      </c>
      <c r="H63" s="297" t="s">
        <v>36</v>
      </c>
      <c r="I63" s="297" t="s">
        <v>8</v>
      </c>
      <c r="J63" s="298">
        <v>40</v>
      </c>
    </row>
    <row r="64" spans="2:10" x14ac:dyDescent="0.25">
      <c r="B64" s="296">
        <v>43811</v>
      </c>
      <c r="C64" s="297" t="s">
        <v>259</v>
      </c>
      <c r="D64" s="298">
        <v>2019</v>
      </c>
      <c r="E64" s="297" t="s">
        <v>272</v>
      </c>
      <c r="F64" s="297" t="s">
        <v>193</v>
      </c>
      <c r="G64" s="297" t="s">
        <v>275</v>
      </c>
      <c r="H64" s="297" t="s">
        <v>36</v>
      </c>
      <c r="I64" s="297" t="s">
        <v>8</v>
      </c>
      <c r="J64" s="298">
        <v>150</v>
      </c>
    </row>
    <row r="65" spans="2:10" x14ac:dyDescent="0.25">
      <c r="B65" s="296">
        <v>43812</v>
      </c>
      <c r="C65" s="297" t="s">
        <v>259</v>
      </c>
      <c r="D65" s="298">
        <v>2019</v>
      </c>
      <c r="E65" s="297" t="s">
        <v>272</v>
      </c>
      <c r="F65" s="297" t="s">
        <v>193</v>
      </c>
      <c r="G65" s="297" t="s">
        <v>276</v>
      </c>
      <c r="H65" s="297" t="s">
        <v>36</v>
      </c>
      <c r="I65" s="297" t="s">
        <v>8</v>
      </c>
      <c r="J65" s="298">
        <v>150</v>
      </c>
    </row>
    <row r="66" spans="2:10" x14ac:dyDescent="0.25">
      <c r="B66" s="296">
        <v>43812</v>
      </c>
      <c r="C66" s="297" t="s">
        <v>259</v>
      </c>
      <c r="D66" s="298">
        <v>2019</v>
      </c>
      <c r="E66" s="297" t="s">
        <v>272</v>
      </c>
      <c r="F66" s="297" t="s">
        <v>193</v>
      </c>
      <c r="G66" s="297" t="s">
        <v>277</v>
      </c>
      <c r="H66" s="297" t="s">
        <v>36</v>
      </c>
      <c r="I66" s="297" t="s">
        <v>8</v>
      </c>
      <c r="J66" s="298">
        <v>25</v>
      </c>
    </row>
    <row r="67" spans="2:10" x14ac:dyDescent="0.25">
      <c r="B67" s="296">
        <v>43804</v>
      </c>
      <c r="C67" s="297" t="s">
        <v>259</v>
      </c>
      <c r="D67" s="298">
        <v>2019</v>
      </c>
      <c r="E67" s="297" t="s">
        <v>272</v>
      </c>
      <c r="F67" s="297" t="s">
        <v>193</v>
      </c>
      <c r="G67" s="297" t="s">
        <v>278</v>
      </c>
      <c r="H67" s="297" t="s">
        <v>36</v>
      </c>
      <c r="I67" s="297" t="s">
        <v>8</v>
      </c>
      <c r="J67" s="298">
        <v>150</v>
      </c>
    </row>
    <row r="68" spans="2:10" x14ac:dyDescent="0.25">
      <c r="B68" s="299">
        <v>44181</v>
      </c>
      <c r="C68" s="300" t="s">
        <v>259</v>
      </c>
      <c r="D68" s="301">
        <v>2020</v>
      </c>
      <c r="E68" s="297" t="s">
        <v>261</v>
      </c>
      <c r="F68" s="300" t="s">
        <v>193</v>
      </c>
      <c r="G68" s="300" t="s">
        <v>159</v>
      </c>
      <c r="H68" s="300" t="s">
        <v>160</v>
      </c>
      <c r="I68" s="300" t="s">
        <v>161</v>
      </c>
      <c r="J68" s="301">
        <v>10</v>
      </c>
    </row>
    <row r="69" spans="2:10" x14ac:dyDescent="0.25">
      <c r="B69" s="299">
        <v>44280</v>
      </c>
      <c r="C69" s="300" t="s">
        <v>142</v>
      </c>
      <c r="D69" s="301">
        <v>2021</v>
      </c>
      <c r="E69" s="297" t="s">
        <v>261</v>
      </c>
      <c r="F69" s="300" t="s">
        <v>193</v>
      </c>
      <c r="G69" s="300" t="s">
        <v>260</v>
      </c>
      <c r="H69" s="300" t="s">
        <v>37</v>
      </c>
      <c r="I69" s="300" t="s">
        <v>161</v>
      </c>
      <c r="J69" s="301">
        <v>50</v>
      </c>
    </row>
    <row r="70" spans="2:10" x14ac:dyDescent="0.25">
      <c r="B70" s="299">
        <v>43847</v>
      </c>
      <c r="C70" s="300" t="s">
        <v>140</v>
      </c>
      <c r="D70" s="301">
        <v>2020</v>
      </c>
      <c r="E70" s="297" t="s">
        <v>264</v>
      </c>
      <c r="F70" s="300" t="s">
        <v>193</v>
      </c>
      <c r="G70" s="300" t="s">
        <v>279</v>
      </c>
      <c r="H70" s="300" t="s">
        <v>36</v>
      </c>
      <c r="I70" s="300" t="s">
        <v>8</v>
      </c>
      <c r="J70" s="301">
        <v>365</v>
      </c>
    </row>
    <row r="71" spans="2:10" x14ac:dyDescent="0.25">
      <c r="B71" s="299">
        <v>43852</v>
      </c>
      <c r="C71" s="300" t="s">
        <v>140</v>
      </c>
      <c r="D71" s="301">
        <v>2020</v>
      </c>
      <c r="E71" s="297" t="s">
        <v>264</v>
      </c>
      <c r="F71" s="300" t="s">
        <v>193</v>
      </c>
      <c r="G71" s="300" t="s">
        <v>280</v>
      </c>
      <c r="H71" s="300" t="s">
        <v>36</v>
      </c>
      <c r="I71" s="300" t="s">
        <v>8</v>
      </c>
      <c r="J71" s="301">
        <v>298</v>
      </c>
    </row>
    <row r="72" spans="2:10" x14ac:dyDescent="0.25">
      <c r="B72" s="299">
        <v>43861</v>
      </c>
      <c r="C72" s="300" t="s">
        <v>140</v>
      </c>
      <c r="D72" s="301">
        <v>2020</v>
      </c>
      <c r="E72" s="297" t="s">
        <v>264</v>
      </c>
      <c r="F72" s="300" t="s">
        <v>193</v>
      </c>
      <c r="G72" s="300" t="s">
        <v>281</v>
      </c>
      <c r="H72" s="300" t="s">
        <v>36</v>
      </c>
      <c r="I72" s="300" t="s">
        <v>8</v>
      </c>
      <c r="J72" s="301">
        <v>339</v>
      </c>
    </row>
    <row r="73" spans="2:10" x14ac:dyDescent="0.25">
      <c r="B73" s="299">
        <v>43857</v>
      </c>
      <c r="C73" s="300" t="s">
        <v>140</v>
      </c>
      <c r="D73" s="301">
        <v>2020</v>
      </c>
      <c r="E73" s="297" t="s">
        <v>264</v>
      </c>
      <c r="F73" s="300" t="s">
        <v>193</v>
      </c>
      <c r="G73" s="300" t="s">
        <v>282</v>
      </c>
      <c r="H73" s="300" t="s">
        <v>36</v>
      </c>
      <c r="I73" s="300" t="s">
        <v>8</v>
      </c>
      <c r="J73" s="301">
        <v>38</v>
      </c>
    </row>
    <row r="74" spans="2:10" x14ac:dyDescent="0.25">
      <c r="B74" s="299">
        <v>43848</v>
      </c>
      <c r="C74" s="300" t="s">
        <v>140</v>
      </c>
      <c r="D74" s="301">
        <v>2020</v>
      </c>
      <c r="E74" s="297" t="s">
        <v>264</v>
      </c>
      <c r="F74" s="300" t="s">
        <v>193</v>
      </c>
      <c r="G74" s="300" t="s">
        <v>283</v>
      </c>
      <c r="H74" s="300" t="s">
        <v>36</v>
      </c>
      <c r="I74" s="300" t="s">
        <v>19</v>
      </c>
      <c r="J74" s="301">
        <v>237</v>
      </c>
    </row>
    <row r="75" spans="2:10" x14ac:dyDescent="0.25">
      <c r="B75" s="299">
        <v>43845</v>
      </c>
      <c r="C75" s="300" t="s">
        <v>140</v>
      </c>
      <c r="D75" s="301">
        <v>2020</v>
      </c>
      <c r="E75" s="297" t="s">
        <v>264</v>
      </c>
      <c r="F75" s="300" t="s">
        <v>193</v>
      </c>
      <c r="G75" s="300" t="s">
        <v>284</v>
      </c>
      <c r="H75" s="300" t="s">
        <v>36</v>
      </c>
      <c r="I75" s="300" t="s">
        <v>19</v>
      </c>
      <c r="J75" s="301">
        <v>374</v>
      </c>
    </row>
    <row r="76" spans="2:10" x14ac:dyDescent="0.25">
      <c r="B76" s="299">
        <v>43851</v>
      </c>
      <c r="C76" s="300" t="s">
        <v>140</v>
      </c>
      <c r="D76" s="301">
        <v>2020</v>
      </c>
      <c r="E76" s="297" t="s">
        <v>264</v>
      </c>
      <c r="F76" s="300" t="s">
        <v>193</v>
      </c>
      <c r="G76" s="300" t="s">
        <v>285</v>
      </c>
      <c r="H76" s="300" t="s">
        <v>36</v>
      </c>
      <c r="I76" s="300" t="s">
        <v>19</v>
      </c>
      <c r="J76" s="301">
        <v>315</v>
      </c>
    </row>
    <row r="77" spans="2:10" x14ac:dyDescent="0.25">
      <c r="B77" s="299">
        <v>43846</v>
      </c>
      <c r="C77" s="300" t="s">
        <v>140</v>
      </c>
      <c r="D77" s="301">
        <v>2020</v>
      </c>
      <c r="E77" s="297" t="s">
        <v>264</v>
      </c>
      <c r="F77" s="300" t="s">
        <v>193</v>
      </c>
      <c r="G77" s="300" t="s">
        <v>286</v>
      </c>
      <c r="H77" s="300" t="s">
        <v>36</v>
      </c>
      <c r="I77" s="300" t="s">
        <v>19</v>
      </c>
      <c r="J77" s="301">
        <v>94</v>
      </c>
    </row>
    <row r="78" spans="2:10" x14ac:dyDescent="0.25">
      <c r="B78" s="299">
        <v>43850</v>
      </c>
      <c r="C78" s="300" t="s">
        <v>140</v>
      </c>
      <c r="D78" s="301">
        <v>2020</v>
      </c>
      <c r="E78" s="297" t="s">
        <v>264</v>
      </c>
      <c r="F78" s="300" t="s">
        <v>193</v>
      </c>
      <c r="G78" s="300" t="s">
        <v>287</v>
      </c>
      <c r="H78" s="300" t="s">
        <v>36</v>
      </c>
      <c r="I78" s="300" t="s">
        <v>14</v>
      </c>
      <c r="J78" s="301">
        <v>96</v>
      </c>
    </row>
    <row r="79" spans="2:10" x14ac:dyDescent="0.25">
      <c r="B79" s="299">
        <v>43843</v>
      </c>
      <c r="C79" s="300" t="s">
        <v>140</v>
      </c>
      <c r="D79" s="301">
        <v>2020</v>
      </c>
      <c r="E79" s="297" t="s">
        <v>264</v>
      </c>
      <c r="F79" s="300" t="s">
        <v>193</v>
      </c>
      <c r="G79" s="300" t="s">
        <v>288</v>
      </c>
      <c r="H79" s="300" t="s">
        <v>36</v>
      </c>
      <c r="I79" s="300" t="s">
        <v>9</v>
      </c>
      <c r="J79" s="301">
        <v>241</v>
      </c>
    </row>
    <row r="80" spans="2:10" x14ac:dyDescent="0.25">
      <c r="B80" s="296">
        <v>43476</v>
      </c>
      <c r="C80" s="297" t="s">
        <v>140</v>
      </c>
      <c r="D80" s="298">
        <v>2019</v>
      </c>
      <c r="E80" s="295" t="s">
        <v>264</v>
      </c>
      <c r="F80" s="300" t="s">
        <v>193</v>
      </c>
      <c r="G80" s="297" t="s">
        <v>278</v>
      </c>
      <c r="H80" s="295" t="s">
        <v>36</v>
      </c>
      <c r="I80" s="295" t="s">
        <v>161</v>
      </c>
      <c r="J80" s="295">
        <v>0</v>
      </c>
    </row>
    <row r="81" spans="2:10" x14ac:dyDescent="0.25">
      <c r="B81" s="296">
        <v>43476</v>
      </c>
      <c r="C81" s="297" t="s">
        <v>140</v>
      </c>
      <c r="D81" s="298">
        <v>2019</v>
      </c>
      <c r="E81" s="295" t="s">
        <v>264</v>
      </c>
      <c r="F81" s="300" t="s">
        <v>193</v>
      </c>
      <c r="G81" s="297" t="s">
        <v>278</v>
      </c>
      <c r="H81" s="295" t="s">
        <v>36</v>
      </c>
      <c r="I81" s="295" t="s">
        <v>9</v>
      </c>
      <c r="J81" s="295">
        <v>0</v>
      </c>
    </row>
    <row r="82" spans="2:10" x14ac:dyDescent="0.25">
      <c r="B82" s="296" t="s">
        <v>263</v>
      </c>
      <c r="C82" s="297" t="s">
        <v>191</v>
      </c>
      <c r="D82" s="298">
        <v>2021</v>
      </c>
      <c r="E82" s="295" t="s">
        <v>200</v>
      </c>
      <c r="F82" s="297" t="s">
        <v>193</v>
      </c>
      <c r="G82" s="297" t="s">
        <v>299</v>
      </c>
      <c r="H82" s="297" t="s">
        <v>250</v>
      </c>
      <c r="I82" s="297" t="s">
        <v>8</v>
      </c>
      <c r="J82" s="298">
        <v>0</v>
      </c>
    </row>
    <row r="83" spans="2:10" x14ac:dyDescent="0.25">
      <c r="B83" s="296">
        <v>44276</v>
      </c>
      <c r="C83" s="297" t="s">
        <v>142</v>
      </c>
      <c r="D83" s="298">
        <v>2021</v>
      </c>
      <c r="E83" s="297" t="s">
        <v>251</v>
      </c>
      <c r="F83" s="297" t="s">
        <v>193</v>
      </c>
      <c r="G83" s="297" t="s">
        <v>300</v>
      </c>
      <c r="H83" s="297" t="s">
        <v>7</v>
      </c>
      <c r="I83" s="297" t="s">
        <v>9</v>
      </c>
      <c r="J83" s="298">
        <v>5</v>
      </c>
    </row>
    <row r="84" spans="2:10" x14ac:dyDescent="0.25">
      <c r="B84" s="296">
        <v>44276</v>
      </c>
      <c r="C84" s="297" t="s">
        <v>142</v>
      </c>
      <c r="D84" s="298">
        <v>2021</v>
      </c>
      <c r="E84" s="297" t="s">
        <v>261</v>
      </c>
      <c r="F84" s="297" t="s">
        <v>193</v>
      </c>
      <c r="G84" s="297" t="s">
        <v>302</v>
      </c>
      <c r="H84" s="297" t="s">
        <v>37</v>
      </c>
      <c r="I84" s="297" t="s">
        <v>9</v>
      </c>
      <c r="J84" s="298">
        <v>26</v>
      </c>
    </row>
    <row r="85" spans="2:10" x14ac:dyDescent="0.25">
      <c r="B85" s="296" t="s">
        <v>263</v>
      </c>
      <c r="C85" s="297" t="s">
        <v>191</v>
      </c>
      <c r="D85" s="298">
        <v>2021</v>
      </c>
      <c r="E85" s="297" t="s">
        <v>200</v>
      </c>
      <c r="F85" s="297" t="s">
        <v>193</v>
      </c>
      <c r="G85" s="297" t="s">
        <v>301</v>
      </c>
      <c r="H85" s="297" t="s">
        <v>250</v>
      </c>
      <c r="I85" s="297" t="s">
        <v>19</v>
      </c>
      <c r="J85" s="298">
        <v>0</v>
      </c>
    </row>
    <row r="86" spans="2:10" x14ac:dyDescent="0.25">
      <c r="B86" s="359">
        <v>44314</v>
      </c>
      <c r="C86" s="101" t="s">
        <v>180</v>
      </c>
      <c r="D86" s="101">
        <v>2021</v>
      </c>
      <c r="E86" s="295" t="s">
        <v>264</v>
      </c>
      <c r="F86" s="297" t="s">
        <v>193</v>
      </c>
      <c r="G86" s="101" t="s">
        <v>311</v>
      </c>
      <c r="H86" s="101" t="s">
        <v>250</v>
      </c>
      <c r="I86" s="101" t="s">
        <v>8</v>
      </c>
      <c r="J86" s="101">
        <v>45</v>
      </c>
    </row>
    <row r="87" spans="2:10" x14ac:dyDescent="0.25">
      <c r="B87" s="359">
        <v>44350</v>
      </c>
      <c r="C87" s="101" t="s">
        <v>219</v>
      </c>
      <c r="D87" s="101">
        <v>2021</v>
      </c>
      <c r="E87" s="295" t="s">
        <v>192</v>
      </c>
      <c r="F87" s="297" t="s">
        <v>193</v>
      </c>
      <c r="G87" s="101" t="s">
        <v>365</v>
      </c>
      <c r="H87" s="101" t="s">
        <v>36</v>
      </c>
      <c r="I87" s="101" t="s">
        <v>14</v>
      </c>
      <c r="J87" s="101">
        <v>80</v>
      </c>
    </row>
    <row r="88" spans="2:10" x14ac:dyDescent="0.25">
      <c r="B88" s="359">
        <v>44351</v>
      </c>
      <c r="C88" s="101" t="s">
        <v>219</v>
      </c>
      <c r="D88" s="101">
        <v>2021</v>
      </c>
      <c r="E88" s="101" t="s">
        <v>192</v>
      </c>
      <c r="F88" s="101" t="s">
        <v>193</v>
      </c>
      <c r="G88" s="101" t="s">
        <v>195</v>
      </c>
      <c r="H88" s="101" t="s">
        <v>36</v>
      </c>
      <c r="I88" s="101" t="s">
        <v>8</v>
      </c>
      <c r="J88" s="101">
        <v>325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A915D-1441-4C4B-B6FF-468C427A39A8}">
  <sheetPr>
    <tabColor theme="5"/>
  </sheetPr>
  <dimension ref="B1:BG8"/>
  <sheetViews>
    <sheetView showGridLines="0" topLeftCell="AI1" zoomScale="80" zoomScaleNormal="80" workbookViewId="0">
      <selection activeCell="AO7" sqref="AO7"/>
    </sheetView>
  </sheetViews>
  <sheetFormatPr defaultRowHeight="15" x14ac:dyDescent="0.25"/>
  <cols>
    <col min="2" max="2" width="18" bestFit="1" customWidth="1"/>
    <col min="3" max="3" width="38.85546875" style="120" bestFit="1" customWidth="1"/>
    <col min="4" max="4" width="41.42578125" bestFit="1" customWidth="1"/>
    <col min="5" max="5" width="16.42578125" customWidth="1"/>
    <col min="6" max="6" width="13.85546875" bestFit="1" customWidth="1"/>
    <col min="11" max="11" width="18" bestFit="1" customWidth="1"/>
    <col min="12" max="12" width="36.7109375" style="120" bestFit="1" customWidth="1"/>
    <col min="13" max="13" width="41.42578125" bestFit="1" customWidth="1"/>
    <col min="14" max="15" width="13.85546875" bestFit="1" customWidth="1"/>
    <col min="20" max="20" width="15.28515625" bestFit="1" customWidth="1"/>
    <col min="21" max="21" width="15.140625" bestFit="1" customWidth="1"/>
    <col min="22" max="22" width="15.7109375" bestFit="1" customWidth="1"/>
    <col min="23" max="23" width="20" customWidth="1"/>
    <col min="24" max="24" width="10.7109375" bestFit="1" customWidth="1"/>
    <col min="28" max="28" width="17.85546875" bestFit="1" customWidth="1"/>
    <col min="29" max="29" width="14.85546875" bestFit="1" customWidth="1"/>
    <col min="30" max="30" width="10.85546875" bestFit="1" customWidth="1"/>
    <col min="31" max="31" width="17.42578125" customWidth="1"/>
    <col min="32" max="32" width="15.140625" bestFit="1" customWidth="1"/>
    <col min="33" max="33" width="9.42578125" bestFit="1" customWidth="1"/>
    <col min="36" max="36" width="18" bestFit="1" customWidth="1"/>
    <col min="37" max="37" width="32.140625" style="120" bestFit="1" customWidth="1"/>
    <col min="38" max="38" width="41.7109375" style="120" bestFit="1" customWidth="1"/>
    <col min="39" max="39" width="23.85546875" bestFit="1" customWidth="1"/>
    <col min="40" max="40" width="11.140625" bestFit="1" customWidth="1"/>
    <col min="41" max="41" width="26.42578125" style="120" customWidth="1"/>
    <col min="42" max="42" width="12.28515625" bestFit="1" customWidth="1"/>
    <col min="48" max="48" width="35.28515625" bestFit="1" customWidth="1"/>
    <col min="49" max="49" width="7.140625" bestFit="1" customWidth="1"/>
    <col min="50" max="50" width="21" bestFit="1" customWidth="1"/>
    <col min="51" max="51" width="25.85546875" bestFit="1" customWidth="1"/>
    <col min="53" max="53" width="41.7109375" bestFit="1" customWidth="1"/>
    <col min="54" max="54" width="14.42578125" bestFit="1" customWidth="1"/>
    <col min="55" max="55" width="10" bestFit="1" customWidth="1"/>
    <col min="56" max="56" width="10.7109375" bestFit="1" customWidth="1"/>
    <col min="57" max="57" width="13.140625" hidden="1" customWidth="1"/>
    <col min="58" max="59" width="10.7109375" bestFit="1" customWidth="1"/>
  </cols>
  <sheetData>
    <row r="1" spans="2:59" ht="23.25" x14ac:dyDescent="0.35">
      <c r="B1" s="491" t="s">
        <v>105</v>
      </c>
      <c r="C1" s="491"/>
      <c r="D1" s="129" t="s">
        <v>104</v>
      </c>
      <c r="E1" s="158" t="e">
        <f>GETPIVOTDATA("UBC Collected by ecoBali (Kg)",$B$3)</f>
        <v>#REF!</v>
      </c>
      <c r="F1" s="135" t="e">
        <f>GETPIVOTDATA("UBC Collected by ecoBali (Kg)",$B$3)/1000</f>
        <v>#REF!</v>
      </c>
      <c r="K1" s="491" t="s">
        <v>106</v>
      </c>
      <c r="L1" s="491"/>
      <c r="M1" s="153" t="s">
        <v>115</v>
      </c>
      <c r="N1" s="158">
        <f>GETPIVOTDATA("Delivered to Papermill (Kg)",$K$3)</f>
        <v>38386</v>
      </c>
      <c r="O1" s="135">
        <f>GETPIVOTDATA("Delivered to Papermill (Kg)",$K$3)/1000</f>
        <v>38.386000000000003</v>
      </c>
      <c r="T1" s="491" t="s">
        <v>184</v>
      </c>
      <c r="U1" s="491"/>
      <c r="AJ1" s="491" t="s">
        <v>109</v>
      </c>
      <c r="AK1" s="491"/>
      <c r="AL1" s="491"/>
      <c r="AX1" s="259" t="str">
        <f>IF(GETPIVOTDATA("Sum of R-S",$AV$3)&gt;0,"▲","▼"&amp;TEXT(GETPIVOTDATA("Sum of %R-S",$AV$3),"0%;(0%)"))</f>
        <v>▼(0%)</v>
      </c>
      <c r="AY1" s="260" t="str">
        <f>IF(GETPIVOTDATA("Sum of R-S",$AV$3)&gt;0,"▲","▼"&amp;TEXT(GETPIVOTDATA("Sum of R-S",$AV$3),"0;(0)"))</f>
        <v>▼(16)</v>
      </c>
      <c r="BA1" s="492" t="s">
        <v>131</v>
      </c>
      <c r="BB1" s="492"/>
      <c r="BC1" s="492"/>
      <c r="BD1" s="492"/>
    </row>
    <row r="2" spans="2:59" ht="35.25" customHeight="1" x14ac:dyDescent="0.25"/>
    <row r="3" spans="2:59" s="121" customFormat="1" ht="75" x14ac:dyDescent="0.25">
      <c r="B3" s="142" t="s">
        <v>77</v>
      </c>
      <c r="C3"/>
      <c r="K3" s="142" t="s">
        <v>77</v>
      </c>
      <c r="L3" s="143" t="s">
        <v>135</v>
      </c>
      <c r="T3" s="249" t="s">
        <v>77</v>
      </c>
      <c r="U3" s="250" t="s">
        <v>297</v>
      </c>
      <c r="V3" s="250" t="s">
        <v>135</v>
      </c>
      <c r="AB3" s="243" t="s">
        <v>77</v>
      </c>
      <c r="AC3" s="289" t="s">
        <v>298</v>
      </c>
      <c r="AD3" s="289" t="s">
        <v>135</v>
      </c>
      <c r="AJ3" s="142" t="s">
        <v>77</v>
      </c>
      <c r="AK3" s="88" t="s">
        <v>325</v>
      </c>
      <c r="AL3" s="143" t="s">
        <v>100</v>
      </c>
      <c r="AM3" s="88" t="s">
        <v>338</v>
      </c>
      <c r="AN3" s="139" t="s">
        <v>107</v>
      </c>
      <c r="AO3" s="146" t="s">
        <v>108</v>
      </c>
      <c r="AV3" s="42" t="s">
        <v>130</v>
      </c>
      <c r="AW3"/>
      <c r="AX3"/>
      <c r="AY3" s="242" t="e">
        <f>GETPIVOTDATA("Sum of Received Vs Sent %",$AV$3)</f>
        <v>#REF!</v>
      </c>
      <c r="BA3" s="188"/>
      <c r="BB3" s="187" t="s">
        <v>78</v>
      </c>
      <c r="BC3" s="188"/>
      <c r="BD3" s="188"/>
      <c r="BE3" s="188"/>
      <c r="BF3" s="188"/>
      <c r="BG3"/>
    </row>
    <row r="4" spans="2:59" ht="31.5" x14ac:dyDescent="0.4">
      <c r="B4" s="130" t="s">
        <v>140</v>
      </c>
      <c r="C4"/>
      <c r="K4" s="132" t="s">
        <v>140</v>
      </c>
      <c r="L4" s="134">
        <v>9270</v>
      </c>
      <c r="T4" s="251" t="s">
        <v>140</v>
      </c>
      <c r="U4" s="252">
        <v>20833.330000000002</v>
      </c>
      <c r="V4" s="252">
        <v>9270</v>
      </c>
      <c r="W4" s="245" t="s">
        <v>107</v>
      </c>
      <c r="X4" s="248" t="s">
        <v>118</v>
      </c>
      <c r="AB4" s="244" t="s">
        <v>140</v>
      </c>
      <c r="AC4" s="258">
        <v>62500</v>
      </c>
      <c r="AD4" s="258">
        <v>9270</v>
      </c>
      <c r="AE4" s="245" t="s">
        <v>107</v>
      </c>
      <c r="AF4" s="248" t="s">
        <v>118</v>
      </c>
      <c r="AJ4" s="119" t="s">
        <v>140</v>
      </c>
      <c r="AK4" s="413">
        <v>9566.2999999999993</v>
      </c>
      <c r="AL4" s="136">
        <v>413.39999999999964</v>
      </c>
      <c r="AM4" s="136">
        <v>9683.4</v>
      </c>
      <c r="AN4" s="137" t="s">
        <v>101</v>
      </c>
      <c r="AO4" s="147">
        <f>GETPIVOTDATA("Sum of Weighing scale Gap ecoBali (Kg)",$AJ$3)</f>
        <v>2270.67</v>
      </c>
      <c r="AP4" s="145">
        <f>AO4/AO6</f>
        <v>5.5849876539323072E-2</v>
      </c>
      <c r="AV4" s="43" t="s">
        <v>135</v>
      </c>
      <c r="AW4" s="103">
        <v>38386</v>
      </c>
      <c r="BA4" s="187" t="s">
        <v>130</v>
      </c>
      <c r="BB4" s="188" t="s">
        <v>140</v>
      </c>
      <c r="BC4" s="188" t="s">
        <v>141</v>
      </c>
      <c r="BD4" s="188" t="s">
        <v>142</v>
      </c>
      <c r="BE4" s="188" t="s">
        <v>180</v>
      </c>
      <c r="BF4" s="188" t="s">
        <v>11</v>
      </c>
    </row>
    <row r="5" spans="2:59" ht="26.25" x14ac:dyDescent="0.4">
      <c r="B5" s="130" t="s">
        <v>141</v>
      </c>
      <c r="C5"/>
      <c r="K5" s="132" t="s">
        <v>141</v>
      </c>
      <c r="L5" s="134">
        <v>11758</v>
      </c>
      <c r="T5" s="251" t="s">
        <v>141</v>
      </c>
      <c r="U5" s="252">
        <v>20833.330000000002</v>
      </c>
      <c r="V5" s="252">
        <v>11758</v>
      </c>
      <c r="W5" s="246" t="s">
        <v>82</v>
      </c>
      <c r="X5" s="254">
        <f>GETPIVOTDATA("Sum of Delivered to Papermill (Kg)",$T$3)</f>
        <v>38386</v>
      </c>
      <c r="Y5" s="253">
        <f>X5/X7</f>
        <v>0.46063207370113174</v>
      </c>
      <c r="Z5" s="253"/>
      <c r="AA5" s="253"/>
      <c r="AB5" s="244" t="s">
        <v>141</v>
      </c>
      <c r="AC5" s="258">
        <v>62500</v>
      </c>
      <c r="AD5" s="258">
        <v>11758</v>
      </c>
      <c r="AE5" s="246" t="s">
        <v>82</v>
      </c>
      <c r="AF5" s="255">
        <f>GETPIVOTDATA("Sum of Delivered to Papermill (Kg)",$AB$3)</f>
        <v>38386</v>
      </c>
      <c r="AG5" s="257">
        <f>AF5/AF7</f>
        <v>0.15354400000000001</v>
      </c>
      <c r="AH5" s="253"/>
      <c r="AJ5" s="119" t="s">
        <v>141</v>
      </c>
      <c r="AK5" s="413">
        <v>7967.8</v>
      </c>
      <c r="AL5" s="136">
        <v>1102.2000000000007</v>
      </c>
      <c r="AM5" s="136">
        <v>12860.2</v>
      </c>
      <c r="AN5" s="137" t="s">
        <v>102</v>
      </c>
      <c r="AO5" s="147">
        <f>GETPIVOTDATA("Sum of Before Delivered",$AJ$3)-GETPIVOTDATA("Sum of Weighing scale Gap ecoBali (Kg)",$AJ$3)</f>
        <v>38386</v>
      </c>
      <c r="AV5" s="43" t="s">
        <v>329</v>
      </c>
      <c r="AW5" s="2">
        <v>38370</v>
      </c>
      <c r="BA5" s="188" t="s">
        <v>135</v>
      </c>
      <c r="BB5" s="193">
        <v>9270</v>
      </c>
      <c r="BC5" s="193">
        <v>11758</v>
      </c>
      <c r="BD5" s="193">
        <v>8985</v>
      </c>
      <c r="BE5" s="193">
        <v>8373</v>
      </c>
      <c r="BF5" s="192">
        <v>38386</v>
      </c>
    </row>
    <row r="6" spans="2:59" ht="26.25" x14ac:dyDescent="0.4">
      <c r="B6" s="130" t="s">
        <v>142</v>
      </c>
      <c r="C6"/>
      <c r="K6" s="132" t="s">
        <v>142</v>
      </c>
      <c r="L6" s="134">
        <v>8985</v>
      </c>
      <c r="T6" s="251" t="s">
        <v>142</v>
      </c>
      <c r="U6" s="252">
        <v>20833.330000000002</v>
      </c>
      <c r="V6" s="252">
        <v>8985</v>
      </c>
      <c r="W6" s="246" t="s">
        <v>183</v>
      </c>
      <c r="X6" s="254">
        <f>GETPIVOTDATA("Sum of Target Bulanan",$T$3)-GETPIVOTDATA("Sum of Delivered to Papermill (Kg)",$T$3)</f>
        <v>44947.320000000007</v>
      </c>
      <c r="AB6" s="244" t="s">
        <v>142</v>
      </c>
      <c r="AC6" s="258">
        <v>62500</v>
      </c>
      <c r="AD6" s="258">
        <v>8985</v>
      </c>
      <c r="AE6" s="246" t="s">
        <v>183</v>
      </c>
      <c r="AF6" s="256">
        <f>GETPIVOTDATA("Sum of Target Tahunan",$AB$3)-GETPIVOTDATA("Sum of Delivered to Papermill (Kg)",$AB$3)</f>
        <v>211614</v>
      </c>
      <c r="AJ6" s="119" t="s">
        <v>142</v>
      </c>
      <c r="AK6" s="413">
        <v>9277</v>
      </c>
      <c r="AL6" s="136">
        <v>539.10000000000036</v>
      </c>
      <c r="AM6" s="136">
        <v>9524.1</v>
      </c>
      <c r="AN6" s="138" t="s">
        <v>70</v>
      </c>
      <c r="AO6" s="148">
        <f>GETPIVOTDATA("Sum of Before Delivered",$AJ$3)</f>
        <v>40656.67</v>
      </c>
      <c r="AV6" s="43" t="s">
        <v>333</v>
      </c>
      <c r="AW6" s="2">
        <v>-16</v>
      </c>
      <c r="AX6" s="103">
        <f>GETPIVOTDATA("Sum of R-S",$AV$3)</f>
        <v>-16</v>
      </c>
      <c r="AY6" s="259" t="str">
        <f>IF(GETPIVOTDATA("Sum of R-S",$AV$3)&gt;0,"▲","▼")</f>
        <v>▼</v>
      </c>
      <c r="BA6" s="415" t="s">
        <v>100</v>
      </c>
      <c r="BB6" s="194">
        <v>413.39999999999964</v>
      </c>
      <c r="BC6" s="194">
        <v>1102.2000000000007</v>
      </c>
      <c r="BD6" s="194">
        <v>539.10000000000036</v>
      </c>
      <c r="BE6" s="194">
        <v>215.96999999999935</v>
      </c>
      <c r="BF6" s="192">
        <v>2270.67</v>
      </c>
    </row>
    <row r="7" spans="2:59" ht="26.25" x14ac:dyDescent="0.4">
      <c r="B7" s="130" t="s">
        <v>180</v>
      </c>
      <c r="C7"/>
      <c r="K7" s="132" t="s">
        <v>180</v>
      </c>
      <c r="L7" s="134">
        <v>8373</v>
      </c>
      <c r="T7" s="251" t="s">
        <v>180</v>
      </c>
      <c r="U7" s="252">
        <v>20833.330000000002</v>
      </c>
      <c r="V7" s="252">
        <v>8373</v>
      </c>
      <c r="W7" s="247" t="s">
        <v>70</v>
      </c>
      <c r="X7" s="254">
        <f>X5+X6</f>
        <v>83333.320000000007</v>
      </c>
      <c r="AB7" s="244" t="s">
        <v>180</v>
      </c>
      <c r="AC7" s="258">
        <v>62500</v>
      </c>
      <c r="AD7" s="258">
        <v>8373</v>
      </c>
      <c r="AE7" s="247" t="s">
        <v>70</v>
      </c>
      <c r="AF7" s="256">
        <f>AF5+AF6</f>
        <v>250000</v>
      </c>
      <c r="AJ7" s="119" t="s">
        <v>180</v>
      </c>
      <c r="AK7" s="413">
        <v>10062.870000000001</v>
      </c>
      <c r="AL7" s="136">
        <v>215.96999999999935</v>
      </c>
      <c r="AM7" s="136">
        <v>8588.9699999999993</v>
      </c>
      <c r="AV7" s="43" t="s">
        <v>334</v>
      </c>
      <c r="AW7" s="242">
        <v>-4.1699244201198852E-4</v>
      </c>
      <c r="AX7" s="242">
        <f>GETPIVOTDATA("Sum of %R-S",$AV$3)</f>
        <v>-4.1699244201198852E-4</v>
      </c>
      <c r="AY7" s="259" t="str">
        <f>IF(GETPIVOTDATA("Sum of R-S",$AV$3)&gt;0,"▲","▼")</f>
        <v>▼</v>
      </c>
    </row>
    <row r="8" spans="2:59" ht="26.25" x14ac:dyDescent="0.4">
      <c r="B8" s="131" t="s">
        <v>70</v>
      </c>
      <c r="K8" s="132" t="s">
        <v>11</v>
      </c>
      <c r="L8" s="134">
        <v>38386</v>
      </c>
      <c r="T8" s="251" t="s">
        <v>11</v>
      </c>
      <c r="U8" s="252">
        <v>83333.320000000007</v>
      </c>
      <c r="V8" s="252">
        <v>38386</v>
      </c>
      <c r="AB8" s="244" t="s">
        <v>11</v>
      </c>
      <c r="AC8" s="258">
        <v>250000</v>
      </c>
      <c r="AD8" s="258">
        <v>38386</v>
      </c>
      <c r="AJ8" s="119" t="s">
        <v>11</v>
      </c>
      <c r="AK8" s="413">
        <v>36873.97</v>
      </c>
      <c r="AL8" s="136">
        <v>2270.67</v>
      </c>
      <c r="AM8" s="136">
        <v>40656.67</v>
      </c>
    </row>
  </sheetData>
  <mergeCells count="5">
    <mergeCell ref="B1:C1"/>
    <mergeCell ref="K1:L1"/>
    <mergeCell ref="AJ1:AL1"/>
    <mergeCell ref="BA1:BD1"/>
    <mergeCell ref="T1:U1"/>
  </mergeCells>
  <conditionalFormatting sqref="AX1">
    <cfRule type="expression" dxfId="2326" priority="13">
      <formula>$AW$7&gt;0</formula>
    </cfRule>
    <cfRule type="expression" dxfId="2325" priority="14">
      <formula>$AW$7&lt;0</formula>
    </cfRule>
    <cfRule type="expression" dxfId="2324" priority="15">
      <formula>$AX$1&lt;0</formula>
    </cfRule>
  </conditionalFormatting>
  <conditionalFormatting sqref="AY7">
    <cfRule type="expression" dxfId="2323" priority="7">
      <formula>$AW$7&gt;0</formula>
    </cfRule>
    <cfRule type="expression" dxfId="2322" priority="8">
      <formula>$AW$7&lt;0</formula>
    </cfRule>
    <cfRule type="expression" dxfId="2321" priority="9">
      <formula>$AX$1&lt;0</formula>
    </cfRule>
  </conditionalFormatting>
  <conditionalFormatting sqref="AY6">
    <cfRule type="expression" dxfId="2320" priority="4">
      <formula>$AW$7&gt;0</formula>
    </cfRule>
    <cfRule type="expression" dxfId="2319" priority="5">
      <formula>$AW$7&lt;0</formula>
    </cfRule>
    <cfRule type="expression" dxfId="2318" priority="6">
      <formula>$AX$1&lt;0</formula>
    </cfRule>
  </conditionalFormatting>
  <conditionalFormatting sqref="AY1">
    <cfRule type="expression" dxfId="2317" priority="1">
      <formula>$AW$7&gt;0</formula>
    </cfRule>
    <cfRule type="expression" dxfId="2316" priority="2">
      <formula>$AW$7&lt;0</formula>
    </cfRule>
    <cfRule type="expression" dxfId="2315" priority="3">
      <formula>$AX$1&lt;0</formula>
    </cfRule>
  </conditionalFormatting>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DB-1 COLLECTION</vt:lpstr>
      <vt:lpstr>DB-2 COMPARISON</vt:lpstr>
      <vt:lpstr>DB-3 TARGET</vt:lpstr>
      <vt:lpstr>DB-4 SHIPMENT</vt:lpstr>
      <vt:lpstr>DB-5 ACTIVITIES</vt:lpstr>
      <vt:lpstr>DATA BASE MASUK</vt:lpstr>
      <vt:lpstr>DATA BASE JUAL</vt:lpstr>
      <vt:lpstr>DATA BASE AKTIVITAS</vt:lpstr>
      <vt:lpstr>JUAL-ECOBALI</vt:lpstr>
      <vt:lpstr>JUAL-PABRIK</vt:lpstr>
      <vt:lpstr>AKTIVITAS-ECOBALI</vt:lpstr>
      <vt:lpstr>MASUK-DATA</vt:lpstr>
      <vt:lpstr>MASUK-MONTHLY</vt:lpstr>
      <vt:lpstr>MASUK-WEEKLY</vt:lpstr>
      <vt:lpstr>MASUK-TARGET</vt:lpstr>
      <vt:lpstr>MASUK-REGION</vt:lpstr>
      <vt:lpstr>MASUK-CATEGORY</vt:lpstr>
      <vt:lpstr>MASUK-COMPARISON</vt:lpstr>
      <vt:lpstr>Kebutuhan</vt:lpstr>
      <vt:lpstr>UNTUK PITRIA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Education EcoBali</dc:creator>
  <cp:lastModifiedBy>Education EcoBali</cp:lastModifiedBy>
  <dcterms:created xsi:type="dcterms:W3CDTF">2021-03-08T07:18:52Z</dcterms:created>
  <dcterms:modified xsi:type="dcterms:W3CDTF">2021-06-07T05:03:26Z</dcterms:modified>
</cp:coreProperties>
</file>