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830203s\Desktop\新增資料夾\"/>
    </mc:Choice>
  </mc:AlternateContent>
  <bookViews>
    <workbookView xWindow="0" yWindow="0" windowWidth="19200" windowHeight="718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1" i="1"/>
  <c r="D15" i="1"/>
  <c r="K18" i="1"/>
  <c r="J18" i="1"/>
  <c r="K5" i="1"/>
  <c r="K4" i="1"/>
  <c r="K3" i="1"/>
  <c r="K2" i="1"/>
  <c r="E15" i="1" l="1"/>
  <c r="D3" i="1"/>
  <c r="K16" i="1" l="1"/>
  <c r="I16" i="1"/>
  <c r="J16" i="1"/>
  <c r="N3" i="1"/>
  <c r="N5" i="1"/>
  <c r="N2" i="1"/>
  <c r="H16" i="1"/>
  <c r="N1" i="1"/>
  <c r="N4" i="1"/>
  <c r="H10" i="1"/>
  <c r="G10" i="1"/>
  <c r="C26" i="1" l="1"/>
  <c r="C27" i="1" s="1"/>
  <c r="D36" i="1" s="1"/>
  <c r="D37" i="1" s="1"/>
  <c r="H7" i="1"/>
  <c r="D16" i="1" s="1"/>
  <c r="H6" i="1"/>
  <c r="I6" i="1" l="1"/>
  <c r="H11" i="1" s="1"/>
  <c r="D17" i="1"/>
  <c r="E17" i="1" s="1"/>
  <c r="I7" i="1"/>
  <c r="E11" i="1" s="1"/>
  <c r="E16" i="1"/>
  <c r="H17" i="1" l="1"/>
  <c r="M15" i="1" s="1"/>
  <c r="R6" i="1"/>
  <c r="Q6" i="1"/>
  <c r="J17" i="1"/>
  <c r="M17" i="1" s="1"/>
  <c r="K17" i="1"/>
  <c r="N17" i="1" s="1"/>
  <c r="F11" i="1"/>
  <c r="I17" i="1"/>
  <c r="G11" i="1"/>
  <c r="N15" i="1" l="1"/>
  <c r="M18" i="1"/>
  <c r="O15" i="1" l="1"/>
  <c r="F21" i="1" s="1"/>
  <c r="D38" i="1" s="1"/>
  <c r="D39" i="1" s="1"/>
  <c r="M16" i="1"/>
  <c r="Q13" i="1" l="1"/>
  <c r="Q12" i="1"/>
  <c r="Q11" i="1"/>
  <c r="F22" i="1"/>
  <c r="N25" i="1" l="1"/>
  <c r="V12" i="1"/>
  <c r="U12" i="1"/>
  <c r="Q14" i="1"/>
  <c r="R14" i="1" s="1"/>
  <c r="Q15" i="1" s="1"/>
  <c r="Q16" i="1" s="1"/>
  <c r="R8" i="1" s="1"/>
  <c r="N21" i="1"/>
  <c r="N24" i="1"/>
  <c r="N23" i="1"/>
  <c r="N22" i="1"/>
  <c r="M11" i="1"/>
  <c r="Q7" i="1"/>
  <c r="R7" i="1"/>
  <c r="U7" i="1" l="1"/>
  <c r="Q17" i="1"/>
  <c r="Q8" i="1"/>
  <c r="T7" i="1" s="1"/>
  <c r="Q2" i="1"/>
  <c r="Q5" i="1" s="1"/>
  <c r="Q1" i="1"/>
  <c r="R1" i="1" s="1"/>
  <c r="T8" i="1" l="1"/>
  <c r="U8" i="1" s="1"/>
  <c r="U10" i="1" s="1"/>
  <c r="U11" i="1" s="1"/>
  <c r="V13" i="1" s="1"/>
  <c r="R2" i="1"/>
  <c r="R5" i="1"/>
  <c r="Q4" i="1"/>
  <c r="R4" i="1" s="1"/>
  <c r="U13" i="1" l="1"/>
</calcChain>
</file>

<file path=xl/sharedStrings.xml><?xml version="1.0" encoding="utf-8"?>
<sst xmlns="http://schemas.openxmlformats.org/spreadsheetml/2006/main" count="64" uniqueCount="60">
  <si>
    <t>L2</t>
    <phoneticPr fontId="1" type="noConversion"/>
  </si>
  <si>
    <t>L1</t>
    <phoneticPr fontId="1" type="noConversion"/>
  </si>
  <si>
    <t>L3</t>
    <phoneticPr fontId="1" type="noConversion"/>
  </si>
  <si>
    <t>L4</t>
    <phoneticPr fontId="1" type="noConversion"/>
  </si>
  <si>
    <t>h1</t>
    <phoneticPr fontId="1" type="noConversion"/>
  </si>
  <si>
    <t>h3</t>
    <phoneticPr fontId="1" type="noConversion"/>
  </si>
  <si>
    <t>h5</t>
    <phoneticPr fontId="1" type="noConversion"/>
  </si>
  <si>
    <t>d</t>
    <phoneticPr fontId="1" type="noConversion"/>
  </si>
  <si>
    <t>b</t>
    <phoneticPr fontId="1" type="noConversion"/>
  </si>
  <si>
    <t>e</t>
    <phoneticPr fontId="1" type="noConversion"/>
  </si>
  <si>
    <t>theta4</t>
    <phoneticPr fontId="1" type="noConversion"/>
  </si>
  <si>
    <t>theta3</t>
    <phoneticPr fontId="1" type="noConversion"/>
  </si>
  <si>
    <t>a</t>
    <phoneticPr fontId="1" type="noConversion"/>
  </si>
  <si>
    <t>h2</t>
    <phoneticPr fontId="1" type="noConversion"/>
  </si>
  <si>
    <t>h4</t>
    <phoneticPr fontId="1" type="noConversion"/>
  </si>
  <si>
    <t>c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</si>
  <si>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</si>
  <si>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</si>
  <si>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</si>
  <si>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</si>
  <si>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theta2</t>
    <phoneticPr fontId="1" type="noConversion"/>
  </si>
  <si>
    <t>theta3</t>
    <phoneticPr fontId="1" type="noConversion"/>
  </si>
  <si>
    <t>theta4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</si>
  <si>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</si>
  <si>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</si>
  <si>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</si>
  <si>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theta5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</si>
  <si>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</si>
  <si>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</si>
  <si>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</si>
  <si>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</si>
  <si>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</si>
  <si>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</si>
  <si>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</si>
  <si>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</si>
  <si>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h5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</si>
  <si>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</si>
  <si>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</si>
  <si>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</si>
  <si>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</si>
  <si>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theta2</t>
    <phoneticPr fontId="1" type="noConversion"/>
  </si>
  <si>
    <t>theta3-</t>
    <phoneticPr fontId="1" type="noConversion"/>
  </si>
  <si>
    <t>theta4-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</si>
  <si>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</si>
  <si>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</si>
  <si>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</si>
  <si>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x3</t>
    <phoneticPr fontId="1" type="noConversion"/>
  </si>
  <si>
    <t>theta1</t>
    <phoneticPr fontId="1" type="noConversion"/>
  </si>
  <si>
    <t>B</t>
    <phoneticPr fontId="1" type="noConversion"/>
  </si>
  <si>
    <t>theta2</t>
    <phoneticPr fontId="1" type="noConversion"/>
  </si>
  <si>
    <t>A</t>
    <phoneticPr fontId="1" type="noConversion"/>
  </si>
  <si>
    <t>C</t>
    <phoneticPr fontId="1" type="noConversion"/>
  </si>
  <si>
    <t>t theta4/2</t>
    <phoneticPr fontId="1" type="noConversion"/>
  </si>
  <si>
    <t>theta4/2</t>
    <phoneticPr fontId="1" type="noConversion"/>
  </si>
  <si>
    <t>theta4</t>
    <phoneticPr fontId="1" type="noConversion"/>
  </si>
  <si>
    <t>theta final</t>
    <phoneticPr fontId="1" type="noConversion"/>
  </si>
  <si>
    <t>x9</t>
    <phoneticPr fontId="1" type="noConversion"/>
  </si>
  <si>
    <t>X6</t>
    <phoneticPr fontId="1" type="noConversion"/>
  </si>
  <si>
    <t>YA</t>
    <phoneticPr fontId="1" type="noConversion"/>
  </si>
  <si>
    <t>OuO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</si>
</sst>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11850791378353E-2"/>
          <c:y val="8.7994130775068111E-2"/>
          <c:w val="0.87731277777777783"/>
          <c:h val="0.892206790123456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工作表1!$H$15:$H$18</c:f>
              <c:numCache>
                <c:formatCode>General</c:formatCode>
                <c:ptCount val="4"/>
                <c:pt idx="0">
                  <c:v>0</c:v>
                </c:pt>
                <c:pt idx="1">
                  <c:v>14.964125455776715</c:v>
                </c:pt>
                <c:pt idx="2">
                  <c:v>71.871055868553725</c:v>
                </c:pt>
                <c:pt idx="3">
                  <c:v>53.231999999999999</c:v>
                </c:pt>
              </c:numCache>
            </c:numRef>
          </c:xVal>
          <c:yVal>
            <c:numRef>
              <c:f>工作表1!$I$15:$I$18</c:f>
              <c:numCache>
                <c:formatCode>General</c:formatCode>
                <c:ptCount val="4"/>
                <c:pt idx="0">
                  <c:v>26</c:v>
                </c:pt>
                <c:pt idx="1">
                  <c:v>27.036797638777852</c:v>
                </c:pt>
                <c:pt idx="2">
                  <c:v>18.126930140785927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工作表1!$Q$6:$Q$9</c:f>
              <c:numCache>
                <c:formatCode>General</c:formatCode>
                <c:ptCount val="4"/>
                <c:pt idx="0">
                  <c:v>71.871055868553725</c:v>
                </c:pt>
                <c:pt idx="1">
                  <c:v>116.01898847660169</c:v>
                </c:pt>
                <c:pt idx="2">
                  <c:v>76.734826733289111</c:v>
                </c:pt>
                <c:pt idx="3">
                  <c:v>53.231999999999999</c:v>
                </c:pt>
              </c:numCache>
            </c:numRef>
          </c:xVal>
          <c:yVal>
            <c:numRef>
              <c:f>工作表1!$R$6:$R$9</c:f>
              <c:numCache>
                <c:formatCode>General</c:formatCode>
                <c:ptCount val="4"/>
                <c:pt idx="0">
                  <c:v>18.126930140785927</c:v>
                </c:pt>
                <c:pt idx="1">
                  <c:v>22.839319366970063</c:v>
                </c:pt>
                <c:pt idx="2">
                  <c:v>66.095271819951506</c:v>
                </c:pt>
                <c:pt idx="3">
                  <c:v>38.299999999999997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工作表1!$U$12:$U$13</c:f>
              <c:numCache>
                <c:formatCode>General</c:formatCode>
                <c:ptCount val="2"/>
                <c:pt idx="0">
                  <c:v>116.01898847660169</c:v>
                </c:pt>
                <c:pt idx="1">
                  <c:v>153.89620983555318</c:v>
                </c:pt>
              </c:numCache>
            </c:numRef>
          </c:xVal>
          <c:yVal>
            <c:numRef>
              <c:f>工作表1!$V$12:$V$13</c:f>
              <c:numCache>
                <c:formatCode>General</c:formatCode>
                <c:ptCount val="2"/>
                <c:pt idx="0">
                  <c:v>22.839319366970063</c:v>
                </c:pt>
                <c:pt idx="1">
                  <c:v>-62.653052276891145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6464"/>
        <c:axId val="323399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工作表1!$J$15:$J$18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14.964125455776715</c:v>
                      </c:pt>
                      <c:pt idx="2">
                        <c:v>26.346047310136548</c:v>
                      </c:pt>
                      <c:pt idx="3">
                        <c:v>53.231999999999999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工作表1!$K$15:$K$18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</c:v>
                      </c:pt>
                      <c:pt idx="1">
                        <c:v>27.036797638777852</c:v>
                      </c:pt>
                      <c:pt idx="2">
                        <c:v>83.50105053298735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2266464"/>
        <c:scaling>
          <c:orientation val="minMax"/>
          <c:max val="20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399768"/>
        <c:crosses val="autoZero"/>
        <c:crossBetween val="midCat"/>
      </c:valAx>
      <c:valAx>
        <c:axId val="32339976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2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24</xdr:row>
      <xdr:rowOff>99060</xdr:rowOff>
    </xdr:from>
    <xdr:to>
      <xdr:col>20</xdr:col>
      <xdr:colOff>350520</xdr:colOff>
      <xdr:row>50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29</xdr:row>
          <xdr:rowOff>129540</xdr:rowOff>
        </xdr:from>
        <xdr:to>
          <xdr:col>9</xdr:col>
          <xdr:colOff>83820</xdr:colOff>
          <xdr:row>31</xdr:row>
          <xdr:rowOff>22860</xdr:rowOff>
        </xdr:to>
        <xdr:sp macro="" textlink="">
          <xdr:nvSpPr>
            <xdr:cNvPr id="1026" name="Spi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C1:V39"/>
  <sheetViews>
    <sheetView tabSelected="1" topLeftCell="H29" zoomScale="130" zoomScaleNormal="130" workbookViewId="0">
      <selection activeCell="H43" sqref="H43"/>
    </sheetView>
  </sheetViews>
  <sheetFormatPr defaultRowHeight="16.2" x14ac:dyDescent="0.3"/>
  <cols>
    <col min="2" max="2" width="10.33203125" bestFit="1" customWidth="1"/>
    <col min="7" max="8" width="9.6640625" bestFit="1" customWidth="1"/>
  </cols>
  <sheetData>
    <row r="1" spans="3:22" x14ac:dyDescent="0.3">
      <c r="J1" t="s">
        <v>4</v>
      </c>
      <c r="K1">
        <f>I33/I34</f>
        <v>3.9494666666666665</v>
      </c>
      <c r="M1" t="s">
        <v>7</v>
      </c>
      <c r="N1">
        <f>-K1+(1-K2)*COS(D3)+K3</f>
        <v>-3.6556690291305429</v>
      </c>
      <c r="P1" t="s">
        <v>11</v>
      </c>
      <c r="Q1">
        <f>(2*ATAN((-N22-SQRT(N22^2-4*N21*N23))/(2*N21)))*180/PI()</f>
        <v>-68.544705852634195</v>
      </c>
      <c r="R1">
        <f>Q1*PI()/180</f>
        <v>-1.1963308019394938</v>
      </c>
    </row>
    <row r="2" spans="3:22" x14ac:dyDescent="0.3">
      <c r="D2">
        <v>5430</v>
      </c>
      <c r="J2" t="s">
        <v>5</v>
      </c>
      <c r="K2">
        <f>I33/I36</f>
        <v>2.2785384615384614</v>
      </c>
      <c r="M2" t="s">
        <v>8</v>
      </c>
      <c r="N2">
        <f>-2*SIN(D3)</f>
        <v>-0.99986134620043066</v>
      </c>
      <c r="P2" t="s">
        <v>10</v>
      </c>
      <c r="Q2">
        <f>(2*ATAN((-N22+SQRT(N22^2-4*N24*N25))/(2*N24)))*180/PI()</f>
        <v>74.359691363838522</v>
      </c>
      <c r="R2">
        <f>Q2*PI()/180</f>
        <v>1.2978214450657748</v>
      </c>
    </row>
    <row r="3" spans="3:22" x14ac:dyDescent="0.3">
      <c r="D3">
        <f>D2*3.14159/180</f>
        <v>94.771298333333334</v>
      </c>
      <c r="J3" t="s">
        <v>6</v>
      </c>
      <c r="K3">
        <f>(I33^2+I34^2-I35^2+I36^2)/(2*I34*I36)</f>
        <v>1.401095594871794</v>
      </c>
      <c r="M3" t="s">
        <v>9</v>
      </c>
      <c r="N3">
        <f>K1-(1+K2)*COS(D3)+K3</f>
        <v>2.5111334522247235</v>
      </c>
    </row>
    <row r="4" spans="3:22" x14ac:dyDescent="0.3">
      <c r="J4" t="s">
        <v>13</v>
      </c>
      <c r="K4">
        <f>I33/I35</f>
        <v>1.0285069444444443</v>
      </c>
      <c r="M4" t="s">
        <v>12</v>
      </c>
      <c r="N4">
        <f>-K1+(1+K4)*COS(D3)+K5</f>
        <v>-1.820624618575047</v>
      </c>
      <c r="P4" t="s">
        <v>41</v>
      </c>
      <c r="Q4">
        <f>Q1-D28</f>
        <v>-68.544705852634195</v>
      </c>
      <c r="R4">
        <f>Q4*PI()/180</f>
        <v>-1.1963308019394938</v>
      </c>
    </row>
    <row r="5" spans="3:22" x14ac:dyDescent="0.3">
      <c r="E5" t="s">
        <v>58</v>
      </c>
      <c r="J5" t="s">
        <v>14</v>
      </c>
      <c r="K5">
        <f>(-I33^2-I34^2-I35^2+I36^2)/(2*I34*I35)</f>
        <v>0.37202231712962924</v>
      </c>
      <c r="M5" t="s">
        <v>15</v>
      </c>
      <c r="N5">
        <f>K1-(1-K4)*COS(D3)+K5</f>
        <v>4.3461778627802188</v>
      </c>
      <c r="P5" t="s">
        <v>42</v>
      </c>
      <c r="Q5">
        <f>Q2-C27</f>
        <v>90.760179671795143</v>
      </c>
      <c r="R5">
        <f>Q5*PI()/180</f>
        <v>1.5840639649744515</v>
      </c>
    </row>
    <row r="6" spans="3:22" x14ac:dyDescent="0.3">
      <c r="E6" t="s">
        <v>59</v>
      </c>
      <c r="G6" t="s">
        <v>10</v>
      </c>
      <c r="H6">
        <f>(2*ATAN((-N2-SQRT(N2^2-4*N1*N3))/(2*N1)))*180/PI()</f>
        <v>70.233996852274757</v>
      </c>
      <c r="I6">
        <f>H6*3.14159/180</f>
        <v>1.2258134565063215</v>
      </c>
      <c r="P6" t="s">
        <v>46</v>
      </c>
      <c r="Q6">
        <f>53.232+I36*COS(E17)</f>
        <v>71.871055868553725</v>
      </c>
      <c r="R6">
        <f>I36*SIN(E17)</f>
        <v>18.126930140785927</v>
      </c>
    </row>
    <row r="7" spans="3:22" x14ac:dyDescent="0.3">
      <c r="G7" t="s">
        <v>11</v>
      </c>
      <c r="H7">
        <f>(2*ATAN((-N2-SQRT(N2^2-4*N4*N5))/(2*N4)))*180/PI()</f>
        <v>104.63525361822158</v>
      </c>
      <c r="I7">
        <f>H7*3.14159/180</f>
        <v>1.8262281467470485</v>
      </c>
      <c r="P7" t="s">
        <v>43</v>
      </c>
      <c r="Q7">
        <f>H16+H22*COS(F22)</f>
        <v>116.01898847660169</v>
      </c>
      <c r="R7">
        <f>I16+H22*SIN(F22)</f>
        <v>22.839319366970063</v>
      </c>
      <c r="T7">
        <f>Q7-Q8</f>
        <v>39.28416174331258</v>
      </c>
      <c r="U7">
        <f>R7-R8</f>
        <v>-43.255952452981447</v>
      </c>
    </row>
    <row r="8" spans="3:22" x14ac:dyDescent="0.3">
      <c r="P8" t="s">
        <v>44</v>
      </c>
      <c r="Q8">
        <f>Q9+H24*COS(Q16)</f>
        <v>76.734826733289111</v>
      </c>
      <c r="R8">
        <f>H24*SIN(Q16)+38.3</f>
        <v>66.095271819951506</v>
      </c>
      <c r="T8">
        <f>ATAN2(T7,U7)</f>
        <v>-0.8334805952588823</v>
      </c>
      <c r="U8">
        <f>T8*180/PI()</f>
        <v>-47.754920414385531</v>
      </c>
    </row>
    <row r="9" spans="3:22" x14ac:dyDescent="0.3">
      <c r="D9" t="s">
        <v>16</v>
      </c>
      <c r="G9">
        <v>0</v>
      </c>
      <c r="H9">
        <v>0</v>
      </c>
      <c r="P9" t="s">
        <v>45</v>
      </c>
      <c r="Q9">
        <v>53.231999999999999</v>
      </c>
      <c r="R9">
        <v>38.299999999999997</v>
      </c>
    </row>
    <row r="10" spans="3:22" x14ac:dyDescent="0.3">
      <c r="D10" t="s">
        <v>17</v>
      </c>
      <c r="G10">
        <f>I34*COS(D3)</f>
        <v>12.990981389835499</v>
      </c>
      <c r="H10">
        <f>I34*SIN(D3)</f>
        <v>7.4989600965032297</v>
      </c>
      <c r="T10" t="s">
        <v>55</v>
      </c>
      <c r="U10">
        <f>U8-11.31</f>
        <v>-59.064920414385533</v>
      </c>
    </row>
    <row r="11" spans="3:22" x14ac:dyDescent="0.3">
      <c r="D11" t="s">
        <v>18</v>
      </c>
      <c r="E11">
        <f>I34*COS(D3)+I35*COS(I7)</f>
        <v>-1.5624213160444995</v>
      </c>
      <c r="F11">
        <f>I34*SIN(D3)+I35*SIN(I7)</f>
        <v>63.230086674749302</v>
      </c>
      <c r="G11">
        <f>I33+I36*COS(I6)</f>
        <v>68.034694478028285</v>
      </c>
      <c r="H11">
        <f>I36*SIN(I6)</f>
        <v>24.46811238767819</v>
      </c>
      <c r="M11">
        <f>+F21-D16</f>
        <v>-80.981759865125042</v>
      </c>
      <c r="P11" t="s">
        <v>48</v>
      </c>
      <c r="Q11">
        <f>H22*SIN(D39)+H21*SIN(D37)</f>
        <v>-19.62365045241939</v>
      </c>
      <c r="U11">
        <f>U10*PI()/180</f>
        <v>-1.030877333659441</v>
      </c>
    </row>
    <row r="12" spans="3:22" x14ac:dyDescent="0.3">
      <c r="D12" t="s">
        <v>19</v>
      </c>
      <c r="G12">
        <v>59.241999999999997</v>
      </c>
      <c r="H12">
        <v>0</v>
      </c>
      <c r="P12" t="s">
        <v>50</v>
      </c>
      <c r="Q12">
        <f>H22*COS(D39)+H21*COS(D37)</f>
        <v>48.642875490736778</v>
      </c>
      <c r="T12" t="s">
        <v>57</v>
      </c>
      <c r="U12">
        <f>H16+H22*COS(F22)</f>
        <v>116.01898847660169</v>
      </c>
      <c r="V12">
        <f>I16+H22*SIN(F22)</f>
        <v>22.839319366970063</v>
      </c>
    </row>
    <row r="13" spans="3:22" x14ac:dyDescent="0.3">
      <c r="P13" t="s">
        <v>51</v>
      </c>
      <c r="Q13">
        <f>(H24^2-H23^2+(H22*COS(D39)+H21*COS(D37))^2+(H22*SIN(D39)+H21*SIN(D37))^2)/(2*H24)</f>
        <v>16.423087253929399</v>
      </c>
      <c r="T13" t="s">
        <v>56</v>
      </c>
      <c r="U13">
        <f>Q8+150.1*COS(U11)</f>
        <v>153.89620983555318</v>
      </c>
      <c r="V13">
        <f>R8+150.1*SIN(U11)</f>
        <v>-62.653052276891145</v>
      </c>
    </row>
    <row r="14" spans="3:22" x14ac:dyDescent="0.3">
      <c r="P14" t="s">
        <v>52</v>
      </c>
      <c r="Q14">
        <f>2*Q11+SQRT(4*Q11^2-4*(Q13-Q12)*(Q13+Q12))</f>
        <v>60.381995953783715</v>
      </c>
      <c r="R14">
        <f>Q14/(2*Q12+2*Q13)</f>
        <v>0.46400601333401131</v>
      </c>
    </row>
    <row r="15" spans="3:22" x14ac:dyDescent="0.3">
      <c r="C15" t="s">
        <v>20</v>
      </c>
      <c r="D15">
        <f>D2-26.032</f>
        <v>5403.9679999999998</v>
      </c>
      <c r="E15">
        <f>D15*3.14159/180</f>
        <v>94.316954606222211</v>
      </c>
      <c r="G15" t="s">
        <v>23</v>
      </c>
      <c r="H15">
        <v>0</v>
      </c>
      <c r="I15">
        <v>26</v>
      </c>
      <c r="J15">
        <v>0</v>
      </c>
      <c r="K15">
        <v>26</v>
      </c>
      <c r="M15">
        <f>+H17-H16</f>
        <v>56.906930412777008</v>
      </c>
      <c r="N15">
        <f>+I17-I16</f>
        <v>-8.9098674979919252</v>
      </c>
      <c r="O15">
        <f>+ATAN2(M15,N15)</f>
        <v>-0.15530823251774881</v>
      </c>
      <c r="P15" t="s">
        <v>53</v>
      </c>
      <c r="Q15">
        <f>ATAN(R14)</f>
        <v>0.43444009031027536</v>
      </c>
    </row>
    <row r="16" spans="3:22" x14ac:dyDescent="0.3">
      <c r="C16" t="s">
        <v>21</v>
      </c>
      <c r="D16">
        <f>H7-26.032</f>
        <v>78.603253618221586</v>
      </c>
      <c r="E16">
        <f>D16*3.14159/180</f>
        <v>1.3718844196359374</v>
      </c>
      <c r="G16" t="s">
        <v>24</v>
      </c>
      <c r="H16">
        <f>I34*COS(E15)</f>
        <v>14.964125455776715</v>
      </c>
      <c r="I16">
        <f>26+$I$34*SIN($E$15)</f>
        <v>27.036797638777852</v>
      </c>
      <c r="J16">
        <f>I34*COS(E15)</f>
        <v>14.964125455776715</v>
      </c>
      <c r="K16">
        <f>26+$I$34*SIN($E$15)</f>
        <v>27.036797638777852</v>
      </c>
      <c r="M16">
        <f>+SQRT(M15^2+N15^2)</f>
        <v>57.60021239402176</v>
      </c>
      <c r="P16" t="s">
        <v>54</v>
      </c>
      <c r="Q16">
        <f>Q15*2</f>
        <v>0.86888018062055072</v>
      </c>
    </row>
    <row r="17" spans="3:17" x14ac:dyDescent="0.3">
      <c r="C17" t="s">
        <v>22</v>
      </c>
      <c r="D17">
        <f>H6-26.032</f>
        <v>44.20199685227476</v>
      </c>
      <c r="E17">
        <f>D17*3.14159/180</f>
        <v>0.77146972939521041</v>
      </c>
      <c r="G17" t="s">
        <v>25</v>
      </c>
      <c r="H17">
        <f>53.232+I36*COS(E17)</f>
        <v>71.871055868553725</v>
      </c>
      <c r="I17">
        <f>I36*SIN(E17)</f>
        <v>18.126930140785927</v>
      </c>
      <c r="J17">
        <f>+J16+I35*COS(E16)</f>
        <v>26.346047310136548</v>
      </c>
      <c r="K17">
        <f>+K16+I35*SIN(E16)</f>
        <v>83.50105053298735</v>
      </c>
      <c r="M17">
        <f>+J17-J18</f>
        <v>-26.885952689863451</v>
      </c>
      <c r="N17">
        <f>+K17-K18</f>
        <v>83.50105053298735</v>
      </c>
      <c r="Q17">
        <f>Q16*180/PI()</f>
        <v>49.783167252122219</v>
      </c>
    </row>
    <row r="18" spans="3:17" x14ac:dyDescent="0.3">
      <c r="G18" t="s">
        <v>19</v>
      </c>
      <c r="H18">
        <v>53.231999999999999</v>
      </c>
      <c r="I18">
        <v>0</v>
      </c>
      <c r="J18">
        <f>+H18</f>
        <v>53.231999999999999</v>
      </c>
      <c r="K18">
        <f>+I18</f>
        <v>0</v>
      </c>
      <c r="M18">
        <f>+SQRT(M17^2+N17^2)</f>
        <v>87.722744440390613</v>
      </c>
    </row>
    <row r="20" spans="3:17" x14ac:dyDescent="0.3">
      <c r="C20" t="s">
        <v>26</v>
      </c>
    </row>
    <row r="21" spans="3:17" x14ac:dyDescent="0.3">
      <c r="E21" t="s">
        <v>40</v>
      </c>
      <c r="F21">
        <f>+O15*180/PI()+6.52</f>
        <v>-2.3785062469034592</v>
      </c>
      <c r="G21" t="s">
        <v>27</v>
      </c>
      <c r="H21">
        <v>54.634999999999998</v>
      </c>
      <c r="J21" t="s">
        <v>31</v>
      </c>
      <c r="K21">
        <f>H21/H22</f>
        <v>0.54018113147851532</v>
      </c>
      <c r="M21" t="s">
        <v>36</v>
      </c>
      <c r="N21">
        <f>-K21+(1+K22)*COS(F22)+K24</f>
        <v>0.66545749306138147</v>
      </c>
    </row>
    <row r="22" spans="3:17" x14ac:dyDescent="0.3">
      <c r="F22">
        <f>F21*PI()/180</f>
        <v>-4.151276528771855E-2</v>
      </c>
      <c r="G22" t="s">
        <v>28</v>
      </c>
      <c r="H22">
        <v>101.142</v>
      </c>
      <c r="J22" t="s">
        <v>32</v>
      </c>
      <c r="K22">
        <f>H21/H23</f>
        <v>1.0179612826293529</v>
      </c>
      <c r="M22" t="s">
        <v>37</v>
      </c>
      <c r="N22">
        <f>-2*SIN(F22)</f>
        <v>8.3001686179980383E-2</v>
      </c>
    </row>
    <row r="23" spans="3:17" x14ac:dyDescent="0.3">
      <c r="G23" t="s">
        <v>29</v>
      </c>
      <c r="H23">
        <v>53.670999999999999</v>
      </c>
      <c r="J23" t="s">
        <v>33</v>
      </c>
      <c r="K23">
        <f>H21/H24</f>
        <v>1.5009615384615385</v>
      </c>
      <c r="M23" t="s">
        <v>38</v>
      </c>
      <c r="N23">
        <f>K21-(1-K22)*COS(F22)+K24</f>
        <v>-0.25245718176856036</v>
      </c>
    </row>
    <row r="24" spans="3:17" x14ac:dyDescent="0.3">
      <c r="G24" t="s">
        <v>30</v>
      </c>
      <c r="H24">
        <v>36.4</v>
      </c>
      <c r="J24" t="s">
        <v>34</v>
      </c>
      <c r="K24">
        <f>(-H21^2-H22^2-H23^2+H24^2)/(2*H22*H23)</f>
        <v>-0.81058412167273053</v>
      </c>
      <c r="M24" t="s">
        <v>7</v>
      </c>
      <c r="N24">
        <f>-K21+(1-K23)*COS(F22)+K25</f>
        <v>0.54272682526407134</v>
      </c>
    </row>
    <row r="25" spans="3:17" x14ac:dyDescent="0.3">
      <c r="J25" t="s">
        <v>35</v>
      </c>
      <c r="K25">
        <f>(H21^2+H22^2-H23^2+H24^2)/(2*H22*H24)</f>
        <v>1.5834379012555735</v>
      </c>
      <c r="M25" t="s">
        <v>39</v>
      </c>
      <c r="N25">
        <f>K21-(1+K23)*COS(F22)+K25</f>
        <v>-0.3751878495658707</v>
      </c>
    </row>
    <row r="26" spans="3:17" x14ac:dyDescent="0.3">
      <c r="C26">
        <f>ATAN((K16-R9)/(Q9-J16))</f>
        <v>-0.28624251990867677</v>
      </c>
    </row>
    <row r="27" spans="3:17" x14ac:dyDescent="0.3">
      <c r="C27">
        <f>C26*180/PI()</f>
        <v>-16.400488307956621</v>
      </c>
    </row>
    <row r="33" spans="3:9" x14ac:dyDescent="0.3">
      <c r="H33" t="s">
        <v>1</v>
      </c>
      <c r="I33">
        <v>59.241999999999997</v>
      </c>
    </row>
    <row r="34" spans="3:9" x14ac:dyDescent="0.3">
      <c r="H34" t="s">
        <v>0</v>
      </c>
      <c r="I34">
        <v>15</v>
      </c>
    </row>
    <row r="35" spans="3:9" x14ac:dyDescent="0.3">
      <c r="H35" t="s">
        <v>2</v>
      </c>
      <c r="I35">
        <v>57.6</v>
      </c>
    </row>
    <row r="36" spans="3:9" x14ac:dyDescent="0.3">
      <c r="C36" t="s">
        <v>47</v>
      </c>
      <c r="D36">
        <f>180-C27</f>
        <v>196.40048830795661</v>
      </c>
      <c r="H36" t="s">
        <v>3</v>
      </c>
      <c r="I36">
        <v>26</v>
      </c>
    </row>
    <row r="37" spans="3:9" x14ac:dyDescent="0.3">
      <c r="D37">
        <f>D36*PI()/180</f>
        <v>3.4278351734984698</v>
      </c>
    </row>
    <row r="38" spans="3:9" x14ac:dyDescent="0.3">
      <c r="C38" t="s">
        <v>49</v>
      </c>
      <c r="D38">
        <f>360+F21</f>
        <v>357.62149375309656</v>
      </c>
    </row>
    <row r="39" spans="3:9" x14ac:dyDescent="0.3">
      <c r="D39">
        <f>D38*PI()/180</f>
        <v>6.2416725418918686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SpinButton1">
          <controlPr defaultSize="0" autoLine="0" linkedCell="D2" r:id="rId5">
            <anchor moveWithCells="1">
              <from>
                <xdr:col>8</xdr:col>
                <xdr:colOff>83820</xdr:colOff>
                <xdr:row>29</xdr:row>
                <xdr:rowOff>129540</xdr:rowOff>
              </from>
              <to>
                <xdr:col>9</xdr:col>
                <xdr:colOff>83820</xdr:colOff>
                <xdr:row>31</xdr:row>
                <xdr:rowOff>22860</xdr:rowOff>
              </to>
            </anchor>
          </controlPr>
        </control>
      </mc:Choice>
      <mc:Fallback>
        <control shapeId="1026" r:id="rId4" name="Spi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s830203s</dc:creator>
  <cp:lastModifiedBy>Windows User</cp:lastModifiedBy>
  <dcterms:created xsi:type="dcterms:W3CDTF">2014-05-22T09:08:34Z</dcterms:created>
  <dcterms:modified xsi:type="dcterms:W3CDTF">2016-03-20T02:38:49Z</dcterms:modified>
</cp:coreProperties>
</file>