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REAMLIT\project\"/>
    </mc:Choice>
  </mc:AlternateContent>
  <xr:revisionPtr revIDLastSave="0" documentId="13_ncr:1_{F4BC64F9-A1D4-4BA4-97A9-E0A15EB60BB0}" xr6:coauthVersionLast="47" xr6:coauthVersionMax="47" xr10:uidLastSave="{00000000-0000-0000-0000-000000000000}"/>
  <bookViews>
    <workbookView xWindow="11442" yWindow="0" windowWidth="11676" windowHeight="12318" tabRatio="1000" activeTab="3" xr2:uid="{AA1C16C9-9D92-4B7F-92AF-2B74C28D92A7}"/>
  </bookViews>
  <sheets>
    <sheet name="homedefinitions" sheetId="38" r:id="rId1"/>
    <sheet name="speedofplay" sheetId="47" r:id="rId2"/>
    <sheet name="alladvanceddata" sheetId="37" r:id="rId3"/>
    <sheet name="allstats" sheetId="39" r:id="rId4"/>
    <sheet name="averageadvanced" sheetId="16" r:id="rId5"/>
    <sheet name="Template" sheetId="21" r:id="rId6"/>
    <sheet name="6-6-24 vs Brentwood Academy" sheetId="42" r:id="rId7"/>
    <sheet name="6-6-24 vs Ensworth" sheetId="43" r:id="rId8"/>
    <sheet name="6-7-24 vs Chrsistian Brothers" sheetId="44" r:id="rId9"/>
    <sheet name="6-7-24 vs Sparkman" sheetId="45" r:id="rId10"/>
    <sheet name="6-7-24 vs MBA" sheetId="46" r:id="rId11"/>
    <sheet name="END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VERAGES_6bf8138d-6558-41c7-878e-33fd0ff85f08" name="AVERAGES" connection="Query - AVERAGES"/>
          <x15:modelTable id="vs Opponent_55e524e2-95c9-4be6-bfb1-252b048a9ccc" name="vs Opponent" connection="Query - vs Opponent"/>
          <x15:modelTable id="Games   Average_9485a83d-cad6-4308-837d-38aa88f805eb" name="Games   Average" connection="Query - Games + Avera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7" l="1"/>
  <c r="C7" i="47"/>
  <c r="B8" i="47"/>
  <c r="C8" i="47"/>
  <c r="B9" i="47"/>
  <c r="C9" i="47"/>
  <c r="B10" i="47"/>
  <c r="C10" i="47"/>
  <c r="B11" i="47"/>
  <c r="C11" i="47"/>
  <c r="B12" i="47"/>
  <c r="C12" i="47"/>
  <c r="B13" i="47"/>
  <c r="C13" i="47"/>
  <c r="B14" i="47"/>
  <c r="C14" i="47"/>
  <c r="B15" i="47"/>
  <c r="C15" i="47"/>
  <c r="B16" i="47"/>
  <c r="C16" i="47"/>
  <c r="B17" i="47"/>
  <c r="C17" i="47"/>
  <c r="B18" i="47"/>
  <c r="C18" i="47"/>
  <c r="B19" i="47"/>
  <c r="C19" i="47"/>
  <c r="B20" i="47"/>
  <c r="C20" i="47"/>
  <c r="B21" i="47"/>
  <c r="C21" i="47"/>
  <c r="N83" i="39"/>
  <c r="N84" i="39"/>
  <c r="N85" i="39"/>
  <c r="N86" i="39"/>
  <c r="N87" i="39"/>
  <c r="N88" i="39"/>
  <c r="N89" i="39"/>
  <c r="N90" i="39"/>
  <c r="N91" i="39"/>
  <c r="N92" i="39"/>
  <c r="N93" i="39"/>
  <c r="N94" i="39"/>
  <c r="N95" i="39"/>
  <c r="N96" i="39"/>
  <c r="N97" i="39"/>
  <c r="N98" i="39"/>
  <c r="K83" i="39"/>
  <c r="K84" i="39"/>
  <c r="K85" i="39"/>
  <c r="K86" i="39"/>
  <c r="K87" i="39"/>
  <c r="K88" i="39"/>
  <c r="K89" i="39"/>
  <c r="K90" i="39"/>
  <c r="K91" i="39"/>
  <c r="K92" i="39"/>
  <c r="K93" i="39"/>
  <c r="K94" i="39"/>
  <c r="K95" i="39"/>
  <c r="K96" i="39"/>
  <c r="K97" i="39"/>
  <c r="K98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E83" i="39"/>
  <c r="E84" i="39"/>
  <c r="E85" i="39"/>
  <c r="E86" i="39"/>
  <c r="E87" i="39"/>
  <c r="E88" i="39"/>
  <c r="E89" i="39"/>
  <c r="E90" i="39"/>
  <c r="E91" i="39"/>
  <c r="E92" i="39"/>
  <c r="E93" i="39"/>
  <c r="E94" i="39"/>
  <c r="E95" i="39"/>
  <c r="E96" i="39"/>
  <c r="E97" i="39"/>
  <c r="E98" i="39"/>
  <c r="B83" i="39"/>
  <c r="C83" i="39"/>
  <c r="D83" i="39"/>
  <c r="F83" i="39"/>
  <c r="G83" i="39"/>
  <c r="I83" i="39"/>
  <c r="J83" i="39"/>
  <c r="L83" i="39"/>
  <c r="M83" i="39"/>
  <c r="O83" i="39"/>
  <c r="P83" i="39"/>
  <c r="Q83" i="39"/>
  <c r="R83" i="39"/>
  <c r="S83" i="39"/>
  <c r="T83" i="39"/>
  <c r="U83" i="39"/>
  <c r="V83" i="39"/>
  <c r="W83" i="39"/>
  <c r="X83" i="39"/>
  <c r="Y83" i="39"/>
  <c r="Z83" i="39"/>
  <c r="B84" i="39"/>
  <c r="C84" i="39"/>
  <c r="D84" i="39"/>
  <c r="F84" i="39"/>
  <c r="G84" i="39"/>
  <c r="I84" i="39"/>
  <c r="J84" i="39"/>
  <c r="L84" i="39"/>
  <c r="M84" i="39"/>
  <c r="O84" i="39"/>
  <c r="P84" i="39"/>
  <c r="Q84" i="39"/>
  <c r="R84" i="39"/>
  <c r="S84" i="39"/>
  <c r="T84" i="39"/>
  <c r="U84" i="39"/>
  <c r="V84" i="39"/>
  <c r="W84" i="39"/>
  <c r="X84" i="39"/>
  <c r="Y84" i="39"/>
  <c r="Z84" i="39"/>
  <c r="B85" i="39"/>
  <c r="C85" i="39"/>
  <c r="D85" i="39"/>
  <c r="F85" i="39"/>
  <c r="G85" i="39"/>
  <c r="I85" i="39"/>
  <c r="J85" i="39"/>
  <c r="L85" i="39"/>
  <c r="M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B86" i="39"/>
  <c r="C86" i="39"/>
  <c r="D86" i="39"/>
  <c r="F86" i="39"/>
  <c r="G86" i="39"/>
  <c r="I86" i="39"/>
  <c r="J86" i="39"/>
  <c r="L86" i="39"/>
  <c r="M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B87" i="39"/>
  <c r="C87" i="39"/>
  <c r="D87" i="39"/>
  <c r="F87" i="39"/>
  <c r="G87" i="39"/>
  <c r="I87" i="39"/>
  <c r="J87" i="39"/>
  <c r="L87" i="39"/>
  <c r="M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B88" i="39"/>
  <c r="C88" i="39"/>
  <c r="D88" i="39"/>
  <c r="F88" i="39"/>
  <c r="G88" i="39"/>
  <c r="I88" i="39"/>
  <c r="J88" i="39"/>
  <c r="L88" i="39"/>
  <c r="M88" i="39"/>
  <c r="O88" i="39"/>
  <c r="P88" i="39"/>
  <c r="Q88" i="39"/>
  <c r="R88" i="39"/>
  <c r="S88" i="39"/>
  <c r="T88" i="39"/>
  <c r="U88" i="39"/>
  <c r="V88" i="39"/>
  <c r="W88" i="39"/>
  <c r="X88" i="39"/>
  <c r="Y88" i="39"/>
  <c r="Z88" i="39"/>
  <c r="B89" i="39"/>
  <c r="C89" i="39"/>
  <c r="D89" i="39"/>
  <c r="F89" i="39"/>
  <c r="G89" i="39"/>
  <c r="I89" i="39"/>
  <c r="J89" i="39"/>
  <c r="L89" i="39"/>
  <c r="M89" i="39"/>
  <c r="O89" i="39"/>
  <c r="P89" i="39"/>
  <c r="Q89" i="39"/>
  <c r="R89" i="39"/>
  <c r="S89" i="39"/>
  <c r="T89" i="39"/>
  <c r="U89" i="39"/>
  <c r="V89" i="39"/>
  <c r="W89" i="39"/>
  <c r="X89" i="39"/>
  <c r="Y89" i="39"/>
  <c r="Z89" i="39"/>
  <c r="B90" i="39"/>
  <c r="C90" i="39"/>
  <c r="D90" i="39"/>
  <c r="F90" i="39"/>
  <c r="G90" i="39"/>
  <c r="I90" i="39"/>
  <c r="J90" i="39"/>
  <c r="L90" i="39"/>
  <c r="M90" i="39"/>
  <c r="O90" i="39"/>
  <c r="P90" i="39"/>
  <c r="Q90" i="39"/>
  <c r="R90" i="39"/>
  <c r="S90" i="39"/>
  <c r="T90" i="39"/>
  <c r="U90" i="39"/>
  <c r="V90" i="39"/>
  <c r="W90" i="39"/>
  <c r="X90" i="39"/>
  <c r="Y90" i="39"/>
  <c r="Z90" i="39"/>
  <c r="B91" i="39"/>
  <c r="C91" i="39"/>
  <c r="D91" i="39"/>
  <c r="F91" i="39"/>
  <c r="G91" i="39"/>
  <c r="I91" i="39"/>
  <c r="J91" i="39"/>
  <c r="L91" i="39"/>
  <c r="M91" i="39"/>
  <c r="O91" i="39"/>
  <c r="P91" i="39"/>
  <c r="Q91" i="39"/>
  <c r="R91" i="39"/>
  <c r="S91" i="39"/>
  <c r="T91" i="39"/>
  <c r="U91" i="39"/>
  <c r="V91" i="39"/>
  <c r="W91" i="39"/>
  <c r="X91" i="39"/>
  <c r="Y91" i="39"/>
  <c r="Z91" i="39"/>
  <c r="B92" i="39"/>
  <c r="C92" i="39"/>
  <c r="D92" i="39"/>
  <c r="F92" i="39"/>
  <c r="G92" i="39"/>
  <c r="I92" i="39"/>
  <c r="J92" i="39"/>
  <c r="L92" i="39"/>
  <c r="M92" i="39"/>
  <c r="O92" i="39"/>
  <c r="P92" i="39"/>
  <c r="Q92" i="39"/>
  <c r="R92" i="39"/>
  <c r="S92" i="39"/>
  <c r="T92" i="39"/>
  <c r="U92" i="39"/>
  <c r="V92" i="39"/>
  <c r="W92" i="39"/>
  <c r="X92" i="39"/>
  <c r="Y92" i="39"/>
  <c r="Z92" i="39"/>
  <c r="B93" i="39"/>
  <c r="C93" i="39"/>
  <c r="D93" i="39"/>
  <c r="F93" i="39"/>
  <c r="G93" i="39"/>
  <c r="I93" i="39"/>
  <c r="J93" i="39"/>
  <c r="L93" i="39"/>
  <c r="M93" i="39"/>
  <c r="O93" i="39"/>
  <c r="P93" i="39"/>
  <c r="Q93" i="39"/>
  <c r="R93" i="39"/>
  <c r="S93" i="39"/>
  <c r="T93" i="39"/>
  <c r="U93" i="39"/>
  <c r="V93" i="39"/>
  <c r="W93" i="39"/>
  <c r="X93" i="39"/>
  <c r="Y93" i="39"/>
  <c r="Z93" i="39"/>
  <c r="B94" i="39"/>
  <c r="C94" i="39"/>
  <c r="D94" i="39"/>
  <c r="F94" i="39"/>
  <c r="G94" i="39"/>
  <c r="I94" i="39"/>
  <c r="J94" i="39"/>
  <c r="L94" i="39"/>
  <c r="M94" i="39"/>
  <c r="O94" i="39"/>
  <c r="P94" i="39"/>
  <c r="Q94" i="39"/>
  <c r="R94" i="39"/>
  <c r="S94" i="39"/>
  <c r="T94" i="39"/>
  <c r="U94" i="39"/>
  <c r="V94" i="39"/>
  <c r="W94" i="39"/>
  <c r="X94" i="39"/>
  <c r="Y94" i="39"/>
  <c r="Z94" i="39"/>
  <c r="B95" i="39"/>
  <c r="C95" i="39"/>
  <c r="D95" i="39"/>
  <c r="F95" i="39"/>
  <c r="G95" i="39"/>
  <c r="I95" i="39"/>
  <c r="J95" i="39"/>
  <c r="L95" i="39"/>
  <c r="M95" i="39"/>
  <c r="O95" i="39"/>
  <c r="P95" i="39"/>
  <c r="Q95" i="39"/>
  <c r="R95" i="39"/>
  <c r="S95" i="39"/>
  <c r="T95" i="39"/>
  <c r="U95" i="39"/>
  <c r="V95" i="39"/>
  <c r="W95" i="39"/>
  <c r="X95" i="39"/>
  <c r="Y95" i="39"/>
  <c r="Z95" i="39"/>
  <c r="B96" i="39"/>
  <c r="C96" i="39"/>
  <c r="D96" i="39"/>
  <c r="F96" i="39"/>
  <c r="G96" i="39"/>
  <c r="I96" i="39"/>
  <c r="J96" i="39"/>
  <c r="L96" i="39"/>
  <c r="M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B97" i="39"/>
  <c r="C97" i="39"/>
  <c r="D97" i="39"/>
  <c r="F97" i="39"/>
  <c r="G97" i="39"/>
  <c r="I97" i="39"/>
  <c r="J97" i="39"/>
  <c r="L97" i="39"/>
  <c r="M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B98" i="39"/>
  <c r="C98" i="39"/>
  <c r="D98" i="39"/>
  <c r="F98" i="39"/>
  <c r="G98" i="39"/>
  <c r="I98" i="39"/>
  <c r="J98" i="39"/>
  <c r="L98" i="39"/>
  <c r="M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98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83" i="39"/>
  <c r="P83" i="37"/>
  <c r="P84" i="37"/>
  <c r="P85" i="37"/>
  <c r="P86" i="37"/>
  <c r="P87" i="37"/>
  <c r="P88" i="37"/>
  <c r="P89" i="37"/>
  <c r="P90" i="37"/>
  <c r="P91" i="37"/>
  <c r="P92" i="37"/>
  <c r="P93" i="37"/>
  <c r="P94" i="37"/>
  <c r="P95" i="37"/>
  <c r="P96" i="37"/>
  <c r="P97" i="37"/>
  <c r="P98" i="37"/>
  <c r="J83" i="37"/>
  <c r="K83" i="37"/>
  <c r="L83" i="37"/>
  <c r="J84" i="37"/>
  <c r="K84" i="37"/>
  <c r="L84" i="37"/>
  <c r="J85" i="37"/>
  <c r="K85" i="37"/>
  <c r="L85" i="37"/>
  <c r="J86" i="37"/>
  <c r="K86" i="37"/>
  <c r="L86" i="37"/>
  <c r="J87" i="37"/>
  <c r="K87" i="37"/>
  <c r="L87" i="37"/>
  <c r="J88" i="37"/>
  <c r="K88" i="37"/>
  <c r="L88" i="37"/>
  <c r="J89" i="37"/>
  <c r="K89" i="37"/>
  <c r="L89" i="37"/>
  <c r="J90" i="37"/>
  <c r="K90" i="37"/>
  <c r="L90" i="37"/>
  <c r="J91" i="37"/>
  <c r="K91" i="37"/>
  <c r="L91" i="37"/>
  <c r="J92" i="37"/>
  <c r="K92" i="37"/>
  <c r="L92" i="37"/>
  <c r="J93" i="37"/>
  <c r="K93" i="37"/>
  <c r="L93" i="37"/>
  <c r="J94" i="37"/>
  <c r="K94" i="37"/>
  <c r="L94" i="37"/>
  <c r="J95" i="37"/>
  <c r="K95" i="37"/>
  <c r="L95" i="37"/>
  <c r="J96" i="37"/>
  <c r="K96" i="37"/>
  <c r="L96" i="37"/>
  <c r="J97" i="37"/>
  <c r="K97" i="37"/>
  <c r="L97" i="37"/>
  <c r="K98" i="37"/>
  <c r="L98" i="37"/>
  <c r="J98" i="37"/>
  <c r="C84" i="37"/>
  <c r="D84" i="37"/>
  <c r="E84" i="37"/>
  <c r="F84" i="37"/>
  <c r="C85" i="37"/>
  <c r="D85" i="37"/>
  <c r="E85" i="37"/>
  <c r="F85" i="37"/>
  <c r="C86" i="37"/>
  <c r="D86" i="37"/>
  <c r="E86" i="37"/>
  <c r="F86" i="37"/>
  <c r="C87" i="37"/>
  <c r="D87" i="37"/>
  <c r="E87" i="37"/>
  <c r="F87" i="37"/>
  <c r="C88" i="37"/>
  <c r="D88" i="37"/>
  <c r="E88" i="37"/>
  <c r="F88" i="37"/>
  <c r="C89" i="37"/>
  <c r="D89" i="37"/>
  <c r="E89" i="37"/>
  <c r="F89" i="37"/>
  <c r="C90" i="37"/>
  <c r="D90" i="37"/>
  <c r="E90" i="37"/>
  <c r="F90" i="37"/>
  <c r="C91" i="37"/>
  <c r="D91" i="37"/>
  <c r="E91" i="37"/>
  <c r="F91" i="37"/>
  <c r="C92" i="37"/>
  <c r="D92" i="37"/>
  <c r="E92" i="37"/>
  <c r="F92" i="37"/>
  <c r="C93" i="37"/>
  <c r="D93" i="37"/>
  <c r="E93" i="37"/>
  <c r="F93" i="37"/>
  <c r="C94" i="37"/>
  <c r="D94" i="37"/>
  <c r="E94" i="37"/>
  <c r="F94" i="37"/>
  <c r="C95" i="37"/>
  <c r="D95" i="37"/>
  <c r="E95" i="37"/>
  <c r="F95" i="37"/>
  <c r="C96" i="37"/>
  <c r="D96" i="37"/>
  <c r="E96" i="37"/>
  <c r="F96" i="37"/>
  <c r="C97" i="37"/>
  <c r="D97" i="37"/>
  <c r="E97" i="37"/>
  <c r="F97" i="37"/>
  <c r="C98" i="37"/>
  <c r="D98" i="37"/>
  <c r="E98" i="37"/>
  <c r="F98" i="37"/>
  <c r="D83" i="37"/>
  <c r="E83" i="37"/>
  <c r="F83" i="37"/>
  <c r="C83" i="37"/>
  <c r="BV6" i="46"/>
  <c r="Q86" i="37" s="1"/>
  <c r="BV5" i="46"/>
  <c r="Q85" i="37" s="1"/>
  <c r="BV3" i="46"/>
  <c r="B83" i="37"/>
  <c r="G83" i="37"/>
  <c r="H83" i="37"/>
  <c r="I83" i="37"/>
  <c r="M83" i="37"/>
  <c r="N83" i="37"/>
  <c r="O83" i="37"/>
  <c r="Q83" i="37"/>
  <c r="B84" i="37"/>
  <c r="G84" i="37"/>
  <c r="H84" i="37"/>
  <c r="I84" i="37"/>
  <c r="M84" i="37"/>
  <c r="N84" i="37"/>
  <c r="O84" i="37"/>
  <c r="B85" i="37"/>
  <c r="G85" i="37"/>
  <c r="H85" i="37"/>
  <c r="I85" i="37"/>
  <c r="M85" i="37"/>
  <c r="N85" i="37"/>
  <c r="O85" i="37"/>
  <c r="B86" i="37"/>
  <c r="G86" i="37"/>
  <c r="H86" i="37"/>
  <c r="I86" i="37"/>
  <c r="M86" i="37"/>
  <c r="N86" i="37"/>
  <c r="O86" i="37"/>
  <c r="B87" i="37"/>
  <c r="G87" i="37"/>
  <c r="H87" i="37"/>
  <c r="I87" i="37"/>
  <c r="M87" i="37"/>
  <c r="N87" i="37"/>
  <c r="O87" i="37"/>
  <c r="B88" i="37"/>
  <c r="G88" i="37"/>
  <c r="H88" i="37"/>
  <c r="I88" i="37"/>
  <c r="M88" i="37"/>
  <c r="N88" i="37"/>
  <c r="O88" i="37"/>
  <c r="B89" i="37"/>
  <c r="G89" i="37"/>
  <c r="H89" i="37"/>
  <c r="I89" i="37"/>
  <c r="M89" i="37"/>
  <c r="N89" i="37"/>
  <c r="O89" i="37"/>
  <c r="B90" i="37"/>
  <c r="G90" i="37"/>
  <c r="H90" i="37"/>
  <c r="I90" i="37"/>
  <c r="M90" i="37"/>
  <c r="N90" i="37"/>
  <c r="O90" i="37"/>
  <c r="B91" i="37"/>
  <c r="G91" i="37"/>
  <c r="H91" i="37"/>
  <c r="I91" i="37"/>
  <c r="M91" i="37"/>
  <c r="N91" i="37"/>
  <c r="O91" i="37"/>
  <c r="B92" i="37"/>
  <c r="G92" i="37"/>
  <c r="H92" i="37"/>
  <c r="I92" i="37"/>
  <c r="M92" i="37"/>
  <c r="N92" i="37"/>
  <c r="O92" i="37"/>
  <c r="B93" i="37"/>
  <c r="G93" i="37"/>
  <c r="H93" i="37"/>
  <c r="I93" i="37"/>
  <c r="M93" i="37"/>
  <c r="N93" i="37"/>
  <c r="O93" i="37"/>
  <c r="B94" i="37"/>
  <c r="G94" i="37"/>
  <c r="H94" i="37"/>
  <c r="I94" i="37"/>
  <c r="M94" i="37"/>
  <c r="N94" i="37"/>
  <c r="O94" i="37"/>
  <c r="B95" i="37"/>
  <c r="G95" i="37"/>
  <c r="H95" i="37"/>
  <c r="I95" i="37"/>
  <c r="M95" i="37"/>
  <c r="N95" i="37"/>
  <c r="O95" i="37"/>
  <c r="B96" i="37"/>
  <c r="G96" i="37"/>
  <c r="H96" i="37"/>
  <c r="I96" i="37"/>
  <c r="M96" i="37"/>
  <c r="N96" i="37"/>
  <c r="O96" i="37"/>
  <c r="B97" i="37"/>
  <c r="G97" i="37"/>
  <c r="H97" i="37"/>
  <c r="I97" i="37"/>
  <c r="M97" i="37"/>
  <c r="N97" i="37"/>
  <c r="O97" i="37"/>
  <c r="B98" i="37"/>
  <c r="G98" i="37"/>
  <c r="H98" i="37"/>
  <c r="I98" i="37"/>
  <c r="M98" i="37"/>
  <c r="N98" i="37"/>
  <c r="O98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83" i="37"/>
  <c r="N67" i="39"/>
  <c r="N68" i="39"/>
  <c r="N69" i="39"/>
  <c r="N70" i="39"/>
  <c r="N71" i="39"/>
  <c r="N72" i="39"/>
  <c r="N73" i="39"/>
  <c r="N74" i="39"/>
  <c r="N75" i="39"/>
  <c r="N76" i="39"/>
  <c r="N77" i="39"/>
  <c r="N78" i="39"/>
  <c r="N79" i="39"/>
  <c r="N80" i="39"/>
  <c r="N81" i="39"/>
  <c r="N82" i="39"/>
  <c r="K67" i="39"/>
  <c r="K68" i="39"/>
  <c r="K69" i="39"/>
  <c r="K70" i="39"/>
  <c r="K71" i="39"/>
  <c r="K72" i="39"/>
  <c r="K73" i="39"/>
  <c r="K74" i="39"/>
  <c r="K75" i="39"/>
  <c r="K76" i="39"/>
  <c r="K77" i="39"/>
  <c r="K78" i="39"/>
  <c r="K79" i="39"/>
  <c r="K80" i="39"/>
  <c r="K81" i="39"/>
  <c r="K82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67" i="39"/>
  <c r="E67" i="39"/>
  <c r="E68" i="39"/>
  <c r="E69" i="39"/>
  <c r="E70" i="39"/>
  <c r="E71" i="39"/>
  <c r="E72" i="39"/>
  <c r="E73" i="39"/>
  <c r="E74" i="39"/>
  <c r="E75" i="39"/>
  <c r="E76" i="39"/>
  <c r="E77" i="39"/>
  <c r="E78" i="39"/>
  <c r="E79" i="39"/>
  <c r="E80" i="39"/>
  <c r="E81" i="39"/>
  <c r="E82" i="39"/>
  <c r="B67" i="39"/>
  <c r="C67" i="39"/>
  <c r="D67" i="39"/>
  <c r="F67" i="39"/>
  <c r="G67" i="39"/>
  <c r="I67" i="39"/>
  <c r="J67" i="39"/>
  <c r="L67" i="39"/>
  <c r="M67" i="39"/>
  <c r="O67" i="39"/>
  <c r="P67" i="39"/>
  <c r="Q67" i="39"/>
  <c r="R67" i="39"/>
  <c r="S67" i="39"/>
  <c r="T67" i="39"/>
  <c r="U67" i="39"/>
  <c r="V67" i="39"/>
  <c r="W67" i="39"/>
  <c r="X67" i="39"/>
  <c r="Y67" i="39"/>
  <c r="Z67" i="39"/>
  <c r="B68" i="39"/>
  <c r="C68" i="39"/>
  <c r="D68" i="39"/>
  <c r="F68" i="39"/>
  <c r="G68" i="39"/>
  <c r="I68" i="39"/>
  <c r="J68" i="39"/>
  <c r="L68" i="39"/>
  <c r="M68" i="39"/>
  <c r="O68" i="39"/>
  <c r="P68" i="39"/>
  <c r="Q68" i="39"/>
  <c r="R68" i="39"/>
  <c r="S68" i="39"/>
  <c r="T68" i="39"/>
  <c r="U68" i="39"/>
  <c r="V68" i="39"/>
  <c r="W68" i="39"/>
  <c r="X68" i="39"/>
  <c r="Y68" i="39"/>
  <c r="Z68" i="39"/>
  <c r="B69" i="39"/>
  <c r="C69" i="39"/>
  <c r="D69" i="39"/>
  <c r="F69" i="39"/>
  <c r="G69" i="39"/>
  <c r="I69" i="39"/>
  <c r="J69" i="39"/>
  <c r="L69" i="39"/>
  <c r="M69" i="39"/>
  <c r="O69" i="39"/>
  <c r="P69" i="39"/>
  <c r="Q69" i="39"/>
  <c r="R69" i="39"/>
  <c r="S69" i="39"/>
  <c r="T69" i="39"/>
  <c r="U69" i="39"/>
  <c r="V69" i="39"/>
  <c r="W69" i="39"/>
  <c r="X69" i="39"/>
  <c r="Y69" i="39"/>
  <c r="Z69" i="39"/>
  <c r="B70" i="39"/>
  <c r="C70" i="39"/>
  <c r="D70" i="39"/>
  <c r="F70" i="39"/>
  <c r="G70" i="39"/>
  <c r="I70" i="39"/>
  <c r="J70" i="39"/>
  <c r="L70" i="39"/>
  <c r="M70" i="39"/>
  <c r="O70" i="39"/>
  <c r="P70" i="39"/>
  <c r="Q70" i="39"/>
  <c r="R70" i="39"/>
  <c r="S70" i="39"/>
  <c r="T70" i="39"/>
  <c r="U70" i="39"/>
  <c r="V70" i="39"/>
  <c r="W70" i="39"/>
  <c r="X70" i="39"/>
  <c r="Y70" i="39"/>
  <c r="Z70" i="39"/>
  <c r="B71" i="39"/>
  <c r="C71" i="39"/>
  <c r="D71" i="39"/>
  <c r="F71" i="39"/>
  <c r="G71" i="39"/>
  <c r="I71" i="39"/>
  <c r="J71" i="39"/>
  <c r="L71" i="39"/>
  <c r="M71" i="39"/>
  <c r="O71" i="39"/>
  <c r="P71" i="39"/>
  <c r="Q71" i="39"/>
  <c r="R71" i="39"/>
  <c r="S71" i="39"/>
  <c r="T71" i="39"/>
  <c r="U71" i="39"/>
  <c r="V71" i="39"/>
  <c r="W71" i="39"/>
  <c r="X71" i="39"/>
  <c r="Y71" i="39"/>
  <c r="Z71" i="39"/>
  <c r="B72" i="39"/>
  <c r="C72" i="39"/>
  <c r="D72" i="39"/>
  <c r="F72" i="39"/>
  <c r="G72" i="39"/>
  <c r="I72" i="39"/>
  <c r="J72" i="39"/>
  <c r="L72" i="39"/>
  <c r="M72" i="39"/>
  <c r="O72" i="39"/>
  <c r="P72" i="39"/>
  <c r="Q72" i="39"/>
  <c r="R72" i="39"/>
  <c r="S72" i="39"/>
  <c r="T72" i="39"/>
  <c r="U72" i="39"/>
  <c r="V72" i="39"/>
  <c r="W72" i="39"/>
  <c r="X72" i="39"/>
  <c r="Y72" i="39"/>
  <c r="Z72" i="39"/>
  <c r="B73" i="39"/>
  <c r="C73" i="39"/>
  <c r="D73" i="39"/>
  <c r="F73" i="39"/>
  <c r="G73" i="39"/>
  <c r="I73" i="39"/>
  <c r="J73" i="39"/>
  <c r="L73" i="39"/>
  <c r="M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B74" i="39"/>
  <c r="C74" i="39"/>
  <c r="D74" i="39"/>
  <c r="F74" i="39"/>
  <c r="G74" i="39"/>
  <c r="I74" i="39"/>
  <c r="J74" i="39"/>
  <c r="L74" i="39"/>
  <c r="M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B75" i="39"/>
  <c r="C75" i="39"/>
  <c r="D75" i="39"/>
  <c r="F75" i="39"/>
  <c r="G75" i="39"/>
  <c r="I75" i="39"/>
  <c r="J75" i="39"/>
  <c r="L75" i="39"/>
  <c r="M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B76" i="39"/>
  <c r="C76" i="39"/>
  <c r="D76" i="39"/>
  <c r="F76" i="39"/>
  <c r="G76" i="39"/>
  <c r="I76" i="39"/>
  <c r="J76" i="39"/>
  <c r="L76" i="39"/>
  <c r="M76" i="39"/>
  <c r="O76" i="39"/>
  <c r="P76" i="39"/>
  <c r="Q76" i="39"/>
  <c r="R76" i="39"/>
  <c r="S76" i="39"/>
  <c r="T76" i="39"/>
  <c r="U76" i="39"/>
  <c r="V76" i="39"/>
  <c r="W76" i="39"/>
  <c r="X76" i="39"/>
  <c r="Y76" i="39"/>
  <c r="Z76" i="39"/>
  <c r="B77" i="39"/>
  <c r="C77" i="39"/>
  <c r="D77" i="39"/>
  <c r="F77" i="39"/>
  <c r="G77" i="39"/>
  <c r="I77" i="39"/>
  <c r="J77" i="39"/>
  <c r="L77" i="39"/>
  <c r="M77" i="39"/>
  <c r="O77" i="39"/>
  <c r="P77" i="39"/>
  <c r="Q77" i="39"/>
  <c r="R77" i="39"/>
  <c r="S77" i="39"/>
  <c r="T77" i="39"/>
  <c r="U77" i="39"/>
  <c r="V77" i="39"/>
  <c r="W77" i="39"/>
  <c r="X77" i="39"/>
  <c r="Y77" i="39"/>
  <c r="Z77" i="39"/>
  <c r="B78" i="39"/>
  <c r="C78" i="39"/>
  <c r="D78" i="39"/>
  <c r="F78" i="39"/>
  <c r="G78" i="39"/>
  <c r="I78" i="39"/>
  <c r="J78" i="39"/>
  <c r="L78" i="39"/>
  <c r="M78" i="39"/>
  <c r="O78" i="39"/>
  <c r="P78" i="39"/>
  <c r="Q78" i="39"/>
  <c r="R78" i="39"/>
  <c r="S78" i="39"/>
  <c r="T78" i="39"/>
  <c r="U78" i="39"/>
  <c r="V78" i="39"/>
  <c r="W78" i="39"/>
  <c r="X78" i="39"/>
  <c r="Y78" i="39"/>
  <c r="Z78" i="39"/>
  <c r="B79" i="39"/>
  <c r="C79" i="39"/>
  <c r="D79" i="39"/>
  <c r="F79" i="39"/>
  <c r="G79" i="39"/>
  <c r="I79" i="39"/>
  <c r="J79" i="39"/>
  <c r="L79" i="39"/>
  <c r="M79" i="39"/>
  <c r="O79" i="39"/>
  <c r="P79" i="39"/>
  <c r="Q79" i="39"/>
  <c r="R79" i="39"/>
  <c r="S79" i="39"/>
  <c r="T79" i="39"/>
  <c r="U79" i="39"/>
  <c r="V79" i="39"/>
  <c r="W79" i="39"/>
  <c r="X79" i="39"/>
  <c r="Y79" i="39"/>
  <c r="Z79" i="39"/>
  <c r="B80" i="39"/>
  <c r="C80" i="39"/>
  <c r="D80" i="39"/>
  <c r="F80" i="39"/>
  <c r="G80" i="39"/>
  <c r="I80" i="39"/>
  <c r="J80" i="39"/>
  <c r="L80" i="39"/>
  <c r="M80" i="39"/>
  <c r="O80" i="39"/>
  <c r="P80" i="39"/>
  <c r="Q80" i="39"/>
  <c r="R80" i="39"/>
  <c r="S80" i="39"/>
  <c r="T80" i="39"/>
  <c r="U80" i="39"/>
  <c r="V80" i="39"/>
  <c r="W80" i="39"/>
  <c r="X80" i="39"/>
  <c r="Y80" i="39"/>
  <c r="Z80" i="39"/>
  <c r="B81" i="39"/>
  <c r="C81" i="39"/>
  <c r="D81" i="39"/>
  <c r="F81" i="39"/>
  <c r="G81" i="39"/>
  <c r="I81" i="39"/>
  <c r="J81" i="39"/>
  <c r="L81" i="39"/>
  <c r="M81" i="39"/>
  <c r="O81" i="39"/>
  <c r="P81" i="39"/>
  <c r="Q81" i="39"/>
  <c r="R81" i="39"/>
  <c r="S81" i="39"/>
  <c r="T81" i="39"/>
  <c r="U81" i="39"/>
  <c r="V81" i="39"/>
  <c r="W81" i="39"/>
  <c r="X81" i="39"/>
  <c r="Y81" i="39"/>
  <c r="Z81" i="39"/>
  <c r="B82" i="39"/>
  <c r="C82" i="39"/>
  <c r="D82" i="39"/>
  <c r="F82" i="39"/>
  <c r="G82" i="39"/>
  <c r="I82" i="39"/>
  <c r="J82" i="39"/>
  <c r="L82" i="39"/>
  <c r="M82" i="39"/>
  <c r="O82" i="39"/>
  <c r="P82" i="39"/>
  <c r="Q82" i="39"/>
  <c r="R82" i="39"/>
  <c r="S82" i="39"/>
  <c r="T82" i="39"/>
  <c r="U82" i="39"/>
  <c r="V82" i="39"/>
  <c r="W82" i="39"/>
  <c r="X82" i="39"/>
  <c r="Y82" i="39"/>
  <c r="Z82" i="39"/>
  <c r="A81" i="39"/>
  <c r="A82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67" i="39"/>
  <c r="CY20" i="46"/>
  <c r="CV20" i="46"/>
  <c r="CY19" i="46"/>
  <c r="CV19" i="46"/>
  <c r="CY18" i="46"/>
  <c r="CV18" i="46"/>
  <c r="AU18" i="46"/>
  <c r="AN18" i="46"/>
  <c r="AK18" i="46"/>
  <c r="Z18" i="46"/>
  <c r="CD19" i="46" s="1"/>
  <c r="Y18" i="46"/>
  <c r="X18" i="46"/>
  <c r="W18" i="46"/>
  <c r="CE12" i="46" s="1"/>
  <c r="V18" i="46"/>
  <c r="U18" i="46"/>
  <c r="T18" i="46"/>
  <c r="R18" i="46"/>
  <c r="CA18" i="46" s="1"/>
  <c r="Q18" i="46"/>
  <c r="CP16" i="46" s="1"/>
  <c r="K18" i="46"/>
  <c r="J18" i="46"/>
  <c r="H18" i="46"/>
  <c r="G18" i="46"/>
  <c r="I18" i="46" s="1"/>
  <c r="E18" i="46"/>
  <c r="D18" i="46"/>
  <c r="CY17" i="46"/>
  <c r="CV17" i="46"/>
  <c r="BN17" i="46"/>
  <c r="AU17" i="46"/>
  <c r="AR17" i="46"/>
  <c r="AP17" i="46"/>
  <c r="AO17" i="46"/>
  <c r="AQ17" i="46" s="1"/>
  <c r="AN17" i="46"/>
  <c r="AK17" i="46"/>
  <c r="AH17" i="46"/>
  <c r="S17" i="46"/>
  <c r="BV17" i="46" s="1"/>
  <c r="Q97" i="37" s="1"/>
  <c r="P17" i="46"/>
  <c r="N17" i="46"/>
  <c r="BH17" i="46" s="1"/>
  <c r="M17" i="46"/>
  <c r="L17" i="46"/>
  <c r="I17" i="46"/>
  <c r="F17" i="46"/>
  <c r="CY16" i="46"/>
  <c r="CV16" i="46"/>
  <c r="BN16" i="46"/>
  <c r="BM16" i="46"/>
  <c r="AU16" i="46"/>
  <c r="AR16" i="46"/>
  <c r="AQ16" i="46"/>
  <c r="AP16" i="46"/>
  <c r="AO16" i="46"/>
  <c r="AN16" i="46"/>
  <c r="AK16" i="46"/>
  <c r="AH16" i="46"/>
  <c r="S16" i="46"/>
  <c r="P16" i="46"/>
  <c r="N16" i="46"/>
  <c r="BL16" i="46" s="1"/>
  <c r="M16" i="46"/>
  <c r="O16" i="46" s="1"/>
  <c r="L16" i="46"/>
  <c r="I16" i="46"/>
  <c r="F16" i="46"/>
  <c r="CY15" i="46"/>
  <c r="CV15" i="46"/>
  <c r="BN15" i="46"/>
  <c r="AU15" i="46"/>
  <c r="AR15" i="46"/>
  <c r="AQ15" i="46"/>
  <c r="AP15" i="46"/>
  <c r="AO15" i="46"/>
  <c r="AN15" i="46"/>
  <c r="AK15" i="46"/>
  <c r="AH15" i="46"/>
  <c r="S15" i="46"/>
  <c r="BV15" i="46" s="1"/>
  <c r="Q95" i="37" s="1"/>
  <c r="P15" i="46"/>
  <c r="N15" i="46"/>
  <c r="BL15" i="46" s="1"/>
  <c r="M15" i="46"/>
  <c r="L15" i="46"/>
  <c r="I15" i="46"/>
  <c r="F15" i="46"/>
  <c r="CY14" i="46"/>
  <c r="CV14" i="46"/>
  <c r="BN14" i="46"/>
  <c r="AU14" i="46"/>
  <c r="AR14" i="46"/>
  <c r="AP14" i="46"/>
  <c r="AO14" i="46"/>
  <c r="AQ14" i="46" s="1"/>
  <c r="AN14" i="46"/>
  <c r="AK14" i="46"/>
  <c r="AH14" i="46"/>
  <c r="S14" i="46"/>
  <c r="BV14" i="46" s="1"/>
  <c r="Q94" i="37" s="1"/>
  <c r="P14" i="46"/>
  <c r="N14" i="46"/>
  <c r="BM14" i="46" s="1"/>
  <c r="M14" i="46"/>
  <c r="L14" i="46"/>
  <c r="I14" i="46"/>
  <c r="F14" i="46"/>
  <c r="CY13" i="46"/>
  <c r="CV13" i="46"/>
  <c r="BV13" i="46"/>
  <c r="Q93" i="37" s="1"/>
  <c r="BN13" i="46"/>
  <c r="BM13" i="46"/>
  <c r="AU13" i="46"/>
  <c r="AR13" i="46"/>
  <c r="AP13" i="46"/>
  <c r="AO13" i="46"/>
  <c r="AQ13" i="46" s="1"/>
  <c r="AN13" i="46"/>
  <c r="AK13" i="46"/>
  <c r="AH13" i="46"/>
  <c r="S13" i="46"/>
  <c r="P13" i="46"/>
  <c r="N13" i="46"/>
  <c r="BH13" i="46" s="1"/>
  <c r="M13" i="46"/>
  <c r="L13" i="46"/>
  <c r="I13" i="46"/>
  <c r="F13" i="46"/>
  <c r="CY12" i="46"/>
  <c r="CV12" i="46"/>
  <c r="BN12" i="46"/>
  <c r="BM12" i="46"/>
  <c r="BL12" i="46"/>
  <c r="AU12" i="46"/>
  <c r="AR12" i="46"/>
  <c r="AQ12" i="46"/>
  <c r="AP12" i="46"/>
  <c r="AO12" i="46"/>
  <c r="AN12" i="46"/>
  <c r="AK12" i="46"/>
  <c r="AH12" i="46"/>
  <c r="S12" i="46"/>
  <c r="P12" i="46"/>
  <c r="N12" i="46"/>
  <c r="M12" i="46"/>
  <c r="L12" i="46"/>
  <c r="I12" i="46"/>
  <c r="F12" i="46"/>
  <c r="CY11" i="46"/>
  <c r="CV11" i="46"/>
  <c r="BN11" i="46"/>
  <c r="BM11" i="46"/>
  <c r="BH11" i="46"/>
  <c r="AU11" i="46"/>
  <c r="AR11" i="46"/>
  <c r="AQ11" i="46"/>
  <c r="AP11" i="46"/>
  <c r="AO11" i="46"/>
  <c r="AN11" i="46"/>
  <c r="AK11" i="46"/>
  <c r="AH11" i="46"/>
  <c r="S11" i="46"/>
  <c r="BV11" i="46" s="1"/>
  <c r="Q91" i="37" s="1"/>
  <c r="P11" i="46"/>
  <c r="N11" i="46"/>
  <c r="BL11" i="46" s="1"/>
  <c r="M11" i="46"/>
  <c r="O11" i="46" s="1"/>
  <c r="L11" i="46"/>
  <c r="I11" i="46"/>
  <c r="F11" i="46"/>
  <c r="CY10" i="46"/>
  <c r="CV10" i="46"/>
  <c r="BN10" i="46"/>
  <c r="AU10" i="46"/>
  <c r="AR10" i="46"/>
  <c r="AP10" i="46"/>
  <c r="AO10" i="46"/>
  <c r="AQ10" i="46" s="1"/>
  <c r="AN10" i="46"/>
  <c r="AK10" i="46"/>
  <c r="AH10" i="46"/>
  <c r="S10" i="46"/>
  <c r="BV10" i="46" s="1"/>
  <c r="Q90" i="37" s="1"/>
  <c r="P10" i="46"/>
  <c r="N10" i="46"/>
  <c r="BM10" i="46" s="1"/>
  <c r="M10" i="46"/>
  <c r="L10" i="46"/>
  <c r="I10" i="46"/>
  <c r="F10" i="46"/>
  <c r="CY9" i="46"/>
  <c r="CV9" i="46"/>
  <c r="BV9" i="46"/>
  <c r="Q89" i="37" s="1"/>
  <c r="BN9" i="46"/>
  <c r="AU9" i="46"/>
  <c r="AR9" i="46"/>
  <c r="AP9" i="46"/>
  <c r="AO9" i="46"/>
  <c r="AQ9" i="46" s="1"/>
  <c r="AN9" i="46"/>
  <c r="AK9" i="46"/>
  <c r="AH9" i="46"/>
  <c r="S9" i="46"/>
  <c r="P9" i="46"/>
  <c r="N9" i="46"/>
  <c r="BH9" i="46" s="1"/>
  <c r="M9" i="46"/>
  <c r="L9" i="46"/>
  <c r="I9" i="46"/>
  <c r="F9" i="46"/>
  <c r="CY8" i="46"/>
  <c r="CV8" i="46"/>
  <c r="BN8" i="46"/>
  <c r="AU8" i="46"/>
  <c r="AR8" i="46"/>
  <c r="AQ8" i="46"/>
  <c r="AP8" i="46"/>
  <c r="AO8" i="46"/>
  <c r="AN8" i="46"/>
  <c r="AK8" i="46"/>
  <c r="AH8" i="46"/>
  <c r="S8" i="46"/>
  <c r="BV8" i="46" s="1"/>
  <c r="Q88" i="37" s="1"/>
  <c r="P8" i="46"/>
  <c r="N8" i="46"/>
  <c r="BM8" i="46" s="1"/>
  <c r="M8" i="46"/>
  <c r="O8" i="46" s="1"/>
  <c r="L8" i="46"/>
  <c r="I8" i="46"/>
  <c r="F8" i="46"/>
  <c r="CY7" i="46"/>
  <c r="CV7" i="46"/>
  <c r="BN7" i="46"/>
  <c r="AU7" i="46"/>
  <c r="AR7" i="46"/>
  <c r="AQ7" i="46"/>
  <c r="AP7" i="46"/>
  <c r="AO7" i="46"/>
  <c r="AN7" i="46"/>
  <c r="AK7" i="46"/>
  <c r="AH7" i="46"/>
  <c r="S7" i="46"/>
  <c r="BV7" i="46" s="1"/>
  <c r="Q87" i="37" s="1"/>
  <c r="P7" i="46"/>
  <c r="N7" i="46"/>
  <c r="BL7" i="46" s="1"/>
  <c r="M7" i="46"/>
  <c r="L7" i="46"/>
  <c r="I7" i="46"/>
  <c r="F7" i="46"/>
  <c r="CY6" i="46"/>
  <c r="CV6" i="46"/>
  <c r="BN6" i="46"/>
  <c r="BH6" i="46"/>
  <c r="AU6" i="46"/>
  <c r="AR6" i="46"/>
  <c r="AQ6" i="46"/>
  <c r="AP6" i="46"/>
  <c r="AO6" i="46"/>
  <c r="AN6" i="46"/>
  <c r="AK6" i="46"/>
  <c r="AH6" i="46"/>
  <c r="S6" i="46"/>
  <c r="P6" i="46"/>
  <c r="N6" i="46"/>
  <c r="BM6" i="46" s="1"/>
  <c r="M6" i="46"/>
  <c r="L6" i="46"/>
  <c r="I6" i="46"/>
  <c r="F6" i="46"/>
  <c r="CY5" i="46"/>
  <c r="CV5" i="46"/>
  <c r="BN5" i="46"/>
  <c r="BM5" i="46"/>
  <c r="BL5" i="46"/>
  <c r="AU5" i="46"/>
  <c r="AR5" i="46"/>
  <c r="AQ5" i="46"/>
  <c r="AP5" i="46"/>
  <c r="AO5" i="46"/>
  <c r="AN5" i="46"/>
  <c r="AK5" i="46"/>
  <c r="AH5" i="46"/>
  <c r="S5" i="46"/>
  <c r="P5" i="46"/>
  <c r="BI5" i="46" s="1"/>
  <c r="N5" i="46"/>
  <c r="M5" i="46"/>
  <c r="O5" i="46" s="1"/>
  <c r="L5" i="46"/>
  <c r="I5" i="46"/>
  <c r="F5" i="46"/>
  <c r="BN4" i="46"/>
  <c r="AU4" i="46"/>
  <c r="AR4" i="46"/>
  <c r="AP4" i="46"/>
  <c r="AO4" i="46"/>
  <c r="AQ4" i="46" s="1"/>
  <c r="AN4" i="46"/>
  <c r="AK4" i="46"/>
  <c r="AH4" i="46"/>
  <c r="S4" i="46"/>
  <c r="P4" i="46"/>
  <c r="BI4" i="46" s="1"/>
  <c r="N4" i="46"/>
  <c r="M4" i="46"/>
  <c r="L4" i="46"/>
  <c r="I4" i="46"/>
  <c r="F4" i="46"/>
  <c r="BN3" i="46"/>
  <c r="AU3" i="46"/>
  <c r="AR3" i="46"/>
  <c r="AP3" i="46"/>
  <c r="AO3" i="46"/>
  <c r="AN3" i="46"/>
  <c r="AK3" i="46"/>
  <c r="AH3" i="46"/>
  <c r="S3" i="46"/>
  <c r="P3" i="46"/>
  <c r="N3" i="46"/>
  <c r="M3" i="46"/>
  <c r="O3" i="46" s="1"/>
  <c r="L3" i="46"/>
  <c r="I3" i="46"/>
  <c r="F3" i="46"/>
  <c r="N51" i="39"/>
  <c r="N52" i="39"/>
  <c r="N53" i="39"/>
  <c r="N54" i="39"/>
  <c r="N55" i="39"/>
  <c r="N56" i="39"/>
  <c r="N57" i="39"/>
  <c r="N58" i="39"/>
  <c r="N59" i="39"/>
  <c r="N60" i="39"/>
  <c r="N61" i="39"/>
  <c r="N62" i="39"/>
  <c r="N63" i="39"/>
  <c r="N64" i="39"/>
  <c r="N65" i="39"/>
  <c r="N66" i="39"/>
  <c r="K51" i="39"/>
  <c r="K52" i="39"/>
  <c r="K53" i="39"/>
  <c r="K54" i="39"/>
  <c r="K55" i="39"/>
  <c r="K56" i="39"/>
  <c r="K57" i="39"/>
  <c r="K58" i="39"/>
  <c r="K59" i="39"/>
  <c r="K60" i="39"/>
  <c r="K61" i="39"/>
  <c r="K62" i="39"/>
  <c r="K63" i="39"/>
  <c r="K64" i="39"/>
  <c r="K65" i="39"/>
  <c r="K66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64" i="39"/>
  <c r="E65" i="39"/>
  <c r="E50" i="39"/>
  <c r="E66" i="39"/>
  <c r="B51" i="39"/>
  <c r="C51" i="39"/>
  <c r="D51" i="39"/>
  <c r="F51" i="39"/>
  <c r="G51" i="39"/>
  <c r="I51" i="39"/>
  <c r="J51" i="39"/>
  <c r="L51" i="39"/>
  <c r="M51" i="39"/>
  <c r="O51" i="39"/>
  <c r="P51" i="39"/>
  <c r="Q51" i="39"/>
  <c r="R51" i="39"/>
  <c r="S51" i="39"/>
  <c r="T51" i="39"/>
  <c r="U51" i="39"/>
  <c r="V51" i="39"/>
  <c r="W51" i="39"/>
  <c r="X51" i="39"/>
  <c r="Y51" i="39"/>
  <c r="Z51" i="39"/>
  <c r="B52" i="39"/>
  <c r="C52" i="39"/>
  <c r="D52" i="39"/>
  <c r="F52" i="39"/>
  <c r="G52" i="39"/>
  <c r="I52" i="39"/>
  <c r="J52" i="39"/>
  <c r="L52" i="39"/>
  <c r="M52" i="39"/>
  <c r="O52" i="39"/>
  <c r="P52" i="39"/>
  <c r="Q52" i="39"/>
  <c r="R52" i="39"/>
  <c r="S52" i="39"/>
  <c r="T52" i="39"/>
  <c r="U52" i="39"/>
  <c r="V52" i="39"/>
  <c r="W52" i="39"/>
  <c r="X52" i="39"/>
  <c r="Y52" i="39"/>
  <c r="Z52" i="39"/>
  <c r="B53" i="39"/>
  <c r="C53" i="39"/>
  <c r="D53" i="39"/>
  <c r="F53" i="39"/>
  <c r="G53" i="39"/>
  <c r="I53" i="39"/>
  <c r="J53" i="39"/>
  <c r="L53" i="39"/>
  <c r="M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B54" i="39"/>
  <c r="C54" i="39"/>
  <c r="D54" i="39"/>
  <c r="F54" i="39"/>
  <c r="G54" i="39"/>
  <c r="I54" i="39"/>
  <c r="J54" i="39"/>
  <c r="L54" i="39"/>
  <c r="M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B55" i="39"/>
  <c r="C55" i="39"/>
  <c r="D55" i="39"/>
  <c r="F55" i="39"/>
  <c r="G55" i="39"/>
  <c r="I55" i="39"/>
  <c r="J55" i="39"/>
  <c r="L55" i="39"/>
  <c r="M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B56" i="39"/>
  <c r="C56" i="39"/>
  <c r="D56" i="39"/>
  <c r="F56" i="39"/>
  <c r="G56" i="39"/>
  <c r="I56" i="39"/>
  <c r="J56" i="39"/>
  <c r="L56" i="39"/>
  <c r="M56" i="39"/>
  <c r="O56" i="39"/>
  <c r="P56" i="39"/>
  <c r="Q56" i="39"/>
  <c r="R56" i="39"/>
  <c r="S56" i="39"/>
  <c r="T56" i="39"/>
  <c r="U56" i="39"/>
  <c r="V56" i="39"/>
  <c r="W56" i="39"/>
  <c r="X56" i="39"/>
  <c r="Y56" i="39"/>
  <c r="Z56" i="39"/>
  <c r="B57" i="39"/>
  <c r="C57" i="39"/>
  <c r="D57" i="39"/>
  <c r="F57" i="39"/>
  <c r="G57" i="39"/>
  <c r="I57" i="39"/>
  <c r="J57" i="39"/>
  <c r="L57" i="39"/>
  <c r="M57" i="39"/>
  <c r="O57" i="39"/>
  <c r="P57" i="39"/>
  <c r="Q57" i="39"/>
  <c r="R57" i="39"/>
  <c r="S57" i="39"/>
  <c r="T57" i="39"/>
  <c r="U57" i="39"/>
  <c r="V57" i="39"/>
  <c r="W57" i="39"/>
  <c r="X57" i="39"/>
  <c r="Y57" i="39"/>
  <c r="Z57" i="39"/>
  <c r="B58" i="39"/>
  <c r="C58" i="39"/>
  <c r="D58" i="39"/>
  <c r="F58" i="39"/>
  <c r="G58" i="39"/>
  <c r="I58" i="39"/>
  <c r="J58" i="39"/>
  <c r="L58" i="39"/>
  <c r="M58" i="39"/>
  <c r="O58" i="39"/>
  <c r="P58" i="39"/>
  <c r="Q58" i="39"/>
  <c r="R58" i="39"/>
  <c r="S58" i="39"/>
  <c r="T58" i="39"/>
  <c r="U58" i="39"/>
  <c r="V58" i="39"/>
  <c r="W58" i="39"/>
  <c r="X58" i="39"/>
  <c r="Y58" i="39"/>
  <c r="Z58" i="39"/>
  <c r="B59" i="39"/>
  <c r="C59" i="39"/>
  <c r="D59" i="39"/>
  <c r="F59" i="39"/>
  <c r="G59" i="39"/>
  <c r="I59" i="39"/>
  <c r="J59" i="39"/>
  <c r="L59" i="39"/>
  <c r="M59" i="39"/>
  <c r="O59" i="39"/>
  <c r="P59" i="39"/>
  <c r="Q59" i="39"/>
  <c r="R59" i="39"/>
  <c r="S59" i="39"/>
  <c r="T59" i="39"/>
  <c r="U59" i="39"/>
  <c r="V59" i="39"/>
  <c r="W59" i="39"/>
  <c r="X59" i="39"/>
  <c r="Y59" i="39"/>
  <c r="Z59" i="39"/>
  <c r="B60" i="39"/>
  <c r="C60" i="39"/>
  <c r="D60" i="39"/>
  <c r="F60" i="39"/>
  <c r="G60" i="39"/>
  <c r="I60" i="39"/>
  <c r="J60" i="39"/>
  <c r="L60" i="39"/>
  <c r="M60" i="39"/>
  <c r="O60" i="39"/>
  <c r="P60" i="39"/>
  <c r="Q60" i="39"/>
  <c r="R60" i="39"/>
  <c r="S60" i="39"/>
  <c r="T60" i="39"/>
  <c r="U60" i="39"/>
  <c r="V60" i="39"/>
  <c r="W60" i="39"/>
  <c r="X60" i="39"/>
  <c r="Y60" i="39"/>
  <c r="Z60" i="39"/>
  <c r="B61" i="39"/>
  <c r="C61" i="39"/>
  <c r="D61" i="39"/>
  <c r="F61" i="39"/>
  <c r="G61" i="39"/>
  <c r="I61" i="39"/>
  <c r="J61" i="39"/>
  <c r="L61" i="39"/>
  <c r="M61" i="39"/>
  <c r="O61" i="39"/>
  <c r="P61" i="39"/>
  <c r="Q61" i="39"/>
  <c r="R61" i="39"/>
  <c r="S61" i="39"/>
  <c r="T61" i="39"/>
  <c r="U61" i="39"/>
  <c r="V61" i="39"/>
  <c r="W61" i="39"/>
  <c r="X61" i="39"/>
  <c r="Y61" i="39"/>
  <c r="Z61" i="39"/>
  <c r="B62" i="39"/>
  <c r="C62" i="39"/>
  <c r="D62" i="39"/>
  <c r="F62" i="39"/>
  <c r="G62" i="39"/>
  <c r="I62" i="39"/>
  <c r="J62" i="39"/>
  <c r="L62" i="39"/>
  <c r="M62" i="39"/>
  <c r="O62" i="39"/>
  <c r="P62" i="39"/>
  <c r="Q62" i="39"/>
  <c r="R62" i="39"/>
  <c r="S62" i="39"/>
  <c r="T62" i="39"/>
  <c r="U62" i="39"/>
  <c r="V62" i="39"/>
  <c r="W62" i="39"/>
  <c r="X62" i="39"/>
  <c r="Y62" i="39"/>
  <c r="Z62" i="39"/>
  <c r="B63" i="39"/>
  <c r="C63" i="39"/>
  <c r="D63" i="39"/>
  <c r="F63" i="39"/>
  <c r="G63" i="39"/>
  <c r="I63" i="39"/>
  <c r="J63" i="39"/>
  <c r="L63" i="39"/>
  <c r="M63" i="39"/>
  <c r="O63" i="39"/>
  <c r="P63" i="39"/>
  <c r="Q63" i="39"/>
  <c r="R63" i="39"/>
  <c r="S63" i="39"/>
  <c r="T63" i="39"/>
  <c r="U63" i="39"/>
  <c r="V63" i="39"/>
  <c r="W63" i="39"/>
  <c r="X63" i="39"/>
  <c r="Y63" i="39"/>
  <c r="Z63" i="39"/>
  <c r="B64" i="39"/>
  <c r="C64" i="39"/>
  <c r="D64" i="39"/>
  <c r="F64" i="39"/>
  <c r="G64" i="39"/>
  <c r="I64" i="39"/>
  <c r="J64" i="39"/>
  <c r="L64" i="39"/>
  <c r="M64" i="39"/>
  <c r="O64" i="39"/>
  <c r="P64" i="39"/>
  <c r="Q64" i="39"/>
  <c r="R64" i="39"/>
  <c r="S64" i="39"/>
  <c r="T64" i="39"/>
  <c r="U64" i="39"/>
  <c r="V64" i="39"/>
  <c r="W64" i="39"/>
  <c r="X64" i="39"/>
  <c r="Y64" i="39"/>
  <c r="Z64" i="39"/>
  <c r="B65" i="39"/>
  <c r="C65" i="39"/>
  <c r="D65" i="39"/>
  <c r="F65" i="39"/>
  <c r="G65" i="39"/>
  <c r="I65" i="39"/>
  <c r="J65" i="39"/>
  <c r="L65" i="39"/>
  <c r="M65" i="39"/>
  <c r="O65" i="39"/>
  <c r="P65" i="39"/>
  <c r="Q65" i="39"/>
  <c r="R65" i="39"/>
  <c r="S65" i="39"/>
  <c r="T65" i="39"/>
  <c r="U65" i="39"/>
  <c r="V65" i="39"/>
  <c r="W65" i="39"/>
  <c r="X65" i="39"/>
  <c r="Y65" i="39"/>
  <c r="Z65" i="39"/>
  <c r="B66" i="39"/>
  <c r="C66" i="39"/>
  <c r="D66" i="39"/>
  <c r="F66" i="39"/>
  <c r="G66" i="39"/>
  <c r="I66" i="39"/>
  <c r="J66" i="39"/>
  <c r="L66" i="39"/>
  <c r="M66" i="39"/>
  <c r="O66" i="39"/>
  <c r="P66" i="39"/>
  <c r="Q66" i="39"/>
  <c r="R66" i="39"/>
  <c r="S66" i="39"/>
  <c r="T66" i="39"/>
  <c r="U66" i="39"/>
  <c r="V66" i="39"/>
  <c r="W66" i="39"/>
  <c r="X66" i="39"/>
  <c r="Y66" i="39"/>
  <c r="Z66" i="39"/>
  <c r="A66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51" i="39"/>
  <c r="P68" i="37"/>
  <c r="P69" i="37"/>
  <c r="P70" i="37"/>
  <c r="P71" i="37"/>
  <c r="P72" i="37"/>
  <c r="P73" i="37"/>
  <c r="P74" i="37"/>
  <c r="P75" i="37"/>
  <c r="P76" i="37"/>
  <c r="P77" i="37"/>
  <c r="P78" i="37"/>
  <c r="P79" i="37"/>
  <c r="P80" i="37"/>
  <c r="P81" i="37"/>
  <c r="P67" i="37"/>
  <c r="J68" i="37"/>
  <c r="K68" i="37"/>
  <c r="L68" i="37"/>
  <c r="J69" i="37"/>
  <c r="K69" i="37"/>
  <c r="L69" i="37"/>
  <c r="J70" i="37"/>
  <c r="K70" i="37"/>
  <c r="L70" i="37"/>
  <c r="J71" i="37"/>
  <c r="K71" i="37"/>
  <c r="L71" i="37"/>
  <c r="J72" i="37"/>
  <c r="K72" i="37"/>
  <c r="L72" i="37"/>
  <c r="J73" i="37"/>
  <c r="K73" i="37"/>
  <c r="L73" i="37"/>
  <c r="J74" i="37"/>
  <c r="K74" i="37"/>
  <c r="L74" i="37"/>
  <c r="J75" i="37"/>
  <c r="K75" i="37"/>
  <c r="L75" i="37"/>
  <c r="J76" i="37"/>
  <c r="K76" i="37"/>
  <c r="L76" i="37"/>
  <c r="J77" i="37"/>
  <c r="K77" i="37"/>
  <c r="L77" i="37"/>
  <c r="J78" i="37"/>
  <c r="K78" i="37"/>
  <c r="L78" i="37"/>
  <c r="J79" i="37"/>
  <c r="K79" i="37"/>
  <c r="L79" i="37"/>
  <c r="J80" i="37"/>
  <c r="K80" i="37"/>
  <c r="L80" i="37"/>
  <c r="J81" i="37"/>
  <c r="K81" i="37"/>
  <c r="L81" i="37"/>
  <c r="J82" i="37"/>
  <c r="K82" i="37"/>
  <c r="L82" i="37"/>
  <c r="K67" i="37"/>
  <c r="L67" i="37"/>
  <c r="J67" i="37"/>
  <c r="C68" i="37"/>
  <c r="D68" i="37"/>
  <c r="E68" i="37"/>
  <c r="F68" i="37"/>
  <c r="C69" i="37"/>
  <c r="D69" i="37"/>
  <c r="E69" i="37"/>
  <c r="F69" i="37"/>
  <c r="C70" i="37"/>
  <c r="D70" i="37"/>
  <c r="E70" i="37"/>
  <c r="F70" i="37"/>
  <c r="C71" i="37"/>
  <c r="D71" i="37"/>
  <c r="E71" i="37"/>
  <c r="F71" i="37"/>
  <c r="C72" i="37"/>
  <c r="D72" i="37"/>
  <c r="E72" i="37"/>
  <c r="F72" i="37"/>
  <c r="C73" i="37"/>
  <c r="D73" i="37"/>
  <c r="E73" i="37"/>
  <c r="F73" i="37"/>
  <c r="C74" i="37"/>
  <c r="D74" i="37"/>
  <c r="E74" i="37"/>
  <c r="F74" i="37"/>
  <c r="C75" i="37"/>
  <c r="D75" i="37"/>
  <c r="E75" i="37"/>
  <c r="F75" i="37"/>
  <c r="C76" i="37"/>
  <c r="D76" i="37"/>
  <c r="E76" i="37"/>
  <c r="F76" i="37"/>
  <c r="C77" i="37"/>
  <c r="D77" i="37"/>
  <c r="E77" i="37"/>
  <c r="F77" i="37"/>
  <c r="C78" i="37"/>
  <c r="D78" i="37"/>
  <c r="E78" i="37"/>
  <c r="F78" i="37"/>
  <c r="C79" i="37"/>
  <c r="D79" i="37"/>
  <c r="E79" i="37"/>
  <c r="F79" i="37"/>
  <c r="C80" i="37"/>
  <c r="D80" i="37"/>
  <c r="E80" i="37"/>
  <c r="F80" i="37"/>
  <c r="C81" i="37"/>
  <c r="D81" i="37"/>
  <c r="E81" i="37"/>
  <c r="F81" i="37"/>
  <c r="C82" i="37"/>
  <c r="D82" i="37"/>
  <c r="E82" i="37"/>
  <c r="F82" i="37"/>
  <c r="D67" i="37"/>
  <c r="E67" i="37"/>
  <c r="F67" i="37"/>
  <c r="C67" i="37"/>
  <c r="B67" i="37"/>
  <c r="G67" i="37"/>
  <c r="H67" i="37"/>
  <c r="I67" i="37"/>
  <c r="N67" i="37"/>
  <c r="B68" i="37"/>
  <c r="G68" i="37"/>
  <c r="H68" i="37"/>
  <c r="I68" i="37"/>
  <c r="N68" i="37"/>
  <c r="B69" i="37"/>
  <c r="G69" i="37"/>
  <c r="H69" i="37"/>
  <c r="I69" i="37"/>
  <c r="N69" i="37"/>
  <c r="B70" i="37"/>
  <c r="G70" i="37"/>
  <c r="H70" i="37"/>
  <c r="I70" i="37"/>
  <c r="N70" i="37"/>
  <c r="B71" i="37"/>
  <c r="G71" i="37"/>
  <c r="H71" i="37"/>
  <c r="I71" i="37"/>
  <c r="N71" i="37"/>
  <c r="B72" i="37"/>
  <c r="G72" i="37"/>
  <c r="H72" i="37"/>
  <c r="I72" i="37"/>
  <c r="N72" i="37"/>
  <c r="B73" i="37"/>
  <c r="G73" i="37"/>
  <c r="H73" i="37"/>
  <c r="I73" i="37"/>
  <c r="N73" i="37"/>
  <c r="B74" i="37"/>
  <c r="G74" i="37"/>
  <c r="H74" i="37"/>
  <c r="I74" i="37"/>
  <c r="N74" i="37"/>
  <c r="B75" i="37"/>
  <c r="G75" i="37"/>
  <c r="H75" i="37"/>
  <c r="I75" i="37"/>
  <c r="N75" i="37"/>
  <c r="B76" i="37"/>
  <c r="G76" i="37"/>
  <c r="H76" i="37"/>
  <c r="I76" i="37"/>
  <c r="N76" i="37"/>
  <c r="B77" i="37"/>
  <c r="G77" i="37"/>
  <c r="H77" i="37"/>
  <c r="I77" i="37"/>
  <c r="N77" i="37"/>
  <c r="B78" i="37"/>
  <c r="G78" i="37"/>
  <c r="H78" i="37"/>
  <c r="I78" i="37"/>
  <c r="N78" i="37"/>
  <c r="B79" i="37"/>
  <c r="G79" i="37"/>
  <c r="H79" i="37"/>
  <c r="I79" i="37"/>
  <c r="N79" i="37"/>
  <c r="B80" i="37"/>
  <c r="G80" i="37"/>
  <c r="H80" i="37"/>
  <c r="I80" i="37"/>
  <c r="N80" i="37"/>
  <c r="B81" i="37"/>
  <c r="G81" i="37"/>
  <c r="H81" i="37"/>
  <c r="I81" i="37"/>
  <c r="N81" i="37"/>
  <c r="B82" i="37"/>
  <c r="G82" i="37"/>
  <c r="H82" i="37"/>
  <c r="I82" i="37"/>
  <c r="M82" i="37"/>
  <c r="N82" i="37"/>
  <c r="O82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67" i="37"/>
  <c r="CY20" i="45"/>
  <c r="CV20" i="45"/>
  <c r="CY19" i="45"/>
  <c r="CV19" i="45"/>
  <c r="CY18" i="45"/>
  <c r="CV18" i="45"/>
  <c r="BP18" i="45"/>
  <c r="AZ18" i="45"/>
  <c r="AX18" i="45"/>
  <c r="AU18" i="45"/>
  <c r="AK18" i="45"/>
  <c r="AR18" i="45"/>
  <c r="AA18" i="45"/>
  <c r="BO6" i="45" s="1"/>
  <c r="Z18" i="45"/>
  <c r="Y18" i="45"/>
  <c r="X18" i="45"/>
  <c r="W18" i="45"/>
  <c r="V18" i="45"/>
  <c r="U18" i="45"/>
  <c r="T18" i="45"/>
  <c r="R18" i="45"/>
  <c r="BP16" i="45" s="1"/>
  <c r="Q18" i="45"/>
  <c r="K18" i="45"/>
  <c r="J18" i="45"/>
  <c r="H18" i="45"/>
  <c r="G18" i="45"/>
  <c r="E18" i="45"/>
  <c r="D18" i="45"/>
  <c r="CY17" i="45"/>
  <c r="CV17" i="45"/>
  <c r="BN17" i="45"/>
  <c r="AU17" i="45"/>
  <c r="AR17" i="45"/>
  <c r="AQ17" i="45"/>
  <c r="AP17" i="45"/>
  <c r="AO17" i="45"/>
  <c r="AN17" i="45"/>
  <c r="AK17" i="45"/>
  <c r="AH17" i="45"/>
  <c r="S17" i="45"/>
  <c r="BV17" i="45" s="1"/>
  <c r="Q81" i="37" s="1"/>
  <c r="P17" i="45"/>
  <c r="N17" i="45"/>
  <c r="BM17" i="45" s="1"/>
  <c r="M17" i="45"/>
  <c r="L17" i="45"/>
  <c r="I17" i="45"/>
  <c r="F17" i="45"/>
  <c r="CY16" i="45"/>
  <c r="CV16" i="45"/>
  <c r="BN16" i="45"/>
  <c r="AU16" i="45"/>
  <c r="AR16" i="45"/>
  <c r="AQ16" i="45"/>
  <c r="AP16" i="45"/>
  <c r="AO16" i="45"/>
  <c r="AN16" i="45"/>
  <c r="AK16" i="45"/>
  <c r="AH16" i="45"/>
  <c r="S16" i="45"/>
  <c r="P16" i="45"/>
  <c r="N16" i="45"/>
  <c r="BM16" i="45" s="1"/>
  <c r="M16" i="45"/>
  <c r="L16" i="45"/>
  <c r="I16" i="45"/>
  <c r="F16" i="45"/>
  <c r="CY15" i="45"/>
  <c r="CV15" i="45"/>
  <c r="BN15" i="45"/>
  <c r="AU15" i="45"/>
  <c r="AR15" i="45"/>
  <c r="AQ15" i="45"/>
  <c r="AP15" i="45"/>
  <c r="AO15" i="45"/>
  <c r="AN15" i="45"/>
  <c r="AK15" i="45"/>
  <c r="AH15" i="45"/>
  <c r="S15" i="45"/>
  <c r="BV15" i="45" s="1"/>
  <c r="Q79" i="37" s="1"/>
  <c r="P15" i="45"/>
  <c r="N15" i="45"/>
  <c r="BL15" i="45" s="1"/>
  <c r="M15" i="45"/>
  <c r="L15" i="45"/>
  <c r="I15" i="45"/>
  <c r="F15" i="45"/>
  <c r="CY14" i="45"/>
  <c r="CV14" i="45"/>
  <c r="BN14" i="45"/>
  <c r="AU14" i="45"/>
  <c r="AR14" i="45"/>
  <c r="AP14" i="45"/>
  <c r="AO14" i="45"/>
  <c r="AQ14" i="45" s="1"/>
  <c r="AN14" i="45"/>
  <c r="AK14" i="45"/>
  <c r="AH14" i="45"/>
  <c r="S14" i="45"/>
  <c r="BV14" i="45" s="1"/>
  <c r="Q78" i="37" s="1"/>
  <c r="P14" i="45"/>
  <c r="N14" i="45"/>
  <c r="BL14" i="45" s="1"/>
  <c r="M14" i="45"/>
  <c r="L14" i="45"/>
  <c r="I14" i="45"/>
  <c r="F14" i="45"/>
  <c r="CY13" i="45"/>
  <c r="CV13" i="45"/>
  <c r="BN13" i="45"/>
  <c r="BM13" i="45"/>
  <c r="BH13" i="45"/>
  <c r="AU13" i="45"/>
  <c r="AR13" i="45"/>
  <c r="AQ13" i="45"/>
  <c r="AP13" i="45"/>
  <c r="AO13" i="45"/>
  <c r="AN13" i="45"/>
  <c r="AK13" i="45"/>
  <c r="AH13" i="45"/>
  <c r="S13" i="45"/>
  <c r="BV13" i="45" s="1"/>
  <c r="Q77" i="37" s="1"/>
  <c r="P13" i="45"/>
  <c r="BI13" i="45" s="1"/>
  <c r="O13" i="45"/>
  <c r="N13" i="45"/>
  <c r="BL13" i="45" s="1"/>
  <c r="M13" i="45"/>
  <c r="L13" i="45"/>
  <c r="I13" i="45"/>
  <c r="F13" i="45"/>
  <c r="CY12" i="45"/>
  <c r="CV12" i="45"/>
  <c r="BN12" i="45"/>
  <c r="AU12" i="45"/>
  <c r="AR12" i="45"/>
  <c r="AP12" i="45"/>
  <c r="AO12" i="45"/>
  <c r="AQ12" i="45" s="1"/>
  <c r="AN12" i="45"/>
  <c r="AK12" i="45"/>
  <c r="AH12" i="45"/>
  <c r="S12" i="45"/>
  <c r="P12" i="45"/>
  <c r="N12" i="45"/>
  <c r="BM12" i="45" s="1"/>
  <c r="M12" i="45"/>
  <c r="L12" i="45"/>
  <c r="I12" i="45"/>
  <c r="F12" i="45"/>
  <c r="CY11" i="45"/>
  <c r="CV11" i="45"/>
  <c r="CP11" i="45"/>
  <c r="BN11" i="45"/>
  <c r="AU11" i="45"/>
  <c r="AR11" i="45"/>
  <c r="AQ11" i="45"/>
  <c r="AP11" i="45"/>
  <c r="AO11" i="45"/>
  <c r="AN11" i="45"/>
  <c r="AK11" i="45"/>
  <c r="AH11" i="45"/>
  <c r="S11" i="45"/>
  <c r="BV11" i="45" s="1"/>
  <c r="Q75" i="37" s="1"/>
  <c r="P11" i="45"/>
  <c r="N11" i="45"/>
  <c r="BL11" i="45" s="1"/>
  <c r="M11" i="45"/>
  <c r="L11" i="45"/>
  <c r="I11" i="45"/>
  <c r="F11" i="45"/>
  <c r="CY10" i="45"/>
  <c r="CV10" i="45"/>
  <c r="BN10" i="45"/>
  <c r="AU10" i="45"/>
  <c r="AR10" i="45"/>
  <c r="AP10" i="45"/>
  <c r="AO10" i="45"/>
  <c r="AQ10" i="45" s="1"/>
  <c r="AN10" i="45"/>
  <c r="AK10" i="45"/>
  <c r="AH10" i="45"/>
  <c r="S10" i="45"/>
  <c r="BV10" i="45" s="1"/>
  <c r="Q74" i="37" s="1"/>
  <c r="P10" i="45"/>
  <c r="N10" i="45"/>
  <c r="BL10" i="45" s="1"/>
  <c r="M10" i="45"/>
  <c r="L10" i="45"/>
  <c r="I10" i="45"/>
  <c r="F10" i="45"/>
  <c r="CY9" i="45"/>
  <c r="CV9" i="45"/>
  <c r="CA9" i="45"/>
  <c r="BN9" i="45"/>
  <c r="AU9" i="45"/>
  <c r="AR9" i="45"/>
  <c r="AQ9" i="45"/>
  <c r="AP9" i="45"/>
  <c r="AO9" i="45"/>
  <c r="AN9" i="45"/>
  <c r="AK9" i="45"/>
  <c r="AH9" i="45"/>
  <c r="S9" i="45"/>
  <c r="BV9" i="45" s="1"/>
  <c r="Q73" i="37" s="1"/>
  <c r="P9" i="45"/>
  <c r="N9" i="45"/>
  <c r="BL9" i="45" s="1"/>
  <c r="M9" i="45"/>
  <c r="L9" i="45"/>
  <c r="I9" i="45"/>
  <c r="F9" i="45"/>
  <c r="CY8" i="45"/>
  <c r="CV8" i="45"/>
  <c r="BN8" i="45"/>
  <c r="BM8" i="45"/>
  <c r="AU8" i="45"/>
  <c r="AR8" i="45"/>
  <c r="AP8" i="45"/>
  <c r="AO8" i="45"/>
  <c r="AQ8" i="45" s="1"/>
  <c r="AN8" i="45"/>
  <c r="AK8" i="45"/>
  <c r="AH8" i="45"/>
  <c r="S8" i="45"/>
  <c r="P8" i="45"/>
  <c r="N8" i="45"/>
  <c r="M8" i="45"/>
  <c r="L8" i="45"/>
  <c r="I8" i="45"/>
  <c r="F8" i="45"/>
  <c r="CY7" i="45"/>
  <c r="CV7" i="45"/>
  <c r="CP7" i="45"/>
  <c r="CA7" i="45"/>
  <c r="BN7" i="45"/>
  <c r="AU7" i="45"/>
  <c r="AR7" i="45"/>
  <c r="AQ7" i="45"/>
  <c r="AP7" i="45"/>
  <c r="AO7" i="45"/>
  <c r="AN7" i="45"/>
  <c r="AK7" i="45"/>
  <c r="AH7" i="45"/>
  <c r="S7" i="45"/>
  <c r="BV7" i="45" s="1"/>
  <c r="Q71" i="37" s="1"/>
  <c r="P7" i="45"/>
  <c r="N7" i="45"/>
  <c r="BL7" i="45" s="1"/>
  <c r="M7" i="45"/>
  <c r="L7" i="45"/>
  <c r="I7" i="45"/>
  <c r="F7" i="45"/>
  <c r="CY6" i="45"/>
  <c r="CV6" i="45"/>
  <c r="CA6" i="45"/>
  <c r="BP6" i="45"/>
  <c r="BN6" i="45"/>
  <c r="BL6" i="45"/>
  <c r="AU6" i="45"/>
  <c r="AR6" i="45"/>
  <c r="AP6" i="45"/>
  <c r="AQ6" i="45" s="1"/>
  <c r="AO6" i="45"/>
  <c r="AN6" i="45"/>
  <c r="AK6" i="45"/>
  <c r="AH6" i="45"/>
  <c r="S6" i="45"/>
  <c r="BV6" i="45" s="1"/>
  <c r="Q70" i="37" s="1"/>
  <c r="P6" i="45"/>
  <c r="BI6" i="45" s="1"/>
  <c r="O6" i="45"/>
  <c r="N6" i="45"/>
  <c r="BM6" i="45" s="1"/>
  <c r="M6" i="45"/>
  <c r="L6" i="45"/>
  <c r="I6" i="45"/>
  <c r="F6" i="45"/>
  <c r="CY5" i="45"/>
  <c r="CV5" i="45"/>
  <c r="CA5" i="45"/>
  <c r="BN5" i="45"/>
  <c r="AU5" i="45"/>
  <c r="AR5" i="45"/>
  <c r="AP5" i="45"/>
  <c r="AO5" i="45"/>
  <c r="AQ5" i="45" s="1"/>
  <c r="AN5" i="45"/>
  <c r="AK5" i="45"/>
  <c r="AH5" i="45"/>
  <c r="S5" i="45"/>
  <c r="P5" i="45"/>
  <c r="N5" i="45"/>
  <c r="M5" i="45"/>
  <c r="L5" i="45"/>
  <c r="I5" i="45"/>
  <c r="F5" i="45"/>
  <c r="BV4" i="45"/>
  <c r="Q68" i="37" s="1"/>
  <c r="BO4" i="45"/>
  <c r="BN4" i="45"/>
  <c r="AU4" i="45"/>
  <c r="AR4" i="45"/>
  <c r="AP4" i="45"/>
  <c r="AO4" i="45"/>
  <c r="AQ4" i="45" s="1"/>
  <c r="AN4" i="45"/>
  <c r="AK4" i="45"/>
  <c r="AH4" i="45"/>
  <c r="S4" i="45"/>
  <c r="P4" i="45"/>
  <c r="N4" i="45"/>
  <c r="BH4" i="45" s="1"/>
  <c r="M4" i="45"/>
  <c r="L4" i="45"/>
  <c r="I4" i="45"/>
  <c r="F4" i="45"/>
  <c r="BP3" i="45"/>
  <c r="BN3" i="45"/>
  <c r="AU3" i="45"/>
  <c r="AR3" i="45"/>
  <c r="AP3" i="45"/>
  <c r="AO3" i="45"/>
  <c r="AQ3" i="45" s="1"/>
  <c r="AN3" i="45"/>
  <c r="AK3" i="45"/>
  <c r="AH3" i="45"/>
  <c r="S3" i="45"/>
  <c r="P3" i="45"/>
  <c r="N3" i="45"/>
  <c r="BH3" i="45" s="1"/>
  <c r="M3" i="45"/>
  <c r="L3" i="45"/>
  <c r="I3" i="45"/>
  <c r="F3" i="45"/>
  <c r="P52" i="37"/>
  <c r="P53" i="37"/>
  <c r="P54" i="37"/>
  <c r="P55" i="37"/>
  <c r="P56" i="37"/>
  <c r="P57" i="37"/>
  <c r="P58" i="37"/>
  <c r="P59" i="37"/>
  <c r="P60" i="37"/>
  <c r="P61" i="37"/>
  <c r="P62" i="37"/>
  <c r="P63" i="37"/>
  <c r="P64" i="37"/>
  <c r="P65" i="37"/>
  <c r="P66" i="37"/>
  <c r="P51" i="37"/>
  <c r="J52" i="37"/>
  <c r="K52" i="37"/>
  <c r="L52" i="37"/>
  <c r="J53" i="37"/>
  <c r="K53" i="37"/>
  <c r="L53" i="37"/>
  <c r="J54" i="37"/>
  <c r="K54" i="37"/>
  <c r="L54" i="37"/>
  <c r="J55" i="37"/>
  <c r="K55" i="37"/>
  <c r="L55" i="37"/>
  <c r="J56" i="37"/>
  <c r="K56" i="37"/>
  <c r="L56" i="37"/>
  <c r="J57" i="37"/>
  <c r="K57" i="37"/>
  <c r="L57" i="37"/>
  <c r="J58" i="37"/>
  <c r="K58" i="37"/>
  <c r="L58" i="37"/>
  <c r="J59" i="37"/>
  <c r="K59" i="37"/>
  <c r="L59" i="37"/>
  <c r="J60" i="37"/>
  <c r="K60" i="37"/>
  <c r="L60" i="37"/>
  <c r="J61" i="37"/>
  <c r="K61" i="37"/>
  <c r="L61" i="37"/>
  <c r="J62" i="37"/>
  <c r="K62" i="37"/>
  <c r="L62" i="37"/>
  <c r="J63" i="37"/>
  <c r="K63" i="37"/>
  <c r="L63" i="37"/>
  <c r="J64" i="37"/>
  <c r="K64" i="37"/>
  <c r="L64" i="37"/>
  <c r="J65" i="37"/>
  <c r="K65" i="37"/>
  <c r="L65" i="37"/>
  <c r="J66" i="37"/>
  <c r="K66" i="37"/>
  <c r="L66" i="37"/>
  <c r="K51" i="37"/>
  <c r="L51" i="37"/>
  <c r="J51" i="37"/>
  <c r="C53" i="37"/>
  <c r="D53" i="37"/>
  <c r="E53" i="37"/>
  <c r="F53" i="37"/>
  <c r="C54" i="37"/>
  <c r="D54" i="37"/>
  <c r="E54" i="37"/>
  <c r="F54" i="37"/>
  <c r="C55" i="37"/>
  <c r="D55" i="37"/>
  <c r="E55" i="37"/>
  <c r="F55" i="37"/>
  <c r="C56" i="37"/>
  <c r="D56" i="37"/>
  <c r="E56" i="37"/>
  <c r="F56" i="37"/>
  <c r="C57" i="37"/>
  <c r="D57" i="37"/>
  <c r="E57" i="37"/>
  <c r="F57" i="37"/>
  <c r="C58" i="37"/>
  <c r="D58" i="37"/>
  <c r="E58" i="37"/>
  <c r="F58" i="37"/>
  <c r="C59" i="37"/>
  <c r="D59" i="37"/>
  <c r="E59" i="37"/>
  <c r="F59" i="37"/>
  <c r="C60" i="37"/>
  <c r="D60" i="37"/>
  <c r="E60" i="37"/>
  <c r="F60" i="37"/>
  <c r="C61" i="37"/>
  <c r="D61" i="37"/>
  <c r="E61" i="37"/>
  <c r="F61" i="37"/>
  <c r="C62" i="37"/>
  <c r="D62" i="37"/>
  <c r="E62" i="37"/>
  <c r="F62" i="37"/>
  <c r="C63" i="37"/>
  <c r="D63" i="37"/>
  <c r="E63" i="37"/>
  <c r="F63" i="37"/>
  <c r="C64" i="37"/>
  <c r="D64" i="37"/>
  <c r="E64" i="37"/>
  <c r="F64" i="37"/>
  <c r="C65" i="37"/>
  <c r="D65" i="37"/>
  <c r="E65" i="37"/>
  <c r="F65" i="37"/>
  <c r="C66" i="37"/>
  <c r="D66" i="37"/>
  <c r="E66" i="37"/>
  <c r="F66" i="37"/>
  <c r="D52" i="37"/>
  <c r="E52" i="37"/>
  <c r="F52" i="37"/>
  <c r="C52" i="37"/>
  <c r="A52" i="37"/>
  <c r="B52" i="37"/>
  <c r="G52" i="37"/>
  <c r="H52" i="37"/>
  <c r="I52" i="37"/>
  <c r="M52" i="37"/>
  <c r="N52" i="37"/>
  <c r="O52" i="37"/>
  <c r="A53" i="37"/>
  <c r="B53" i="37"/>
  <c r="G53" i="37"/>
  <c r="H53" i="37"/>
  <c r="I53" i="37"/>
  <c r="M53" i="37"/>
  <c r="N53" i="37"/>
  <c r="O53" i="37"/>
  <c r="A54" i="37"/>
  <c r="B54" i="37"/>
  <c r="G54" i="37"/>
  <c r="H54" i="37"/>
  <c r="I54" i="37"/>
  <c r="M54" i="37"/>
  <c r="N54" i="37"/>
  <c r="O54" i="37"/>
  <c r="A55" i="37"/>
  <c r="B55" i="37"/>
  <c r="G55" i="37"/>
  <c r="H55" i="37"/>
  <c r="I55" i="37"/>
  <c r="M55" i="37"/>
  <c r="N55" i="37"/>
  <c r="O55" i="37"/>
  <c r="A56" i="37"/>
  <c r="B56" i="37"/>
  <c r="G56" i="37"/>
  <c r="H56" i="37"/>
  <c r="I56" i="37"/>
  <c r="M56" i="37"/>
  <c r="N56" i="37"/>
  <c r="O56" i="37"/>
  <c r="A57" i="37"/>
  <c r="B57" i="37"/>
  <c r="G57" i="37"/>
  <c r="H57" i="37"/>
  <c r="I57" i="37"/>
  <c r="M57" i="37"/>
  <c r="N57" i="37"/>
  <c r="O57" i="37"/>
  <c r="A58" i="37"/>
  <c r="B58" i="37"/>
  <c r="G58" i="37"/>
  <c r="H58" i="37"/>
  <c r="I58" i="37"/>
  <c r="M58" i="37"/>
  <c r="N58" i="37"/>
  <c r="O58" i="37"/>
  <c r="A59" i="37"/>
  <c r="B59" i="37"/>
  <c r="G59" i="37"/>
  <c r="H59" i="37"/>
  <c r="I59" i="37"/>
  <c r="M59" i="37"/>
  <c r="N59" i="37"/>
  <c r="O59" i="37"/>
  <c r="A60" i="37"/>
  <c r="B60" i="37"/>
  <c r="G60" i="37"/>
  <c r="H60" i="37"/>
  <c r="I60" i="37"/>
  <c r="M60" i="37"/>
  <c r="N60" i="37"/>
  <c r="O60" i="37"/>
  <c r="A61" i="37"/>
  <c r="B61" i="37"/>
  <c r="G61" i="37"/>
  <c r="H61" i="37"/>
  <c r="I61" i="37"/>
  <c r="M61" i="37"/>
  <c r="N61" i="37"/>
  <c r="O61" i="37"/>
  <c r="A62" i="37"/>
  <c r="B62" i="37"/>
  <c r="G62" i="37"/>
  <c r="H62" i="37"/>
  <c r="I62" i="37"/>
  <c r="M62" i="37"/>
  <c r="N62" i="37"/>
  <c r="O62" i="37"/>
  <c r="A63" i="37"/>
  <c r="B63" i="37"/>
  <c r="G63" i="37"/>
  <c r="H63" i="37"/>
  <c r="I63" i="37"/>
  <c r="M63" i="37"/>
  <c r="N63" i="37"/>
  <c r="O63" i="37"/>
  <c r="A64" i="37"/>
  <c r="B64" i="37"/>
  <c r="G64" i="37"/>
  <c r="H64" i="37"/>
  <c r="I64" i="37"/>
  <c r="M64" i="37"/>
  <c r="N64" i="37"/>
  <c r="O64" i="37"/>
  <c r="A65" i="37"/>
  <c r="B65" i="37"/>
  <c r="G65" i="37"/>
  <c r="H65" i="37"/>
  <c r="I65" i="37"/>
  <c r="M65" i="37"/>
  <c r="N65" i="37"/>
  <c r="O65" i="37"/>
  <c r="B66" i="37"/>
  <c r="G66" i="37"/>
  <c r="H66" i="37"/>
  <c r="I66" i="37"/>
  <c r="M66" i="37"/>
  <c r="N66" i="37"/>
  <c r="O66" i="37"/>
  <c r="B51" i="37"/>
  <c r="C51" i="37"/>
  <c r="D51" i="37"/>
  <c r="E51" i="37"/>
  <c r="F51" i="37"/>
  <c r="G51" i="37"/>
  <c r="H51" i="37"/>
  <c r="I51" i="37"/>
  <c r="M51" i="37"/>
  <c r="N51" i="37"/>
  <c r="O51" i="37"/>
  <c r="A51" i="37"/>
  <c r="P36" i="37"/>
  <c r="P37" i="37"/>
  <c r="P38" i="37"/>
  <c r="P39" i="37"/>
  <c r="P40" i="37"/>
  <c r="P41" i="37"/>
  <c r="P42" i="37"/>
  <c r="P43" i="37"/>
  <c r="P44" i="37"/>
  <c r="P45" i="37"/>
  <c r="P46" i="37"/>
  <c r="P47" i="37"/>
  <c r="P48" i="37"/>
  <c r="P49" i="37"/>
  <c r="P35" i="37"/>
  <c r="P20" i="37"/>
  <c r="P21" i="37"/>
  <c r="P22" i="37"/>
  <c r="P23" i="37"/>
  <c r="P24" i="37"/>
  <c r="P25" i="37"/>
  <c r="P26" i="37"/>
  <c r="P27" i="37"/>
  <c r="P28" i="37"/>
  <c r="P29" i="37"/>
  <c r="P30" i="37"/>
  <c r="P31" i="37"/>
  <c r="P32" i="37"/>
  <c r="P33" i="37"/>
  <c r="P19" i="37"/>
  <c r="J36" i="37"/>
  <c r="K36" i="37"/>
  <c r="L36" i="37"/>
  <c r="J37" i="37"/>
  <c r="K37" i="37"/>
  <c r="L37" i="37"/>
  <c r="J38" i="37"/>
  <c r="K38" i="37"/>
  <c r="L38" i="37"/>
  <c r="J39" i="37"/>
  <c r="K39" i="37"/>
  <c r="L39" i="37"/>
  <c r="J40" i="37"/>
  <c r="K40" i="37"/>
  <c r="L40" i="37"/>
  <c r="J41" i="37"/>
  <c r="K41" i="37"/>
  <c r="L41" i="37"/>
  <c r="J42" i="37"/>
  <c r="K42" i="37"/>
  <c r="L42" i="37"/>
  <c r="J43" i="37"/>
  <c r="K43" i="37"/>
  <c r="L43" i="37"/>
  <c r="J44" i="37"/>
  <c r="K44" i="37"/>
  <c r="L44" i="37"/>
  <c r="J45" i="37"/>
  <c r="K45" i="37"/>
  <c r="L45" i="37"/>
  <c r="J46" i="37"/>
  <c r="K46" i="37"/>
  <c r="L46" i="37"/>
  <c r="J47" i="37"/>
  <c r="K47" i="37"/>
  <c r="L47" i="37"/>
  <c r="J48" i="37"/>
  <c r="K48" i="37"/>
  <c r="L48" i="37"/>
  <c r="J49" i="37"/>
  <c r="K49" i="37"/>
  <c r="L49" i="37"/>
  <c r="J50" i="37"/>
  <c r="K50" i="37"/>
  <c r="L50" i="37"/>
  <c r="K35" i="37"/>
  <c r="L35" i="37"/>
  <c r="J35" i="37"/>
  <c r="K19" i="37"/>
  <c r="L19" i="37"/>
  <c r="K20" i="37"/>
  <c r="L20" i="37"/>
  <c r="K21" i="37"/>
  <c r="L21" i="37"/>
  <c r="K22" i="37"/>
  <c r="L22" i="37"/>
  <c r="K23" i="37"/>
  <c r="L23" i="37"/>
  <c r="K24" i="37"/>
  <c r="L24" i="37"/>
  <c r="K25" i="37"/>
  <c r="L25" i="37"/>
  <c r="K26" i="37"/>
  <c r="L26" i="37"/>
  <c r="K27" i="37"/>
  <c r="L27" i="37"/>
  <c r="K28" i="37"/>
  <c r="L28" i="37"/>
  <c r="K29" i="37"/>
  <c r="L29" i="37"/>
  <c r="K30" i="37"/>
  <c r="L30" i="37"/>
  <c r="K31" i="37"/>
  <c r="L31" i="37"/>
  <c r="K32" i="37"/>
  <c r="L32" i="37"/>
  <c r="K33" i="37"/>
  <c r="L33" i="37"/>
  <c r="K34" i="37"/>
  <c r="L34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19" i="37"/>
  <c r="C36" i="37"/>
  <c r="D36" i="37"/>
  <c r="E36" i="37"/>
  <c r="F36" i="37"/>
  <c r="C37" i="37"/>
  <c r="D37" i="37"/>
  <c r="E37" i="37"/>
  <c r="F37" i="37"/>
  <c r="C38" i="37"/>
  <c r="D38" i="37"/>
  <c r="E38" i="37"/>
  <c r="F38" i="37"/>
  <c r="C39" i="37"/>
  <c r="D39" i="37"/>
  <c r="E39" i="37"/>
  <c r="F39" i="37"/>
  <c r="C40" i="37"/>
  <c r="D40" i="37"/>
  <c r="E40" i="37"/>
  <c r="F40" i="37"/>
  <c r="C41" i="37"/>
  <c r="D41" i="37"/>
  <c r="E41" i="37"/>
  <c r="F41" i="37"/>
  <c r="C42" i="37"/>
  <c r="D42" i="37"/>
  <c r="E42" i="37"/>
  <c r="F42" i="37"/>
  <c r="C43" i="37"/>
  <c r="D43" i="37"/>
  <c r="E43" i="37"/>
  <c r="F43" i="37"/>
  <c r="C44" i="37"/>
  <c r="D44" i="37"/>
  <c r="E44" i="37"/>
  <c r="F44" i="37"/>
  <c r="C45" i="37"/>
  <c r="D45" i="37"/>
  <c r="E45" i="37"/>
  <c r="F45" i="37"/>
  <c r="C46" i="37"/>
  <c r="D46" i="37"/>
  <c r="E46" i="37"/>
  <c r="F46" i="37"/>
  <c r="C47" i="37"/>
  <c r="D47" i="37"/>
  <c r="E47" i="37"/>
  <c r="F47" i="37"/>
  <c r="C48" i="37"/>
  <c r="D48" i="37"/>
  <c r="E48" i="37"/>
  <c r="F48" i="37"/>
  <c r="C49" i="37"/>
  <c r="D49" i="37"/>
  <c r="E49" i="37"/>
  <c r="F49" i="37"/>
  <c r="C50" i="37"/>
  <c r="D50" i="37"/>
  <c r="E50" i="37"/>
  <c r="F50" i="37"/>
  <c r="D35" i="37"/>
  <c r="E35" i="37"/>
  <c r="F35" i="37"/>
  <c r="C35" i="37"/>
  <c r="C20" i="37"/>
  <c r="D20" i="37"/>
  <c r="E20" i="37"/>
  <c r="F20" i="37"/>
  <c r="C21" i="37"/>
  <c r="D21" i="37"/>
  <c r="E21" i="37"/>
  <c r="F21" i="37"/>
  <c r="C22" i="37"/>
  <c r="D22" i="37"/>
  <c r="E22" i="37"/>
  <c r="F22" i="37"/>
  <c r="C23" i="37"/>
  <c r="D23" i="37"/>
  <c r="E23" i="37"/>
  <c r="F23" i="37"/>
  <c r="C24" i="37"/>
  <c r="D24" i="37"/>
  <c r="E24" i="37"/>
  <c r="F24" i="37"/>
  <c r="C25" i="37"/>
  <c r="D25" i="37"/>
  <c r="E25" i="37"/>
  <c r="F25" i="37"/>
  <c r="C26" i="37"/>
  <c r="D26" i="37"/>
  <c r="E26" i="37"/>
  <c r="F26" i="37"/>
  <c r="C27" i="37"/>
  <c r="D27" i="37"/>
  <c r="E27" i="37"/>
  <c r="F27" i="37"/>
  <c r="C28" i="37"/>
  <c r="D28" i="37"/>
  <c r="E28" i="37"/>
  <c r="F28" i="37"/>
  <c r="C29" i="37"/>
  <c r="D29" i="37"/>
  <c r="E29" i="37"/>
  <c r="F29" i="37"/>
  <c r="C30" i="37"/>
  <c r="D30" i="37"/>
  <c r="E30" i="37"/>
  <c r="F30" i="37"/>
  <c r="C31" i="37"/>
  <c r="D31" i="37"/>
  <c r="E31" i="37"/>
  <c r="F31" i="37"/>
  <c r="C32" i="37"/>
  <c r="D32" i="37"/>
  <c r="E32" i="37"/>
  <c r="F32" i="37"/>
  <c r="C33" i="37"/>
  <c r="D33" i="37"/>
  <c r="E33" i="37"/>
  <c r="F33" i="37"/>
  <c r="C34" i="37"/>
  <c r="D34" i="37"/>
  <c r="E34" i="37"/>
  <c r="F34" i="37"/>
  <c r="D19" i="37"/>
  <c r="E19" i="37"/>
  <c r="F19" i="37"/>
  <c r="C19" i="37"/>
  <c r="N36" i="39"/>
  <c r="N37" i="39"/>
  <c r="N38" i="39"/>
  <c r="N39" i="39"/>
  <c r="N40" i="39"/>
  <c r="N41" i="39"/>
  <c r="N42" i="39"/>
  <c r="N43" i="39"/>
  <c r="N44" i="39"/>
  <c r="N45" i="39"/>
  <c r="N46" i="39"/>
  <c r="N47" i="39"/>
  <c r="N48" i="39"/>
  <c r="N49" i="39"/>
  <c r="N50" i="39"/>
  <c r="N35" i="39"/>
  <c r="N20" i="39"/>
  <c r="N21" i="39"/>
  <c r="N22" i="39"/>
  <c r="N23" i="39"/>
  <c r="N24" i="39"/>
  <c r="N25" i="39"/>
  <c r="N26" i="39"/>
  <c r="N27" i="39"/>
  <c r="N28" i="39"/>
  <c r="N29" i="39"/>
  <c r="N30" i="39"/>
  <c r="N31" i="39"/>
  <c r="N32" i="39"/>
  <c r="N33" i="39"/>
  <c r="N34" i="39"/>
  <c r="N19" i="39"/>
  <c r="K36" i="39"/>
  <c r="K37" i="39"/>
  <c r="K38" i="39"/>
  <c r="K39" i="39"/>
  <c r="K40" i="39"/>
  <c r="K41" i="39"/>
  <c r="K42" i="39"/>
  <c r="K43" i="39"/>
  <c r="K44" i="39"/>
  <c r="K45" i="39"/>
  <c r="K46" i="39"/>
  <c r="K47" i="39"/>
  <c r="K48" i="39"/>
  <c r="K49" i="39"/>
  <c r="K50" i="39"/>
  <c r="K35" i="39"/>
  <c r="K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19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35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19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35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19" i="39"/>
  <c r="A50" i="39"/>
  <c r="B50" i="39"/>
  <c r="C50" i="39"/>
  <c r="D50" i="39"/>
  <c r="F50" i="39"/>
  <c r="G50" i="39"/>
  <c r="I50" i="39"/>
  <c r="J50" i="39"/>
  <c r="L50" i="39"/>
  <c r="M50" i="39"/>
  <c r="O50" i="39"/>
  <c r="P50" i="39"/>
  <c r="Q50" i="39"/>
  <c r="R50" i="39"/>
  <c r="S50" i="39"/>
  <c r="T50" i="39"/>
  <c r="U50" i="39"/>
  <c r="V50" i="39"/>
  <c r="W50" i="39"/>
  <c r="X50" i="39"/>
  <c r="Y50" i="39"/>
  <c r="Z50" i="39"/>
  <c r="A36" i="39"/>
  <c r="B36" i="39"/>
  <c r="C36" i="39"/>
  <c r="D36" i="39"/>
  <c r="F36" i="39"/>
  <c r="G36" i="39"/>
  <c r="I36" i="39"/>
  <c r="J36" i="39"/>
  <c r="L36" i="39"/>
  <c r="M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37" i="39"/>
  <c r="B37" i="39"/>
  <c r="C37" i="39"/>
  <c r="D37" i="39"/>
  <c r="F37" i="39"/>
  <c r="G37" i="39"/>
  <c r="I37" i="39"/>
  <c r="J37" i="39"/>
  <c r="L37" i="39"/>
  <c r="M37" i="39"/>
  <c r="O37" i="39"/>
  <c r="P37" i="39"/>
  <c r="Q37" i="39"/>
  <c r="R37" i="39"/>
  <c r="S37" i="39"/>
  <c r="T37" i="39"/>
  <c r="U37" i="39"/>
  <c r="V37" i="39"/>
  <c r="W37" i="39"/>
  <c r="X37" i="39"/>
  <c r="Y37" i="39"/>
  <c r="Z37" i="39"/>
  <c r="A38" i="39"/>
  <c r="B38" i="39"/>
  <c r="C38" i="39"/>
  <c r="D38" i="39"/>
  <c r="F38" i="39"/>
  <c r="G38" i="39"/>
  <c r="I38" i="39"/>
  <c r="J38" i="39"/>
  <c r="L38" i="39"/>
  <c r="M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A39" i="39"/>
  <c r="B39" i="39"/>
  <c r="C39" i="39"/>
  <c r="D39" i="39"/>
  <c r="F39" i="39"/>
  <c r="G39" i="39"/>
  <c r="I39" i="39"/>
  <c r="J39" i="39"/>
  <c r="L39" i="39"/>
  <c r="M39" i="39"/>
  <c r="O39" i="39"/>
  <c r="P39" i="39"/>
  <c r="Q39" i="39"/>
  <c r="R39" i="39"/>
  <c r="S39" i="39"/>
  <c r="T39" i="39"/>
  <c r="U39" i="39"/>
  <c r="V39" i="39"/>
  <c r="W39" i="39"/>
  <c r="X39" i="39"/>
  <c r="Y39" i="39"/>
  <c r="Z39" i="39"/>
  <c r="A40" i="39"/>
  <c r="B40" i="39"/>
  <c r="C40" i="39"/>
  <c r="D40" i="39"/>
  <c r="F40" i="39"/>
  <c r="G40" i="39"/>
  <c r="I40" i="39"/>
  <c r="J40" i="39"/>
  <c r="L40" i="39"/>
  <c r="M40" i="39"/>
  <c r="O40" i="39"/>
  <c r="P40" i="39"/>
  <c r="Q40" i="39"/>
  <c r="R40" i="39"/>
  <c r="S40" i="39"/>
  <c r="T40" i="39"/>
  <c r="U40" i="39"/>
  <c r="V40" i="39"/>
  <c r="W40" i="39"/>
  <c r="X40" i="39"/>
  <c r="Y40" i="39"/>
  <c r="Z40" i="39"/>
  <c r="A41" i="39"/>
  <c r="B41" i="39"/>
  <c r="C41" i="39"/>
  <c r="D41" i="39"/>
  <c r="F41" i="39"/>
  <c r="G41" i="39"/>
  <c r="I41" i="39"/>
  <c r="J41" i="39"/>
  <c r="L41" i="39"/>
  <c r="M41" i="39"/>
  <c r="O41" i="39"/>
  <c r="P41" i="39"/>
  <c r="Q41" i="39"/>
  <c r="R41" i="39"/>
  <c r="S41" i="39"/>
  <c r="T41" i="39"/>
  <c r="U41" i="39"/>
  <c r="V41" i="39"/>
  <c r="W41" i="39"/>
  <c r="X41" i="39"/>
  <c r="Y41" i="39"/>
  <c r="Z41" i="39"/>
  <c r="A42" i="39"/>
  <c r="B42" i="39"/>
  <c r="C42" i="39"/>
  <c r="D42" i="39"/>
  <c r="F42" i="39"/>
  <c r="G42" i="39"/>
  <c r="I42" i="39"/>
  <c r="J42" i="39"/>
  <c r="L42" i="39"/>
  <c r="M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A43" i="39"/>
  <c r="B43" i="39"/>
  <c r="C43" i="39"/>
  <c r="D43" i="39"/>
  <c r="F43" i="39"/>
  <c r="G43" i="39"/>
  <c r="I43" i="39"/>
  <c r="J43" i="39"/>
  <c r="L43" i="39"/>
  <c r="M43" i="39"/>
  <c r="O43" i="39"/>
  <c r="P43" i="39"/>
  <c r="Q43" i="39"/>
  <c r="R43" i="39"/>
  <c r="S43" i="39"/>
  <c r="T43" i="39"/>
  <c r="U43" i="39"/>
  <c r="V43" i="39"/>
  <c r="W43" i="39"/>
  <c r="X43" i="39"/>
  <c r="Y43" i="39"/>
  <c r="Z43" i="39"/>
  <c r="A44" i="39"/>
  <c r="B44" i="39"/>
  <c r="C44" i="39"/>
  <c r="D44" i="39"/>
  <c r="F44" i="39"/>
  <c r="G44" i="39"/>
  <c r="I44" i="39"/>
  <c r="J44" i="39"/>
  <c r="L44" i="39"/>
  <c r="M44" i="39"/>
  <c r="O44" i="39"/>
  <c r="P44" i="39"/>
  <c r="Q44" i="39"/>
  <c r="R44" i="39"/>
  <c r="S44" i="39"/>
  <c r="T44" i="39"/>
  <c r="U44" i="39"/>
  <c r="V44" i="39"/>
  <c r="W44" i="39"/>
  <c r="X44" i="39"/>
  <c r="Y44" i="39"/>
  <c r="Z44" i="39"/>
  <c r="A45" i="39"/>
  <c r="B45" i="39"/>
  <c r="C45" i="39"/>
  <c r="D45" i="39"/>
  <c r="F45" i="39"/>
  <c r="G45" i="39"/>
  <c r="I45" i="39"/>
  <c r="J45" i="39"/>
  <c r="L45" i="39"/>
  <c r="M45" i="39"/>
  <c r="O45" i="39"/>
  <c r="P45" i="39"/>
  <c r="Q45" i="39"/>
  <c r="R45" i="39"/>
  <c r="S45" i="39"/>
  <c r="T45" i="39"/>
  <c r="U45" i="39"/>
  <c r="V45" i="39"/>
  <c r="W45" i="39"/>
  <c r="X45" i="39"/>
  <c r="Y45" i="39"/>
  <c r="Z45" i="39"/>
  <c r="A46" i="39"/>
  <c r="B46" i="39"/>
  <c r="C46" i="39"/>
  <c r="D46" i="39"/>
  <c r="F46" i="39"/>
  <c r="G46" i="39"/>
  <c r="I46" i="39"/>
  <c r="J46" i="39"/>
  <c r="L46" i="39"/>
  <c r="M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47" i="39"/>
  <c r="B47" i="39"/>
  <c r="C47" i="39"/>
  <c r="D47" i="39"/>
  <c r="F47" i="39"/>
  <c r="G47" i="39"/>
  <c r="I47" i="39"/>
  <c r="J47" i="39"/>
  <c r="L47" i="39"/>
  <c r="M47" i="39"/>
  <c r="O47" i="39"/>
  <c r="P47" i="39"/>
  <c r="Q47" i="39"/>
  <c r="R47" i="39"/>
  <c r="S47" i="39"/>
  <c r="T47" i="39"/>
  <c r="U47" i="39"/>
  <c r="V47" i="39"/>
  <c r="W47" i="39"/>
  <c r="X47" i="39"/>
  <c r="Y47" i="39"/>
  <c r="Z47" i="39"/>
  <c r="A48" i="39"/>
  <c r="B48" i="39"/>
  <c r="C48" i="39"/>
  <c r="D48" i="39"/>
  <c r="F48" i="39"/>
  <c r="G48" i="39"/>
  <c r="I48" i="39"/>
  <c r="J48" i="39"/>
  <c r="L48" i="39"/>
  <c r="M48" i="39"/>
  <c r="O48" i="39"/>
  <c r="P48" i="39"/>
  <c r="Q48" i="39"/>
  <c r="R48" i="39"/>
  <c r="S48" i="39"/>
  <c r="T48" i="39"/>
  <c r="U48" i="39"/>
  <c r="V48" i="39"/>
  <c r="W48" i="39"/>
  <c r="X48" i="39"/>
  <c r="Y48" i="39"/>
  <c r="Z48" i="39"/>
  <c r="A49" i="39"/>
  <c r="B49" i="39"/>
  <c r="C49" i="39"/>
  <c r="D49" i="39"/>
  <c r="F49" i="39"/>
  <c r="G49" i="39"/>
  <c r="I49" i="39"/>
  <c r="J49" i="39"/>
  <c r="L49" i="39"/>
  <c r="M49" i="39"/>
  <c r="O49" i="39"/>
  <c r="P49" i="39"/>
  <c r="Q49" i="39"/>
  <c r="R49" i="39"/>
  <c r="S49" i="39"/>
  <c r="T49" i="39"/>
  <c r="U49" i="39"/>
  <c r="V49" i="39"/>
  <c r="W49" i="39"/>
  <c r="X49" i="39"/>
  <c r="Y49" i="39"/>
  <c r="Z49" i="39"/>
  <c r="B35" i="39"/>
  <c r="C35" i="39"/>
  <c r="D35" i="39"/>
  <c r="F35" i="39"/>
  <c r="G35" i="39"/>
  <c r="I35" i="39"/>
  <c r="J35" i="39"/>
  <c r="L35" i="39"/>
  <c r="M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35" i="39"/>
  <c r="A36" i="37"/>
  <c r="B36" i="37"/>
  <c r="G36" i="37"/>
  <c r="H36" i="37"/>
  <c r="I36" i="37"/>
  <c r="M36" i="37"/>
  <c r="N36" i="37"/>
  <c r="O36" i="37"/>
  <c r="A37" i="37"/>
  <c r="B37" i="37"/>
  <c r="G37" i="37"/>
  <c r="H37" i="37"/>
  <c r="I37" i="37"/>
  <c r="M37" i="37"/>
  <c r="N37" i="37"/>
  <c r="O37" i="37"/>
  <c r="A38" i="37"/>
  <c r="B38" i="37"/>
  <c r="G38" i="37"/>
  <c r="H38" i="37"/>
  <c r="I38" i="37"/>
  <c r="M38" i="37"/>
  <c r="N38" i="37"/>
  <c r="O38" i="37"/>
  <c r="A39" i="37"/>
  <c r="B39" i="37"/>
  <c r="G39" i="37"/>
  <c r="H39" i="37"/>
  <c r="I39" i="37"/>
  <c r="M39" i="37"/>
  <c r="N39" i="37"/>
  <c r="O39" i="37"/>
  <c r="A40" i="37"/>
  <c r="B40" i="37"/>
  <c r="G40" i="37"/>
  <c r="H40" i="37"/>
  <c r="I40" i="37"/>
  <c r="M40" i="37"/>
  <c r="N40" i="37"/>
  <c r="O40" i="37"/>
  <c r="A41" i="37"/>
  <c r="B41" i="37"/>
  <c r="G41" i="37"/>
  <c r="H41" i="37"/>
  <c r="I41" i="37"/>
  <c r="M41" i="37"/>
  <c r="N41" i="37"/>
  <c r="O41" i="37"/>
  <c r="A42" i="37"/>
  <c r="B42" i="37"/>
  <c r="G42" i="37"/>
  <c r="H42" i="37"/>
  <c r="I42" i="37"/>
  <c r="M42" i="37"/>
  <c r="N42" i="37"/>
  <c r="O42" i="37"/>
  <c r="A43" i="37"/>
  <c r="B43" i="37"/>
  <c r="G43" i="37"/>
  <c r="H43" i="37"/>
  <c r="I43" i="37"/>
  <c r="M43" i="37"/>
  <c r="N43" i="37"/>
  <c r="O43" i="37"/>
  <c r="A44" i="37"/>
  <c r="B44" i="37"/>
  <c r="G44" i="37"/>
  <c r="H44" i="37"/>
  <c r="I44" i="37"/>
  <c r="M44" i="37"/>
  <c r="N44" i="37"/>
  <c r="O44" i="37"/>
  <c r="A45" i="37"/>
  <c r="B45" i="37"/>
  <c r="G45" i="37"/>
  <c r="H45" i="37"/>
  <c r="I45" i="37"/>
  <c r="M45" i="37"/>
  <c r="N45" i="37"/>
  <c r="O45" i="37"/>
  <c r="A46" i="37"/>
  <c r="B46" i="37"/>
  <c r="G46" i="37"/>
  <c r="H46" i="37"/>
  <c r="I46" i="37"/>
  <c r="M46" i="37"/>
  <c r="N46" i="37"/>
  <c r="O46" i="37"/>
  <c r="A47" i="37"/>
  <c r="B47" i="37"/>
  <c r="G47" i="37"/>
  <c r="H47" i="37"/>
  <c r="I47" i="37"/>
  <c r="M47" i="37"/>
  <c r="N47" i="37"/>
  <c r="O47" i="37"/>
  <c r="A48" i="37"/>
  <c r="B48" i="37"/>
  <c r="G48" i="37"/>
  <c r="H48" i="37"/>
  <c r="I48" i="37"/>
  <c r="M48" i="37"/>
  <c r="N48" i="37"/>
  <c r="O48" i="37"/>
  <c r="A49" i="37"/>
  <c r="B49" i="37"/>
  <c r="G49" i="37"/>
  <c r="H49" i="37"/>
  <c r="I49" i="37"/>
  <c r="M49" i="37"/>
  <c r="N49" i="37"/>
  <c r="O49" i="37"/>
  <c r="B50" i="37"/>
  <c r="G50" i="37"/>
  <c r="H50" i="37"/>
  <c r="I50" i="37"/>
  <c r="M50" i="37"/>
  <c r="N50" i="37"/>
  <c r="O50" i="37"/>
  <c r="B35" i="37"/>
  <c r="G35" i="37"/>
  <c r="H35" i="37"/>
  <c r="I35" i="37"/>
  <c r="M35" i="37"/>
  <c r="N35" i="37"/>
  <c r="O35" i="37"/>
  <c r="A35" i="37"/>
  <c r="BR7" i="44"/>
  <c r="AA18" i="44"/>
  <c r="CY20" i="44"/>
  <c r="CV20" i="44"/>
  <c r="CY19" i="44"/>
  <c r="CV19" i="44"/>
  <c r="CY18" i="44"/>
  <c r="CV18" i="44"/>
  <c r="BA18" i="44"/>
  <c r="AZ18" i="44"/>
  <c r="AY18" i="44"/>
  <c r="AX18" i="44"/>
  <c r="AW18" i="44"/>
  <c r="AV18" i="44"/>
  <c r="AU18" i="44"/>
  <c r="AN18" i="44"/>
  <c r="AK18" i="44"/>
  <c r="AH18" i="44"/>
  <c r="BO4" i="44"/>
  <c r="Z18" i="44"/>
  <c r="CD6" i="44" s="1"/>
  <c r="Y18" i="44"/>
  <c r="X18" i="44"/>
  <c r="W18" i="44"/>
  <c r="V18" i="44"/>
  <c r="U18" i="44"/>
  <c r="T18" i="44"/>
  <c r="R18" i="44"/>
  <c r="Q18" i="44"/>
  <c r="CP15" i="44" s="1"/>
  <c r="K18" i="44"/>
  <c r="J18" i="44"/>
  <c r="H18" i="44"/>
  <c r="G18" i="44"/>
  <c r="E18" i="44"/>
  <c r="D18" i="44"/>
  <c r="CY17" i="44"/>
  <c r="CV17" i="44"/>
  <c r="BN17" i="44"/>
  <c r="AU17" i="44"/>
  <c r="AR17" i="44"/>
  <c r="AQ17" i="44"/>
  <c r="AP17" i="44"/>
  <c r="AO17" i="44"/>
  <c r="AN17" i="44"/>
  <c r="AK17" i="44"/>
  <c r="AH17" i="44"/>
  <c r="S17" i="44"/>
  <c r="BV17" i="44" s="1"/>
  <c r="Q49" i="37" s="1"/>
  <c r="P17" i="44"/>
  <c r="N17" i="44"/>
  <c r="BM17" i="44" s="1"/>
  <c r="M17" i="44"/>
  <c r="L17" i="44"/>
  <c r="I17" i="44"/>
  <c r="F17" i="44"/>
  <c r="CY16" i="44"/>
  <c r="CV16" i="44"/>
  <c r="BN16" i="44"/>
  <c r="BH16" i="44"/>
  <c r="AU16" i="44"/>
  <c r="AR16" i="44"/>
  <c r="AP16" i="44"/>
  <c r="AO16" i="44"/>
  <c r="AQ16" i="44" s="1"/>
  <c r="AN16" i="44"/>
  <c r="AK16" i="44"/>
  <c r="AH16" i="44"/>
  <c r="S16" i="44"/>
  <c r="P16" i="44"/>
  <c r="N16" i="44"/>
  <c r="BM16" i="44" s="1"/>
  <c r="M16" i="44"/>
  <c r="L16" i="44"/>
  <c r="I16" i="44"/>
  <c r="F16" i="44"/>
  <c r="CY15" i="44"/>
  <c r="CV15" i="44"/>
  <c r="BN15" i="44"/>
  <c r="BH15" i="44"/>
  <c r="AU15" i="44"/>
  <c r="AR15" i="44"/>
  <c r="AQ15" i="44"/>
  <c r="AP15" i="44"/>
  <c r="AO15" i="44"/>
  <c r="AN15" i="44"/>
  <c r="AK15" i="44"/>
  <c r="AH15" i="44"/>
  <c r="S15" i="44"/>
  <c r="BV15" i="44" s="1"/>
  <c r="Q47" i="37" s="1"/>
  <c r="P15" i="44"/>
  <c r="N15" i="44"/>
  <c r="BL15" i="44" s="1"/>
  <c r="M15" i="44"/>
  <c r="L15" i="44"/>
  <c r="I15" i="44"/>
  <c r="F15" i="44"/>
  <c r="CY14" i="44"/>
  <c r="CV14" i="44"/>
  <c r="BN14" i="44"/>
  <c r="AU14" i="44"/>
  <c r="AR14" i="44"/>
  <c r="AP14" i="44"/>
  <c r="AO14" i="44"/>
  <c r="AQ14" i="44" s="1"/>
  <c r="AN14" i="44"/>
  <c r="AK14" i="44"/>
  <c r="AH14" i="44"/>
  <c r="S14" i="44"/>
  <c r="BV14" i="44" s="1"/>
  <c r="Q46" i="37" s="1"/>
  <c r="P14" i="44"/>
  <c r="N14" i="44"/>
  <c r="BM14" i="44" s="1"/>
  <c r="M14" i="44"/>
  <c r="L14" i="44"/>
  <c r="I14" i="44"/>
  <c r="F14" i="44"/>
  <c r="CY13" i="44"/>
  <c r="CV13" i="44"/>
  <c r="BV13" i="44"/>
  <c r="Q45" i="37" s="1"/>
  <c r="BN13" i="44"/>
  <c r="AU13" i="44"/>
  <c r="AR13" i="44"/>
  <c r="AQ13" i="44"/>
  <c r="AP13" i="44"/>
  <c r="AO13" i="44"/>
  <c r="AN13" i="44"/>
  <c r="AK13" i="44"/>
  <c r="AH13" i="44"/>
  <c r="S13" i="44"/>
  <c r="P13" i="44"/>
  <c r="N13" i="44"/>
  <c r="BL13" i="44" s="1"/>
  <c r="M13" i="44"/>
  <c r="L13" i="44"/>
  <c r="I13" i="44"/>
  <c r="F13" i="44"/>
  <c r="CY12" i="44"/>
  <c r="CV12" i="44"/>
  <c r="BN12" i="44"/>
  <c r="AU12" i="44"/>
  <c r="AR12" i="44"/>
  <c r="AP12" i="44"/>
  <c r="AO12" i="44"/>
  <c r="AQ12" i="44" s="1"/>
  <c r="AN12" i="44"/>
  <c r="AK12" i="44"/>
  <c r="AH12" i="44"/>
  <c r="S12" i="44"/>
  <c r="P12" i="44"/>
  <c r="N12" i="44"/>
  <c r="BL12" i="44" s="1"/>
  <c r="M12" i="44"/>
  <c r="L12" i="44"/>
  <c r="I12" i="44"/>
  <c r="F12" i="44"/>
  <c r="CY11" i="44"/>
  <c r="CV11" i="44"/>
  <c r="BN11" i="44"/>
  <c r="BM11" i="44"/>
  <c r="AU11" i="44"/>
  <c r="AR11" i="44"/>
  <c r="AQ11" i="44"/>
  <c r="AP11" i="44"/>
  <c r="AO11" i="44"/>
  <c r="AN11" i="44"/>
  <c r="AK11" i="44"/>
  <c r="AH11" i="44"/>
  <c r="S11" i="44"/>
  <c r="BV11" i="44" s="1"/>
  <c r="Q43" i="37" s="1"/>
  <c r="P11" i="44"/>
  <c r="BI11" i="44" s="1"/>
  <c r="N11" i="44"/>
  <c r="BL11" i="44" s="1"/>
  <c r="M11" i="44"/>
  <c r="L11" i="44"/>
  <c r="I11" i="44"/>
  <c r="F11" i="44"/>
  <c r="CY10" i="44"/>
  <c r="CV10" i="44"/>
  <c r="CD10" i="44"/>
  <c r="BN10" i="44"/>
  <c r="AU10" i="44"/>
  <c r="AR10" i="44"/>
  <c r="AP10" i="44"/>
  <c r="AO10" i="44"/>
  <c r="AQ10" i="44" s="1"/>
  <c r="AN10" i="44"/>
  <c r="AK10" i="44"/>
  <c r="AH10" i="44"/>
  <c r="S10" i="44"/>
  <c r="BV10" i="44" s="1"/>
  <c r="Q42" i="37" s="1"/>
  <c r="P10" i="44"/>
  <c r="N10" i="44"/>
  <c r="BM10" i="44" s="1"/>
  <c r="M10" i="44"/>
  <c r="L10" i="44"/>
  <c r="I10" i="44"/>
  <c r="F10" i="44"/>
  <c r="CY9" i="44"/>
  <c r="CV9" i="44"/>
  <c r="CA9" i="44"/>
  <c r="BN9" i="44"/>
  <c r="BM9" i="44"/>
  <c r="AU9" i="44"/>
  <c r="AR9" i="44"/>
  <c r="AQ9" i="44"/>
  <c r="AP9" i="44"/>
  <c r="AO9" i="44"/>
  <c r="AN9" i="44"/>
  <c r="AK9" i="44"/>
  <c r="AH9" i="44"/>
  <c r="S9" i="44"/>
  <c r="BV9" i="44" s="1"/>
  <c r="Q41" i="37" s="1"/>
  <c r="P9" i="44"/>
  <c r="BI9" i="44" s="1"/>
  <c r="N9" i="44"/>
  <c r="BL9" i="44" s="1"/>
  <c r="M9" i="44"/>
  <c r="L9" i="44"/>
  <c r="I9" i="44"/>
  <c r="F9" i="44"/>
  <c r="CY8" i="44"/>
  <c r="CV8" i="44"/>
  <c r="BN8" i="44"/>
  <c r="BM8" i="44"/>
  <c r="AU8" i="44"/>
  <c r="AR8" i="44"/>
  <c r="AP8" i="44"/>
  <c r="AO8" i="44"/>
  <c r="AQ8" i="44" s="1"/>
  <c r="AN8" i="44"/>
  <c r="AK8" i="44"/>
  <c r="AH8" i="44"/>
  <c r="S8" i="44"/>
  <c r="P8" i="44"/>
  <c r="N8" i="44"/>
  <c r="BL8" i="44" s="1"/>
  <c r="M8" i="44"/>
  <c r="L8" i="44"/>
  <c r="I8" i="44"/>
  <c r="F8" i="44"/>
  <c r="CY7" i="44"/>
  <c r="CV7" i="44"/>
  <c r="BN7" i="44"/>
  <c r="BM7" i="44"/>
  <c r="AU7" i="44"/>
  <c r="AR7" i="44"/>
  <c r="AQ7" i="44"/>
  <c r="AP7" i="44"/>
  <c r="AO7" i="44"/>
  <c r="AN7" i="44"/>
  <c r="AK7" i="44"/>
  <c r="AH7" i="44"/>
  <c r="S7" i="44"/>
  <c r="BV7" i="44" s="1"/>
  <c r="Q39" i="37" s="1"/>
  <c r="P7" i="44"/>
  <c r="N7" i="44"/>
  <c r="BL7" i="44" s="1"/>
  <c r="M7" i="44"/>
  <c r="O7" i="44" s="1"/>
  <c r="L7" i="44"/>
  <c r="I7" i="44"/>
  <c r="F7" i="44"/>
  <c r="CY6" i="44"/>
  <c r="CV6" i="44"/>
  <c r="BN6" i="44"/>
  <c r="AU6" i="44"/>
  <c r="AR6" i="44"/>
  <c r="AP6" i="44"/>
  <c r="AQ6" i="44" s="1"/>
  <c r="AO6" i="44"/>
  <c r="AN6" i="44"/>
  <c r="AK6" i="44"/>
  <c r="AH6" i="44"/>
  <c r="S6" i="44"/>
  <c r="BV6" i="44" s="1"/>
  <c r="Q38" i="37" s="1"/>
  <c r="P6" i="44"/>
  <c r="N6" i="44"/>
  <c r="BM6" i="44" s="1"/>
  <c r="M6" i="44"/>
  <c r="L6" i="44"/>
  <c r="I6" i="44"/>
  <c r="F6" i="44"/>
  <c r="CY5" i="44"/>
  <c r="CV5" i="44"/>
  <c r="BN5" i="44"/>
  <c r="BH5" i="44"/>
  <c r="AU5" i="44"/>
  <c r="AR5" i="44"/>
  <c r="AP5" i="44"/>
  <c r="AO5" i="44"/>
  <c r="AQ5" i="44" s="1"/>
  <c r="AN5" i="44"/>
  <c r="AK5" i="44"/>
  <c r="AH5" i="44"/>
  <c r="S5" i="44"/>
  <c r="P5" i="44"/>
  <c r="N5" i="44"/>
  <c r="BM5" i="44" s="1"/>
  <c r="M5" i="44"/>
  <c r="L5" i="44"/>
  <c r="I5" i="44"/>
  <c r="F5" i="44"/>
  <c r="BN4" i="44"/>
  <c r="AU4" i="44"/>
  <c r="AR4" i="44"/>
  <c r="AP4" i="44"/>
  <c r="AQ4" i="44" s="1"/>
  <c r="AO4" i="44"/>
  <c r="AN4" i="44"/>
  <c r="AK4" i="44"/>
  <c r="AH4" i="44"/>
  <c r="S4" i="44"/>
  <c r="BV4" i="44" s="1"/>
  <c r="Q36" i="37" s="1"/>
  <c r="P4" i="44"/>
  <c r="N4" i="44"/>
  <c r="BH4" i="44" s="1"/>
  <c r="M4" i="44"/>
  <c r="L4" i="44"/>
  <c r="I4" i="44"/>
  <c r="F4" i="44"/>
  <c r="BN3" i="44"/>
  <c r="AU3" i="44"/>
  <c r="AR3" i="44"/>
  <c r="AQ3" i="44"/>
  <c r="AP3" i="44"/>
  <c r="AO3" i="44"/>
  <c r="AN3" i="44"/>
  <c r="AK3" i="44"/>
  <c r="AH3" i="44"/>
  <c r="S3" i="44"/>
  <c r="P3" i="44"/>
  <c r="N3" i="44"/>
  <c r="BM3" i="44" s="1"/>
  <c r="M3" i="44"/>
  <c r="L3" i="44"/>
  <c r="I3" i="44"/>
  <c r="F3" i="44"/>
  <c r="CY20" i="43"/>
  <c r="CV20" i="43"/>
  <c r="CY19" i="43"/>
  <c r="CV19" i="43"/>
  <c r="CY18" i="43"/>
  <c r="CV18" i="43"/>
  <c r="CA18" i="43"/>
  <c r="AU18" i="43"/>
  <c r="AK18" i="43"/>
  <c r="AR18" i="43"/>
  <c r="AA18" i="43"/>
  <c r="BP5" i="43" s="1"/>
  <c r="Z18" i="43"/>
  <c r="Y18" i="43"/>
  <c r="X18" i="43"/>
  <c r="W18" i="43"/>
  <c r="V18" i="43"/>
  <c r="U18" i="43"/>
  <c r="T18" i="43"/>
  <c r="R18" i="43"/>
  <c r="CA10" i="43" s="1"/>
  <c r="Q18" i="43"/>
  <c r="CP16" i="43" s="1"/>
  <c r="K18" i="43"/>
  <c r="J18" i="43"/>
  <c r="H18" i="43"/>
  <c r="G18" i="43"/>
  <c r="E18" i="43"/>
  <c r="D18" i="43"/>
  <c r="CY17" i="43"/>
  <c r="CV17" i="43"/>
  <c r="BN17" i="43"/>
  <c r="AU17" i="43"/>
  <c r="AR17" i="43"/>
  <c r="AP17" i="43"/>
  <c r="AO17" i="43"/>
  <c r="AQ17" i="43" s="1"/>
  <c r="AN17" i="43"/>
  <c r="AK17" i="43"/>
  <c r="AH17" i="43"/>
  <c r="S17" i="43"/>
  <c r="BV17" i="43" s="1"/>
  <c r="Q65" i="37" s="1"/>
  <c r="P17" i="43"/>
  <c r="N17" i="43"/>
  <c r="BH17" i="43" s="1"/>
  <c r="M17" i="43"/>
  <c r="L17" i="43"/>
  <c r="I17" i="43"/>
  <c r="F17" i="43"/>
  <c r="CY16" i="43"/>
  <c r="CV16" i="43"/>
  <c r="BN16" i="43"/>
  <c r="AU16" i="43"/>
  <c r="AR16" i="43"/>
  <c r="AP16" i="43"/>
  <c r="AO16" i="43"/>
  <c r="AQ16" i="43" s="1"/>
  <c r="AN16" i="43"/>
  <c r="AK16" i="43"/>
  <c r="AH16" i="43"/>
  <c r="S16" i="43"/>
  <c r="P16" i="43"/>
  <c r="N16" i="43"/>
  <c r="M16" i="43"/>
  <c r="L16" i="43"/>
  <c r="I16" i="43"/>
  <c r="F16" i="43"/>
  <c r="CY15" i="43"/>
  <c r="CV15" i="43"/>
  <c r="BN15" i="43"/>
  <c r="BM15" i="43"/>
  <c r="AU15" i="43"/>
  <c r="AR15" i="43"/>
  <c r="AQ15" i="43"/>
  <c r="AP15" i="43"/>
  <c r="AO15" i="43"/>
  <c r="AN15" i="43"/>
  <c r="AK15" i="43"/>
  <c r="AH15" i="43"/>
  <c r="S15" i="43"/>
  <c r="BV15" i="43" s="1"/>
  <c r="Q63" i="37" s="1"/>
  <c r="P15" i="43"/>
  <c r="N15" i="43"/>
  <c r="BL15" i="43" s="1"/>
  <c r="M15" i="43"/>
  <c r="L15" i="43"/>
  <c r="I15" i="43"/>
  <c r="F15" i="43"/>
  <c r="CY14" i="43"/>
  <c r="CV14" i="43"/>
  <c r="BN14" i="43"/>
  <c r="BH14" i="43"/>
  <c r="AU14" i="43"/>
  <c r="AR14" i="43"/>
  <c r="AP14" i="43"/>
  <c r="AQ14" i="43" s="1"/>
  <c r="AO14" i="43"/>
  <c r="AN14" i="43"/>
  <c r="AK14" i="43"/>
  <c r="AH14" i="43"/>
  <c r="S14" i="43"/>
  <c r="P14" i="43"/>
  <c r="N14" i="43"/>
  <c r="BM14" i="43" s="1"/>
  <c r="M14" i="43"/>
  <c r="L14" i="43"/>
  <c r="I14" i="43"/>
  <c r="F14" i="43"/>
  <c r="CY13" i="43"/>
  <c r="CV13" i="43"/>
  <c r="BV13" i="43"/>
  <c r="Q61" i="37" s="1"/>
  <c r="BN13" i="43"/>
  <c r="AU13" i="43"/>
  <c r="AR13" i="43"/>
  <c r="AP13" i="43"/>
  <c r="AQ13" i="43" s="1"/>
  <c r="AO13" i="43"/>
  <c r="AN13" i="43"/>
  <c r="AK13" i="43"/>
  <c r="AH13" i="43"/>
  <c r="S13" i="43"/>
  <c r="P13" i="43"/>
  <c r="N13" i="43"/>
  <c r="BM13" i="43" s="1"/>
  <c r="M13" i="43"/>
  <c r="L13" i="43"/>
  <c r="I13" i="43"/>
  <c r="F13" i="43"/>
  <c r="CY12" i="43"/>
  <c r="CV12" i="43"/>
  <c r="BN12" i="43"/>
  <c r="AU12" i="43"/>
  <c r="AR12" i="43"/>
  <c r="AP12" i="43"/>
  <c r="AO12" i="43"/>
  <c r="AN12" i="43"/>
  <c r="AK12" i="43"/>
  <c r="AH12" i="43"/>
  <c r="S12" i="43"/>
  <c r="P12" i="43"/>
  <c r="N12" i="43"/>
  <c r="M12" i="43"/>
  <c r="L12" i="43"/>
  <c r="I12" i="43"/>
  <c r="F12" i="43"/>
  <c r="CY11" i="43"/>
  <c r="CV11" i="43"/>
  <c r="BV11" i="43"/>
  <c r="Q59" i="37" s="1"/>
  <c r="BN11" i="43"/>
  <c r="AU11" i="43"/>
  <c r="AR11" i="43"/>
  <c r="AQ11" i="43"/>
  <c r="AP11" i="43"/>
  <c r="AO11" i="43"/>
  <c r="AN11" i="43"/>
  <c r="AK11" i="43"/>
  <c r="AH11" i="43"/>
  <c r="S11" i="43"/>
  <c r="P11" i="43"/>
  <c r="N11" i="43"/>
  <c r="BL11" i="43" s="1"/>
  <c r="M11" i="43"/>
  <c r="L11" i="43"/>
  <c r="I11" i="43"/>
  <c r="F11" i="43"/>
  <c r="CY10" i="43"/>
  <c r="CV10" i="43"/>
  <c r="BN10" i="43"/>
  <c r="BH10" i="43"/>
  <c r="AU10" i="43"/>
  <c r="AR10" i="43"/>
  <c r="AP10" i="43"/>
  <c r="AO10" i="43"/>
  <c r="AQ10" i="43" s="1"/>
  <c r="AN10" i="43"/>
  <c r="AK10" i="43"/>
  <c r="AH10" i="43"/>
  <c r="S10" i="43"/>
  <c r="P10" i="43"/>
  <c r="N10" i="43"/>
  <c r="BM10" i="43" s="1"/>
  <c r="M10" i="43"/>
  <c r="L10" i="43"/>
  <c r="I10" i="43"/>
  <c r="F10" i="43"/>
  <c r="CY9" i="43"/>
  <c r="CV9" i="43"/>
  <c r="BV9" i="43"/>
  <c r="Q57" i="37" s="1"/>
  <c r="BN9" i="43"/>
  <c r="BH9" i="43"/>
  <c r="AU9" i="43"/>
  <c r="AR9" i="43"/>
  <c r="AP9" i="43"/>
  <c r="AQ9" i="43" s="1"/>
  <c r="AO9" i="43"/>
  <c r="AN9" i="43"/>
  <c r="AK9" i="43"/>
  <c r="AH9" i="43"/>
  <c r="S9" i="43"/>
  <c r="P9" i="43"/>
  <c r="BI9" i="43" s="1"/>
  <c r="N9" i="43"/>
  <c r="BM9" i="43" s="1"/>
  <c r="M9" i="43"/>
  <c r="L9" i="43"/>
  <c r="I9" i="43"/>
  <c r="F9" i="43"/>
  <c r="CY8" i="43"/>
  <c r="CV8" i="43"/>
  <c r="BN8" i="43"/>
  <c r="AU8" i="43"/>
  <c r="AR8" i="43"/>
  <c r="AP8" i="43"/>
  <c r="AO8" i="43"/>
  <c r="AQ8" i="43" s="1"/>
  <c r="AN8" i="43"/>
  <c r="AK8" i="43"/>
  <c r="AH8" i="43"/>
  <c r="S8" i="43"/>
  <c r="P8" i="43"/>
  <c r="N8" i="43"/>
  <c r="BL8" i="43" s="1"/>
  <c r="M8" i="43"/>
  <c r="L8" i="43"/>
  <c r="I8" i="43"/>
  <c r="F8" i="43"/>
  <c r="CY7" i="43"/>
  <c r="CV7" i="43"/>
  <c r="BN7" i="43"/>
  <c r="AU7" i="43"/>
  <c r="AR7" i="43"/>
  <c r="AQ7" i="43"/>
  <c r="AP7" i="43"/>
  <c r="AO7" i="43"/>
  <c r="AN7" i="43"/>
  <c r="AK7" i="43"/>
  <c r="AH7" i="43"/>
  <c r="S7" i="43"/>
  <c r="BV7" i="43" s="1"/>
  <c r="Q55" i="37" s="1"/>
  <c r="P7" i="43"/>
  <c r="N7" i="43"/>
  <c r="BL7" i="43" s="1"/>
  <c r="M7" i="43"/>
  <c r="L7" i="43"/>
  <c r="I7" i="43"/>
  <c r="F7" i="43"/>
  <c r="CY6" i="43"/>
  <c r="CV6" i="43"/>
  <c r="BV6" i="43"/>
  <c r="Q54" i="37" s="1"/>
  <c r="BO6" i="43"/>
  <c r="BN6" i="43"/>
  <c r="AU6" i="43"/>
  <c r="AR6" i="43"/>
  <c r="AQ6" i="43"/>
  <c r="AP6" i="43"/>
  <c r="AO6" i="43"/>
  <c r="AN6" i="43"/>
  <c r="AK6" i="43"/>
  <c r="AH6" i="43"/>
  <c r="S6" i="43"/>
  <c r="P6" i="43"/>
  <c r="N6" i="43"/>
  <c r="BM6" i="43" s="1"/>
  <c r="M6" i="43"/>
  <c r="L6" i="43"/>
  <c r="I6" i="43"/>
  <c r="F6" i="43"/>
  <c r="CY5" i="43"/>
  <c r="CV5" i="43"/>
  <c r="CA5" i="43"/>
  <c r="BN5" i="43"/>
  <c r="BL5" i="43"/>
  <c r="AU5" i="43"/>
  <c r="AR5" i="43"/>
  <c r="AP5" i="43"/>
  <c r="AO5" i="43"/>
  <c r="AQ5" i="43" s="1"/>
  <c r="AN5" i="43"/>
  <c r="AK5" i="43"/>
  <c r="AH5" i="43"/>
  <c r="S5" i="43"/>
  <c r="P5" i="43"/>
  <c r="BI5" i="43" s="1"/>
  <c r="N5" i="43"/>
  <c r="M5" i="43"/>
  <c r="L5" i="43"/>
  <c r="I5" i="43"/>
  <c r="F5" i="43"/>
  <c r="BN4" i="43"/>
  <c r="BM4" i="43"/>
  <c r="AU4" i="43"/>
  <c r="AR4" i="43"/>
  <c r="AP4" i="43"/>
  <c r="AO4" i="43"/>
  <c r="AQ4" i="43" s="1"/>
  <c r="AN4" i="43"/>
  <c r="AK4" i="43"/>
  <c r="AH4" i="43"/>
  <c r="S4" i="43"/>
  <c r="BV4" i="43" s="1"/>
  <c r="Q52" i="37" s="1"/>
  <c r="P4" i="43"/>
  <c r="N4" i="43"/>
  <c r="M4" i="43"/>
  <c r="L4" i="43"/>
  <c r="I4" i="43"/>
  <c r="F4" i="43"/>
  <c r="BN3" i="43"/>
  <c r="AU3" i="43"/>
  <c r="AR3" i="43"/>
  <c r="AP3" i="43"/>
  <c r="AO3" i="43"/>
  <c r="AN3" i="43"/>
  <c r="AK3" i="43"/>
  <c r="AH3" i="43"/>
  <c r="S3" i="43"/>
  <c r="P3" i="43"/>
  <c r="N3" i="43"/>
  <c r="BH3" i="43" s="1"/>
  <c r="M3" i="43"/>
  <c r="L3" i="43"/>
  <c r="I3" i="43"/>
  <c r="F3" i="43"/>
  <c r="BV4" i="21"/>
  <c r="BV5" i="21"/>
  <c r="BV6" i="21"/>
  <c r="BV7" i="21"/>
  <c r="BV8" i="21"/>
  <c r="BV9" i="21"/>
  <c r="BV10" i="21"/>
  <c r="BV11" i="21"/>
  <c r="BV12" i="21"/>
  <c r="BV13" i="21"/>
  <c r="BV14" i="21"/>
  <c r="BV15" i="21"/>
  <c r="BV16" i="21"/>
  <c r="BV17" i="21"/>
  <c r="BV18" i="21"/>
  <c r="BV3" i="21"/>
  <c r="BV18" i="42"/>
  <c r="Q34" i="37" s="1"/>
  <c r="BV4" i="42"/>
  <c r="Q20" i="37" s="1"/>
  <c r="BV5" i="42"/>
  <c r="Q21" i="37" s="1"/>
  <c r="BV6" i="42"/>
  <c r="BV7" i="42"/>
  <c r="Q23" i="37" s="1"/>
  <c r="BV8" i="42"/>
  <c r="Q24" i="37" s="1"/>
  <c r="BV9" i="42"/>
  <c r="Q25" i="37" s="1"/>
  <c r="BV10" i="42"/>
  <c r="Q26" i="37" s="1"/>
  <c r="BV11" i="42"/>
  <c r="Q27" i="37" s="1"/>
  <c r="BV12" i="42"/>
  <c r="Q28" i="37" s="1"/>
  <c r="BV13" i="42"/>
  <c r="Q29" i="37" s="1"/>
  <c r="BV14" i="42"/>
  <c r="Q30" i="37" s="1"/>
  <c r="BV15" i="42"/>
  <c r="Q31" i="37" s="1"/>
  <c r="BV16" i="42"/>
  <c r="Q32" i="37" s="1"/>
  <c r="BV17" i="42"/>
  <c r="Q33" i="37" s="1"/>
  <c r="BV3" i="42"/>
  <c r="Q19" i="37" s="1"/>
  <c r="A20" i="37"/>
  <c r="B20" i="37"/>
  <c r="G20" i="37"/>
  <c r="H20" i="37"/>
  <c r="I20" i="37"/>
  <c r="M20" i="37"/>
  <c r="N20" i="37"/>
  <c r="O20" i="37"/>
  <c r="A21" i="37"/>
  <c r="B21" i="37"/>
  <c r="G21" i="37"/>
  <c r="H21" i="37"/>
  <c r="I21" i="37"/>
  <c r="M21" i="37"/>
  <c r="N21" i="37"/>
  <c r="O21" i="37"/>
  <c r="A22" i="37"/>
  <c r="B22" i="37"/>
  <c r="G22" i="37"/>
  <c r="H22" i="37"/>
  <c r="I22" i="37"/>
  <c r="M22" i="37"/>
  <c r="N22" i="37"/>
  <c r="O22" i="37"/>
  <c r="Q22" i="37"/>
  <c r="A23" i="37"/>
  <c r="B23" i="37"/>
  <c r="G23" i="37"/>
  <c r="H23" i="37"/>
  <c r="I23" i="37"/>
  <c r="M23" i="37"/>
  <c r="N23" i="37"/>
  <c r="O23" i="37"/>
  <c r="A24" i="37"/>
  <c r="B24" i="37"/>
  <c r="G24" i="37"/>
  <c r="H24" i="37"/>
  <c r="I24" i="37"/>
  <c r="M24" i="37"/>
  <c r="N24" i="37"/>
  <c r="O24" i="37"/>
  <c r="A25" i="37"/>
  <c r="B25" i="37"/>
  <c r="G25" i="37"/>
  <c r="H25" i="37"/>
  <c r="I25" i="37"/>
  <c r="M25" i="37"/>
  <c r="N25" i="37"/>
  <c r="O25" i="37"/>
  <c r="A26" i="37"/>
  <c r="B26" i="37"/>
  <c r="G26" i="37"/>
  <c r="H26" i="37"/>
  <c r="I26" i="37"/>
  <c r="M26" i="37"/>
  <c r="N26" i="37"/>
  <c r="O26" i="37"/>
  <c r="A27" i="37"/>
  <c r="B27" i="37"/>
  <c r="G27" i="37"/>
  <c r="H27" i="37"/>
  <c r="I27" i="37"/>
  <c r="M27" i="37"/>
  <c r="N27" i="37"/>
  <c r="O27" i="37"/>
  <c r="A28" i="37"/>
  <c r="B28" i="37"/>
  <c r="G28" i="37"/>
  <c r="H28" i="37"/>
  <c r="I28" i="37"/>
  <c r="M28" i="37"/>
  <c r="N28" i="37"/>
  <c r="O28" i="37"/>
  <c r="A29" i="37"/>
  <c r="B29" i="37"/>
  <c r="G29" i="37"/>
  <c r="H29" i="37"/>
  <c r="I29" i="37"/>
  <c r="M29" i="37"/>
  <c r="N29" i="37"/>
  <c r="O29" i="37"/>
  <c r="A30" i="37"/>
  <c r="B30" i="37"/>
  <c r="G30" i="37"/>
  <c r="H30" i="37"/>
  <c r="I30" i="37"/>
  <c r="M30" i="37"/>
  <c r="N30" i="37"/>
  <c r="O30" i="37"/>
  <c r="A31" i="37"/>
  <c r="B31" i="37"/>
  <c r="G31" i="37"/>
  <c r="H31" i="37"/>
  <c r="I31" i="37"/>
  <c r="M31" i="37"/>
  <c r="N31" i="37"/>
  <c r="O31" i="37"/>
  <c r="A32" i="37"/>
  <c r="B32" i="37"/>
  <c r="G32" i="37"/>
  <c r="H32" i="37"/>
  <c r="I32" i="37"/>
  <c r="M32" i="37"/>
  <c r="N32" i="37"/>
  <c r="O32" i="37"/>
  <c r="A33" i="37"/>
  <c r="B33" i="37"/>
  <c r="G33" i="37"/>
  <c r="H33" i="37"/>
  <c r="I33" i="37"/>
  <c r="M33" i="37"/>
  <c r="N33" i="37"/>
  <c r="O33" i="37"/>
  <c r="A34" i="37"/>
  <c r="B34" i="37"/>
  <c r="G34" i="37"/>
  <c r="H34" i="37"/>
  <c r="I34" i="37"/>
  <c r="M34" i="37"/>
  <c r="N34" i="37"/>
  <c r="O34" i="37"/>
  <c r="B19" i="37"/>
  <c r="G19" i="37"/>
  <c r="H19" i="37"/>
  <c r="I19" i="37"/>
  <c r="M19" i="37"/>
  <c r="N19" i="37"/>
  <c r="O19" i="37"/>
  <c r="A19" i="37"/>
  <c r="A20" i="39"/>
  <c r="B20" i="39"/>
  <c r="C20" i="39"/>
  <c r="A21" i="39"/>
  <c r="B21" i="39"/>
  <c r="C21" i="39"/>
  <c r="A22" i="39"/>
  <c r="B22" i="39"/>
  <c r="C22" i="39"/>
  <c r="A23" i="39"/>
  <c r="B23" i="39"/>
  <c r="C23" i="39"/>
  <c r="A24" i="39"/>
  <c r="B24" i="39"/>
  <c r="C24" i="39"/>
  <c r="A25" i="39"/>
  <c r="B25" i="39"/>
  <c r="C25" i="39"/>
  <c r="A26" i="39"/>
  <c r="B26" i="39"/>
  <c r="C26" i="39"/>
  <c r="A27" i="39"/>
  <c r="B27" i="39"/>
  <c r="C27" i="39"/>
  <c r="A28" i="39"/>
  <c r="B28" i="39"/>
  <c r="C28" i="39"/>
  <c r="A29" i="39"/>
  <c r="B29" i="39"/>
  <c r="C29" i="39"/>
  <c r="A30" i="39"/>
  <c r="B30" i="39"/>
  <c r="C30" i="39"/>
  <c r="A31" i="39"/>
  <c r="B31" i="39"/>
  <c r="C31" i="39"/>
  <c r="A32" i="39"/>
  <c r="B32" i="39"/>
  <c r="C32" i="39"/>
  <c r="A33" i="39"/>
  <c r="B33" i="39"/>
  <c r="C33" i="39"/>
  <c r="A34" i="39"/>
  <c r="B34" i="39"/>
  <c r="C34" i="39"/>
  <c r="A19" i="39"/>
  <c r="B19" i="39"/>
  <c r="D19" i="39"/>
  <c r="F19" i="39"/>
  <c r="G19" i="39"/>
  <c r="I19" i="39"/>
  <c r="J19" i="39"/>
  <c r="L19" i="39"/>
  <c r="M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D20" i="39"/>
  <c r="F20" i="39"/>
  <c r="G20" i="39"/>
  <c r="I20" i="39"/>
  <c r="J20" i="39"/>
  <c r="L20" i="39"/>
  <c r="M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D21" i="39"/>
  <c r="F21" i="39"/>
  <c r="G21" i="39"/>
  <c r="I21" i="39"/>
  <c r="J21" i="39"/>
  <c r="L21" i="39"/>
  <c r="M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D22" i="39"/>
  <c r="F22" i="39"/>
  <c r="G22" i="39"/>
  <c r="I22" i="39"/>
  <c r="J22" i="39"/>
  <c r="L22" i="39"/>
  <c r="M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D23" i="39"/>
  <c r="F23" i="39"/>
  <c r="G23" i="39"/>
  <c r="I23" i="39"/>
  <c r="J23" i="39"/>
  <c r="L23" i="39"/>
  <c r="M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D24" i="39"/>
  <c r="F24" i="39"/>
  <c r="G24" i="39"/>
  <c r="I24" i="39"/>
  <c r="J24" i="39"/>
  <c r="L24" i="39"/>
  <c r="M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D25" i="39"/>
  <c r="F25" i="39"/>
  <c r="G25" i="39"/>
  <c r="I25" i="39"/>
  <c r="J25" i="39"/>
  <c r="L25" i="39"/>
  <c r="M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D26" i="39"/>
  <c r="F26" i="39"/>
  <c r="G26" i="39"/>
  <c r="I26" i="39"/>
  <c r="J26" i="39"/>
  <c r="L26" i="39"/>
  <c r="M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D27" i="39"/>
  <c r="F27" i="39"/>
  <c r="G27" i="39"/>
  <c r="I27" i="39"/>
  <c r="J27" i="39"/>
  <c r="L27" i="39"/>
  <c r="M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D28" i="39"/>
  <c r="F28" i="39"/>
  <c r="G28" i="39"/>
  <c r="I28" i="39"/>
  <c r="J28" i="39"/>
  <c r="L28" i="39"/>
  <c r="M28" i="39"/>
  <c r="O28" i="39"/>
  <c r="P28" i="39"/>
  <c r="Q28" i="39"/>
  <c r="R28" i="39"/>
  <c r="S28" i="39"/>
  <c r="T28" i="39"/>
  <c r="U28" i="39"/>
  <c r="V28" i="39"/>
  <c r="W28" i="39"/>
  <c r="X28" i="39"/>
  <c r="Y28" i="39"/>
  <c r="Z28" i="39"/>
  <c r="D29" i="39"/>
  <c r="F29" i="39"/>
  <c r="G29" i="39"/>
  <c r="I29" i="39"/>
  <c r="J29" i="39"/>
  <c r="L29" i="39"/>
  <c r="M29" i="39"/>
  <c r="O29" i="39"/>
  <c r="P29" i="39"/>
  <c r="Q29" i="39"/>
  <c r="R29" i="39"/>
  <c r="S29" i="39"/>
  <c r="T29" i="39"/>
  <c r="U29" i="39"/>
  <c r="V29" i="39"/>
  <c r="W29" i="39"/>
  <c r="X29" i="39"/>
  <c r="Y29" i="39"/>
  <c r="Z29" i="39"/>
  <c r="D30" i="39"/>
  <c r="F30" i="39"/>
  <c r="G30" i="39"/>
  <c r="I30" i="39"/>
  <c r="J30" i="39"/>
  <c r="L30" i="39"/>
  <c r="M30" i="39"/>
  <c r="O30" i="39"/>
  <c r="P30" i="39"/>
  <c r="Q30" i="39"/>
  <c r="R30" i="39"/>
  <c r="S30" i="39"/>
  <c r="T30" i="39"/>
  <c r="U30" i="39"/>
  <c r="V30" i="39"/>
  <c r="W30" i="39"/>
  <c r="X30" i="39"/>
  <c r="Y30" i="39"/>
  <c r="Z30" i="39"/>
  <c r="D31" i="39"/>
  <c r="F31" i="39"/>
  <c r="G31" i="39"/>
  <c r="I31" i="39"/>
  <c r="J31" i="39"/>
  <c r="L31" i="39"/>
  <c r="M31" i="39"/>
  <c r="O31" i="39"/>
  <c r="P31" i="39"/>
  <c r="Q31" i="39"/>
  <c r="R31" i="39"/>
  <c r="S31" i="39"/>
  <c r="T31" i="39"/>
  <c r="U31" i="39"/>
  <c r="V31" i="39"/>
  <c r="W31" i="39"/>
  <c r="X31" i="39"/>
  <c r="Y31" i="39"/>
  <c r="Z31" i="39"/>
  <c r="D32" i="39"/>
  <c r="F32" i="39"/>
  <c r="G32" i="39"/>
  <c r="I32" i="39"/>
  <c r="J32" i="39"/>
  <c r="L32" i="39"/>
  <c r="M32" i="39"/>
  <c r="O32" i="39"/>
  <c r="P32" i="39"/>
  <c r="Q32" i="39"/>
  <c r="R32" i="39"/>
  <c r="S32" i="39"/>
  <c r="T32" i="39"/>
  <c r="U32" i="39"/>
  <c r="V32" i="39"/>
  <c r="W32" i="39"/>
  <c r="X32" i="39"/>
  <c r="Y32" i="39"/>
  <c r="Z32" i="39"/>
  <c r="D33" i="39"/>
  <c r="F33" i="39"/>
  <c r="G33" i="39"/>
  <c r="I33" i="39"/>
  <c r="J33" i="39"/>
  <c r="L33" i="39"/>
  <c r="M33" i="39"/>
  <c r="O33" i="39"/>
  <c r="P33" i="39"/>
  <c r="Q33" i="39"/>
  <c r="R33" i="39"/>
  <c r="S33" i="39"/>
  <c r="T33" i="39"/>
  <c r="U33" i="39"/>
  <c r="V33" i="39"/>
  <c r="W33" i="39"/>
  <c r="X33" i="39"/>
  <c r="Y33" i="39"/>
  <c r="Z33" i="39"/>
  <c r="D34" i="39"/>
  <c r="F34" i="39"/>
  <c r="G34" i="39"/>
  <c r="I34" i="39"/>
  <c r="J34" i="39"/>
  <c r="L34" i="39"/>
  <c r="M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S17" i="42"/>
  <c r="P17" i="42"/>
  <c r="N17" i="42"/>
  <c r="M17" i="42"/>
  <c r="L17" i="42"/>
  <c r="I17" i="42"/>
  <c r="F17" i="42"/>
  <c r="C19" i="39"/>
  <c r="S16" i="42"/>
  <c r="P16" i="42"/>
  <c r="N16" i="42"/>
  <c r="M16" i="42"/>
  <c r="O16" i="42" s="1"/>
  <c r="L16" i="42"/>
  <c r="I16" i="42"/>
  <c r="F16" i="42"/>
  <c r="S15" i="42"/>
  <c r="P15" i="42"/>
  <c r="N15" i="42"/>
  <c r="M15" i="42"/>
  <c r="O15" i="42" s="1"/>
  <c r="L15" i="42"/>
  <c r="I15" i="42"/>
  <c r="F15" i="42"/>
  <c r="S14" i="42"/>
  <c r="P14" i="42"/>
  <c r="N14" i="42"/>
  <c r="M14" i="42"/>
  <c r="O14" i="42" s="1"/>
  <c r="L14" i="42"/>
  <c r="I14" i="42"/>
  <c r="F14" i="42"/>
  <c r="S13" i="42"/>
  <c r="P13" i="42"/>
  <c r="N13" i="42"/>
  <c r="M13" i="42"/>
  <c r="L13" i="42"/>
  <c r="I13" i="42"/>
  <c r="F13" i="42"/>
  <c r="S12" i="42"/>
  <c r="P12" i="42"/>
  <c r="N12" i="42"/>
  <c r="M12" i="42"/>
  <c r="O12" i="42" s="1"/>
  <c r="L12" i="42"/>
  <c r="I12" i="42"/>
  <c r="F12" i="42"/>
  <c r="S11" i="42"/>
  <c r="P11" i="42"/>
  <c r="N11" i="42"/>
  <c r="M11" i="42"/>
  <c r="L11" i="42"/>
  <c r="I11" i="42"/>
  <c r="F11" i="42"/>
  <c r="S10" i="42"/>
  <c r="P10" i="42"/>
  <c r="BI10" i="42" s="1"/>
  <c r="N10" i="42"/>
  <c r="BL10" i="42" s="1"/>
  <c r="M10" i="42"/>
  <c r="L10" i="42"/>
  <c r="I10" i="42"/>
  <c r="F10" i="42"/>
  <c r="S9" i="42"/>
  <c r="P9" i="42"/>
  <c r="N9" i="42"/>
  <c r="M9" i="42"/>
  <c r="O9" i="42" s="1"/>
  <c r="L9" i="42"/>
  <c r="I9" i="42"/>
  <c r="F9" i="42"/>
  <c r="S8" i="42"/>
  <c r="P8" i="42"/>
  <c r="N8" i="42"/>
  <c r="M8" i="42"/>
  <c r="O8" i="42" s="1"/>
  <c r="L8" i="42"/>
  <c r="I8" i="42"/>
  <c r="F8" i="42"/>
  <c r="S7" i="42"/>
  <c r="P7" i="42"/>
  <c r="N7" i="42"/>
  <c r="M7" i="42"/>
  <c r="O7" i="42" s="1"/>
  <c r="L7" i="42"/>
  <c r="I7" i="42"/>
  <c r="F7" i="42"/>
  <c r="S6" i="42"/>
  <c r="P6" i="42"/>
  <c r="N6" i="42"/>
  <c r="M6" i="42"/>
  <c r="O6" i="42" s="1"/>
  <c r="L6" i="42"/>
  <c r="I6" i="42"/>
  <c r="F6" i="42"/>
  <c r="S5" i="42"/>
  <c r="P5" i="42"/>
  <c r="N5" i="42"/>
  <c r="M5" i="42"/>
  <c r="L5" i="42"/>
  <c r="I5" i="42"/>
  <c r="F5" i="42"/>
  <c r="S4" i="42"/>
  <c r="P4" i="42"/>
  <c r="N4" i="42"/>
  <c r="M4" i="42"/>
  <c r="O4" i="42" s="1"/>
  <c r="L4" i="42"/>
  <c r="I4" i="42"/>
  <c r="F4" i="42"/>
  <c r="S3" i="42"/>
  <c r="P3" i="42"/>
  <c r="N3" i="42"/>
  <c r="M3" i="42"/>
  <c r="L3" i="42"/>
  <c r="I3" i="42"/>
  <c r="F3" i="42"/>
  <c r="BI17" i="42"/>
  <c r="D18" i="42"/>
  <c r="E18" i="42"/>
  <c r="G18" i="42"/>
  <c r="H18" i="42"/>
  <c r="J18" i="42"/>
  <c r="K18" i="42"/>
  <c r="Q18" i="42"/>
  <c r="R18" i="42"/>
  <c r="CA18" i="42" s="1"/>
  <c r="CY20" i="42"/>
  <c r="CV20" i="42"/>
  <c r="CY19" i="42"/>
  <c r="CV19" i="42"/>
  <c r="AZ18" i="42"/>
  <c r="AU18" i="42"/>
  <c r="AN18" i="42"/>
  <c r="AK18" i="42"/>
  <c r="AH18" i="42"/>
  <c r="AA18" i="42"/>
  <c r="Z18" i="42"/>
  <c r="Y18" i="42"/>
  <c r="X18" i="42"/>
  <c r="W18" i="42"/>
  <c r="V18" i="42"/>
  <c r="U18" i="42"/>
  <c r="T18" i="42"/>
  <c r="CY18" i="42"/>
  <c r="CV18" i="42"/>
  <c r="BN17" i="42"/>
  <c r="AU17" i="42"/>
  <c r="AR17" i="42"/>
  <c r="AP17" i="42"/>
  <c r="AO17" i="42"/>
  <c r="AN17" i="42"/>
  <c r="AK17" i="42"/>
  <c r="AH17" i="42"/>
  <c r="CY17" i="42"/>
  <c r="CV17" i="42"/>
  <c r="CY16" i="42"/>
  <c r="CV16" i="42"/>
  <c r="BN16" i="42"/>
  <c r="BM16" i="42"/>
  <c r="BH16" i="42"/>
  <c r="AU16" i="42"/>
  <c r="AR16" i="42"/>
  <c r="AQ16" i="42"/>
  <c r="AP16" i="42"/>
  <c r="AO16" i="42"/>
  <c r="AN16" i="42"/>
  <c r="AK16" i="42"/>
  <c r="AH16" i="42"/>
  <c r="BI16" i="42"/>
  <c r="BL16" i="42"/>
  <c r="CY15" i="42"/>
  <c r="CV15" i="42"/>
  <c r="BO15" i="42"/>
  <c r="BN15" i="42"/>
  <c r="BI15" i="42"/>
  <c r="AU15" i="42"/>
  <c r="AR15" i="42"/>
  <c r="AP15" i="42"/>
  <c r="AO15" i="42"/>
  <c r="AN15" i="42"/>
  <c r="AK15" i="42"/>
  <c r="AH15" i="42"/>
  <c r="CY14" i="42"/>
  <c r="CV14" i="42"/>
  <c r="BN14" i="42"/>
  <c r="BI14" i="42"/>
  <c r="AU14" i="42"/>
  <c r="AR14" i="42"/>
  <c r="AP14" i="42"/>
  <c r="AO14" i="42"/>
  <c r="AN14" i="42"/>
  <c r="AK14" i="42"/>
  <c r="AH14" i="42"/>
  <c r="BL14" i="42"/>
  <c r="CY13" i="42"/>
  <c r="CV13" i="42"/>
  <c r="BN13" i="42"/>
  <c r="BM13" i="42"/>
  <c r="BH13" i="42"/>
  <c r="AU13" i="42"/>
  <c r="AR13" i="42"/>
  <c r="AP13" i="42"/>
  <c r="AO13" i="42"/>
  <c r="AN13" i="42"/>
  <c r="AK13" i="42"/>
  <c r="AH13" i="42"/>
  <c r="BL13" i="42"/>
  <c r="CY12" i="42"/>
  <c r="CV12" i="42"/>
  <c r="BN12" i="42"/>
  <c r="BM12" i="42"/>
  <c r="BH12" i="42"/>
  <c r="AU12" i="42"/>
  <c r="AR12" i="42"/>
  <c r="AP12" i="42"/>
  <c r="AQ12" i="42" s="1"/>
  <c r="AO12" i="42"/>
  <c r="AN12" i="42"/>
  <c r="AK12" i="42"/>
  <c r="AH12" i="42"/>
  <c r="BI12" i="42"/>
  <c r="BL12" i="42"/>
  <c r="CY11" i="42"/>
  <c r="CV11" i="42"/>
  <c r="BN11" i="42"/>
  <c r="BH11" i="42"/>
  <c r="AU11" i="42"/>
  <c r="AR11" i="42"/>
  <c r="AP11" i="42"/>
  <c r="AQ11" i="42" s="1"/>
  <c r="AO11" i="42"/>
  <c r="AN11" i="42"/>
  <c r="AK11" i="42"/>
  <c r="AH11" i="42"/>
  <c r="BM11" i="42"/>
  <c r="CY10" i="42"/>
  <c r="CV10" i="42"/>
  <c r="BN10" i="42"/>
  <c r="AU10" i="42"/>
  <c r="AR10" i="42"/>
  <c r="AP10" i="42"/>
  <c r="AO10" i="42"/>
  <c r="AQ10" i="42" s="1"/>
  <c r="AN10" i="42"/>
  <c r="AK10" i="42"/>
  <c r="AH10" i="42"/>
  <c r="CY9" i="42"/>
  <c r="CV9" i="42"/>
  <c r="CP9" i="42"/>
  <c r="BN9" i="42"/>
  <c r="AU9" i="42"/>
  <c r="AR9" i="42"/>
  <c r="AP9" i="42"/>
  <c r="AO9" i="42"/>
  <c r="AQ9" i="42" s="1"/>
  <c r="AN9" i="42"/>
  <c r="AK9" i="42"/>
  <c r="AH9" i="42"/>
  <c r="CY8" i="42"/>
  <c r="CV8" i="42"/>
  <c r="BN8" i="42"/>
  <c r="BM8" i="42"/>
  <c r="BH8" i="42"/>
  <c r="AU8" i="42"/>
  <c r="AR8" i="42"/>
  <c r="AP8" i="42"/>
  <c r="AO8" i="42"/>
  <c r="AQ8" i="42" s="1"/>
  <c r="AN8" i="42"/>
  <c r="AK8" i="42"/>
  <c r="AH8" i="42"/>
  <c r="BI8" i="42"/>
  <c r="BL8" i="42"/>
  <c r="CY7" i="42"/>
  <c r="CV7" i="42"/>
  <c r="CP7" i="42"/>
  <c r="CX7" i="42" s="1"/>
  <c r="BN7" i="42"/>
  <c r="BH7" i="42"/>
  <c r="AU7" i="42"/>
  <c r="AR7" i="42"/>
  <c r="AP7" i="42"/>
  <c r="AQ7" i="42" s="1"/>
  <c r="AO7" i="42"/>
  <c r="AN7" i="42"/>
  <c r="AK7" i="42"/>
  <c r="AH7" i="42"/>
  <c r="BI7" i="42"/>
  <c r="BM7" i="42"/>
  <c r="CY6" i="42"/>
  <c r="CV6" i="42"/>
  <c r="BN6" i="42"/>
  <c r="BI6" i="42"/>
  <c r="AU6" i="42"/>
  <c r="AR6" i="42"/>
  <c r="AP6" i="42"/>
  <c r="AO6" i="42"/>
  <c r="AN6" i="42"/>
  <c r="AK6" i="42"/>
  <c r="AH6" i="42"/>
  <c r="BL6" i="42"/>
  <c r="CY5" i="42"/>
  <c r="CV5" i="42"/>
  <c r="CP5" i="42"/>
  <c r="BN5" i="42"/>
  <c r="BM5" i="42"/>
  <c r="BH5" i="42"/>
  <c r="AU5" i="42"/>
  <c r="AR5" i="42"/>
  <c r="AP5" i="42"/>
  <c r="AQ5" i="42" s="1"/>
  <c r="AO5" i="42"/>
  <c r="AN5" i="42"/>
  <c r="AK5" i="42"/>
  <c r="AH5" i="42"/>
  <c r="BI5" i="42"/>
  <c r="BL5" i="42"/>
  <c r="BN4" i="42"/>
  <c r="AU4" i="42"/>
  <c r="AR4" i="42"/>
  <c r="AP4" i="42"/>
  <c r="AQ4" i="42" s="1"/>
  <c r="AO4" i="42"/>
  <c r="AN4" i="42"/>
  <c r="AK4" i="42"/>
  <c r="AH4" i="42"/>
  <c r="BN3" i="42"/>
  <c r="AU3" i="42"/>
  <c r="AR3" i="42"/>
  <c r="AP3" i="42"/>
  <c r="AO3" i="42"/>
  <c r="AN3" i="42"/>
  <c r="AK3" i="42"/>
  <c r="AH3" i="42"/>
  <c r="T3" i="39"/>
  <c r="U3" i="39"/>
  <c r="V3" i="39"/>
  <c r="W3" i="39"/>
  <c r="X3" i="39"/>
  <c r="Y3" i="39"/>
  <c r="Z3" i="39"/>
  <c r="T4" i="39"/>
  <c r="U4" i="39"/>
  <c r="V4" i="39"/>
  <c r="W4" i="39"/>
  <c r="X4" i="39"/>
  <c r="Y4" i="39"/>
  <c r="Z4" i="39"/>
  <c r="T5" i="39"/>
  <c r="U5" i="39"/>
  <c r="V5" i="39"/>
  <c r="W5" i="39"/>
  <c r="X5" i="39"/>
  <c r="Y5" i="39"/>
  <c r="Z5" i="39"/>
  <c r="T6" i="39"/>
  <c r="U6" i="39"/>
  <c r="V6" i="39"/>
  <c r="W6" i="39"/>
  <c r="X6" i="39"/>
  <c r="Y6" i="39"/>
  <c r="Z6" i="39"/>
  <c r="T7" i="39"/>
  <c r="U7" i="39"/>
  <c r="V7" i="39"/>
  <c r="W7" i="39"/>
  <c r="X7" i="39"/>
  <c r="Y7" i="39"/>
  <c r="Z7" i="39"/>
  <c r="T8" i="39"/>
  <c r="U8" i="39"/>
  <c r="V8" i="39"/>
  <c r="W8" i="39"/>
  <c r="X8" i="39"/>
  <c r="Y8" i="39"/>
  <c r="Z8" i="39"/>
  <c r="T9" i="39"/>
  <c r="U9" i="39"/>
  <c r="V9" i="39"/>
  <c r="W9" i="39"/>
  <c r="X9" i="39"/>
  <c r="Y9" i="39"/>
  <c r="Z9" i="39"/>
  <c r="T10" i="39"/>
  <c r="U10" i="39"/>
  <c r="V10" i="39"/>
  <c r="W10" i="39"/>
  <c r="X10" i="39"/>
  <c r="Y10" i="39"/>
  <c r="Z10" i="39"/>
  <c r="T11" i="39"/>
  <c r="U11" i="39"/>
  <c r="V11" i="39"/>
  <c r="W11" i="39"/>
  <c r="X11" i="39"/>
  <c r="Y11" i="39"/>
  <c r="Z11" i="39"/>
  <c r="T12" i="39"/>
  <c r="U12" i="39"/>
  <c r="V12" i="39"/>
  <c r="W12" i="39"/>
  <c r="X12" i="39"/>
  <c r="Y12" i="39"/>
  <c r="Z12" i="39"/>
  <c r="T13" i="39"/>
  <c r="U13" i="39"/>
  <c r="V13" i="39"/>
  <c r="W13" i="39"/>
  <c r="X13" i="39"/>
  <c r="Y13" i="39"/>
  <c r="Z13" i="39"/>
  <c r="T14" i="39"/>
  <c r="U14" i="39"/>
  <c r="V14" i="39"/>
  <c r="W14" i="39"/>
  <c r="X14" i="39"/>
  <c r="Y14" i="39"/>
  <c r="Z14" i="39"/>
  <c r="T15" i="39"/>
  <c r="U15" i="39"/>
  <c r="V15" i="39"/>
  <c r="W15" i="39"/>
  <c r="X15" i="39"/>
  <c r="Y15" i="39"/>
  <c r="Z15" i="39"/>
  <c r="T16" i="39"/>
  <c r="U16" i="39"/>
  <c r="V16" i="39"/>
  <c r="W16" i="39"/>
  <c r="X16" i="39"/>
  <c r="Y16" i="39"/>
  <c r="Z16" i="39"/>
  <c r="T17" i="39"/>
  <c r="U17" i="39"/>
  <c r="V17" i="39"/>
  <c r="W17" i="39"/>
  <c r="X17" i="39"/>
  <c r="Y17" i="39"/>
  <c r="Z17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3" i="39"/>
  <c r="P3" i="39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P4" i="39"/>
  <c r="P5" i="39"/>
  <c r="P6" i="39"/>
  <c r="P7" i="39"/>
  <c r="P8" i="39"/>
  <c r="P9" i="39"/>
  <c r="P10" i="39"/>
  <c r="P11" i="39"/>
  <c r="P12" i="39"/>
  <c r="P13" i="39"/>
  <c r="P14" i="39"/>
  <c r="P15" i="39"/>
  <c r="P16" i="39"/>
  <c r="P17" i="39"/>
  <c r="C3" i="39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3" i="39"/>
  <c r="F3" i="39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Q2" i="37"/>
  <c r="O2" i="37"/>
  <c r="P2" i="37"/>
  <c r="K2" i="37"/>
  <c r="L2" i="37"/>
  <c r="M2" i="37"/>
  <c r="N2" i="37"/>
  <c r="B2" i="37"/>
  <c r="C2" i="37"/>
  <c r="D2" i="37"/>
  <c r="E2" i="37"/>
  <c r="F2" i="37"/>
  <c r="G2" i="37"/>
  <c r="H2" i="37"/>
  <c r="I2" i="37"/>
  <c r="J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2" i="37"/>
  <c r="CD13" i="46" l="1"/>
  <c r="CD20" i="46"/>
  <c r="CD9" i="46"/>
  <c r="CE8" i="46"/>
  <c r="CE19" i="46"/>
  <c r="CE5" i="46"/>
  <c r="CE16" i="46"/>
  <c r="BO6" i="46"/>
  <c r="CP19" i="46"/>
  <c r="CX19" i="46" s="1"/>
  <c r="BP15" i="46"/>
  <c r="CP8" i="46"/>
  <c r="CX8" i="46" s="1"/>
  <c r="BO5" i="46"/>
  <c r="BO9" i="46"/>
  <c r="BO13" i="46"/>
  <c r="CP7" i="46"/>
  <c r="CX7" i="46" s="1"/>
  <c r="CA5" i="46"/>
  <c r="BO15" i="46"/>
  <c r="CP10" i="46"/>
  <c r="CX10" i="46" s="1"/>
  <c r="BP3" i="46"/>
  <c r="CA6" i="46"/>
  <c r="CA8" i="46"/>
  <c r="CP6" i="46"/>
  <c r="CX6" i="46" s="1"/>
  <c r="BO8" i="46"/>
  <c r="BO12" i="46"/>
  <c r="CP9" i="46"/>
  <c r="CX9" i="46" s="1"/>
  <c r="BO11" i="46"/>
  <c r="BO14" i="46"/>
  <c r="BO3" i="46"/>
  <c r="CP5" i="46"/>
  <c r="CX5" i="46" s="1"/>
  <c r="CP12" i="46"/>
  <c r="CX12" i="46" s="1"/>
  <c r="CP14" i="46"/>
  <c r="CX14" i="46" s="1"/>
  <c r="BO4" i="46"/>
  <c r="BO7" i="46"/>
  <c r="BO10" i="46"/>
  <c r="CP11" i="46"/>
  <c r="CX11" i="46" s="1"/>
  <c r="BO16" i="46"/>
  <c r="CA7" i="46"/>
  <c r="BP16" i="46"/>
  <c r="BP6" i="46"/>
  <c r="CA16" i="46"/>
  <c r="CP17" i="46"/>
  <c r="CX17" i="46" s="1"/>
  <c r="CP13" i="46"/>
  <c r="CX13" i="46" s="1"/>
  <c r="CP15" i="46"/>
  <c r="CX15" i="46" s="1"/>
  <c r="BP4" i="46"/>
  <c r="BP14" i="46"/>
  <c r="CA15" i="46"/>
  <c r="S18" i="46"/>
  <c r="BQ15" i="46" s="1"/>
  <c r="BP17" i="46"/>
  <c r="CA20" i="46"/>
  <c r="CA14" i="46"/>
  <c r="BP8" i="46"/>
  <c r="CA11" i="46"/>
  <c r="CA12" i="46"/>
  <c r="CA13" i="46"/>
  <c r="BP18" i="46"/>
  <c r="BP10" i="46"/>
  <c r="BP11" i="46"/>
  <c r="BP13" i="46"/>
  <c r="BP9" i="46"/>
  <c r="CA10" i="46"/>
  <c r="BP12" i="46"/>
  <c r="BP5" i="46"/>
  <c r="BP7" i="46"/>
  <c r="CA9" i="46"/>
  <c r="CA17" i="46"/>
  <c r="L18" i="46"/>
  <c r="BM17" i="46"/>
  <c r="BI16" i="46"/>
  <c r="BI12" i="46"/>
  <c r="BI10" i="46"/>
  <c r="BH10" i="46"/>
  <c r="BI8" i="46"/>
  <c r="BL8" i="46"/>
  <c r="BH7" i="46"/>
  <c r="BM7" i="46"/>
  <c r="O7" i="46"/>
  <c r="O15" i="46"/>
  <c r="BH15" i="46"/>
  <c r="BM15" i="46"/>
  <c r="BH14" i="46"/>
  <c r="BI14" i="46"/>
  <c r="O12" i="46"/>
  <c r="BI6" i="46"/>
  <c r="AQ3" i="46"/>
  <c r="M18" i="46"/>
  <c r="CK15" i="46" s="1"/>
  <c r="O4" i="46"/>
  <c r="BI7" i="46"/>
  <c r="BI11" i="46"/>
  <c r="BI15" i="46"/>
  <c r="BH3" i="46"/>
  <c r="BM3" i="46"/>
  <c r="N18" i="46"/>
  <c r="BM18" i="46" s="1"/>
  <c r="BL3" i="46"/>
  <c r="BD3" i="46"/>
  <c r="BD6" i="46" s="1"/>
  <c r="BH4" i="46"/>
  <c r="BM4" i="46"/>
  <c r="BL4" i="46"/>
  <c r="P18" i="46"/>
  <c r="F18" i="46"/>
  <c r="CD15" i="46"/>
  <c r="CD11" i="46"/>
  <c r="CD7" i="46"/>
  <c r="CD17" i="46"/>
  <c r="CD14" i="46"/>
  <c r="CD10" i="46"/>
  <c r="CD6" i="46"/>
  <c r="CD16" i="46"/>
  <c r="CD12" i="46"/>
  <c r="CD8" i="46"/>
  <c r="CD5" i="46"/>
  <c r="O13" i="46"/>
  <c r="BH5" i="46"/>
  <c r="O6" i="46"/>
  <c r="BH8" i="46"/>
  <c r="O9" i="46"/>
  <c r="BH12" i="46"/>
  <c r="BH16" i="46"/>
  <c r="BN18" i="46"/>
  <c r="AR18" i="46"/>
  <c r="AH18" i="46"/>
  <c r="BI3" i="46"/>
  <c r="BI9" i="46"/>
  <c r="BI13" i="46"/>
  <c r="BI17" i="46"/>
  <c r="BL9" i="46"/>
  <c r="CE9" i="46"/>
  <c r="BV12" i="46"/>
  <c r="Q92" i="37" s="1"/>
  <c r="BL13" i="46"/>
  <c r="CE13" i="46"/>
  <c r="BV16" i="46"/>
  <c r="Q96" i="37" s="1"/>
  <c r="BL17" i="46"/>
  <c r="CE17" i="46"/>
  <c r="CD18" i="46"/>
  <c r="CA19" i="46"/>
  <c r="BV4" i="46"/>
  <c r="Q84" i="37" s="1"/>
  <c r="BM9" i="46"/>
  <c r="CX16" i="46"/>
  <c r="O17" i="46"/>
  <c r="CE18" i="46"/>
  <c r="BL6" i="46"/>
  <c r="CE6" i="46"/>
  <c r="BL10" i="46"/>
  <c r="CE10" i="46"/>
  <c r="BL14" i="46"/>
  <c r="CE14" i="46"/>
  <c r="CP20" i="46"/>
  <c r="CX20" i="46" s="1"/>
  <c r="CE20" i="46"/>
  <c r="O10" i="46"/>
  <c r="O14" i="46"/>
  <c r="BO17" i="46"/>
  <c r="CE7" i="46"/>
  <c r="CE11" i="46"/>
  <c r="CE15" i="46"/>
  <c r="BO18" i="46"/>
  <c r="CP18" i="46"/>
  <c r="CX18" i="46" s="1"/>
  <c r="BP4" i="45"/>
  <c r="BP8" i="45"/>
  <c r="BP5" i="45"/>
  <c r="BO7" i="45"/>
  <c r="BO9" i="45"/>
  <c r="CE11" i="45"/>
  <c r="BO15" i="45"/>
  <c r="CE19" i="45"/>
  <c r="BN18" i="45"/>
  <c r="BP7" i="45"/>
  <c r="CA10" i="45"/>
  <c r="BP10" i="45"/>
  <c r="CA8" i="45"/>
  <c r="BO5" i="45"/>
  <c r="BO8" i="45"/>
  <c r="CP5" i="45"/>
  <c r="CX5" i="45" s="1"/>
  <c r="BO3" i="45"/>
  <c r="BP13" i="45"/>
  <c r="CA17" i="45"/>
  <c r="BP14" i="45"/>
  <c r="BO13" i="45"/>
  <c r="CP6" i="45"/>
  <c r="CX6" i="45" s="1"/>
  <c r="BO12" i="45"/>
  <c r="BO14" i="45"/>
  <c r="CP10" i="45"/>
  <c r="CX10" i="45" s="1"/>
  <c r="CA12" i="45"/>
  <c r="CA13" i="45"/>
  <c r="CA18" i="45"/>
  <c r="BP9" i="45"/>
  <c r="CA11" i="45"/>
  <c r="CA14" i="45"/>
  <c r="CA20" i="45"/>
  <c r="BP17" i="45"/>
  <c r="CP8" i="45"/>
  <c r="CX8" i="45" s="1"/>
  <c r="CP15" i="45"/>
  <c r="CX15" i="45" s="1"/>
  <c r="BO10" i="45"/>
  <c r="CP17" i="45"/>
  <c r="CX17" i="45" s="1"/>
  <c r="CP19" i="45"/>
  <c r="CX19" i="45" s="1"/>
  <c r="CP14" i="45"/>
  <c r="CX14" i="45" s="1"/>
  <c r="BO16" i="45"/>
  <c r="CP12" i="45"/>
  <c r="CX12" i="45" s="1"/>
  <c r="CP16" i="45"/>
  <c r="CX16" i="45" s="1"/>
  <c r="S18" i="45"/>
  <c r="BQ10" i="45" s="1"/>
  <c r="CP9" i="45"/>
  <c r="CX9" i="45" s="1"/>
  <c r="BO11" i="45"/>
  <c r="CP13" i="45"/>
  <c r="CX13" i="45" s="1"/>
  <c r="L18" i="45"/>
  <c r="BI15" i="45"/>
  <c r="O11" i="45"/>
  <c r="BI11" i="45"/>
  <c r="BM11" i="45"/>
  <c r="O9" i="45"/>
  <c r="BI9" i="45"/>
  <c r="BH9" i="45"/>
  <c r="BM9" i="45"/>
  <c r="BM7" i="45"/>
  <c r="BH6" i="45"/>
  <c r="I18" i="45"/>
  <c r="O17" i="45"/>
  <c r="BH17" i="45"/>
  <c r="BI17" i="45"/>
  <c r="O16" i="45"/>
  <c r="O15" i="45"/>
  <c r="BM15" i="45"/>
  <c r="BI14" i="45"/>
  <c r="BH14" i="45"/>
  <c r="BM14" i="45"/>
  <c r="BH10" i="45"/>
  <c r="BI10" i="45"/>
  <c r="BM10" i="45"/>
  <c r="BI7" i="45"/>
  <c r="O7" i="45"/>
  <c r="O4" i="45"/>
  <c r="BI3" i="45"/>
  <c r="BM3" i="45"/>
  <c r="BI4" i="45"/>
  <c r="BD3" i="45"/>
  <c r="BD6" i="45" s="1"/>
  <c r="BV5" i="45"/>
  <c r="Q69" i="37" s="1"/>
  <c r="BV3" i="45"/>
  <c r="Q67" i="37" s="1"/>
  <c r="CE18" i="45"/>
  <c r="BL5" i="45"/>
  <c r="CE5" i="45"/>
  <c r="BL8" i="45"/>
  <c r="CE8" i="45"/>
  <c r="BL12" i="45"/>
  <c r="CE12" i="45"/>
  <c r="BL16" i="45"/>
  <c r="CE16" i="45"/>
  <c r="AN18" i="45"/>
  <c r="O3" i="45"/>
  <c r="BL4" i="45"/>
  <c r="O5" i="45"/>
  <c r="BM5" i="45"/>
  <c r="CX7" i="45"/>
  <c r="O8" i="45"/>
  <c r="CX11" i="45"/>
  <c r="O12" i="45"/>
  <c r="M18" i="45"/>
  <c r="CK20" i="45" s="1"/>
  <c r="CE20" i="45"/>
  <c r="BL3" i="45"/>
  <c r="BM4" i="45"/>
  <c r="BH7" i="45"/>
  <c r="BV8" i="45"/>
  <c r="Q72" i="37" s="1"/>
  <c r="CE9" i="45"/>
  <c r="BH11" i="45"/>
  <c r="BP11" i="45"/>
  <c r="BV12" i="45"/>
  <c r="Q76" i="37" s="1"/>
  <c r="CE13" i="45"/>
  <c r="BH15" i="45"/>
  <c r="BP15" i="45"/>
  <c r="CA15" i="45"/>
  <c r="BV16" i="45"/>
  <c r="Q80" i="37" s="1"/>
  <c r="BL17" i="45"/>
  <c r="CE17" i="45"/>
  <c r="F18" i="45"/>
  <c r="N18" i="45"/>
  <c r="BJ15" i="45" s="1"/>
  <c r="AH18" i="45"/>
  <c r="CA19" i="45"/>
  <c r="BH5" i="45"/>
  <c r="CE6" i="45"/>
  <c r="BH8" i="45"/>
  <c r="CE10" i="45"/>
  <c r="BH12" i="45"/>
  <c r="BP12" i="45"/>
  <c r="CE14" i="45"/>
  <c r="BH16" i="45"/>
  <c r="CA16" i="45"/>
  <c r="P18" i="45"/>
  <c r="CP20" i="45"/>
  <c r="BI5" i="45"/>
  <c r="BI8" i="45"/>
  <c r="O10" i="45"/>
  <c r="BI12" i="45"/>
  <c r="O14" i="45"/>
  <c r="BI16" i="45"/>
  <c r="BO17" i="45"/>
  <c r="CE7" i="45"/>
  <c r="CE15" i="45"/>
  <c r="BO18" i="45"/>
  <c r="CP18" i="45"/>
  <c r="BP9" i="44"/>
  <c r="CE15" i="44"/>
  <c r="CE19" i="44"/>
  <c r="BN18" i="44"/>
  <c r="BP6" i="44"/>
  <c r="BO15" i="44"/>
  <c r="CA6" i="44"/>
  <c r="BP3" i="44"/>
  <c r="BP4" i="44"/>
  <c r="CA5" i="44"/>
  <c r="CA15" i="44"/>
  <c r="BP13" i="44"/>
  <c r="BP5" i="44"/>
  <c r="BP18" i="44"/>
  <c r="CA7" i="44"/>
  <c r="BO6" i="44"/>
  <c r="CA8" i="44"/>
  <c r="BP11" i="44"/>
  <c r="CA11" i="44"/>
  <c r="BO9" i="44"/>
  <c r="BO12" i="44"/>
  <c r="CA13" i="44"/>
  <c r="CA10" i="44"/>
  <c r="BO3" i="44"/>
  <c r="CP6" i="44"/>
  <c r="CX6" i="44" s="1"/>
  <c r="BP10" i="44"/>
  <c r="BP14" i="44"/>
  <c r="BP12" i="44"/>
  <c r="CP10" i="44"/>
  <c r="CX10" i="44" s="1"/>
  <c r="CP12" i="44"/>
  <c r="CX12" i="44" s="1"/>
  <c r="CP9" i="44"/>
  <c r="CX9" i="44" s="1"/>
  <c r="BP16" i="44"/>
  <c r="BP8" i="44"/>
  <c r="BO7" i="44"/>
  <c r="CP8" i="44"/>
  <c r="CX8" i="44" s="1"/>
  <c r="CP14" i="44"/>
  <c r="CX14" i="44" s="1"/>
  <c r="BO16" i="44"/>
  <c r="BO13" i="44"/>
  <c r="BO5" i="44"/>
  <c r="CP7" i="44"/>
  <c r="CX7" i="44" s="1"/>
  <c r="CP11" i="44"/>
  <c r="CX11" i="44" s="1"/>
  <c r="CP5" i="44"/>
  <c r="CX5" i="44" s="1"/>
  <c r="BO8" i="44"/>
  <c r="CP13" i="44"/>
  <c r="CX13" i="44" s="1"/>
  <c r="CA12" i="44"/>
  <c r="CA16" i="44"/>
  <c r="CA18" i="44"/>
  <c r="BP7" i="44"/>
  <c r="BP15" i="44"/>
  <c r="CA14" i="44"/>
  <c r="CA17" i="44"/>
  <c r="S18" i="44"/>
  <c r="BQ17" i="44" s="1"/>
  <c r="CA20" i="44"/>
  <c r="BP17" i="44"/>
  <c r="BO10" i="44"/>
  <c r="BO11" i="44"/>
  <c r="CP17" i="44"/>
  <c r="CX17" i="44" s="1"/>
  <c r="BO14" i="44"/>
  <c r="CP16" i="44"/>
  <c r="CX16" i="44" s="1"/>
  <c r="L18" i="44"/>
  <c r="BI17" i="44"/>
  <c r="BI16" i="44"/>
  <c r="O15" i="44"/>
  <c r="BI15" i="44"/>
  <c r="BI13" i="44"/>
  <c r="O6" i="44"/>
  <c r="I18" i="44"/>
  <c r="BI3" i="44"/>
  <c r="BL3" i="44"/>
  <c r="BH3" i="44"/>
  <c r="O17" i="44"/>
  <c r="BH17" i="44"/>
  <c r="BM15" i="44"/>
  <c r="O13" i="44"/>
  <c r="BH13" i="44"/>
  <c r="BM13" i="44"/>
  <c r="BH12" i="44"/>
  <c r="BM12" i="44"/>
  <c r="N18" i="44"/>
  <c r="BJ15" i="44" s="1"/>
  <c r="BI12" i="44"/>
  <c r="BH11" i="44"/>
  <c r="O11" i="44"/>
  <c r="BH9" i="44"/>
  <c r="O9" i="44"/>
  <c r="BI8" i="44"/>
  <c r="BH8" i="44"/>
  <c r="BI7" i="44"/>
  <c r="BL6" i="44"/>
  <c r="BI5" i="44"/>
  <c r="F18" i="44"/>
  <c r="CI17" i="44"/>
  <c r="CI13" i="44"/>
  <c r="CI9" i="44"/>
  <c r="CI20" i="44"/>
  <c r="CI16" i="44"/>
  <c r="CI12" i="44"/>
  <c r="CI8" i="44"/>
  <c r="CI5" i="44"/>
  <c r="CI19" i="44"/>
  <c r="CI15" i="44"/>
  <c r="CI11" i="44"/>
  <c r="CI7" i="44"/>
  <c r="CI14" i="44"/>
  <c r="CI10" i="44"/>
  <c r="CI6" i="44"/>
  <c r="AQ18" i="44"/>
  <c r="CI18" i="44"/>
  <c r="O10" i="44"/>
  <c r="BD3" i="44"/>
  <c r="BD6" i="44" s="1"/>
  <c r="BI4" i="44"/>
  <c r="CD15" i="44"/>
  <c r="CD11" i="44"/>
  <c r="CD7" i="44"/>
  <c r="CD14" i="44"/>
  <c r="CD13" i="44"/>
  <c r="CD9" i="44"/>
  <c r="CD16" i="44"/>
  <c r="CD12" i="44"/>
  <c r="CD8" i="44"/>
  <c r="CD5" i="44"/>
  <c r="BV8" i="44"/>
  <c r="Q40" i="37" s="1"/>
  <c r="CD17" i="44"/>
  <c r="BV3" i="44"/>
  <c r="Q35" i="37" s="1"/>
  <c r="CD19" i="44"/>
  <c r="BV5" i="44"/>
  <c r="Q37" i="37" s="1"/>
  <c r="CE18" i="44"/>
  <c r="BL5" i="44"/>
  <c r="CE5" i="44"/>
  <c r="BH6" i="44"/>
  <c r="CE8" i="44"/>
  <c r="BH10" i="44"/>
  <c r="CE12" i="44"/>
  <c r="BH14" i="44"/>
  <c r="BL16" i="44"/>
  <c r="CE16" i="44"/>
  <c r="CD20" i="44"/>
  <c r="O3" i="44"/>
  <c r="BL4" i="44"/>
  <c r="O5" i="44"/>
  <c r="BI6" i="44"/>
  <c r="O8" i="44"/>
  <c r="BI10" i="44"/>
  <c r="O12" i="44"/>
  <c r="BI14" i="44"/>
  <c r="CX15" i="44"/>
  <c r="O16" i="44"/>
  <c r="M18" i="44"/>
  <c r="CK20" i="44" s="1"/>
  <c r="CP19" i="44"/>
  <c r="CE20" i="44"/>
  <c r="O4" i="44"/>
  <c r="BM4" i="44"/>
  <c r="BH7" i="44"/>
  <c r="CE9" i="44"/>
  <c r="BV12" i="44"/>
  <c r="Q44" i="37" s="1"/>
  <c r="CE13" i="44"/>
  <c r="BV16" i="44"/>
  <c r="Q48" i="37" s="1"/>
  <c r="BL17" i="44"/>
  <c r="CE17" i="44"/>
  <c r="CD18" i="44"/>
  <c r="CA19" i="44"/>
  <c r="CE6" i="44"/>
  <c r="BL10" i="44"/>
  <c r="CE10" i="44"/>
  <c r="BL14" i="44"/>
  <c r="CE14" i="44"/>
  <c r="P18" i="44"/>
  <c r="AR18" i="44"/>
  <c r="CP20" i="44"/>
  <c r="O14" i="44"/>
  <c r="BO17" i="44"/>
  <c r="CE7" i="44"/>
  <c r="CE11" i="44"/>
  <c r="BO18" i="44"/>
  <c r="CP18" i="44"/>
  <c r="CX18" i="44" s="1"/>
  <c r="D20" i="16"/>
  <c r="CE6" i="43"/>
  <c r="CE5" i="43"/>
  <c r="CE8" i="43"/>
  <c r="CE19" i="43"/>
  <c r="CE12" i="43"/>
  <c r="BN18" i="43"/>
  <c r="BO3" i="43"/>
  <c r="CP12" i="43"/>
  <c r="CP5" i="43"/>
  <c r="CX5" i="43" s="1"/>
  <c r="CA11" i="43"/>
  <c r="CA13" i="43"/>
  <c r="CA15" i="43"/>
  <c r="CA9" i="43"/>
  <c r="CA16" i="43"/>
  <c r="CA7" i="43"/>
  <c r="CA12" i="43"/>
  <c r="CA14" i="43"/>
  <c r="CA17" i="43"/>
  <c r="BP3" i="43"/>
  <c r="BP6" i="43"/>
  <c r="CA8" i="43"/>
  <c r="BP10" i="43"/>
  <c r="CA6" i="43"/>
  <c r="BO4" i="43"/>
  <c r="CP7" i="43"/>
  <c r="CX7" i="43" s="1"/>
  <c r="CP6" i="43"/>
  <c r="BP18" i="43"/>
  <c r="CA20" i="43"/>
  <c r="CP8" i="43"/>
  <c r="CX8" i="43" s="1"/>
  <c r="BO10" i="43"/>
  <c r="CP11" i="43"/>
  <c r="CX11" i="43" s="1"/>
  <c r="CP13" i="43"/>
  <c r="CX13" i="43" s="1"/>
  <c r="CP17" i="43"/>
  <c r="CX17" i="43" s="1"/>
  <c r="BV3" i="43"/>
  <c r="Q51" i="37" s="1"/>
  <c r="CP10" i="43"/>
  <c r="CX10" i="43" s="1"/>
  <c r="BO14" i="43"/>
  <c r="CP15" i="43"/>
  <c r="CX15" i="43" s="1"/>
  <c r="S18" i="43"/>
  <c r="BQ16" i="43" s="1"/>
  <c r="CP9" i="43"/>
  <c r="CX9" i="43" s="1"/>
  <c r="CP14" i="43"/>
  <c r="CX14" i="43" s="1"/>
  <c r="L18" i="43"/>
  <c r="BI16" i="43"/>
  <c r="BH13" i="43"/>
  <c r="I18" i="43"/>
  <c r="BI17" i="43"/>
  <c r="O15" i="43"/>
  <c r="BI15" i="43"/>
  <c r="BI13" i="43"/>
  <c r="O11" i="43"/>
  <c r="BI11" i="43"/>
  <c r="BM11" i="43"/>
  <c r="BI8" i="43"/>
  <c r="O7" i="43"/>
  <c r="BI7" i="43"/>
  <c r="BM7" i="43"/>
  <c r="BH6" i="43"/>
  <c r="BL6" i="43"/>
  <c r="CX6" i="43"/>
  <c r="BI3" i="43"/>
  <c r="BH12" i="43"/>
  <c r="BM12" i="43"/>
  <c r="BD3" i="43"/>
  <c r="BD6" i="43" s="1"/>
  <c r="BI4" i="43"/>
  <c r="BH5" i="43"/>
  <c r="BI12" i="43"/>
  <c r="O8" i="43"/>
  <c r="BV10" i="43"/>
  <c r="Q58" i="37" s="1"/>
  <c r="M18" i="43"/>
  <c r="CK12" i="43" s="1"/>
  <c r="BH8" i="43"/>
  <c r="BM8" i="43"/>
  <c r="BL12" i="43"/>
  <c r="N18" i="43"/>
  <c r="BJ12" i="43" s="1"/>
  <c r="AQ18" i="43"/>
  <c r="O3" i="43"/>
  <c r="BH4" i="43"/>
  <c r="BL4" i="43"/>
  <c r="AN18" i="43"/>
  <c r="CI6" i="43" s="1"/>
  <c r="AQ3" i="43"/>
  <c r="BL3" i="43"/>
  <c r="O4" i="43"/>
  <c r="O5" i="43"/>
  <c r="BI6" i="43"/>
  <c r="AQ12" i="43"/>
  <c r="O16" i="43"/>
  <c r="BP17" i="43"/>
  <c r="CE15" i="43"/>
  <c r="BP13" i="43"/>
  <c r="CE11" i="43"/>
  <c r="BP9" i="43"/>
  <c r="CE7" i="43"/>
  <c r="BO17" i="43"/>
  <c r="BO13" i="43"/>
  <c r="BO9" i="43"/>
  <c r="BP4" i="43"/>
  <c r="BP16" i="43"/>
  <c r="CE14" i="43"/>
  <c r="BP12" i="43"/>
  <c r="CE10" i="43"/>
  <c r="BP8" i="43"/>
  <c r="BO16" i="43"/>
  <c r="BO12" i="43"/>
  <c r="BO8" i="43"/>
  <c r="BO5" i="43"/>
  <c r="CE17" i="43"/>
  <c r="BP15" i="43"/>
  <c r="CE13" i="43"/>
  <c r="BP11" i="43"/>
  <c r="CE9" i="43"/>
  <c r="BP7" i="43"/>
  <c r="BO15" i="43"/>
  <c r="BO11" i="43"/>
  <c r="BO7" i="43"/>
  <c r="CE16" i="43"/>
  <c r="BP14" i="43"/>
  <c r="BM3" i="43"/>
  <c r="BM5" i="43"/>
  <c r="O12" i="43"/>
  <c r="BV14" i="43"/>
  <c r="Q62" i="37" s="1"/>
  <c r="BL16" i="43"/>
  <c r="BI10" i="43"/>
  <c r="BI14" i="43"/>
  <c r="BM16" i="43"/>
  <c r="CP19" i="43"/>
  <c r="CE20" i="43"/>
  <c r="BV5" i="43"/>
  <c r="Q53" i="37" s="1"/>
  <c r="BH7" i="43"/>
  <c r="BV8" i="43"/>
  <c r="Q56" i="37" s="1"/>
  <c r="BL9" i="43"/>
  <c r="BH11" i="43"/>
  <c r="BV12" i="43"/>
  <c r="Q60" i="37" s="1"/>
  <c r="BL13" i="43"/>
  <c r="BH15" i="43"/>
  <c r="BV16" i="43"/>
  <c r="Q64" i="37" s="1"/>
  <c r="BL17" i="43"/>
  <c r="F18" i="43"/>
  <c r="AH18" i="43"/>
  <c r="CA19" i="43"/>
  <c r="O6" i="43"/>
  <c r="O9" i="43"/>
  <c r="CX12" i="43"/>
  <c r="O13" i="43"/>
  <c r="CX16" i="43"/>
  <c r="O17" i="43"/>
  <c r="BM17" i="43"/>
  <c r="CE18" i="43"/>
  <c r="BL10" i="43"/>
  <c r="BL14" i="43"/>
  <c r="BH16" i="43"/>
  <c r="P18" i="43"/>
  <c r="CP20" i="43"/>
  <c r="CX20" i="43" s="1"/>
  <c r="O10" i="43"/>
  <c r="O14" i="43"/>
  <c r="BO18" i="43"/>
  <c r="CP18" i="43"/>
  <c r="CX18" i="43" s="1"/>
  <c r="AQ6" i="42"/>
  <c r="CA20" i="42"/>
  <c r="R11" i="39"/>
  <c r="CP8" i="42"/>
  <c r="CP15" i="42"/>
  <c r="CX15" i="42" s="1"/>
  <c r="CP18" i="42"/>
  <c r="M18" i="42"/>
  <c r="CA8" i="42"/>
  <c r="BI11" i="42"/>
  <c r="CA16" i="42"/>
  <c r="BP18" i="42"/>
  <c r="CA14" i="42"/>
  <c r="AQ15" i="42"/>
  <c r="CP16" i="42"/>
  <c r="O5" i="42"/>
  <c r="O13" i="42"/>
  <c r="O17" i="42"/>
  <c r="BM9" i="42"/>
  <c r="CA11" i="42"/>
  <c r="CP14" i="42"/>
  <c r="CA6" i="42"/>
  <c r="BO7" i="42"/>
  <c r="CA10" i="42"/>
  <c r="CP11" i="42"/>
  <c r="CX11" i="42" s="1"/>
  <c r="AQ13" i="42"/>
  <c r="CA13" i="42"/>
  <c r="AQ14" i="42"/>
  <c r="AQ17" i="42"/>
  <c r="O3" i="42"/>
  <c r="O11" i="42"/>
  <c r="CA5" i="42"/>
  <c r="CP6" i="42"/>
  <c r="CX6" i="42" s="1"/>
  <c r="CA7" i="42"/>
  <c r="CA9" i="42"/>
  <c r="CP10" i="42"/>
  <c r="CA12" i="42"/>
  <c r="O10" i="42"/>
  <c r="CP12" i="42"/>
  <c r="CP13" i="42"/>
  <c r="CX13" i="42" s="1"/>
  <c r="BO11" i="42"/>
  <c r="CA15" i="42"/>
  <c r="CA17" i="42"/>
  <c r="CP17" i="42"/>
  <c r="S18" i="42"/>
  <c r="BQ4" i="42" s="1"/>
  <c r="L18" i="42"/>
  <c r="I18" i="42"/>
  <c r="F18" i="42"/>
  <c r="N18" i="42"/>
  <c r="BL17" i="42"/>
  <c r="R15" i="39"/>
  <c r="R7" i="39"/>
  <c r="R16" i="39"/>
  <c r="H9" i="39"/>
  <c r="R8" i="39"/>
  <c r="K15" i="39"/>
  <c r="K7" i="39"/>
  <c r="H7" i="39"/>
  <c r="H15" i="39"/>
  <c r="R6" i="39"/>
  <c r="BQ17" i="42"/>
  <c r="R10" i="39"/>
  <c r="P18" i="42"/>
  <c r="K10" i="39"/>
  <c r="H14" i="39"/>
  <c r="CD9" i="42"/>
  <c r="R17" i="39"/>
  <c r="R14" i="39"/>
  <c r="R9" i="39"/>
  <c r="K14" i="39"/>
  <c r="H17" i="39"/>
  <c r="H11" i="39"/>
  <c r="M11" i="39"/>
  <c r="H10" i="39"/>
  <c r="H6" i="39"/>
  <c r="M3" i="39"/>
  <c r="E15" i="39"/>
  <c r="E10" i="39"/>
  <c r="E7" i="39"/>
  <c r="E4" i="39"/>
  <c r="R5" i="39"/>
  <c r="H5" i="39"/>
  <c r="R13" i="39"/>
  <c r="E13" i="39"/>
  <c r="E5" i="39"/>
  <c r="H12" i="39"/>
  <c r="H4" i="39"/>
  <c r="K13" i="39"/>
  <c r="K5" i="39"/>
  <c r="R12" i="39"/>
  <c r="R4" i="39"/>
  <c r="E14" i="39"/>
  <c r="H13" i="39"/>
  <c r="E6" i="39"/>
  <c r="E17" i="39"/>
  <c r="E9" i="39"/>
  <c r="H16" i="39"/>
  <c r="H8" i="39"/>
  <c r="K4" i="39"/>
  <c r="K17" i="39"/>
  <c r="K9" i="39"/>
  <c r="K12" i="39"/>
  <c r="M10" i="39"/>
  <c r="K11" i="39"/>
  <c r="M15" i="39"/>
  <c r="K16" i="39"/>
  <c r="K8" i="39"/>
  <c r="E11" i="39"/>
  <c r="K6" i="39"/>
  <c r="CD18" i="42"/>
  <c r="CD14" i="42"/>
  <c r="CD10" i="42"/>
  <c r="CD6" i="42"/>
  <c r="CD16" i="42"/>
  <c r="CD12" i="42"/>
  <c r="CD8" i="42"/>
  <c r="CD5" i="42"/>
  <c r="CD15" i="42"/>
  <c r="CD11" i="42"/>
  <c r="CD7" i="42"/>
  <c r="L3" i="39"/>
  <c r="CX5" i="42"/>
  <c r="BM3" i="42"/>
  <c r="BL3" i="42"/>
  <c r="BH3" i="42"/>
  <c r="BL4" i="42"/>
  <c r="CD17" i="42"/>
  <c r="CD19" i="42"/>
  <c r="CE18" i="42"/>
  <c r="BP16" i="42"/>
  <c r="CE14" i="42"/>
  <c r="BP12" i="42"/>
  <c r="CK11" i="42"/>
  <c r="CJ11" i="42" s="1"/>
  <c r="CE10" i="42"/>
  <c r="BP8" i="42"/>
  <c r="CE6" i="42"/>
  <c r="BP5" i="42"/>
  <c r="BO4" i="42"/>
  <c r="BO16" i="42"/>
  <c r="BO12" i="42"/>
  <c r="BO8" i="42"/>
  <c r="BO5" i="42"/>
  <c r="CE17" i="42"/>
  <c r="BP15" i="42"/>
  <c r="CK14" i="42"/>
  <c r="CJ14" i="42" s="1"/>
  <c r="CE13" i="42"/>
  <c r="BP11" i="42"/>
  <c r="CE9" i="42"/>
  <c r="BP7" i="42"/>
  <c r="BP17" i="42"/>
  <c r="CK17" i="42"/>
  <c r="CT17" i="42" s="1"/>
  <c r="CE16" i="42"/>
  <c r="BP14" i="42"/>
  <c r="CE12" i="42"/>
  <c r="BP10" i="42"/>
  <c r="CE8" i="42"/>
  <c r="BP6" i="42"/>
  <c r="CE5" i="42"/>
  <c r="BO17" i="42"/>
  <c r="BO14" i="42"/>
  <c r="BO10" i="42"/>
  <c r="BO6" i="42"/>
  <c r="CK16" i="42"/>
  <c r="CT16" i="42" s="1"/>
  <c r="CE15" i="42"/>
  <c r="BP13" i="42"/>
  <c r="CE11" i="42"/>
  <c r="BP9" i="42"/>
  <c r="CE7" i="42"/>
  <c r="CK5" i="42"/>
  <c r="CJ5" i="42" s="1"/>
  <c r="BP3" i="42"/>
  <c r="CK20" i="42"/>
  <c r="CJ20" i="42" s="1"/>
  <c r="BO13" i="42"/>
  <c r="BO9" i="42"/>
  <c r="BP4" i="42"/>
  <c r="BO3" i="42"/>
  <c r="BI3" i="42"/>
  <c r="AQ3" i="42"/>
  <c r="CD13" i="42"/>
  <c r="BM4" i="42"/>
  <c r="BH4" i="42"/>
  <c r="CE19" i="42"/>
  <c r="BD3" i="42"/>
  <c r="BD6" i="42" s="1"/>
  <c r="BM6" i="42"/>
  <c r="BQ8" i="42"/>
  <c r="CX9" i="42"/>
  <c r="BM10" i="42"/>
  <c r="BM14" i="42"/>
  <c r="CX17" i="42"/>
  <c r="BM17" i="42"/>
  <c r="BI4" i="42"/>
  <c r="BL7" i="42"/>
  <c r="BH9" i="42"/>
  <c r="BL11" i="42"/>
  <c r="BL15" i="42"/>
  <c r="AR18" i="42"/>
  <c r="CD20" i="42"/>
  <c r="BI9" i="42"/>
  <c r="CX10" i="42"/>
  <c r="BI13" i="42"/>
  <c r="CX14" i="42"/>
  <c r="BM15" i="42"/>
  <c r="CX18" i="42"/>
  <c r="BN18" i="42"/>
  <c r="CP19" i="42"/>
  <c r="CX19" i="42" s="1"/>
  <c r="CE20" i="42"/>
  <c r="BH6" i="42"/>
  <c r="BH10" i="42"/>
  <c r="BH14" i="42"/>
  <c r="BH17" i="42"/>
  <c r="BO18" i="42"/>
  <c r="CA19" i="42"/>
  <c r="BL9" i="42"/>
  <c r="BH15" i="42"/>
  <c r="CP20" i="42"/>
  <c r="CX20" i="42" s="1"/>
  <c r="CX8" i="42"/>
  <c r="CX12" i="42"/>
  <c r="CX16" i="42"/>
  <c r="M7" i="39"/>
  <c r="M14" i="39"/>
  <c r="M6" i="39"/>
  <c r="L11" i="39"/>
  <c r="O12" i="39"/>
  <c r="M12" i="39"/>
  <c r="M4" i="39"/>
  <c r="L7" i="39"/>
  <c r="K3" i="39"/>
  <c r="L4" i="39"/>
  <c r="O17" i="39"/>
  <c r="O9" i="39"/>
  <c r="M17" i="39"/>
  <c r="M9" i="39"/>
  <c r="L16" i="39"/>
  <c r="M16" i="39"/>
  <c r="O14" i="39"/>
  <c r="O6" i="39"/>
  <c r="L15" i="39"/>
  <c r="L8" i="39"/>
  <c r="M8" i="39"/>
  <c r="M13" i="39"/>
  <c r="M5" i="39"/>
  <c r="L12" i="39"/>
  <c r="O13" i="39"/>
  <c r="O16" i="39"/>
  <c r="E16" i="39"/>
  <c r="E8" i="39"/>
  <c r="L14" i="39"/>
  <c r="L6" i="39"/>
  <c r="O15" i="39"/>
  <c r="O7" i="39"/>
  <c r="O8" i="39"/>
  <c r="L13" i="39"/>
  <c r="L5" i="39"/>
  <c r="O4" i="39"/>
  <c r="E12" i="39"/>
  <c r="L10" i="39"/>
  <c r="O11" i="39"/>
  <c r="O3" i="39"/>
  <c r="O5" i="39"/>
  <c r="L17" i="39"/>
  <c r="L9" i="39"/>
  <c r="O10" i="39"/>
  <c r="H3" i="39"/>
  <c r="R3" i="39"/>
  <c r="E3" i="39"/>
  <c r="BQ8" i="46" l="1"/>
  <c r="BR18" i="46"/>
  <c r="BQ16" i="46"/>
  <c r="BQ3" i="46"/>
  <c r="BQ11" i="46"/>
  <c r="BQ7" i="46"/>
  <c r="BV18" i="46"/>
  <c r="Q98" i="37" s="1"/>
  <c r="BQ13" i="46"/>
  <c r="BQ4" i="46"/>
  <c r="BQ10" i="46"/>
  <c r="BQ14" i="46"/>
  <c r="BQ6" i="46"/>
  <c r="BQ9" i="46"/>
  <c r="BQ12" i="46"/>
  <c r="BQ17" i="46"/>
  <c r="BQ18" i="46"/>
  <c r="BQ5" i="46"/>
  <c r="CK16" i="46"/>
  <c r="CT16" i="46" s="1"/>
  <c r="CK6" i="46"/>
  <c r="CJ6" i="46" s="1"/>
  <c r="CK20" i="46"/>
  <c r="CT20" i="46" s="1"/>
  <c r="CK10" i="46"/>
  <c r="CJ10" i="46" s="1"/>
  <c r="CK14" i="46"/>
  <c r="CJ14" i="46" s="1"/>
  <c r="CK18" i="46"/>
  <c r="CJ18" i="46" s="1"/>
  <c r="CK5" i="46"/>
  <c r="CT5" i="46" s="1"/>
  <c r="BJ6" i="46"/>
  <c r="BJ16" i="46"/>
  <c r="BL18" i="46"/>
  <c r="BJ12" i="46"/>
  <c r="BU11" i="46"/>
  <c r="BJ5" i="46"/>
  <c r="BJ14" i="46"/>
  <c r="BJ3" i="46"/>
  <c r="BU6" i="46"/>
  <c r="BU10" i="46"/>
  <c r="BJ10" i="46"/>
  <c r="BJ4" i="46"/>
  <c r="BJ8" i="46"/>
  <c r="CT15" i="46"/>
  <c r="CJ15" i="46"/>
  <c r="BK18" i="46"/>
  <c r="CK19" i="46"/>
  <c r="CT19" i="46" s="1"/>
  <c r="BU17" i="46"/>
  <c r="CK8" i="46"/>
  <c r="BU13" i="46"/>
  <c r="CK7" i="46"/>
  <c r="CT7" i="46" s="1"/>
  <c r="CK11" i="46"/>
  <c r="CT11" i="46" s="1"/>
  <c r="BU15" i="46"/>
  <c r="CK12" i="46"/>
  <c r="CT12" i="46" s="1"/>
  <c r="BU3" i="46"/>
  <c r="CJ16" i="46"/>
  <c r="BU4" i="46"/>
  <c r="CU19" i="46"/>
  <c r="CU15" i="46"/>
  <c r="CU11" i="46"/>
  <c r="CU7" i="46"/>
  <c r="CU14" i="46"/>
  <c r="CU10" i="46"/>
  <c r="CU6" i="46"/>
  <c r="CU18" i="46"/>
  <c r="CU17" i="46"/>
  <c r="CU13" i="46"/>
  <c r="CU9" i="46"/>
  <c r="CU20" i="46"/>
  <c r="BI18" i="46"/>
  <c r="CU16" i="46"/>
  <c r="BU16" i="46"/>
  <c r="BU12" i="46"/>
  <c r="CU8" i="46"/>
  <c r="BU8" i="46"/>
  <c r="CU5" i="46"/>
  <c r="BU5" i="46"/>
  <c r="CU12" i="46"/>
  <c r="BJ15" i="46"/>
  <c r="BJ11" i="46"/>
  <c r="BJ7" i="46"/>
  <c r="AB3" i="46"/>
  <c r="AB6" i="46" s="1"/>
  <c r="BJ9" i="46"/>
  <c r="BH18" i="46"/>
  <c r="BJ13" i="46"/>
  <c r="BJ17" i="46"/>
  <c r="CL19" i="46"/>
  <c r="CL15" i="46"/>
  <c r="BK15" i="46"/>
  <c r="CN14" i="46"/>
  <c r="CL11" i="46"/>
  <c r="BK11" i="46"/>
  <c r="CN10" i="46"/>
  <c r="CL7" i="46"/>
  <c r="BK7" i="46"/>
  <c r="CN6" i="46"/>
  <c r="CN18" i="46"/>
  <c r="O18" i="46"/>
  <c r="CN17" i="46"/>
  <c r="CL14" i="46"/>
  <c r="BK14" i="46"/>
  <c r="CN13" i="46"/>
  <c r="CL10" i="46"/>
  <c r="BK10" i="46"/>
  <c r="CN9" i="46"/>
  <c r="CL6" i="46"/>
  <c r="BK6" i="46"/>
  <c r="BK17" i="46"/>
  <c r="CN16" i="46"/>
  <c r="CN20" i="46"/>
  <c r="CL18" i="46"/>
  <c r="CN19" i="46"/>
  <c r="CL16" i="46"/>
  <c r="BK16" i="46"/>
  <c r="CN15" i="46"/>
  <c r="CL12" i="46"/>
  <c r="BK12" i="46"/>
  <c r="CN11" i="46"/>
  <c r="CL8" i="46"/>
  <c r="BK8" i="46"/>
  <c r="CN7" i="46"/>
  <c r="CL5" i="46"/>
  <c r="BK5" i="46"/>
  <c r="CL17" i="46"/>
  <c r="CL13" i="46"/>
  <c r="CL9" i="46"/>
  <c r="CN8" i="46"/>
  <c r="CN5" i="46"/>
  <c r="CK13" i="46"/>
  <c r="CN12" i="46"/>
  <c r="CK9" i="46"/>
  <c r="BK3" i="46"/>
  <c r="BK4" i="46"/>
  <c r="BK9" i="46"/>
  <c r="CL20" i="46"/>
  <c r="BK13" i="46"/>
  <c r="CK17" i="46"/>
  <c r="BU14" i="46"/>
  <c r="BU9" i="46"/>
  <c r="BU7" i="46"/>
  <c r="CI17" i="46"/>
  <c r="CI13" i="46"/>
  <c r="CI9" i="46"/>
  <c r="CI20" i="46"/>
  <c r="CI16" i="46"/>
  <c r="CI12" i="46"/>
  <c r="CI8" i="46"/>
  <c r="CI5" i="46"/>
  <c r="AQ18" i="46"/>
  <c r="CI19" i="46"/>
  <c r="CI15" i="46"/>
  <c r="CI11" i="46"/>
  <c r="CI7" i="46"/>
  <c r="CI18" i="46"/>
  <c r="CI14" i="46"/>
  <c r="CI6" i="46"/>
  <c r="CI10" i="46"/>
  <c r="BQ3" i="45"/>
  <c r="BQ5" i="45"/>
  <c r="BV18" i="45"/>
  <c r="Q82" i="37" s="1"/>
  <c r="BQ14" i="45"/>
  <c r="BQ16" i="45"/>
  <c r="BQ18" i="45"/>
  <c r="BQ11" i="45"/>
  <c r="BQ7" i="45"/>
  <c r="BQ4" i="45"/>
  <c r="BQ13" i="45"/>
  <c r="BQ9" i="45"/>
  <c r="BQ17" i="45"/>
  <c r="BQ15" i="45"/>
  <c r="BQ6" i="45"/>
  <c r="BQ12" i="45"/>
  <c r="BQ8" i="45"/>
  <c r="CK16" i="45"/>
  <c r="CT16" i="45" s="1"/>
  <c r="CK19" i="45"/>
  <c r="CT19" i="45" s="1"/>
  <c r="CK18" i="45"/>
  <c r="CJ18" i="45" s="1"/>
  <c r="BJ7" i="45"/>
  <c r="BU6" i="45"/>
  <c r="CK10" i="45"/>
  <c r="CT10" i="45" s="1"/>
  <c r="CJ20" i="45"/>
  <c r="CT20" i="45"/>
  <c r="AB3" i="45"/>
  <c r="AB6" i="45" s="1"/>
  <c r="BJ17" i="45"/>
  <c r="BJ13" i="45"/>
  <c r="BJ9" i="45"/>
  <c r="BL18" i="45"/>
  <c r="BJ4" i="45"/>
  <c r="CD11" i="45"/>
  <c r="CD7" i="45"/>
  <c r="CD17" i="45"/>
  <c r="CD13" i="45"/>
  <c r="CD9" i="45"/>
  <c r="CD14" i="45"/>
  <c r="CD10" i="45"/>
  <c r="CD16" i="45"/>
  <c r="CD12" i="45"/>
  <c r="CD8" i="45"/>
  <c r="CD5" i="45"/>
  <c r="CD6" i="45"/>
  <c r="CK14" i="45"/>
  <c r="BJ10" i="45"/>
  <c r="CI17" i="45"/>
  <c r="CI13" i="45"/>
  <c r="CI9" i="45"/>
  <c r="CI20" i="45"/>
  <c r="CI16" i="45"/>
  <c r="CI12" i="45"/>
  <c r="CI8" i="45"/>
  <c r="CI5" i="45"/>
  <c r="CI19" i="45"/>
  <c r="CI15" i="45"/>
  <c r="CI11" i="45"/>
  <c r="CI7" i="45"/>
  <c r="CI14" i="45"/>
  <c r="CI10" i="45"/>
  <c r="CI6" i="45"/>
  <c r="AQ18" i="45"/>
  <c r="CI18" i="45"/>
  <c r="CK17" i="45"/>
  <c r="BM18" i="45"/>
  <c r="CD15" i="45"/>
  <c r="BJ6" i="45"/>
  <c r="BJ16" i="45"/>
  <c r="CU19" i="45"/>
  <c r="CU15" i="45"/>
  <c r="CU11" i="45"/>
  <c r="CU7" i="45"/>
  <c r="BU9" i="45"/>
  <c r="CU14" i="45"/>
  <c r="CU10" i="45"/>
  <c r="CU6" i="45"/>
  <c r="CU17" i="45"/>
  <c r="CU13" i="45"/>
  <c r="CU9" i="45"/>
  <c r="CU18" i="45"/>
  <c r="CU20" i="45"/>
  <c r="BI18" i="45"/>
  <c r="BU13" i="45"/>
  <c r="CU16" i="45"/>
  <c r="CU12" i="45"/>
  <c r="CU8" i="45"/>
  <c r="CU5" i="45"/>
  <c r="BU17" i="45"/>
  <c r="BU15" i="45"/>
  <c r="BU11" i="45"/>
  <c r="BU7" i="45"/>
  <c r="BU3" i="45"/>
  <c r="BU16" i="45"/>
  <c r="CX18" i="45"/>
  <c r="BJ5" i="45"/>
  <c r="CK11" i="45"/>
  <c r="CD20" i="45"/>
  <c r="BJ8" i="45"/>
  <c r="BJ12" i="45"/>
  <c r="BJ14" i="45"/>
  <c r="BU8" i="45"/>
  <c r="BJ3" i="45"/>
  <c r="BJ11" i="45"/>
  <c r="CD18" i="45"/>
  <c r="BU14" i="45"/>
  <c r="CK12" i="45"/>
  <c r="CK8" i="45"/>
  <c r="CK5" i="45"/>
  <c r="O18" i="45"/>
  <c r="CL19" i="45"/>
  <c r="CL15" i="45"/>
  <c r="BK15" i="45"/>
  <c r="CN14" i="45"/>
  <c r="CL11" i="45"/>
  <c r="BK11" i="45"/>
  <c r="CN10" i="45"/>
  <c r="CL7" i="45"/>
  <c r="BK7" i="45"/>
  <c r="CN6" i="45"/>
  <c r="CN18" i="45"/>
  <c r="CK7" i="45"/>
  <c r="CN20" i="45"/>
  <c r="CL18" i="45"/>
  <c r="CK6" i="45"/>
  <c r="CL17" i="45"/>
  <c r="BK17" i="45"/>
  <c r="CN16" i="45"/>
  <c r="CL13" i="45"/>
  <c r="BK13" i="45"/>
  <c r="CN12" i="45"/>
  <c r="CL9" i="45"/>
  <c r="BK9" i="45"/>
  <c r="CN8" i="45"/>
  <c r="CN5" i="45"/>
  <c r="BK3" i="45"/>
  <c r="CN17" i="45"/>
  <c r="BK14" i="45"/>
  <c r="BK10" i="45"/>
  <c r="CL20" i="45"/>
  <c r="CK13" i="45"/>
  <c r="CK9" i="45"/>
  <c r="BK4" i="45"/>
  <c r="CN13" i="45"/>
  <c r="CN9" i="45"/>
  <c r="CN19" i="45"/>
  <c r="CL16" i="45"/>
  <c r="BK16" i="45"/>
  <c r="CN15" i="45"/>
  <c r="CL12" i="45"/>
  <c r="BK12" i="45"/>
  <c r="CN11" i="45"/>
  <c r="CL8" i="45"/>
  <c r="BK8" i="45"/>
  <c r="CN7" i="45"/>
  <c r="CL5" i="45"/>
  <c r="BK5" i="45"/>
  <c r="CL14" i="45"/>
  <c r="CL10" i="45"/>
  <c r="BK6" i="45"/>
  <c r="CL6" i="45"/>
  <c r="CK15" i="45"/>
  <c r="BK18" i="45"/>
  <c r="BU12" i="45"/>
  <c r="BU5" i="45"/>
  <c r="BR18" i="45"/>
  <c r="CD19" i="45"/>
  <c r="BU10" i="45"/>
  <c r="BU4" i="45"/>
  <c r="CX20" i="45"/>
  <c r="BH18" i="45"/>
  <c r="BQ3" i="44"/>
  <c r="BQ11" i="44"/>
  <c r="BQ6" i="44"/>
  <c r="BQ9" i="44"/>
  <c r="BQ14" i="44"/>
  <c r="BQ15" i="44"/>
  <c r="BR18" i="44"/>
  <c r="BQ8" i="44"/>
  <c r="BQ4" i="44"/>
  <c r="BQ7" i="44"/>
  <c r="BV18" i="44"/>
  <c r="Q50" i="37" s="1"/>
  <c r="BQ16" i="44"/>
  <c r="BQ18" i="44"/>
  <c r="BQ5" i="44"/>
  <c r="BQ12" i="44"/>
  <c r="BQ13" i="44"/>
  <c r="BQ10" i="44"/>
  <c r="BJ17" i="44"/>
  <c r="BJ12" i="44"/>
  <c r="BJ10" i="44"/>
  <c r="BJ3" i="44"/>
  <c r="BJ13" i="44"/>
  <c r="BJ4" i="44"/>
  <c r="BJ11" i="44"/>
  <c r="BJ5" i="44"/>
  <c r="BM18" i="44"/>
  <c r="BJ6" i="44"/>
  <c r="BJ8" i="44"/>
  <c r="BL18" i="44"/>
  <c r="BJ14" i="44"/>
  <c r="BJ16" i="44"/>
  <c r="BH18" i="44"/>
  <c r="BJ9" i="44"/>
  <c r="BJ7" i="44"/>
  <c r="CK19" i="44"/>
  <c r="CJ19" i="44" s="1"/>
  <c r="CK18" i="44"/>
  <c r="CJ18" i="44" s="1"/>
  <c r="BK18" i="44"/>
  <c r="CK17" i="44"/>
  <c r="CT17" i="44" s="1"/>
  <c r="CT20" i="44"/>
  <c r="CJ20" i="44"/>
  <c r="CU19" i="44"/>
  <c r="CU15" i="44"/>
  <c r="CU11" i="44"/>
  <c r="CU7" i="44"/>
  <c r="CU18" i="44"/>
  <c r="BU17" i="44"/>
  <c r="CU14" i="44"/>
  <c r="CU10" i="44"/>
  <c r="CU6" i="44"/>
  <c r="CU17" i="44"/>
  <c r="CU13" i="44"/>
  <c r="CU9" i="44"/>
  <c r="CU20" i="44"/>
  <c r="BI18" i="44"/>
  <c r="CU16" i="44"/>
  <c r="CU12" i="44"/>
  <c r="CU8" i="44"/>
  <c r="CU5" i="44"/>
  <c r="BU15" i="44"/>
  <c r="BU11" i="44"/>
  <c r="BU7" i="44"/>
  <c r="BU13" i="44"/>
  <c r="BU9" i="44"/>
  <c r="BU3" i="44"/>
  <c r="CX19" i="44"/>
  <c r="BU12" i="44"/>
  <c r="BU5" i="44"/>
  <c r="BU14" i="44"/>
  <c r="CK16" i="44"/>
  <c r="CK12" i="44"/>
  <c r="CK8" i="44"/>
  <c r="CK5" i="44"/>
  <c r="O18" i="44"/>
  <c r="CL14" i="44"/>
  <c r="CL19" i="44"/>
  <c r="CL15" i="44"/>
  <c r="BK15" i="44"/>
  <c r="CN14" i="44"/>
  <c r="CL11" i="44"/>
  <c r="BK11" i="44"/>
  <c r="CN10" i="44"/>
  <c r="CL7" i="44"/>
  <c r="BK7" i="44"/>
  <c r="CN6" i="44"/>
  <c r="BK14" i="44"/>
  <c r="CN18" i="44"/>
  <c r="CK15" i="44"/>
  <c r="CK11" i="44"/>
  <c r="CK7" i="44"/>
  <c r="CN17" i="44"/>
  <c r="CN20" i="44"/>
  <c r="CL18" i="44"/>
  <c r="CK14" i="44"/>
  <c r="CK10" i="44"/>
  <c r="CK6" i="44"/>
  <c r="CL17" i="44"/>
  <c r="BK17" i="44"/>
  <c r="CN16" i="44"/>
  <c r="CL13" i="44"/>
  <c r="BK13" i="44"/>
  <c r="CN12" i="44"/>
  <c r="CL9" i="44"/>
  <c r="BK9" i="44"/>
  <c r="CN8" i="44"/>
  <c r="CN5" i="44"/>
  <c r="BK3" i="44"/>
  <c r="CL20" i="44"/>
  <c r="CK13" i="44"/>
  <c r="CK9" i="44"/>
  <c r="BK4" i="44"/>
  <c r="CN13" i="44"/>
  <c r="CN19" i="44"/>
  <c r="CL16" i="44"/>
  <c r="BK16" i="44"/>
  <c r="CN15" i="44"/>
  <c r="CL12" i="44"/>
  <c r="BK12" i="44"/>
  <c r="CN11" i="44"/>
  <c r="CL8" i="44"/>
  <c r="BK8" i="44"/>
  <c r="CN7" i="44"/>
  <c r="CL5" i="44"/>
  <c r="BK5" i="44"/>
  <c r="BK10" i="44"/>
  <c r="CL10" i="44"/>
  <c r="CL6" i="44"/>
  <c r="CN9" i="44"/>
  <c r="BK6" i="44"/>
  <c r="BU10" i="44"/>
  <c r="AB3" i="44"/>
  <c r="AB6" i="44" s="1"/>
  <c r="CB20" i="44"/>
  <c r="CB16" i="44"/>
  <c r="CB12" i="44"/>
  <c r="CB8" i="44"/>
  <c r="CB5" i="44"/>
  <c r="CB15" i="44"/>
  <c r="CB14" i="44"/>
  <c r="CB10" i="44"/>
  <c r="CB6" i="44"/>
  <c r="CB18" i="44"/>
  <c r="CB17" i="44"/>
  <c r="CB13" i="44"/>
  <c r="CB9" i="44"/>
  <c r="CB19" i="44"/>
  <c r="CB7" i="44"/>
  <c r="CB11" i="44"/>
  <c r="BU16" i="44"/>
  <c r="BU8" i="44"/>
  <c r="BU4" i="44"/>
  <c r="CX20" i="44"/>
  <c r="BU6" i="44"/>
  <c r="CD9" i="43"/>
  <c r="CD14" i="43"/>
  <c r="CI12" i="43"/>
  <c r="CI19" i="43"/>
  <c r="CD15" i="43"/>
  <c r="CI17" i="43"/>
  <c r="CD18" i="43"/>
  <c r="BR18" i="43"/>
  <c r="BQ8" i="43"/>
  <c r="BQ4" i="43"/>
  <c r="BQ6" i="43"/>
  <c r="BV18" i="43"/>
  <c r="Q66" i="37" s="1"/>
  <c r="BQ12" i="43"/>
  <c r="BQ14" i="43"/>
  <c r="BQ15" i="43"/>
  <c r="BQ7" i="43"/>
  <c r="BQ5" i="43"/>
  <c r="BQ11" i="43"/>
  <c r="BQ18" i="43"/>
  <c r="BQ17" i="43"/>
  <c r="BQ13" i="43"/>
  <c r="BQ3" i="43"/>
  <c r="BQ9" i="43"/>
  <c r="BQ10" i="43"/>
  <c r="BJ15" i="43"/>
  <c r="BJ16" i="43"/>
  <c r="BJ10" i="43"/>
  <c r="BJ14" i="43"/>
  <c r="BJ6" i="43"/>
  <c r="BM18" i="43"/>
  <c r="BJ3" i="43"/>
  <c r="BU10" i="43"/>
  <c r="BU12" i="43"/>
  <c r="BU3" i="43"/>
  <c r="CK11" i="43"/>
  <c r="BU6" i="43"/>
  <c r="BU17" i="43"/>
  <c r="BU4" i="43"/>
  <c r="CK18" i="43"/>
  <c r="BK18" i="43"/>
  <c r="BU8" i="43"/>
  <c r="CK15" i="43"/>
  <c r="CK8" i="43"/>
  <c r="CK14" i="43"/>
  <c r="CK10" i="43"/>
  <c r="CT10" i="43" s="1"/>
  <c r="CK17" i="43"/>
  <c r="CJ17" i="43" s="1"/>
  <c r="CK19" i="43"/>
  <c r="CT19" i="43" s="1"/>
  <c r="CT12" i="43"/>
  <c r="CJ12" i="43"/>
  <c r="CD16" i="43"/>
  <c r="CD5" i="43"/>
  <c r="CD12" i="43"/>
  <c r="CD8" i="43"/>
  <c r="CD7" i="43"/>
  <c r="CB20" i="43"/>
  <c r="CB16" i="43"/>
  <c r="CB12" i="43"/>
  <c r="CB8" i="43"/>
  <c r="CB5" i="43"/>
  <c r="CB19" i="43"/>
  <c r="CB15" i="43"/>
  <c r="CB11" i="43"/>
  <c r="CB7" i="43"/>
  <c r="CB14" i="43"/>
  <c r="CB10" i="43"/>
  <c r="CB6" i="43"/>
  <c r="CB18" i="43"/>
  <c r="CB13" i="43"/>
  <c r="CB17" i="43"/>
  <c r="CB9" i="43"/>
  <c r="BJ11" i="43"/>
  <c r="BJ17" i="43"/>
  <c r="BJ7" i="43"/>
  <c r="BJ9" i="43"/>
  <c r="BJ13" i="43"/>
  <c r="AB3" i="43"/>
  <c r="AB6" i="43" s="1"/>
  <c r="CI5" i="43"/>
  <c r="CD20" i="43"/>
  <c r="CD11" i="43"/>
  <c r="CI8" i="43"/>
  <c r="BJ8" i="43"/>
  <c r="CI10" i="43"/>
  <c r="BU14" i="43"/>
  <c r="CD13" i="43"/>
  <c r="CD19" i="43"/>
  <c r="CI14" i="43"/>
  <c r="CI16" i="43"/>
  <c r="CL19" i="43"/>
  <c r="CL15" i="43"/>
  <c r="BK15" i="43"/>
  <c r="CN14" i="43"/>
  <c r="CL11" i="43"/>
  <c r="BK11" i="43"/>
  <c r="CN10" i="43"/>
  <c r="CL7" i="43"/>
  <c r="BK7" i="43"/>
  <c r="CN6" i="43"/>
  <c r="CN18" i="43"/>
  <c r="O18" i="43"/>
  <c r="CN17" i="43"/>
  <c r="CL14" i="43"/>
  <c r="BK14" i="43"/>
  <c r="CN13" i="43"/>
  <c r="CL10" i="43"/>
  <c r="BK10" i="43"/>
  <c r="CN9" i="43"/>
  <c r="CL6" i="43"/>
  <c r="BK6" i="43"/>
  <c r="CN20" i="43"/>
  <c r="CL18" i="43"/>
  <c r="CL17" i="43"/>
  <c r="BK17" i="43"/>
  <c r="CN16" i="43"/>
  <c r="CL13" i="43"/>
  <c r="BK13" i="43"/>
  <c r="CN12" i="43"/>
  <c r="CL9" i="43"/>
  <c r="BK9" i="43"/>
  <c r="CN8" i="43"/>
  <c r="CN5" i="43"/>
  <c r="CL20" i="43"/>
  <c r="CN15" i="43"/>
  <c r="CK7" i="43"/>
  <c r="CK5" i="43"/>
  <c r="CL16" i="43"/>
  <c r="CN11" i="43"/>
  <c r="CN7" i="43"/>
  <c r="CK9" i="43"/>
  <c r="CL8" i="43"/>
  <c r="BK8" i="43"/>
  <c r="BK3" i="43"/>
  <c r="CK20" i="43"/>
  <c r="CL5" i="43"/>
  <c r="BK5" i="43"/>
  <c r="BK4" i="43"/>
  <c r="CK13" i="43"/>
  <c r="CL12" i="43"/>
  <c r="BK12" i="43"/>
  <c r="BK16" i="43"/>
  <c r="CN19" i="43"/>
  <c r="BU9" i="43"/>
  <c r="BL18" i="43"/>
  <c r="BU16" i="43"/>
  <c r="BU5" i="43"/>
  <c r="CK6" i="43"/>
  <c r="CK16" i="43"/>
  <c r="BU13" i="43"/>
  <c r="CD17" i="43"/>
  <c r="CI7" i="43"/>
  <c r="CI20" i="43"/>
  <c r="CX19" i="43"/>
  <c r="CU19" i="43"/>
  <c r="CU15" i="43"/>
  <c r="CU11" i="43"/>
  <c r="CU7" i="43"/>
  <c r="CU14" i="43"/>
  <c r="CU10" i="43"/>
  <c r="CU18" i="43"/>
  <c r="CU17" i="43"/>
  <c r="CU13" i="43"/>
  <c r="CU9" i="43"/>
  <c r="CU20" i="43"/>
  <c r="BI18" i="43"/>
  <c r="CU16" i="43"/>
  <c r="CU12" i="43"/>
  <c r="CU5" i="43"/>
  <c r="BU15" i="43"/>
  <c r="E20" i="16"/>
  <c r="BU11" i="43"/>
  <c r="CU8" i="43"/>
  <c r="BU7" i="43"/>
  <c r="CU6" i="43"/>
  <c r="BH18" i="43"/>
  <c r="CD6" i="43"/>
  <c r="CI11" i="43"/>
  <c r="CI9" i="43"/>
  <c r="BJ4" i="43"/>
  <c r="CI18" i="43"/>
  <c r="CD10" i="43"/>
  <c r="CI15" i="43"/>
  <c r="CI13" i="43"/>
  <c r="BJ5" i="43"/>
  <c r="BJ15" i="42"/>
  <c r="BQ16" i="42"/>
  <c r="BQ5" i="42"/>
  <c r="CK9" i="42"/>
  <c r="CT9" i="42" s="1"/>
  <c r="CK6" i="42"/>
  <c r="CK15" i="42"/>
  <c r="CJ15" i="42" s="1"/>
  <c r="BQ15" i="42"/>
  <c r="BJ9" i="42"/>
  <c r="CK8" i="42"/>
  <c r="CJ8" i="42" s="1"/>
  <c r="CK18" i="42"/>
  <c r="BJ10" i="42"/>
  <c r="CK19" i="42"/>
  <c r="CT19" i="42" s="1"/>
  <c r="CK7" i="42"/>
  <c r="BJ6" i="42"/>
  <c r="BQ12" i="42"/>
  <c r="BQ7" i="42"/>
  <c r="CK13" i="42"/>
  <c r="CT13" i="42" s="1"/>
  <c r="CK10" i="42"/>
  <c r="CJ10" i="42" s="1"/>
  <c r="BQ9" i="42"/>
  <c r="BK18" i="42"/>
  <c r="CK12" i="42"/>
  <c r="CT12" i="42" s="1"/>
  <c r="BQ11" i="42"/>
  <c r="BJ14" i="42"/>
  <c r="BJ13" i="42"/>
  <c r="BL18" i="42"/>
  <c r="O18" i="42"/>
  <c r="BJ4" i="42"/>
  <c r="CJ12" i="42"/>
  <c r="BQ18" i="42"/>
  <c r="BQ13" i="42"/>
  <c r="BQ10" i="42"/>
  <c r="BQ3" i="42"/>
  <c r="BQ6" i="42"/>
  <c r="BQ14" i="42"/>
  <c r="BJ5" i="42"/>
  <c r="BU3" i="42"/>
  <c r="BM18" i="42"/>
  <c r="BJ17" i="42"/>
  <c r="BJ8" i="42"/>
  <c r="CJ19" i="42"/>
  <c r="N11" i="39"/>
  <c r="BR18" i="42"/>
  <c r="BU17" i="42"/>
  <c r="BU6" i="42"/>
  <c r="N3" i="39"/>
  <c r="CT14" i="42"/>
  <c r="CJ16" i="42"/>
  <c r="CT11" i="42"/>
  <c r="CT5" i="42"/>
  <c r="CT8" i="42"/>
  <c r="N10" i="39"/>
  <c r="CT20" i="42"/>
  <c r="N17" i="39"/>
  <c r="N7" i="39"/>
  <c r="N13" i="39"/>
  <c r="N15" i="39"/>
  <c r="BU7" i="42"/>
  <c r="BU10" i="42"/>
  <c r="BU13" i="42"/>
  <c r="CT15" i="42"/>
  <c r="BU9" i="42"/>
  <c r="BJ11" i="42"/>
  <c r="BJ7" i="42"/>
  <c r="BJ16" i="42"/>
  <c r="BJ12" i="42"/>
  <c r="AB3" i="42"/>
  <c r="AB6" i="42" s="1"/>
  <c r="BH18" i="42"/>
  <c r="CJ17" i="42"/>
  <c r="CT10" i="42"/>
  <c r="BU4" i="42"/>
  <c r="N14" i="39"/>
  <c r="CI16" i="42"/>
  <c r="CI12" i="42"/>
  <c r="CI8" i="42"/>
  <c r="CI5" i="42"/>
  <c r="CI20" i="42"/>
  <c r="CI15" i="42"/>
  <c r="CI11" i="42"/>
  <c r="CI7" i="42"/>
  <c r="CI19" i="42"/>
  <c r="CI18" i="42"/>
  <c r="CI14" i="42"/>
  <c r="CI10" i="42"/>
  <c r="CI6" i="42"/>
  <c r="CI17" i="42"/>
  <c r="CI13" i="42"/>
  <c r="CI9" i="42"/>
  <c r="AQ18" i="42"/>
  <c r="CL19" i="42"/>
  <c r="CL18" i="42"/>
  <c r="BK17" i="42"/>
  <c r="CN17" i="42"/>
  <c r="CL14" i="42"/>
  <c r="BK14" i="42"/>
  <c r="CN13" i="42"/>
  <c r="CL10" i="42"/>
  <c r="BK10" i="42"/>
  <c r="CN9" i="42"/>
  <c r="CL6" i="42"/>
  <c r="BK6" i="42"/>
  <c r="CN20" i="42"/>
  <c r="BK4" i="42"/>
  <c r="CL16" i="42"/>
  <c r="BK16" i="42"/>
  <c r="CN15" i="42"/>
  <c r="CL12" i="42"/>
  <c r="BK12" i="42"/>
  <c r="CN11" i="42"/>
  <c r="CL8" i="42"/>
  <c r="BK8" i="42"/>
  <c r="CN7" i="42"/>
  <c r="CL5" i="42"/>
  <c r="BK5" i="42"/>
  <c r="CL20" i="42"/>
  <c r="CN19" i="42"/>
  <c r="CN18" i="42"/>
  <c r="CL15" i="42"/>
  <c r="BK15" i="42"/>
  <c r="CN14" i="42"/>
  <c r="CL11" i="42"/>
  <c r="BK11" i="42"/>
  <c r="CN10" i="42"/>
  <c r="CL7" i="42"/>
  <c r="BK7" i="42"/>
  <c r="CN6" i="42"/>
  <c r="BK13" i="42"/>
  <c r="CL9" i="42"/>
  <c r="CL13" i="42"/>
  <c r="CN12" i="42"/>
  <c r="CN8" i="42"/>
  <c r="CL17" i="42"/>
  <c r="CN5" i="42"/>
  <c r="CN16" i="42"/>
  <c r="BK9" i="42"/>
  <c r="BK3" i="42"/>
  <c r="CU19" i="42"/>
  <c r="BS18" i="42"/>
  <c r="CU18" i="42"/>
  <c r="CU14" i="42"/>
  <c r="CU10" i="42"/>
  <c r="CU6" i="42"/>
  <c r="BI18" i="42"/>
  <c r="CU17" i="42"/>
  <c r="CU13" i="42"/>
  <c r="CU9" i="42"/>
  <c r="CU16" i="42"/>
  <c r="CU12" i="42"/>
  <c r="CU8" i="42"/>
  <c r="CU5" i="42"/>
  <c r="CU20" i="42"/>
  <c r="CU15" i="42"/>
  <c r="CU11" i="42"/>
  <c r="CU7" i="42"/>
  <c r="BU16" i="42"/>
  <c r="BU8" i="42"/>
  <c r="BU5" i="42"/>
  <c r="BU12" i="42"/>
  <c r="BU11" i="42"/>
  <c r="BU14" i="42"/>
  <c r="CJ13" i="42"/>
  <c r="N5" i="39"/>
  <c r="CJ9" i="42"/>
  <c r="BJ3" i="42"/>
  <c r="BU15" i="42"/>
  <c r="N6" i="39"/>
  <c r="N4" i="39"/>
  <c r="N12" i="39"/>
  <c r="N9" i="39"/>
  <c r="N16" i="39"/>
  <c r="N8" i="39"/>
  <c r="D4" i="16"/>
  <c r="R3" i="37" s="1"/>
  <c r="D6" i="16"/>
  <c r="R5" i="37" s="1"/>
  <c r="D7" i="16"/>
  <c r="R6" i="37" s="1"/>
  <c r="D8" i="16"/>
  <c r="R7" i="37" s="1"/>
  <c r="D9" i="16"/>
  <c r="R8" i="37" s="1"/>
  <c r="D10" i="16"/>
  <c r="R9" i="37" s="1"/>
  <c r="D11" i="16"/>
  <c r="R10" i="37" s="1"/>
  <c r="D12" i="16"/>
  <c r="R11" i="37" s="1"/>
  <c r="D13" i="16"/>
  <c r="R12" i="37" s="1"/>
  <c r="D14" i="16"/>
  <c r="R13" i="37" s="1"/>
  <c r="D15" i="16"/>
  <c r="R14" i="37" s="1"/>
  <c r="D5" i="16"/>
  <c r="R4" i="37" s="1"/>
  <c r="D16" i="16"/>
  <c r="R15" i="37" s="1"/>
  <c r="D17" i="16"/>
  <c r="R16" i="37" s="1"/>
  <c r="D18" i="16"/>
  <c r="R17" i="37" s="1"/>
  <c r="CY20" i="19"/>
  <c r="CV20" i="19"/>
  <c r="CY19" i="19"/>
  <c r="CV19" i="19"/>
  <c r="CE19" i="19"/>
  <c r="BN18" i="19"/>
  <c r="BC19" i="19"/>
  <c r="BB19" i="19"/>
  <c r="BA19" i="19"/>
  <c r="AZ19" i="19"/>
  <c r="AY19" i="19"/>
  <c r="AX19" i="19"/>
  <c r="AW19" i="19"/>
  <c r="CE20" i="19" s="1"/>
  <c r="AV19" i="19"/>
  <c r="AT19" i="19"/>
  <c r="AU19" i="19" s="1"/>
  <c r="AS19" i="19"/>
  <c r="AM19" i="19"/>
  <c r="AL19" i="19"/>
  <c r="AN19" i="19" s="1"/>
  <c r="AJ19" i="19"/>
  <c r="AK19" i="19" s="1"/>
  <c r="AI19" i="19"/>
  <c r="AG19" i="19"/>
  <c r="AF19" i="19"/>
  <c r="AH19" i="19" s="1"/>
  <c r="AA19" i="19"/>
  <c r="Z19" i="19"/>
  <c r="Y19" i="19"/>
  <c r="X19" i="19"/>
  <c r="W19" i="19"/>
  <c r="V19" i="19"/>
  <c r="U19" i="19"/>
  <c r="T19" i="19"/>
  <c r="R19" i="19"/>
  <c r="BP19" i="19" s="1"/>
  <c r="Q19" i="19"/>
  <c r="BO19" i="19" s="1"/>
  <c r="P19" i="19"/>
  <c r="K19" i="19"/>
  <c r="J19" i="19"/>
  <c r="H19" i="19"/>
  <c r="I19" i="19" s="1"/>
  <c r="G19" i="19"/>
  <c r="E19" i="19"/>
  <c r="D19" i="19"/>
  <c r="F19" i="19" s="1"/>
  <c r="CY18" i="19"/>
  <c r="CV18" i="19"/>
  <c r="CE18" i="19"/>
  <c r="CA18" i="19"/>
  <c r="BP17" i="19"/>
  <c r="BN17" i="19"/>
  <c r="AU18" i="19"/>
  <c r="AR18" i="19"/>
  <c r="AP18" i="19"/>
  <c r="AO18" i="19"/>
  <c r="AN18" i="19"/>
  <c r="AK18" i="19"/>
  <c r="AH18" i="19"/>
  <c r="S18" i="19"/>
  <c r="P18" i="19"/>
  <c r="N18" i="19"/>
  <c r="BL18" i="19" s="1"/>
  <c r="M18" i="19"/>
  <c r="L18" i="19"/>
  <c r="I18" i="19"/>
  <c r="F18" i="19"/>
  <c r="CY17" i="19"/>
  <c r="CV17" i="19"/>
  <c r="CE17" i="19"/>
  <c r="CA17" i="19"/>
  <c r="BP16" i="19"/>
  <c r="BO16" i="19"/>
  <c r="BN16" i="19"/>
  <c r="BH16" i="19"/>
  <c r="AU17" i="19"/>
  <c r="AR17" i="19"/>
  <c r="AP17" i="19"/>
  <c r="AO17" i="19"/>
  <c r="AQ17" i="19" s="1"/>
  <c r="AN17" i="19"/>
  <c r="AK17" i="19"/>
  <c r="AH17" i="19"/>
  <c r="S17" i="19"/>
  <c r="BV17" i="19" s="1"/>
  <c r="P17" i="19"/>
  <c r="N17" i="19"/>
  <c r="BL17" i="19" s="1"/>
  <c r="M17" i="19"/>
  <c r="L17" i="19"/>
  <c r="I17" i="19"/>
  <c r="F17" i="19"/>
  <c r="CY16" i="19"/>
  <c r="CV16" i="19"/>
  <c r="CE16" i="19"/>
  <c r="CA16" i="19"/>
  <c r="BP15" i="19"/>
  <c r="BN15" i="19"/>
  <c r="AU16" i="19"/>
  <c r="AR16" i="19"/>
  <c r="AP16" i="19"/>
  <c r="AQ16" i="19" s="1"/>
  <c r="AO16" i="19"/>
  <c r="AN16" i="19"/>
  <c r="AK16" i="19"/>
  <c r="AH16" i="19"/>
  <c r="S16" i="19"/>
  <c r="P16" i="19"/>
  <c r="N16" i="19"/>
  <c r="BM16" i="19" s="1"/>
  <c r="M16" i="19"/>
  <c r="L16" i="19"/>
  <c r="I16" i="19"/>
  <c r="F16" i="19"/>
  <c r="CY15" i="19"/>
  <c r="CV15" i="19"/>
  <c r="CE15" i="19"/>
  <c r="CA15" i="19"/>
  <c r="BP14" i="19"/>
  <c r="BN14" i="19"/>
  <c r="AU15" i="19"/>
  <c r="AR15" i="19"/>
  <c r="AP15" i="19"/>
  <c r="AO15" i="19"/>
  <c r="AN15" i="19"/>
  <c r="AK15" i="19"/>
  <c r="AH15" i="19"/>
  <c r="S15" i="19"/>
  <c r="BV15" i="19" s="1"/>
  <c r="P15" i="19"/>
  <c r="N15" i="19"/>
  <c r="BH15" i="19" s="1"/>
  <c r="M15" i="19"/>
  <c r="L15" i="19"/>
  <c r="I15" i="19"/>
  <c r="F15" i="19"/>
  <c r="CY14" i="19"/>
  <c r="CV14" i="19"/>
  <c r="CP14" i="19"/>
  <c r="CE14" i="19"/>
  <c r="CA14" i="19"/>
  <c r="BP13" i="19"/>
  <c r="BN13" i="19"/>
  <c r="AU14" i="19"/>
  <c r="AR14" i="19"/>
  <c r="AP14" i="19"/>
  <c r="AO14" i="19"/>
  <c r="AN14" i="19"/>
  <c r="AK14" i="19"/>
  <c r="AH14" i="19"/>
  <c r="S14" i="19"/>
  <c r="P14" i="19"/>
  <c r="N14" i="19"/>
  <c r="M14" i="19"/>
  <c r="L14" i="19"/>
  <c r="I14" i="19"/>
  <c r="F14" i="19"/>
  <c r="CY13" i="19"/>
  <c r="CV13" i="19"/>
  <c r="CP13" i="19"/>
  <c r="CE13" i="19"/>
  <c r="CA13" i="19"/>
  <c r="BP12" i="19"/>
  <c r="BN12" i="19"/>
  <c r="AU13" i="19"/>
  <c r="AR13" i="19"/>
  <c r="AP13" i="19"/>
  <c r="AO13" i="19"/>
  <c r="AN13" i="19"/>
  <c r="AK13" i="19"/>
  <c r="AH13" i="19"/>
  <c r="S13" i="19"/>
  <c r="P13" i="19"/>
  <c r="N13" i="19"/>
  <c r="BL13" i="19" s="1"/>
  <c r="M13" i="19"/>
  <c r="L13" i="19"/>
  <c r="I13" i="19"/>
  <c r="F13" i="19"/>
  <c r="CY12" i="19"/>
  <c r="CV12" i="19"/>
  <c r="CP12" i="19"/>
  <c r="CE12" i="19"/>
  <c r="CA12" i="19"/>
  <c r="BP11" i="19"/>
  <c r="BN11" i="19"/>
  <c r="AU12" i="19"/>
  <c r="AR12" i="19"/>
  <c r="AP12" i="19"/>
  <c r="AO12" i="19"/>
  <c r="AN12" i="19"/>
  <c r="AK12" i="19"/>
  <c r="AH12" i="19"/>
  <c r="S12" i="19"/>
  <c r="P12" i="19"/>
  <c r="N12" i="19"/>
  <c r="BM12" i="19" s="1"/>
  <c r="M12" i="19"/>
  <c r="L12" i="19"/>
  <c r="I12" i="19"/>
  <c r="F12" i="19"/>
  <c r="CY11" i="19"/>
  <c r="CV11" i="19"/>
  <c r="CE11" i="19"/>
  <c r="CA11" i="19"/>
  <c r="BP10" i="19"/>
  <c r="BN10" i="19"/>
  <c r="AU11" i="19"/>
  <c r="AR11" i="19"/>
  <c r="AP11" i="19"/>
  <c r="AO11" i="19"/>
  <c r="AN11" i="19"/>
  <c r="AK11" i="19"/>
  <c r="AH11" i="19"/>
  <c r="S11" i="19"/>
  <c r="BV11" i="19" s="1"/>
  <c r="P11" i="19"/>
  <c r="N11" i="19"/>
  <c r="BH11" i="19" s="1"/>
  <c r="M11" i="19"/>
  <c r="L11" i="19"/>
  <c r="I11" i="19"/>
  <c r="F11" i="19"/>
  <c r="CY10" i="19"/>
  <c r="CV10" i="19"/>
  <c r="CE10" i="19"/>
  <c r="CA10" i="19"/>
  <c r="BV9" i="19"/>
  <c r="BP9" i="19"/>
  <c r="BN9" i="19"/>
  <c r="AU10" i="19"/>
  <c r="AR10" i="19"/>
  <c r="AP10" i="19"/>
  <c r="AO10" i="19"/>
  <c r="AN10" i="19"/>
  <c r="AK10" i="19"/>
  <c r="AH10" i="19"/>
  <c r="S10" i="19"/>
  <c r="P10" i="19"/>
  <c r="N10" i="19"/>
  <c r="M10" i="19"/>
  <c r="L10" i="19"/>
  <c r="I10" i="19"/>
  <c r="F10" i="19"/>
  <c r="CY9" i="19"/>
  <c r="CV9" i="19"/>
  <c r="CE9" i="19"/>
  <c r="CA9" i="19"/>
  <c r="BV8" i="19"/>
  <c r="BP8" i="19"/>
  <c r="BN8" i="19"/>
  <c r="BH8" i="19"/>
  <c r="AU9" i="19"/>
  <c r="AR9" i="19"/>
  <c r="AP9" i="19"/>
  <c r="AO9" i="19"/>
  <c r="AQ9" i="19" s="1"/>
  <c r="AN9" i="19"/>
  <c r="AK9" i="19"/>
  <c r="AH9" i="19"/>
  <c r="S9" i="19"/>
  <c r="P9" i="19"/>
  <c r="N9" i="19"/>
  <c r="BL9" i="19" s="1"/>
  <c r="M9" i="19"/>
  <c r="L9" i="19"/>
  <c r="I9" i="19"/>
  <c r="F9" i="19"/>
  <c r="CY8" i="19"/>
  <c r="CV8" i="19"/>
  <c r="CE8" i="19"/>
  <c r="CA8" i="19"/>
  <c r="BV7" i="19"/>
  <c r="BP7" i="19"/>
  <c r="BN7" i="19"/>
  <c r="AU8" i="19"/>
  <c r="AR8" i="19"/>
  <c r="AP8" i="19"/>
  <c r="AO8" i="19"/>
  <c r="AN8" i="19"/>
  <c r="AK8" i="19"/>
  <c r="AH8" i="19"/>
  <c r="S8" i="19"/>
  <c r="P8" i="19"/>
  <c r="N8" i="19"/>
  <c r="BM8" i="19" s="1"/>
  <c r="M8" i="19"/>
  <c r="L8" i="19"/>
  <c r="I8" i="19"/>
  <c r="F8" i="19"/>
  <c r="CY7" i="19"/>
  <c r="CV7" i="19"/>
  <c r="CE7" i="19"/>
  <c r="CA7" i="19"/>
  <c r="BP6" i="19"/>
  <c r="BO6" i="19"/>
  <c r="BN6" i="19"/>
  <c r="AU7" i="19"/>
  <c r="AR7" i="19"/>
  <c r="AP7" i="19"/>
  <c r="AO7" i="19"/>
  <c r="AN7" i="19"/>
  <c r="AK7" i="19"/>
  <c r="AH7" i="19"/>
  <c r="S7" i="19"/>
  <c r="P7" i="19"/>
  <c r="N7" i="19"/>
  <c r="M7" i="19"/>
  <c r="L7" i="19"/>
  <c r="I7" i="19"/>
  <c r="F7" i="19"/>
  <c r="CY6" i="19"/>
  <c r="CV6" i="19"/>
  <c r="CE6" i="19"/>
  <c r="CA6" i="19"/>
  <c r="BP5" i="19"/>
  <c r="BO5" i="19"/>
  <c r="BN5" i="19"/>
  <c r="AU6" i="19"/>
  <c r="AR6" i="19"/>
  <c r="AP6" i="19"/>
  <c r="AO6" i="19"/>
  <c r="AQ6" i="19" s="1"/>
  <c r="AN6" i="19"/>
  <c r="AK6" i="19"/>
  <c r="AH6" i="19"/>
  <c r="S6" i="19"/>
  <c r="P6" i="19"/>
  <c r="N6" i="19"/>
  <c r="BH6" i="19" s="1"/>
  <c r="M6" i="19"/>
  <c r="L6" i="19"/>
  <c r="I6" i="19"/>
  <c r="F6" i="19"/>
  <c r="CY5" i="19"/>
  <c r="CV5" i="19"/>
  <c r="CE5" i="19"/>
  <c r="CA5" i="19"/>
  <c r="BP4" i="19"/>
  <c r="BN4" i="19"/>
  <c r="AU5" i="19"/>
  <c r="AR5" i="19"/>
  <c r="AP5" i="19"/>
  <c r="AO5" i="19"/>
  <c r="AN5" i="19"/>
  <c r="AK5" i="19"/>
  <c r="AH5" i="19"/>
  <c r="S5" i="19"/>
  <c r="P5" i="19"/>
  <c r="N5" i="19"/>
  <c r="BL5" i="19" s="1"/>
  <c r="M5" i="19"/>
  <c r="L5" i="19"/>
  <c r="I5" i="19"/>
  <c r="F5" i="19"/>
  <c r="BP3" i="19"/>
  <c r="BO3" i="19"/>
  <c r="BN3" i="19"/>
  <c r="AU4" i="19"/>
  <c r="AR4" i="19"/>
  <c r="AP4" i="19"/>
  <c r="AO4" i="19"/>
  <c r="AQ4" i="19" s="1"/>
  <c r="AN4" i="19"/>
  <c r="AK4" i="19"/>
  <c r="AH4" i="19"/>
  <c r="S4" i="19"/>
  <c r="P4" i="19"/>
  <c r="N4" i="19"/>
  <c r="M4" i="19"/>
  <c r="O4" i="19" s="1"/>
  <c r="L4" i="19"/>
  <c r="I4" i="19"/>
  <c r="F4" i="19"/>
  <c r="AU3" i="19"/>
  <c r="AR3" i="19"/>
  <c r="AP3" i="19"/>
  <c r="AO3" i="19"/>
  <c r="AN3" i="19"/>
  <c r="AK3" i="19"/>
  <c r="AH3" i="19"/>
  <c r="S3" i="19"/>
  <c r="BV3" i="19" s="1"/>
  <c r="P3" i="19"/>
  <c r="O3" i="19"/>
  <c r="N3" i="19"/>
  <c r="BH3" i="19" s="1"/>
  <c r="M3" i="19"/>
  <c r="L3" i="19"/>
  <c r="I3" i="19"/>
  <c r="F3" i="19"/>
  <c r="CY20" i="21"/>
  <c r="CV20" i="21"/>
  <c r="CY19" i="21"/>
  <c r="CV19" i="21"/>
  <c r="BN17" i="21"/>
  <c r="BC18" i="21"/>
  <c r="BB18" i="21"/>
  <c r="BA18" i="21"/>
  <c r="AZ18" i="21"/>
  <c r="AY18" i="21"/>
  <c r="AX18" i="21"/>
  <c r="AW18" i="21"/>
  <c r="AV18" i="21"/>
  <c r="AT18" i="21"/>
  <c r="AS18" i="21"/>
  <c r="AM18" i="21"/>
  <c r="AL18" i="21"/>
  <c r="AJ18" i="21"/>
  <c r="AI18" i="21"/>
  <c r="AG18" i="21"/>
  <c r="AF18" i="21"/>
  <c r="AA18" i="21"/>
  <c r="Z18" i="39" s="1"/>
  <c r="Z18" i="21"/>
  <c r="Y18" i="39" s="1"/>
  <c r="Y18" i="21"/>
  <c r="X18" i="39" s="1"/>
  <c r="X18" i="21"/>
  <c r="W18" i="39" s="1"/>
  <c r="W18" i="21"/>
  <c r="V18" i="39" s="1"/>
  <c r="V18" i="21"/>
  <c r="U18" i="39" s="1"/>
  <c r="U18" i="21"/>
  <c r="T18" i="39" s="1"/>
  <c r="T18" i="21"/>
  <c r="S18" i="39" s="1"/>
  <c r="R18" i="21"/>
  <c r="Q18" i="21"/>
  <c r="P18" i="39" s="1"/>
  <c r="K18" i="21"/>
  <c r="J18" i="39" s="1"/>
  <c r="J18" i="21"/>
  <c r="H18" i="21"/>
  <c r="G18" i="39" s="1"/>
  <c r="G18" i="21"/>
  <c r="F18" i="39" s="1"/>
  <c r="E18" i="21"/>
  <c r="D18" i="39" s="1"/>
  <c r="D18" i="21"/>
  <c r="C18" i="39" s="1"/>
  <c r="CY18" i="21"/>
  <c r="CV18" i="21"/>
  <c r="AU17" i="21"/>
  <c r="AR17" i="21"/>
  <c r="AP17" i="21"/>
  <c r="AO17" i="21"/>
  <c r="AN17" i="21"/>
  <c r="AK17" i="21"/>
  <c r="AH17" i="21"/>
  <c r="S17" i="21"/>
  <c r="P17" i="21"/>
  <c r="N17" i="21"/>
  <c r="M17" i="21"/>
  <c r="L17" i="21"/>
  <c r="I17" i="21"/>
  <c r="F17" i="21"/>
  <c r="CY17" i="21"/>
  <c r="CV17" i="21"/>
  <c r="BN16" i="21"/>
  <c r="CY16" i="21"/>
  <c r="CV16" i="21"/>
  <c r="BN15" i="21"/>
  <c r="AU16" i="21"/>
  <c r="AR16" i="21"/>
  <c r="AP16" i="21"/>
  <c r="AO16" i="21"/>
  <c r="AN16" i="21"/>
  <c r="AK16" i="21"/>
  <c r="AH16" i="21"/>
  <c r="S16" i="21"/>
  <c r="P16" i="21"/>
  <c r="E17" i="16" s="1"/>
  <c r="N16" i="21"/>
  <c r="BM16" i="21" s="1"/>
  <c r="M16" i="21"/>
  <c r="L16" i="21"/>
  <c r="I16" i="21"/>
  <c r="F16" i="21"/>
  <c r="CY15" i="21"/>
  <c r="CV15" i="21"/>
  <c r="BN14" i="21"/>
  <c r="AU15" i="21"/>
  <c r="AR15" i="21"/>
  <c r="AP15" i="21"/>
  <c r="AO15" i="21"/>
  <c r="AN15" i="21"/>
  <c r="AK15" i="21"/>
  <c r="AH15" i="21"/>
  <c r="S15" i="21"/>
  <c r="P15" i="21"/>
  <c r="N15" i="21"/>
  <c r="BM15" i="21" s="1"/>
  <c r="M15" i="21"/>
  <c r="L15" i="21"/>
  <c r="I15" i="21"/>
  <c r="F15" i="21"/>
  <c r="CY14" i="21"/>
  <c r="CV14" i="21"/>
  <c r="BN13" i="21"/>
  <c r="AU14" i="21"/>
  <c r="AR14" i="21"/>
  <c r="AP14" i="21"/>
  <c r="AO14" i="21"/>
  <c r="AN14" i="21"/>
  <c r="AK14" i="21"/>
  <c r="AH14" i="21"/>
  <c r="S14" i="21"/>
  <c r="P14" i="21"/>
  <c r="N14" i="21"/>
  <c r="M14" i="21"/>
  <c r="L14" i="21"/>
  <c r="I14" i="21"/>
  <c r="F14" i="21"/>
  <c r="CY13" i="21"/>
  <c r="CV13" i="21"/>
  <c r="BN12" i="21"/>
  <c r="AU13" i="21"/>
  <c r="AR13" i="21"/>
  <c r="AP13" i="21"/>
  <c r="AO13" i="21"/>
  <c r="AQ13" i="21" s="1"/>
  <c r="AN13" i="21"/>
  <c r="AK13" i="21"/>
  <c r="AH13" i="21"/>
  <c r="S13" i="21"/>
  <c r="P13" i="21"/>
  <c r="N13" i="21"/>
  <c r="BL13" i="21" s="1"/>
  <c r="M13" i="21"/>
  <c r="L13" i="21"/>
  <c r="I13" i="21"/>
  <c r="F13" i="21"/>
  <c r="CY12" i="21"/>
  <c r="CV12" i="21"/>
  <c r="BN11" i="21"/>
  <c r="AU12" i="21"/>
  <c r="AR12" i="21"/>
  <c r="AP12" i="21"/>
  <c r="AO12" i="21"/>
  <c r="AN12" i="21"/>
  <c r="AK12" i="21"/>
  <c r="AH12" i="21"/>
  <c r="S12" i="21"/>
  <c r="P12" i="21"/>
  <c r="N12" i="21"/>
  <c r="BM12" i="21" s="1"/>
  <c r="M12" i="21"/>
  <c r="L12" i="21"/>
  <c r="I12" i="21"/>
  <c r="F12" i="21"/>
  <c r="CY11" i="21"/>
  <c r="CV11" i="21"/>
  <c r="BN10" i="21"/>
  <c r="AU11" i="21"/>
  <c r="AR11" i="21"/>
  <c r="AP11" i="21"/>
  <c r="AO11" i="21"/>
  <c r="AN11" i="21"/>
  <c r="AK11" i="21"/>
  <c r="AH11" i="21"/>
  <c r="S11" i="21"/>
  <c r="P11" i="21"/>
  <c r="N11" i="21"/>
  <c r="BM11" i="21" s="1"/>
  <c r="M11" i="21"/>
  <c r="L11" i="21"/>
  <c r="I11" i="21"/>
  <c r="F11" i="21"/>
  <c r="CY10" i="21"/>
  <c r="CV10" i="21"/>
  <c r="BN9" i="21"/>
  <c r="AU10" i="21"/>
  <c r="AR10" i="21"/>
  <c r="AP10" i="21"/>
  <c r="AO10" i="21"/>
  <c r="AQ10" i="21" s="1"/>
  <c r="AN10" i="21"/>
  <c r="AK10" i="21"/>
  <c r="AH10" i="21"/>
  <c r="S10" i="21"/>
  <c r="P10" i="21"/>
  <c r="N10" i="21"/>
  <c r="M10" i="21"/>
  <c r="L10" i="21"/>
  <c r="I10" i="21"/>
  <c r="F10" i="21"/>
  <c r="CY9" i="21"/>
  <c r="CV9" i="21"/>
  <c r="BN8" i="21"/>
  <c r="T9" i="16" s="1"/>
  <c r="I8" i="37" s="1"/>
  <c r="AU9" i="21"/>
  <c r="AR9" i="21"/>
  <c r="AP9" i="21"/>
  <c r="AO9" i="21"/>
  <c r="AN9" i="21"/>
  <c r="AK9" i="21"/>
  <c r="AH9" i="21"/>
  <c r="S9" i="21"/>
  <c r="P9" i="21"/>
  <c r="N9" i="21"/>
  <c r="BM9" i="21" s="1"/>
  <c r="M9" i="21"/>
  <c r="L9" i="21"/>
  <c r="I9" i="21"/>
  <c r="F9" i="21"/>
  <c r="CY8" i="21"/>
  <c r="CV8" i="21"/>
  <c r="BN7" i="21"/>
  <c r="T8" i="16" s="1"/>
  <c r="I7" i="37" s="1"/>
  <c r="AU8" i="21"/>
  <c r="AR8" i="21"/>
  <c r="AP8" i="21"/>
  <c r="AO8" i="21"/>
  <c r="AN8" i="21"/>
  <c r="AK8" i="21"/>
  <c r="AH8" i="21"/>
  <c r="S8" i="21"/>
  <c r="P8" i="21"/>
  <c r="E9" i="16" s="1"/>
  <c r="N8" i="21"/>
  <c r="M8" i="21"/>
  <c r="L8" i="21"/>
  <c r="I8" i="21"/>
  <c r="F8" i="21"/>
  <c r="CY7" i="21"/>
  <c r="CV7" i="21"/>
  <c r="BN6" i="21"/>
  <c r="T7" i="16" s="1"/>
  <c r="I6" i="37" s="1"/>
  <c r="AU7" i="21"/>
  <c r="AR7" i="21"/>
  <c r="AP7" i="21"/>
  <c r="AO7" i="21"/>
  <c r="AN7" i="21"/>
  <c r="AK7" i="21"/>
  <c r="AH7" i="21"/>
  <c r="S7" i="21"/>
  <c r="P7" i="21"/>
  <c r="E8" i="16" s="1"/>
  <c r="N7" i="21"/>
  <c r="BM7" i="21" s="1"/>
  <c r="M7" i="21"/>
  <c r="L7" i="21"/>
  <c r="I7" i="21"/>
  <c r="F7" i="21"/>
  <c r="CY6" i="21"/>
  <c r="CV6" i="21"/>
  <c r="BN5" i="21"/>
  <c r="T6" i="16" s="1"/>
  <c r="I5" i="37" s="1"/>
  <c r="AU6" i="21"/>
  <c r="AR6" i="21"/>
  <c r="AP6" i="21"/>
  <c r="AO6" i="21"/>
  <c r="AN6" i="21"/>
  <c r="AK6" i="21"/>
  <c r="AH6" i="21"/>
  <c r="S6" i="21"/>
  <c r="P6" i="21"/>
  <c r="E7" i="16" s="1"/>
  <c r="N6" i="21"/>
  <c r="BH6" i="21" s="1"/>
  <c r="M6" i="21"/>
  <c r="L6" i="21"/>
  <c r="I6" i="21"/>
  <c r="F6" i="21"/>
  <c r="CY5" i="21"/>
  <c r="CV5" i="21"/>
  <c r="BN4" i="21"/>
  <c r="AU5" i="21"/>
  <c r="AR5" i="21"/>
  <c r="AP5" i="21"/>
  <c r="AO5" i="21"/>
  <c r="AN5" i="21"/>
  <c r="AK5" i="21"/>
  <c r="AH5" i="21"/>
  <c r="S5" i="21"/>
  <c r="P5" i="21"/>
  <c r="E6" i="16" s="1"/>
  <c r="N5" i="21"/>
  <c r="BL5" i="21" s="1"/>
  <c r="M5" i="21"/>
  <c r="L5" i="21"/>
  <c r="I5" i="21"/>
  <c r="F5" i="21"/>
  <c r="BN3" i="21"/>
  <c r="T4" i="16" s="1"/>
  <c r="I3" i="37" s="1"/>
  <c r="AU4" i="21"/>
  <c r="AR4" i="21"/>
  <c r="AP4" i="21"/>
  <c r="AO4" i="21"/>
  <c r="AN4" i="21"/>
  <c r="AK4" i="21"/>
  <c r="AH4" i="21"/>
  <c r="S4" i="21"/>
  <c r="P4" i="21"/>
  <c r="E5" i="16" s="1"/>
  <c r="N4" i="21"/>
  <c r="BL4" i="21" s="1"/>
  <c r="M4" i="21"/>
  <c r="L4" i="21"/>
  <c r="I4" i="21"/>
  <c r="F4" i="21"/>
  <c r="AU3" i="21"/>
  <c r="AR3" i="21"/>
  <c r="AP3" i="21"/>
  <c r="AO3" i="21"/>
  <c r="AN3" i="21"/>
  <c r="AK3" i="21"/>
  <c r="AH3" i="21"/>
  <c r="S3" i="21"/>
  <c r="P3" i="21"/>
  <c r="E4" i="16" s="1"/>
  <c r="N3" i="21"/>
  <c r="M3" i="21"/>
  <c r="L3" i="21"/>
  <c r="I3" i="21"/>
  <c r="F3" i="21"/>
  <c r="T5" i="16"/>
  <c r="I4" i="37" s="1"/>
  <c r="E12" i="16"/>
  <c r="CT6" i="46" l="1"/>
  <c r="CT10" i="46"/>
  <c r="CJ20" i="46"/>
  <c r="CT18" i="46"/>
  <c r="CT14" i="46"/>
  <c r="CJ5" i="46"/>
  <c r="CJ19" i="46"/>
  <c r="CJ12" i="46"/>
  <c r="CJ11" i="46"/>
  <c r="CJ7" i="46"/>
  <c r="BU18" i="46"/>
  <c r="CT8" i="46"/>
  <c r="CJ8" i="46"/>
  <c r="CQ16" i="46"/>
  <c r="CO16" i="46" s="1"/>
  <c r="CM16" i="46" s="1"/>
  <c r="CQ10" i="46"/>
  <c r="CO10" i="46" s="1"/>
  <c r="CM10" i="46" s="1"/>
  <c r="CB20" i="46"/>
  <c r="CB16" i="46"/>
  <c r="CB12" i="46"/>
  <c r="CB8" i="46"/>
  <c r="CB5" i="46"/>
  <c r="CB19" i="46"/>
  <c r="CB15" i="46"/>
  <c r="CB11" i="46"/>
  <c r="CB7" i="46"/>
  <c r="CB17" i="46"/>
  <c r="CB13" i="46"/>
  <c r="CB9" i="46"/>
  <c r="CB18" i="46"/>
  <c r="CB14" i="46"/>
  <c r="CB10" i="46"/>
  <c r="CB6" i="46"/>
  <c r="CJ9" i="46"/>
  <c r="CT9" i="46"/>
  <c r="CQ15" i="46"/>
  <c r="CO15" i="46" s="1"/>
  <c r="CQ17" i="46"/>
  <c r="CO17" i="46" s="1"/>
  <c r="CM17" i="46" s="1"/>
  <c r="CQ12" i="46"/>
  <c r="CO12" i="46" s="1"/>
  <c r="CM12" i="46" s="1"/>
  <c r="CQ14" i="46"/>
  <c r="CO14" i="46" s="1"/>
  <c r="CM14" i="46" s="1"/>
  <c r="CJ17" i="46"/>
  <c r="CT17" i="46"/>
  <c r="CT13" i="46"/>
  <c r="CJ13" i="46"/>
  <c r="CQ7" i="46"/>
  <c r="CO7" i="46" s="1"/>
  <c r="CM7" i="46" s="1"/>
  <c r="CQ9" i="46"/>
  <c r="CO9" i="46" s="1"/>
  <c r="CM9" i="46" s="1"/>
  <c r="CQ18" i="46"/>
  <c r="CO18" i="46" s="1"/>
  <c r="CM18" i="46" s="1"/>
  <c r="BS18" i="46"/>
  <c r="BT18" i="46" s="1"/>
  <c r="CQ5" i="46"/>
  <c r="CO5" i="46" s="1"/>
  <c r="CM5" i="46" s="1"/>
  <c r="CQ19" i="46"/>
  <c r="CO19" i="46" s="1"/>
  <c r="CQ6" i="46"/>
  <c r="CO6" i="46" s="1"/>
  <c r="CQ8" i="46"/>
  <c r="CO8" i="46" s="1"/>
  <c r="CM8" i="46" s="1"/>
  <c r="CQ11" i="46"/>
  <c r="CO11" i="46" s="1"/>
  <c r="CQ20" i="46"/>
  <c r="CO20" i="46" s="1"/>
  <c r="CQ13" i="46"/>
  <c r="CO13" i="46" s="1"/>
  <c r="CM13" i="46" s="1"/>
  <c r="CJ19" i="45"/>
  <c r="CJ16" i="45"/>
  <c r="CJ10" i="45"/>
  <c r="CT18" i="45"/>
  <c r="BS18" i="45"/>
  <c r="BT18" i="45" s="1"/>
  <c r="CQ5" i="45"/>
  <c r="CO5" i="45" s="1"/>
  <c r="CM5" i="45" s="1"/>
  <c r="CQ8" i="45"/>
  <c r="CO8" i="45" s="1"/>
  <c r="CM8" i="45" s="1"/>
  <c r="CQ15" i="45"/>
  <c r="CO15" i="45" s="1"/>
  <c r="CJ13" i="45"/>
  <c r="CT13" i="45"/>
  <c r="CJ6" i="45"/>
  <c r="CT6" i="45"/>
  <c r="CQ10" i="45"/>
  <c r="CO10" i="45" s="1"/>
  <c r="CT5" i="45"/>
  <c r="CJ5" i="45"/>
  <c r="CT8" i="45"/>
  <c r="CJ8" i="45"/>
  <c r="BU18" i="45"/>
  <c r="CQ7" i="45"/>
  <c r="CO7" i="45" s="1"/>
  <c r="CQ12" i="45"/>
  <c r="CO12" i="45" s="1"/>
  <c r="CM12" i="45" s="1"/>
  <c r="CQ20" i="45"/>
  <c r="CO20" i="45" s="1"/>
  <c r="CM20" i="45" s="1"/>
  <c r="CT12" i="45"/>
  <c r="CJ12" i="45"/>
  <c r="CT17" i="45"/>
  <c r="CJ17" i="45"/>
  <c r="CJ9" i="45"/>
  <c r="CT9" i="45"/>
  <c r="CJ15" i="45"/>
  <c r="CT15" i="45"/>
  <c r="CQ19" i="45"/>
  <c r="CO19" i="45" s="1"/>
  <c r="CM19" i="45" s="1"/>
  <c r="CJ7" i="45"/>
  <c r="CT7" i="45"/>
  <c r="CQ14" i="45"/>
  <c r="CO14" i="45" s="1"/>
  <c r="CM14" i="45" s="1"/>
  <c r="CJ11" i="45"/>
  <c r="CT11" i="45"/>
  <c r="CQ9" i="45"/>
  <c r="CO9" i="45" s="1"/>
  <c r="CM9" i="45" s="1"/>
  <c r="CQ17" i="45"/>
  <c r="CO17" i="45" s="1"/>
  <c r="CM17" i="45" s="1"/>
  <c r="CQ18" i="45"/>
  <c r="CO18" i="45" s="1"/>
  <c r="CM18" i="45" s="1"/>
  <c r="CB20" i="45"/>
  <c r="CB16" i="45"/>
  <c r="CB12" i="45"/>
  <c r="CB8" i="45"/>
  <c r="CB5" i="45"/>
  <c r="CB14" i="45"/>
  <c r="CB10" i="45"/>
  <c r="CB6" i="45"/>
  <c r="CB19" i="45"/>
  <c r="CB18" i="45"/>
  <c r="CB15" i="45"/>
  <c r="CB11" i="45"/>
  <c r="CB17" i="45"/>
  <c r="CB13" i="45"/>
  <c r="CB9" i="45"/>
  <c r="CB7" i="45"/>
  <c r="CQ11" i="45"/>
  <c r="CO11" i="45" s="1"/>
  <c r="CM11" i="45" s="1"/>
  <c r="CQ13" i="45"/>
  <c r="CO13" i="45" s="1"/>
  <c r="CM13" i="45" s="1"/>
  <c r="CQ16" i="45"/>
  <c r="CO16" i="45" s="1"/>
  <c r="CM16" i="45" s="1"/>
  <c r="CQ6" i="45"/>
  <c r="CO6" i="45" s="1"/>
  <c r="CM6" i="45" s="1"/>
  <c r="CT14" i="45"/>
  <c r="CJ14" i="45"/>
  <c r="CT19" i="44"/>
  <c r="CT18" i="44"/>
  <c r="CJ17" i="44"/>
  <c r="BZ7" i="44"/>
  <c r="CC7" i="44"/>
  <c r="CF7" i="44" s="1"/>
  <c r="BZ14" i="44"/>
  <c r="CC14" i="44"/>
  <c r="CF14" i="44" s="1"/>
  <c r="CQ7" i="44"/>
  <c r="CO7" i="44" s="1"/>
  <c r="CQ5" i="44"/>
  <c r="CO5" i="44" s="1"/>
  <c r="CM5" i="44" s="1"/>
  <c r="CJ7" i="44"/>
  <c r="CT7" i="44"/>
  <c r="CQ10" i="44"/>
  <c r="CO10" i="44" s="1"/>
  <c r="BZ19" i="44"/>
  <c r="CC19" i="44"/>
  <c r="CF19" i="44" s="1"/>
  <c r="BZ15" i="44"/>
  <c r="CC15" i="44"/>
  <c r="CF15" i="44" s="1"/>
  <c r="CQ19" i="44"/>
  <c r="CO19" i="44" s="1"/>
  <c r="CM19" i="44" s="1"/>
  <c r="CQ8" i="44"/>
  <c r="CO8" i="44" s="1"/>
  <c r="CM8" i="44" s="1"/>
  <c r="CJ11" i="44"/>
  <c r="CT11" i="44"/>
  <c r="CT5" i="44"/>
  <c r="CJ5" i="44"/>
  <c r="BZ9" i="44"/>
  <c r="CC9" i="44"/>
  <c r="CF9" i="44" s="1"/>
  <c r="BZ5" i="44"/>
  <c r="CC5" i="44"/>
  <c r="CF5" i="44" s="1"/>
  <c r="CQ9" i="44"/>
  <c r="CO9" i="44" s="1"/>
  <c r="CM9" i="44" s="1"/>
  <c r="CQ13" i="44"/>
  <c r="CO13" i="44" s="1"/>
  <c r="CM13" i="44" s="1"/>
  <c r="CT6" i="44"/>
  <c r="CJ6" i="44"/>
  <c r="CJ15" i="44"/>
  <c r="CT15" i="44"/>
  <c r="CT8" i="44"/>
  <c r="CJ8" i="44"/>
  <c r="BS18" i="44"/>
  <c r="BT18" i="44" s="1"/>
  <c r="BZ13" i="44"/>
  <c r="CC13" i="44"/>
  <c r="CF13" i="44" s="1"/>
  <c r="BZ8" i="44"/>
  <c r="CC8" i="44"/>
  <c r="CF8" i="44" s="1"/>
  <c r="CQ11" i="44"/>
  <c r="CO11" i="44" s="1"/>
  <c r="CM11" i="44" s="1"/>
  <c r="CT10" i="44"/>
  <c r="CJ10" i="44"/>
  <c r="CQ18" i="44"/>
  <c r="CO18" i="44" s="1"/>
  <c r="CM18" i="44" s="1"/>
  <c r="CQ14" i="44"/>
  <c r="CO14" i="44" s="1"/>
  <c r="CM14" i="44" s="1"/>
  <c r="CJ12" i="44"/>
  <c r="CT12" i="44"/>
  <c r="BU18" i="44"/>
  <c r="BZ17" i="44"/>
  <c r="CC17" i="44"/>
  <c r="CF17" i="44" s="1"/>
  <c r="BZ12" i="44"/>
  <c r="CC12" i="44"/>
  <c r="CF12" i="44" s="1"/>
  <c r="CT9" i="44"/>
  <c r="CJ9" i="44"/>
  <c r="CQ12" i="44"/>
  <c r="CO12" i="44" s="1"/>
  <c r="CM12" i="44" s="1"/>
  <c r="CT14" i="44"/>
  <c r="CJ14" i="44"/>
  <c r="CT16" i="44"/>
  <c r="CJ16" i="44"/>
  <c r="BZ18" i="44"/>
  <c r="CC18" i="44"/>
  <c r="CF18" i="44" s="1"/>
  <c r="BZ16" i="44"/>
  <c r="CC16" i="44"/>
  <c r="CF16" i="44" s="1"/>
  <c r="CJ13" i="44"/>
  <c r="CT13" i="44"/>
  <c r="CQ6" i="44"/>
  <c r="CO6" i="44" s="1"/>
  <c r="BZ6" i="44"/>
  <c r="CC6" i="44"/>
  <c r="CF6" i="44" s="1"/>
  <c r="BZ20" i="44"/>
  <c r="CC20" i="44"/>
  <c r="CF20" i="44" s="1"/>
  <c r="CQ15" i="44"/>
  <c r="CO15" i="44" s="1"/>
  <c r="CM15" i="44" s="1"/>
  <c r="CQ20" i="44"/>
  <c r="CO20" i="44" s="1"/>
  <c r="BZ11" i="44"/>
  <c r="CC11" i="44"/>
  <c r="CF11" i="44" s="1"/>
  <c r="BZ10" i="44"/>
  <c r="CC10" i="44"/>
  <c r="CF10" i="44" s="1"/>
  <c r="CQ16" i="44"/>
  <c r="CO16" i="44" s="1"/>
  <c r="CM16" i="44" s="1"/>
  <c r="CQ17" i="44"/>
  <c r="CO17" i="44" s="1"/>
  <c r="CM17" i="44" s="1"/>
  <c r="CJ10" i="43"/>
  <c r="CT18" i="43"/>
  <c r="CJ18" i="43"/>
  <c r="CJ14" i="43"/>
  <c r="CT14" i="43"/>
  <c r="BU18" i="43"/>
  <c r="CJ19" i="43"/>
  <c r="CT8" i="43"/>
  <c r="CJ8" i="43"/>
  <c r="CT11" i="43"/>
  <c r="CJ11" i="43"/>
  <c r="CT17" i="43"/>
  <c r="CT15" i="43"/>
  <c r="CJ15" i="43"/>
  <c r="CT6" i="43"/>
  <c r="CJ6" i="43"/>
  <c r="CQ20" i="43"/>
  <c r="CO20" i="43" s="1"/>
  <c r="CM20" i="43" s="1"/>
  <c r="BZ14" i="43"/>
  <c r="CC14" i="43"/>
  <c r="CF14" i="43" s="1"/>
  <c r="CQ19" i="43"/>
  <c r="CO19" i="43" s="1"/>
  <c r="CM19" i="43" s="1"/>
  <c r="CT20" i="43"/>
  <c r="CJ20" i="43"/>
  <c r="CJ5" i="43"/>
  <c r="CT5" i="43"/>
  <c r="CQ12" i="43"/>
  <c r="CO12" i="43" s="1"/>
  <c r="CM12" i="43" s="1"/>
  <c r="CQ17" i="43"/>
  <c r="CO17" i="43" s="1"/>
  <c r="CM17" i="43" s="1"/>
  <c r="BZ7" i="43"/>
  <c r="CC7" i="43"/>
  <c r="CF7" i="43" s="1"/>
  <c r="BZ20" i="43"/>
  <c r="CC20" i="43"/>
  <c r="CF20" i="43" s="1"/>
  <c r="BZ17" i="43"/>
  <c r="CC17" i="43"/>
  <c r="CF17" i="43" s="1"/>
  <c r="BZ16" i="43"/>
  <c r="CC16" i="43"/>
  <c r="CF16" i="43" s="1"/>
  <c r="CT7" i="43"/>
  <c r="CJ7" i="43"/>
  <c r="CQ14" i="43"/>
  <c r="CO14" i="43" s="1"/>
  <c r="BZ9" i="43"/>
  <c r="CC9" i="43"/>
  <c r="CF9" i="43" s="1"/>
  <c r="BZ11" i="43"/>
  <c r="CC11" i="43"/>
  <c r="CF11" i="43" s="1"/>
  <c r="CQ15" i="43"/>
  <c r="CO15" i="43" s="1"/>
  <c r="CM15" i="43" s="1"/>
  <c r="CQ9" i="43"/>
  <c r="CO9" i="43" s="1"/>
  <c r="CM9" i="43" s="1"/>
  <c r="CQ6" i="43"/>
  <c r="CO6" i="43" s="1"/>
  <c r="CM6" i="43" s="1"/>
  <c r="BZ13" i="43"/>
  <c r="CC13" i="43"/>
  <c r="CF13" i="43" s="1"/>
  <c r="BS18" i="43"/>
  <c r="BT18" i="43" s="1"/>
  <c r="CT13" i="43"/>
  <c r="CJ13" i="43"/>
  <c r="CJ9" i="43"/>
  <c r="CT9" i="43"/>
  <c r="CQ5" i="43"/>
  <c r="CO5" i="43" s="1"/>
  <c r="CM5" i="43" s="1"/>
  <c r="BZ18" i="43"/>
  <c r="CC18" i="43"/>
  <c r="CF18" i="43" s="1"/>
  <c r="BZ5" i="43"/>
  <c r="CC5" i="43"/>
  <c r="CF5" i="43" s="1"/>
  <c r="CQ18" i="43"/>
  <c r="CO18" i="43" s="1"/>
  <c r="CM18" i="43" s="1"/>
  <c r="CQ16" i="43"/>
  <c r="CO16" i="43" s="1"/>
  <c r="CM16" i="43" s="1"/>
  <c r="BZ19" i="43"/>
  <c r="CC19" i="43"/>
  <c r="CF19" i="43" s="1"/>
  <c r="CQ7" i="43"/>
  <c r="CO7" i="43" s="1"/>
  <c r="CM7" i="43" s="1"/>
  <c r="CQ8" i="43"/>
  <c r="CO8" i="43" s="1"/>
  <c r="CM8" i="43" s="1"/>
  <c r="CQ13" i="43"/>
  <c r="CO13" i="43" s="1"/>
  <c r="CM13" i="43" s="1"/>
  <c r="BZ6" i="43"/>
  <c r="CC6" i="43"/>
  <c r="CF6" i="43" s="1"/>
  <c r="BZ8" i="43"/>
  <c r="CC8" i="43"/>
  <c r="CF8" i="43" s="1"/>
  <c r="BZ15" i="43"/>
  <c r="CC15" i="43"/>
  <c r="CF15" i="43" s="1"/>
  <c r="CT16" i="43"/>
  <c r="CJ16" i="43"/>
  <c r="CQ11" i="43"/>
  <c r="CO11" i="43" s="1"/>
  <c r="CM11" i="43" s="1"/>
  <c r="CQ10" i="43"/>
  <c r="CO10" i="43" s="1"/>
  <c r="BZ10" i="43"/>
  <c r="CC10" i="43"/>
  <c r="CF10" i="43" s="1"/>
  <c r="BZ12" i="43"/>
  <c r="CC12" i="43"/>
  <c r="CF12" i="43" s="1"/>
  <c r="CT7" i="42"/>
  <c r="CJ7" i="42"/>
  <c r="CJ6" i="42"/>
  <c r="CT6" i="42"/>
  <c r="CJ18" i="42"/>
  <c r="CT18" i="42"/>
  <c r="BT18" i="42"/>
  <c r="O10" i="21"/>
  <c r="BU18" i="42"/>
  <c r="BP9" i="21"/>
  <c r="BP11" i="21"/>
  <c r="BP7" i="21"/>
  <c r="CA5" i="21"/>
  <c r="BP15" i="21"/>
  <c r="BP13" i="21"/>
  <c r="CA18" i="21"/>
  <c r="BP3" i="21"/>
  <c r="BP4" i="21"/>
  <c r="CA17" i="21"/>
  <c r="H18" i="39"/>
  <c r="BI17" i="21"/>
  <c r="E13" i="16"/>
  <c r="M18" i="39"/>
  <c r="CA8" i="21"/>
  <c r="CA10" i="21"/>
  <c r="BI11" i="21"/>
  <c r="CA14" i="21"/>
  <c r="CA16" i="21"/>
  <c r="BP18" i="21"/>
  <c r="Q18" i="39"/>
  <c r="R18" i="39" s="1"/>
  <c r="D19" i="16"/>
  <c r="R18" i="37" s="1"/>
  <c r="BP5" i="21"/>
  <c r="CP8" i="21"/>
  <c r="CX8" i="21" s="1"/>
  <c r="CA12" i="21"/>
  <c r="E18" i="39"/>
  <c r="L18" i="39"/>
  <c r="CA6" i="21"/>
  <c r="BP10" i="21"/>
  <c r="BO14" i="21"/>
  <c r="BP8" i="21"/>
  <c r="BP12" i="21"/>
  <c r="BP14" i="21"/>
  <c r="BP6" i="21"/>
  <c r="CA11" i="21"/>
  <c r="CA13" i="21"/>
  <c r="CA15" i="21"/>
  <c r="BP16" i="21"/>
  <c r="T12" i="16"/>
  <c r="I11" i="37" s="1"/>
  <c r="CA7" i="21"/>
  <c r="CA9" i="21"/>
  <c r="AQ11" i="21"/>
  <c r="CP13" i="21"/>
  <c r="CX13" i="21" s="1"/>
  <c r="AQ15" i="21"/>
  <c r="L18" i="21"/>
  <c r="I18" i="39"/>
  <c r="K18" i="39" s="1"/>
  <c r="AN18" i="21"/>
  <c r="CD12" i="21" s="1"/>
  <c r="CQ13" i="42"/>
  <c r="CO13" i="42" s="1"/>
  <c r="CQ5" i="42"/>
  <c r="CO5" i="42" s="1"/>
  <c r="CM5" i="42" s="1"/>
  <c r="CQ6" i="42"/>
  <c r="CO6" i="42" s="1"/>
  <c r="CM6" i="42" s="1"/>
  <c r="CQ16" i="42"/>
  <c r="CO16" i="42" s="1"/>
  <c r="CM16" i="42" s="1"/>
  <c r="CQ7" i="42"/>
  <c r="CO7" i="42" s="1"/>
  <c r="CM7" i="42" s="1"/>
  <c r="CQ18" i="42"/>
  <c r="CO18" i="42" s="1"/>
  <c r="CM18" i="42" s="1"/>
  <c r="CQ20" i="42"/>
  <c r="CO20" i="42" s="1"/>
  <c r="CM20" i="42" s="1"/>
  <c r="CQ8" i="42"/>
  <c r="CO8" i="42" s="1"/>
  <c r="CM8" i="42" s="1"/>
  <c r="CQ11" i="42"/>
  <c r="CO11" i="42" s="1"/>
  <c r="CM11" i="42" s="1"/>
  <c r="CQ17" i="42"/>
  <c r="CO17" i="42" s="1"/>
  <c r="CQ12" i="42"/>
  <c r="CO12" i="42" s="1"/>
  <c r="CM12" i="42" s="1"/>
  <c r="CQ10" i="42"/>
  <c r="CO10" i="42" s="1"/>
  <c r="CM10" i="42" s="1"/>
  <c r="CQ19" i="42"/>
  <c r="CO19" i="42" s="1"/>
  <c r="CM19" i="42" s="1"/>
  <c r="CQ9" i="42"/>
  <c r="CO9" i="42" s="1"/>
  <c r="CM9" i="42" s="1"/>
  <c r="CQ15" i="42"/>
  <c r="CO15" i="42" s="1"/>
  <c r="CM15" i="42" s="1"/>
  <c r="CQ14" i="42"/>
  <c r="CO14" i="42" s="1"/>
  <c r="CM14" i="42" s="1"/>
  <c r="CB20" i="42"/>
  <c r="CB15" i="42"/>
  <c r="CB11" i="42"/>
  <c r="CB7" i="42"/>
  <c r="CB17" i="42"/>
  <c r="CB13" i="42"/>
  <c r="CB9" i="42"/>
  <c r="CB16" i="42"/>
  <c r="CB12" i="42"/>
  <c r="CB8" i="42"/>
  <c r="CB5" i="42"/>
  <c r="CB19" i="42"/>
  <c r="CB10" i="42"/>
  <c r="CB14" i="42"/>
  <c r="CB18" i="42"/>
  <c r="CB6" i="42"/>
  <c r="T18" i="16"/>
  <c r="I17" i="37" s="1"/>
  <c r="E14" i="16"/>
  <c r="E11" i="16"/>
  <c r="E16" i="16"/>
  <c r="E15" i="16"/>
  <c r="T17" i="16"/>
  <c r="I16" i="37" s="1"/>
  <c r="T16" i="16"/>
  <c r="I15" i="37" s="1"/>
  <c r="E18" i="16"/>
  <c r="T11" i="16"/>
  <c r="I10" i="37" s="1"/>
  <c r="T15" i="16"/>
  <c r="I14" i="37" s="1"/>
  <c r="T13" i="16"/>
  <c r="I12" i="37" s="1"/>
  <c r="T10" i="16"/>
  <c r="I9" i="37" s="1"/>
  <c r="T14" i="16"/>
  <c r="I13" i="37" s="1"/>
  <c r="E10" i="16"/>
  <c r="R5" i="16"/>
  <c r="G4" i="37" s="1"/>
  <c r="R6" i="16"/>
  <c r="G5" i="37" s="1"/>
  <c r="BO4" i="19"/>
  <c r="AQ8" i="19"/>
  <c r="AQ11" i="19"/>
  <c r="CP11" i="19"/>
  <c r="BQ13" i="19"/>
  <c r="BH12" i="19"/>
  <c r="BQ14" i="19"/>
  <c r="BO15" i="19"/>
  <c r="CD18" i="19"/>
  <c r="BV5" i="19"/>
  <c r="BO14" i="19"/>
  <c r="BV16" i="19"/>
  <c r="S19" i="19"/>
  <c r="BQ16" i="19" s="1"/>
  <c r="AR19" i="19"/>
  <c r="AP19" i="19"/>
  <c r="O6" i="19"/>
  <c r="AQ7" i="19"/>
  <c r="CP8" i="19"/>
  <c r="CP9" i="19"/>
  <c r="CP10" i="19"/>
  <c r="BO12" i="19"/>
  <c r="BO13" i="19"/>
  <c r="AQ18" i="19"/>
  <c r="BN19" i="19"/>
  <c r="CA20" i="19"/>
  <c r="BO17" i="19"/>
  <c r="CP7" i="19"/>
  <c r="BQ9" i="19"/>
  <c r="BQ10" i="19"/>
  <c r="BO11" i="19"/>
  <c r="BQ19" i="19"/>
  <c r="CP5" i="19"/>
  <c r="CP6" i="19"/>
  <c r="BQ8" i="19"/>
  <c r="BO10" i="19"/>
  <c r="AQ13" i="19"/>
  <c r="BV12" i="19"/>
  <c r="BV13" i="19"/>
  <c r="AQ15" i="19"/>
  <c r="CP16" i="19"/>
  <c r="CP17" i="19"/>
  <c r="CP18" i="19"/>
  <c r="L19" i="19"/>
  <c r="BQ6" i="19"/>
  <c r="BO7" i="19"/>
  <c r="BO8" i="19"/>
  <c r="BO9" i="19"/>
  <c r="AQ12" i="19"/>
  <c r="CP15" i="19"/>
  <c r="BQ17" i="19"/>
  <c r="BQ18" i="19"/>
  <c r="S17" i="16"/>
  <c r="H16" i="37" s="1"/>
  <c r="S13" i="16"/>
  <c r="H12" i="37" s="1"/>
  <c r="BI10" i="21"/>
  <c r="AQ9" i="21"/>
  <c r="BL9" i="21"/>
  <c r="BM13" i="21"/>
  <c r="CE14" i="21"/>
  <c r="CE10" i="21"/>
  <c r="CE5" i="21"/>
  <c r="CE18" i="21"/>
  <c r="CE6" i="21"/>
  <c r="CE8" i="21"/>
  <c r="AQ3" i="21"/>
  <c r="AQ12" i="21"/>
  <c r="AK18" i="21"/>
  <c r="N18" i="21"/>
  <c r="BM18" i="21" s="1"/>
  <c r="AQ8" i="21"/>
  <c r="BI9" i="21"/>
  <c r="BI13" i="21"/>
  <c r="BH15" i="21"/>
  <c r="AQ17" i="21"/>
  <c r="BI15" i="21"/>
  <c r="BH11" i="21"/>
  <c r="BL15" i="21"/>
  <c r="AQ14" i="21"/>
  <c r="CP9" i="21"/>
  <c r="CX9" i="21" s="1"/>
  <c r="AQ4" i="21"/>
  <c r="BL11" i="21"/>
  <c r="AQ16" i="21"/>
  <c r="P18" i="21"/>
  <c r="E19" i="16" s="1"/>
  <c r="BN18" i="21"/>
  <c r="T19" i="16" s="1"/>
  <c r="I18" i="37" s="1"/>
  <c r="AR18" i="21"/>
  <c r="BM7" i="19"/>
  <c r="BL7" i="19"/>
  <c r="CX9" i="19"/>
  <c r="CU13" i="19"/>
  <c r="BI4" i="19"/>
  <c r="CX7" i="19"/>
  <c r="BH5" i="19"/>
  <c r="BM5" i="19"/>
  <c r="BV4" i="19"/>
  <c r="CD14" i="19"/>
  <c r="CD10" i="19"/>
  <c r="CD6" i="19"/>
  <c r="CD17" i="19"/>
  <c r="CD13" i="19"/>
  <c r="CD9" i="19"/>
  <c r="CD16" i="19"/>
  <c r="CD12" i="19"/>
  <c r="CD8" i="19"/>
  <c r="CD5" i="19"/>
  <c r="CD15" i="19"/>
  <c r="CD11" i="19"/>
  <c r="CD7" i="19"/>
  <c r="BH4" i="19"/>
  <c r="CX8" i="19"/>
  <c r="BM6" i="19"/>
  <c r="BI9" i="19"/>
  <c r="M19" i="19"/>
  <c r="BU14" i="19" s="1"/>
  <c r="BI3" i="19"/>
  <c r="BI6" i="19"/>
  <c r="BL6" i="19"/>
  <c r="BH7" i="19"/>
  <c r="AQ10" i="19"/>
  <c r="BM11" i="19"/>
  <c r="BL11" i="19"/>
  <c r="CX13" i="19"/>
  <c r="AQ14" i="19"/>
  <c r="BM15" i="19"/>
  <c r="BL15" i="19"/>
  <c r="CX17" i="19"/>
  <c r="BI5" i="19"/>
  <c r="BU5" i="19"/>
  <c r="CX5" i="19"/>
  <c r="BL3" i="19"/>
  <c r="AO19" i="19"/>
  <c r="BI13" i="19"/>
  <c r="BM3" i="19"/>
  <c r="CX12" i="19"/>
  <c r="BH10" i="19"/>
  <c r="BM10" i="19"/>
  <c r="CX16" i="19"/>
  <c r="BH14" i="19"/>
  <c r="BM14" i="19"/>
  <c r="BJ14" i="19"/>
  <c r="BH18" i="19"/>
  <c r="CX20" i="19"/>
  <c r="BM18" i="19"/>
  <c r="O18" i="19"/>
  <c r="BI17" i="19"/>
  <c r="AQ3" i="19"/>
  <c r="BM4" i="19"/>
  <c r="BL4" i="19"/>
  <c r="CX6" i="19"/>
  <c r="AQ5" i="19"/>
  <c r="BJ5" i="19"/>
  <c r="BI10" i="19"/>
  <c r="BL10" i="19"/>
  <c r="BI14" i="19"/>
  <c r="BL14" i="19"/>
  <c r="BI18" i="19"/>
  <c r="N19" i="19"/>
  <c r="BJ4" i="19" s="1"/>
  <c r="BJ18" i="19"/>
  <c r="BI7" i="19"/>
  <c r="O10" i="19"/>
  <c r="BM9" i="19"/>
  <c r="BI11" i="19"/>
  <c r="BQ11" i="19"/>
  <c r="O14" i="19"/>
  <c r="BM13" i="19"/>
  <c r="BI15" i="19"/>
  <c r="BQ15" i="19"/>
  <c r="BM17" i="19"/>
  <c r="CD19" i="19"/>
  <c r="CD20" i="19"/>
  <c r="O7" i="19"/>
  <c r="BI8" i="19"/>
  <c r="CX10" i="19"/>
  <c r="O11" i="19"/>
  <c r="BI12" i="19"/>
  <c r="CX14" i="19"/>
  <c r="O15" i="19"/>
  <c r="BI16" i="19"/>
  <c r="CX18" i="19"/>
  <c r="BL19" i="19"/>
  <c r="BV6" i="19"/>
  <c r="BJ8" i="19"/>
  <c r="BH9" i="19"/>
  <c r="BV10" i="19"/>
  <c r="BJ12" i="19"/>
  <c r="BH13" i="19"/>
  <c r="BV14" i="19"/>
  <c r="BJ16" i="19"/>
  <c r="BH17" i="19"/>
  <c r="BV18" i="19"/>
  <c r="O5" i="19"/>
  <c r="O8" i="19"/>
  <c r="CX11" i="19"/>
  <c r="O12" i="19"/>
  <c r="CX15" i="19"/>
  <c r="O16" i="19"/>
  <c r="BO18" i="19"/>
  <c r="CP19" i="19"/>
  <c r="CX19" i="19" s="1"/>
  <c r="CP20" i="19"/>
  <c r="BL8" i="19"/>
  <c r="BL12" i="19"/>
  <c r="BL16" i="19"/>
  <c r="BP18" i="19"/>
  <c r="CA19" i="19"/>
  <c r="O9" i="19"/>
  <c r="O13" i="19"/>
  <c r="O17" i="19"/>
  <c r="AP18" i="21"/>
  <c r="CP10" i="21"/>
  <c r="CX10" i="21" s="1"/>
  <c r="CP14" i="21"/>
  <c r="BO18" i="21"/>
  <c r="AQ6" i="21"/>
  <c r="AH18" i="21"/>
  <c r="AQ5" i="21"/>
  <c r="CP7" i="21"/>
  <c r="CX7" i="21" s="1"/>
  <c r="CP12" i="21"/>
  <c r="CX12" i="21" s="1"/>
  <c r="AQ7" i="21"/>
  <c r="CP5" i="21"/>
  <c r="CP6" i="21"/>
  <c r="CX6" i="21" s="1"/>
  <c r="BH7" i="21"/>
  <c r="CP11" i="21"/>
  <c r="CX11" i="21" s="1"/>
  <c r="BO16" i="21"/>
  <c r="CA20" i="21"/>
  <c r="CP18" i="21"/>
  <c r="CX18" i="21" s="1"/>
  <c r="BO3" i="21"/>
  <c r="BM5" i="21"/>
  <c r="BL7" i="21"/>
  <c r="BO15" i="21"/>
  <c r="I18" i="21"/>
  <c r="BI7" i="21"/>
  <c r="F18" i="21"/>
  <c r="BO6" i="21"/>
  <c r="BO8" i="21"/>
  <c r="BO10" i="21"/>
  <c r="BO12" i="21"/>
  <c r="BO13" i="21"/>
  <c r="CE20" i="21"/>
  <c r="BO4" i="21"/>
  <c r="BO5" i="21"/>
  <c r="BO7" i="21"/>
  <c r="CP17" i="21"/>
  <c r="BO9" i="21"/>
  <c r="BO11" i="21"/>
  <c r="CP15" i="21"/>
  <c r="CX15" i="21" s="1"/>
  <c r="O6" i="21"/>
  <c r="CP16" i="21"/>
  <c r="CX16" i="21" s="1"/>
  <c r="CX5" i="21"/>
  <c r="BJ3" i="21"/>
  <c r="BL3" i="21"/>
  <c r="BH14" i="21"/>
  <c r="BM14" i="21"/>
  <c r="BL14" i="21"/>
  <c r="R15" i="16" s="1"/>
  <c r="G14" i="37" s="1"/>
  <c r="CD17" i="21"/>
  <c r="CD16" i="21"/>
  <c r="O14" i="21"/>
  <c r="BI3" i="21"/>
  <c r="BM4" i="21"/>
  <c r="BM6" i="21"/>
  <c r="S7" i="16" s="1"/>
  <c r="H6" i="37" s="1"/>
  <c r="BL6" i="21"/>
  <c r="BI14" i="21"/>
  <c r="AO18" i="21"/>
  <c r="O7" i="21"/>
  <c r="O11" i="21"/>
  <c r="BI5" i="21"/>
  <c r="BH10" i="21"/>
  <c r="BM10" i="21"/>
  <c r="BL10" i="21"/>
  <c r="R11" i="16" s="1"/>
  <c r="G10" i="37" s="1"/>
  <c r="BH17" i="21"/>
  <c r="BM17" i="21"/>
  <c r="BL17" i="21"/>
  <c r="CD19" i="21"/>
  <c r="M18" i="21"/>
  <c r="BK18" i="21" s="1"/>
  <c r="O15" i="21"/>
  <c r="O3" i="21"/>
  <c r="BM3" i="21"/>
  <c r="S4" i="16" s="1"/>
  <c r="H3" i="37" s="1"/>
  <c r="BI6" i="21"/>
  <c r="BH4" i="21"/>
  <c r="BH5" i="21"/>
  <c r="BM8" i="21"/>
  <c r="BL8" i="21"/>
  <c r="BH8" i="21"/>
  <c r="O17" i="21"/>
  <c r="O4" i="21"/>
  <c r="BH3" i="21"/>
  <c r="BI4" i="21"/>
  <c r="O5" i="16" s="1"/>
  <c r="D4" i="37" s="1"/>
  <c r="CX17" i="21"/>
  <c r="CE17" i="21"/>
  <c r="CE13" i="21"/>
  <c r="CE9" i="21"/>
  <c r="CE16" i="21"/>
  <c r="CE12" i="21"/>
  <c r="CE15" i="21"/>
  <c r="CE11" i="21"/>
  <c r="CE7" i="21"/>
  <c r="BH12" i="21"/>
  <c r="BH16" i="21"/>
  <c r="CE19" i="21"/>
  <c r="BI8" i="21"/>
  <c r="BI12" i="21"/>
  <c r="CX14" i="21"/>
  <c r="BI16" i="21"/>
  <c r="BH9" i="21"/>
  <c r="BH13" i="21"/>
  <c r="N14" i="16" s="1"/>
  <c r="C13" i="37" s="1"/>
  <c r="O5" i="21"/>
  <c r="O8" i="21"/>
  <c r="O12" i="21"/>
  <c r="O16" i="21"/>
  <c r="S18" i="21"/>
  <c r="BQ6" i="21" s="1"/>
  <c r="AU18" i="21"/>
  <c r="BO17" i="21"/>
  <c r="CP19" i="21"/>
  <c r="CX19" i="21" s="1"/>
  <c r="CP20" i="21"/>
  <c r="BL12" i="21"/>
  <c r="BL16" i="21"/>
  <c r="BP17" i="21"/>
  <c r="CA19" i="21"/>
  <c r="O9" i="21"/>
  <c r="O13" i="21"/>
  <c r="S8" i="16"/>
  <c r="H7" i="37" s="1"/>
  <c r="R14" i="16"/>
  <c r="G13" i="37" s="1"/>
  <c r="N7" i="16"/>
  <c r="C6" i="37" s="1"/>
  <c r="CR19" i="46" l="1"/>
  <c r="CW19" i="46"/>
  <c r="BZ7" i="46"/>
  <c r="CC7" i="46"/>
  <c r="CF7" i="46" s="1"/>
  <c r="BZ20" i="46"/>
  <c r="CC20" i="46"/>
  <c r="CF20" i="46" s="1"/>
  <c r="CR5" i="46"/>
  <c r="CS5" i="46" s="1"/>
  <c r="CW5" i="46"/>
  <c r="CZ5" i="46" s="1"/>
  <c r="BZ6" i="46"/>
  <c r="CC6" i="46"/>
  <c r="CF6" i="46" s="1"/>
  <c r="BZ11" i="46"/>
  <c r="CC11" i="46"/>
  <c r="CF11" i="46" s="1"/>
  <c r="CW13" i="46"/>
  <c r="CZ13" i="46" s="1"/>
  <c r="CR13" i="46"/>
  <c r="CS13" i="46" s="1"/>
  <c r="BZ10" i="46"/>
  <c r="CC10" i="46"/>
  <c r="CF10" i="46" s="1"/>
  <c r="BZ15" i="46"/>
  <c r="CC15" i="46"/>
  <c r="CF15" i="46" s="1"/>
  <c r="CW10" i="46"/>
  <c r="CZ10" i="46" s="1"/>
  <c r="CR10" i="46"/>
  <c r="CS10" i="46" s="1"/>
  <c r="CR20" i="46"/>
  <c r="CW20" i="46"/>
  <c r="BZ14" i="46"/>
  <c r="CC14" i="46"/>
  <c r="CF14" i="46" s="1"/>
  <c r="BZ19" i="46"/>
  <c r="CC19" i="46"/>
  <c r="CF19" i="46" s="1"/>
  <c r="CR8" i="46"/>
  <c r="CS8" i="46" s="1"/>
  <c r="CW8" i="46"/>
  <c r="CZ8" i="46" s="1"/>
  <c r="CM20" i="46"/>
  <c r="CW6" i="46"/>
  <c r="CR6" i="46"/>
  <c r="CW18" i="46"/>
  <c r="CZ18" i="46" s="1"/>
  <c r="CR18" i="46"/>
  <c r="CS18" i="46" s="1"/>
  <c r="CW17" i="46"/>
  <c r="CZ17" i="46" s="1"/>
  <c r="CR17" i="46"/>
  <c r="CS17" i="46" s="1"/>
  <c r="BZ18" i="46"/>
  <c r="CC18" i="46"/>
  <c r="CF18" i="46" s="1"/>
  <c r="BZ5" i="46"/>
  <c r="CC5" i="46"/>
  <c r="CF5" i="46" s="1"/>
  <c r="CR12" i="46"/>
  <c r="CS12" i="46" s="1"/>
  <c r="CW12" i="46"/>
  <c r="CZ12" i="46" s="1"/>
  <c r="CR11" i="46"/>
  <c r="CW11" i="46"/>
  <c r="CM6" i="46"/>
  <c r="CR15" i="46"/>
  <c r="CW15" i="46"/>
  <c r="BZ9" i="46"/>
  <c r="CC9" i="46"/>
  <c r="CF9" i="46" s="1"/>
  <c r="BZ8" i="46"/>
  <c r="CC8" i="46"/>
  <c r="CF8" i="46" s="1"/>
  <c r="CR16" i="46"/>
  <c r="CS16" i="46" s="1"/>
  <c r="CW16" i="46"/>
  <c r="CZ16" i="46" s="1"/>
  <c r="CM11" i="46"/>
  <c r="CM19" i="46"/>
  <c r="CW9" i="46"/>
  <c r="CZ9" i="46" s="1"/>
  <c r="CR9" i="46"/>
  <c r="CS9" i="46" s="1"/>
  <c r="CW14" i="46"/>
  <c r="CZ14" i="46" s="1"/>
  <c r="CR14" i="46"/>
  <c r="CS14" i="46" s="1"/>
  <c r="CM15" i="46"/>
  <c r="BZ13" i="46"/>
  <c r="CC13" i="46"/>
  <c r="CF13" i="46" s="1"/>
  <c r="BZ12" i="46"/>
  <c r="CC12" i="46"/>
  <c r="CF12" i="46" s="1"/>
  <c r="CR7" i="46"/>
  <c r="CS7" i="46" s="1"/>
  <c r="CW7" i="46"/>
  <c r="CZ7" i="46" s="1"/>
  <c r="BZ17" i="46"/>
  <c r="CC17" i="46"/>
  <c r="CF17" i="46" s="1"/>
  <c r="BZ16" i="46"/>
  <c r="CC16" i="46"/>
  <c r="CF16" i="46" s="1"/>
  <c r="CW13" i="45"/>
  <c r="CZ13" i="45" s="1"/>
  <c r="CR13" i="45"/>
  <c r="CS13" i="45" s="1"/>
  <c r="BZ11" i="45"/>
  <c r="CC11" i="45"/>
  <c r="CF11" i="45" s="1"/>
  <c r="BZ8" i="45"/>
  <c r="CC8" i="45"/>
  <c r="CF8" i="45" s="1"/>
  <c r="CR15" i="45"/>
  <c r="CW15" i="45"/>
  <c r="CR11" i="45"/>
  <c r="CS11" i="45" s="1"/>
  <c r="CW11" i="45"/>
  <c r="CZ11" i="45" s="1"/>
  <c r="BZ15" i="45"/>
  <c r="CC15" i="45"/>
  <c r="CF15" i="45" s="1"/>
  <c r="BZ12" i="45"/>
  <c r="CC12" i="45"/>
  <c r="CF12" i="45" s="1"/>
  <c r="CW17" i="45"/>
  <c r="CZ17" i="45" s="1"/>
  <c r="CR17" i="45"/>
  <c r="CS17" i="45" s="1"/>
  <c r="CW14" i="45"/>
  <c r="CZ14" i="45" s="1"/>
  <c r="CR14" i="45"/>
  <c r="CS14" i="45" s="1"/>
  <c r="CR12" i="45"/>
  <c r="CS12" i="45" s="1"/>
  <c r="CW12" i="45"/>
  <c r="CZ12" i="45" s="1"/>
  <c r="CM15" i="45"/>
  <c r="BZ18" i="45"/>
  <c r="CC18" i="45"/>
  <c r="CF18" i="45" s="1"/>
  <c r="BZ16" i="45"/>
  <c r="CC16" i="45"/>
  <c r="CF16" i="45" s="1"/>
  <c r="CW7" i="45"/>
  <c r="CR7" i="45"/>
  <c r="CW10" i="45"/>
  <c r="CR10" i="45"/>
  <c r="CW6" i="45"/>
  <c r="CZ6" i="45" s="1"/>
  <c r="CR6" i="45"/>
  <c r="CS6" i="45" s="1"/>
  <c r="BZ19" i="45"/>
  <c r="CC19" i="45"/>
  <c r="CF19" i="45" s="1"/>
  <c r="BZ20" i="45"/>
  <c r="CC20" i="45"/>
  <c r="CF20" i="45" s="1"/>
  <c r="CW9" i="45"/>
  <c r="CZ9" i="45" s="1"/>
  <c r="CR9" i="45"/>
  <c r="CS9" i="45" s="1"/>
  <c r="CM7" i="45"/>
  <c r="CM10" i="45"/>
  <c r="CR8" i="45"/>
  <c r="CS8" i="45" s="1"/>
  <c r="CW8" i="45"/>
  <c r="CZ8" i="45" s="1"/>
  <c r="BZ7" i="45"/>
  <c r="CC7" i="45"/>
  <c r="CF7" i="45" s="1"/>
  <c r="BZ6" i="45"/>
  <c r="CC6" i="45"/>
  <c r="CF6" i="45" s="1"/>
  <c r="CR5" i="45"/>
  <c r="CS5" i="45" s="1"/>
  <c r="CW5" i="45"/>
  <c r="CZ5" i="45" s="1"/>
  <c r="BZ9" i="45"/>
  <c r="CC9" i="45"/>
  <c r="CF9" i="45" s="1"/>
  <c r="BZ10" i="45"/>
  <c r="CC10" i="45"/>
  <c r="CF10" i="45" s="1"/>
  <c r="CR19" i="45"/>
  <c r="CS19" i="45" s="1"/>
  <c r="CW19" i="45"/>
  <c r="CZ19" i="45" s="1"/>
  <c r="CR16" i="45"/>
  <c r="CS16" i="45" s="1"/>
  <c r="CW16" i="45"/>
  <c r="CZ16" i="45" s="1"/>
  <c r="BZ13" i="45"/>
  <c r="CC13" i="45"/>
  <c r="CF13" i="45" s="1"/>
  <c r="BZ14" i="45"/>
  <c r="CC14" i="45"/>
  <c r="CF14" i="45" s="1"/>
  <c r="CW18" i="45"/>
  <c r="CZ18" i="45" s="1"/>
  <c r="CR18" i="45"/>
  <c r="CS18" i="45" s="1"/>
  <c r="BZ17" i="45"/>
  <c r="CC17" i="45"/>
  <c r="CF17" i="45" s="1"/>
  <c r="BZ5" i="45"/>
  <c r="CC5" i="45"/>
  <c r="CF5" i="45" s="1"/>
  <c r="CR20" i="45"/>
  <c r="CS20" i="45" s="1"/>
  <c r="CW20" i="45"/>
  <c r="CZ20" i="45" s="1"/>
  <c r="CG11" i="44"/>
  <c r="CH11" i="44" s="1"/>
  <c r="BR9" i="44" s="1"/>
  <c r="CG17" i="44"/>
  <c r="CH17" i="44" s="1"/>
  <c r="BR15" i="44" s="1"/>
  <c r="CG8" i="44"/>
  <c r="CH8" i="44" s="1"/>
  <c r="BR6" i="44" s="1"/>
  <c r="CG16" i="44"/>
  <c r="CH16" i="44" s="1"/>
  <c r="BR14" i="44" s="1"/>
  <c r="CG19" i="44"/>
  <c r="CH19" i="44" s="1"/>
  <c r="CG20" i="44"/>
  <c r="CH20" i="44" s="1"/>
  <c r="BR17" i="44" s="1"/>
  <c r="CG13" i="44"/>
  <c r="CH13" i="44" s="1"/>
  <c r="BR11" i="44" s="1"/>
  <c r="CG18" i="44"/>
  <c r="CH18" i="44" s="1"/>
  <c r="BR16" i="44" s="1"/>
  <c r="CW6" i="44"/>
  <c r="CR6" i="44"/>
  <c r="CW7" i="44"/>
  <c r="CR7" i="44"/>
  <c r="CR16" i="44"/>
  <c r="CS16" i="44" s="1"/>
  <c r="CW16" i="44"/>
  <c r="CZ16" i="44" s="1"/>
  <c r="CR15" i="44"/>
  <c r="CS15" i="44" s="1"/>
  <c r="CW15" i="44"/>
  <c r="CZ15" i="44" s="1"/>
  <c r="CM6" i="44"/>
  <c r="CW14" i="44"/>
  <c r="CZ14" i="44" s="1"/>
  <c r="CR14" i="44"/>
  <c r="CS14" i="44" s="1"/>
  <c r="CG5" i="44"/>
  <c r="CH5" i="44" s="1"/>
  <c r="BR3" i="44" s="1"/>
  <c r="CM7" i="44"/>
  <c r="CR8" i="44"/>
  <c r="CS8" i="44" s="1"/>
  <c r="CW8" i="44"/>
  <c r="CZ8" i="44" s="1"/>
  <c r="CW10" i="44"/>
  <c r="CR10" i="44"/>
  <c r="CG10" i="44"/>
  <c r="CH10" i="44" s="1"/>
  <c r="BR8" i="44" s="1"/>
  <c r="CG12" i="44"/>
  <c r="CH12" i="44" s="1"/>
  <c r="BR10" i="44" s="1"/>
  <c r="CW18" i="44"/>
  <c r="CZ18" i="44" s="1"/>
  <c r="CR18" i="44"/>
  <c r="CS18" i="44" s="1"/>
  <c r="CG9" i="44"/>
  <c r="CH9" i="44" s="1"/>
  <c r="CM10" i="44"/>
  <c r="CG14" i="44"/>
  <c r="CH14" i="44" s="1"/>
  <c r="BR12" i="44" s="1"/>
  <c r="CR20" i="44"/>
  <c r="CW20" i="44"/>
  <c r="CR19" i="44"/>
  <c r="CS19" i="44" s="1"/>
  <c r="CW19" i="44"/>
  <c r="CZ19" i="44" s="1"/>
  <c r="CW13" i="44"/>
  <c r="CZ13" i="44" s="1"/>
  <c r="CR13" i="44"/>
  <c r="CS13" i="44" s="1"/>
  <c r="CG7" i="44"/>
  <c r="CH7" i="44" s="1"/>
  <c r="BR5" i="44" s="1"/>
  <c r="CG6" i="44"/>
  <c r="CH6" i="44" s="1"/>
  <c r="BR4" i="44" s="1"/>
  <c r="CG15" i="44"/>
  <c r="CH15" i="44" s="1"/>
  <c r="BR13" i="44" s="1"/>
  <c r="CW17" i="44"/>
  <c r="CZ17" i="44" s="1"/>
  <c r="CR17" i="44"/>
  <c r="CS17" i="44" s="1"/>
  <c r="CM20" i="44"/>
  <c r="CR12" i="44"/>
  <c r="CS12" i="44" s="1"/>
  <c r="CW12" i="44"/>
  <c r="CZ12" i="44" s="1"/>
  <c r="CW11" i="44"/>
  <c r="CZ11" i="44" s="1"/>
  <c r="CR11" i="44"/>
  <c r="CS11" i="44" s="1"/>
  <c r="CW9" i="44"/>
  <c r="CZ9" i="44" s="1"/>
  <c r="CR9" i="44"/>
  <c r="CS9" i="44" s="1"/>
  <c r="CR5" i="44"/>
  <c r="CS5" i="44" s="1"/>
  <c r="CW5" i="44"/>
  <c r="CZ5" i="44" s="1"/>
  <c r="CG6" i="43"/>
  <c r="CH6" i="43" s="1"/>
  <c r="BR4" i="43" s="1"/>
  <c r="CG18" i="43"/>
  <c r="CH18" i="43" s="1"/>
  <c r="BR16" i="43" s="1"/>
  <c r="CG20" i="43"/>
  <c r="CH20" i="43" s="1"/>
  <c r="BR17" i="43" s="1"/>
  <c r="CG5" i="43"/>
  <c r="CH5" i="43" s="1"/>
  <c r="BR3" i="43" s="1"/>
  <c r="CG9" i="43"/>
  <c r="CH9" i="43" s="1"/>
  <c r="BR7" i="43" s="1"/>
  <c r="CG12" i="43"/>
  <c r="CH12" i="43" s="1"/>
  <c r="BR10" i="43" s="1"/>
  <c r="CG19" i="43"/>
  <c r="CH19" i="43" s="1"/>
  <c r="CG14" i="43"/>
  <c r="CH14" i="43" s="1"/>
  <c r="BR12" i="43" s="1"/>
  <c r="CW13" i="43"/>
  <c r="CZ13" i="43" s="1"/>
  <c r="CR13" i="43"/>
  <c r="CS13" i="43" s="1"/>
  <c r="CR16" i="43"/>
  <c r="CS16" i="43" s="1"/>
  <c r="CW16" i="43"/>
  <c r="CZ16" i="43" s="1"/>
  <c r="CG13" i="43"/>
  <c r="CH13" i="43" s="1"/>
  <c r="BR11" i="43" s="1"/>
  <c r="CG11" i="43"/>
  <c r="CH11" i="43" s="1"/>
  <c r="BR9" i="43" s="1"/>
  <c r="CG16" i="43"/>
  <c r="CH16" i="43" s="1"/>
  <c r="BR14" i="43" s="1"/>
  <c r="CR20" i="43"/>
  <c r="CS20" i="43" s="1"/>
  <c r="CW20" i="43"/>
  <c r="CZ20" i="43" s="1"/>
  <c r="CG10" i="43"/>
  <c r="CH10" i="43" s="1"/>
  <c r="BR8" i="43" s="1"/>
  <c r="CG15" i="43"/>
  <c r="CH15" i="43" s="1"/>
  <c r="BR13" i="43" s="1"/>
  <c r="CR5" i="43"/>
  <c r="CS5" i="43" s="1"/>
  <c r="CW5" i="43"/>
  <c r="CZ5" i="43" s="1"/>
  <c r="CW6" i="43"/>
  <c r="CZ6" i="43" s="1"/>
  <c r="CR6" i="43"/>
  <c r="CS6" i="43" s="1"/>
  <c r="CG7" i="43"/>
  <c r="CH7" i="43" s="1"/>
  <c r="BR5" i="43" s="1"/>
  <c r="CW10" i="43"/>
  <c r="CR10" i="43"/>
  <c r="CM10" i="43"/>
  <c r="CW14" i="43"/>
  <c r="CR14" i="43"/>
  <c r="CW17" i="43"/>
  <c r="CZ17" i="43" s="1"/>
  <c r="CR17" i="43"/>
  <c r="CS17" i="43" s="1"/>
  <c r="CR11" i="43"/>
  <c r="CS11" i="43" s="1"/>
  <c r="CW11" i="43"/>
  <c r="CZ11" i="43" s="1"/>
  <c r="CG8" i="43"/>
  <c r="CH8" i="43" s="1"/>
  <c r="BR6" i="43" s="1"/>
  <c r="CW9" i="43"/>
  <c r="CZ9" i="43" s="1"/>
  <c r="CR9" i="43"/>
  <c r="CS9" i="43" s="1"/>
  <c r="CM14" i="43"/>
  <c r="CG17" i="43"/>
  <c r="CH17" i="43" s="1"/>
  <c r="BR15" i="43" s="1"/>
  <c r="CR8" i="43"/>
  <c r="CS8" i="43" s="1"/>
  <c r="CW8" i="43"/>
  <c r="CZ8" i="43" s="1"/>
  <c r="CR7" i="43"/>
  <c r="CS7" i="43" s="1"/>
  <c r="CW7" i="43"/>
  <c r="CZ7" i="43" s="1"/>
  <c r="CR19" i="43"/>
  <c r="CS19" i="43" s="1"/>
  <c r="CW19" i="43"/>
  <c r="CZ19" i="43" s="1"/>
  <c r="CR15" i="43"/>
  <c r="CS15" i="43" s="1"/>
  <c r="CW15" i="43"/>
  <c r="CZ15" i="43" s="1"/>
  <c r="CR12" i="43"/>
  <c r="CS12" i="43" s="1"/>
  <c r="CW12" i="43"/>
  <c r="CZ12" i="43" s="1"/>
  <c r="CW18" i="43"/>
  <c r="CZ18" i="43" s="1"/>
  <c r="CR18" i="43"/>
  <c r="CS18" i="43" s="1"/>
  <c r="S18" i="16"/>
  <c r="H17" i="37" s="1"/>
  <c r="BQ10" i="21"/>
  <c r="BQ13" i="21"/>
  <c r="BQ16" i="21"/>
  <c r="N18" i="39"/>
  <c r="O12" i="16"/>
  <c r="D11" i="37" s="1"/>
  <c r="BJ14" i="21"/>
  <c r="BJ6" i="21"/>
  <c r="BJ16" i="21"/>
  <c r="BJ7" i="21"/>
  <c r="BH18" i="21"/>
  <c r="N19" i="16" s="1"/>
  <c r="C18" i="37" s="1"/>
  <c r="BJ12" i="21"/>
  <c r="BJ17" i="21"/>
  <c r="BL18" i="21"/>
  <c r="R19" i="16" s="1"/>
  <c r="G18" i="37" s="1"/>
  <c r="BJ15" i="21"/>
  <c r="BJ10" i="21"/>
  <c r="BJ8" i="21"/>
  <c r="BJ9" i="21"/>
  <c r="BJ5" i="21"/>
  <c r="BJ4" i="21"/>
  <c r="BJ11" i="21"/>
  <c r="BJ13" i="21"/>
  <c r="CU11" i="21"/>
  <c r="CU13" i="21"/>
  <c r="CU14" i="21"/>
  <c r="CU10" i="21"/>
  <c r="CD7" i="21"/>
  <c r="CD9" i="21"/>
  <c r="CU15" i="21"/>
  <c r="CU17" i="21"/>
  <c r="O18" i="39"/>
  <c r="CD11" i="21"/>
  <c r="CU5" i="21"/>
  <c r="CD13" i="21"/>
  <c r="CU19" i="21"/>
  <c r="CU20" i="21"/>
  <c r="BQ17" i="21"/>
  <c r="CD20" i="21"/>
  <c r="CD6" i="21"/>
  <c r="CU8" i="21"/>
  <c r="R18" i="16"/>
  <c r="G17" i="37" s="1"/>
  <c r="CD15" i="21"/>
  <c r="CD5" i="21"/>
  <c r="CD10" i="21"/>
  <c r="CU12" i="21"/>
  <c r="CU18" i="21"/>
  <c r="CD8" i="21"/>
  <c r="CD14" i="21"/>
  <c r="CU16" i="21"/>
  <c r="BU12" i="21"/>
  <c r="BI18" i="21"/>
  <c r="O19" i="16" s="1"/>
  <c r="D18" i="37" s="1"/>
  <c r="CU6" i="21"/>
  <c r="CD18" i="21"/>
  <c r="CU7" i="21"/>
  <c r="CU9" i="21"/>
  <c r="BZ8" i="42"/>
  <c r="CC8" i="42"/>
  <c r="CF8" i="42" s="1"/>
  <c r="CW17" i="42"/>
  <c r="CR17" i="42"/>
  <c r="BZ12" i="42"/>
  <c r="CC12" i="42"/>
  <c r="CF12" i="42" s="1"/>
  <c r="BZ20" i="42"/>
  <c r="CC20" i="42"/>
  <c r="CF20" i="42" s="1"/>
  <c r="CM17" i="42"/>
  <c r="CR20" i="42"/>
  <c r="CW20" i="42"/>
  <c r="CZ20" i="42" s="1"/>
  <c r="CW6" i="42"/>
  <c r="CZ6" i="42" s="1"/>
  <c r="CR6" i="42"/>
  <c r="CS6" i="42" s="1"/>
  <c r="BZ6" i="42"/>
  <c r="CC6" i="42"/>
  <c r="CF6" i="42" s="1"/>
  <c r="BZ16" i="42"/>
  <c r="CC16" i="42"/>
  <c r="CF16" i="42" s="1"/>
  <c r="CW14" i="42"/>
  <c r="CZ14" i="42" s="1"/>
  <c r="CR14" i="42"/>
  <c r="CS14" i="42" s="1"/>
  <c r="CW18" i="42"/>
  <c r="CZ18" i="42" s="1"/>
  <c r="CR18" i="42"/>
  <c r="CS18" i="42" s="1"/>
  <c r="CW19" i="42"/>
  <c r="CZ19" i="42" s="1"/>
  <c r="CR19" i="42"/>
  <c r="CS19" i="42" s="1"/>
  <c r="CR11" i="42"/>
  <c r="CS11" i="42" s="1"/>
  <c r="CW11" i="42"/>
  <c r="CZ11" i="42" s="1"/>
  <c r="CW9" i="42"/>
  <c r="CZ9" i="42" s="1"/>
  <c r="CR9" i="42"/>
  <c r="CS9" i="42" s="1"/>
  <c r="BZ18" i="42"/>
  <c r="CC18" i="42"/>
  <c r="CF18" i="42" s="1"/>
  <c r="BZ14" i="42"/>
  <c r="CC14" i="42"/>
  <c r="CF14" i="42" s="1"/>
  <c r="BZ13" i="42"/>
  <c r="CC13" i="42"/>
  <c r="CF13" i="42" s="1"/>
  <c r="CW10" i="42"/>
  <c r="CZ10" i="42" s="1"/>
  <c r="CR10" i="42"/>
  <c r="CS10" i="42" s="1"/>
  <c r="CW5" i="42"/>
  <c r="CZ5" i="42" s="1"/>
  <c r="CR5" i="42"/>
  <c r="CS5" i="42" s="1"/>
  <c r="CS20" i="42"/>
  <c r="BZ9" i="42"/>
  <c r="CC9" i="42"/>
  <c r="CF9" i="42" s="1"/>
  <c r="BZ10" i="42"/>
  <c r="CC10" i="42"/>
  <c r="CF10" i="42" s="1"/>
  <c r="BZ17" i="42"/>
  <c r="CC17" i="42"/>
  <c r="CF17" i="42" s="1"/>
  <c r="CR15" i="42"/>
  <c r="CS15" i="42" s="1"/>
  <c r="CW15" i="42"/>
  <c r="CZ15" i="42" s="1"/>
  <c r="CW8" i="42"/>
  <c r="CZ8" i="42" s="1"/>
  <c r="CR8" i="42"/>
  <c r="CS8" i="42" s="1"/>
  <c r="CR7" i="42"/>
  <c r="CS7" i="42" s="1"/>
  <c r="CW7" i="42"/>
  <c r="CZ7" i="42" s="1"/>
  <c r="CW13" i="42"/>
  <c r="CR13" i="42"/>
  <c r="BZ19" i="42"/>
  <c r="CC19" i="42"/>
  <c r="CF19" i="42" s="1"/>
  <c r="BZ7" i="42"/>
  <c r="CC7" i="42"/>
  <c r="CF7" i="42" s="1"/>
  <c r="CM13" i="42"/>
  <c r="BZ15" i="42"/>
  <c r="CC15" i="42"/>
  <c r="CF15" i="42" s="1"/>
  <c r="BZ5" i="42"/>
  <c r="CC5" i="42"/>
  <c r="CF5" i="42" s="1"/>
  <c r="BZ11" i="42"/>
  <c r="CC11" i="42"/>
  <c r="CF11" i="42" s="1"/>
  <c r="CW12" i="42"/>
  <c r="CZ12" i="42" s="1"/>
  <c r="CR12" i="42"/>
  <c r="CS12" i="42" s="1"/>
  <c r="CW16" i="42"/>
  <c r="CZ16" i="42" s="1"/>
  <c r="CR16" i="42"/>
  <c r="CS16" i="42" s="1"/>
  <c r="AB7" i="16"/>
  <c r="Q6" i="37" s="1"/>
  <c r="AB8" i="16"/>
  <c r="Q7" i="37" s="1"/>
  <c r="AB11" i="16"/>
  <c r="Q10" i="37" s="1"/>
  <c r="AB5" i="16"/>
  <c r="Q4" i="37" s="1"/>
  <c r="AB9" i="16"/>
  <c r="Q8" i="37" s="1"/>
  <c r="AB13" i="16"/>
  <c r="Q12" i="37" s="1"/>
  <c r="AB17" i="16"/>
  <c r="Q16" i="37" s="1"/>
  <c r="AB6" i="16"/>
  <c r="Q5" i="37" s="1"/>
  <c r="AB16" i="16"/>
  <c r="Q15" i="37" s="1"/>
  <c r="U15" i="16"/>
  <c r="J14" i="37" s="1"/>
  <c r="U16" i="16"/>
  <c r="J15" i="37" s="1"/>
  <c r="S10" i="16"/>
  <c r="H9" i="37" s="1"/>
  <c r="AB10" i="16"/>
  <c r="Q9" i="37" s="1"/>
  <c r="S12" i="16"/>
  <c r="H11" i="37" s="1"/>
  <c r="S16" i="16"/>
  <c r="H15" i="37" s="1"/>
  <c r="AB12" i="16"/>
  <c r="Q11" i="37" s="1"/>
  <c r="N15" i="16"/>
  <c r="C14" i="37" s="1"/>
  <c r="N16" i="16"/>
  <c r="C15" i="37" s="1"/>
  <c r="AB19" i="16"/>
  <c r="Q18" i="37" s="1"/>
  <c r="N18" i="16"/>
  <c r="C17" i="37" s="1"/>
  <c r="U17" i="16"/>
  <c r="J16" i="37" s="1"/>
  <c r="U14" i="16"/>
  <c r="J13" i="37" s="1"/>
  <c r="O15" i="16"/>
  <c r="D14" i="37" s="1"/>
  <c r="S14" i="16"/>
  <c r="H13" i="37" s="1"/>
  <c r="R10" i="16"/>
  <c r="G9" i="37" s="1"/>
  <c r="U19" i="16"/>
  <c r="J18" i="37" s="1"/>
  <c r="S19" i="16"/>
  <c r="H18" i="37" s="1"/>
  <c r="O9" i="16"/>
  <c r="D8" i="37" s="1"/>
  <c r="N4" i="16"/>
  <c r="C3" i="37" s="1"/>
  <c r="R9" i="16"/>
  <c r="G8" i="37" s="1"/>
  <c r="S15" i="16"/>
  <c r="H14" i="37" s="1"/>
  <c r="U12" i="16"/>
  <c r="J11" i="37" s="1"/>
  <c r="U13" i="16"/>
  <c r="J12" i="37" s="1"/>
  <c r="R8" i="16"/>
  <c r="G7" i="37" s="1"/>
  <c r="N8" i="16"/>
  <c r="C7" i="37" s="1"/>
  <c r="R16" i="16"/>
  <c r="G15" i="37" s="1"/>
  <c r="O14" i="16"/>
  <c r="D13" i="37" s="1"/>
  <c r="S9" i="16"/>
  <c r="H8" i="37" s="1"/>
  <c r="O6" i="16"/>
  <c r="D5" i="37" s="1"/>
  <c r="U10" i="16"/>
  <c r="J9" i="37" s="1"/>
  <c r="U11" i="16"/>
  <c r="J10" i="37" s="1"/>
  <c r="S6" i="16"/>
  <c r="H5" i="37" s="1"/>
  <c r="N12" i="16"/>
  <c r="C11" i="37" s="1"/>
  <c r="O10" i="16"/>
  <c r="D9" i="37" s="1"/>
  <c r="O18" i="16"/>
  <c r="D17" i="37" s="1"/>
  <c r="O13" i="16"/>
  <c r="D12" i="37" s="1"/>
  <c r="S5" i="16"/>
  <c r="H4" i="37" s="1"/>
  <c r="R4" i="16"/>
  <c r="G3" i="37" s="1"/>
  <c r="U9" i="16"/>
  <c r="J8" i="37" s="1"/>
  <c r="U4" i="16"/>
  <c r="J3" i="37" s="1"/>
  <c r="AB15" i="16"/>
  <c r="Q14" i="37" s="1"/>
  <c r="AB18" i="16"/>
  <c r="Q17" i="37" s="1"/>
  <c r="N6" i="16"/>
  <c r="C5" i="37" s="1"/>
  <c r="AB14" i="16"/>
  <c r="Q13" i="37" s="1"/>
  <c r="N5" i="16"/>
  <c r="C4" i="37" s="1"/>
  <c r="O4" i="16"/>
  <c r="D3" i="37" s="1"/>
  <c r="U8" i="16"/>
  <c r="J7" i="37" s="1"/>
  <c r="U7" i="16"/>
  <c r="J6" i="37" s="1"/>
  <c r="N10" i="16"/>
  <c r="C9" i="37" s="1"/>
  <c r="N17" i="16"/>
  <c r="C16" i="37" s="1"/>
  <c r="R13" i="16"/>
  <c r="G12" i="37" s="1"/>
  <c r="O7" i="16"/>
  <c r="D6" i="37" s="1"/>
  <c r="S11" i="16"/>
  <c r="H10" i="37" s="1"/>
  <c r="AB4" i="16"/>
  <c r="Q3" i="37" s="1"/>
  <c r="U6" i="16"/>
  <c r="J5" i="37" s="1"/>
  <c r="U18" i="16"/>
  <c r="J17" i="37" s="1"/>
  <c r="O11" i="16"/>
  <c r="D10" i="37" s="1"/>
  <c r="R17" i="16"/>
  <c r="G16" i="37" s="1"/>
  <c r="O17" i="16"/>
  <c r="D16" i="37" s="1"/>
  <c r="N13" i="16"/>
  <c r="C12" i="37" s="1"/>
  <c r="N9" i="16"/>
  <c r="C8" i="37" s="1"/>
  <c r="N11" i="16"/>
  <c r="C10" i="37" s="1"/>
  <c r="R7" i="16"/>
  <c r="G6" i="37" s="1"/>
  <c r="U5" i="16"/>
  <c r="J4" i="37" s="1"/>
  <c r="O8" i="16"/>
  <c r="D7" i="37" s="1"/>
  <c r="R12" i="16"/>
  <c r="G11" i="37" s="1"/>
  <c r="O16" i="16"/>
  <c r="D15" i="37" s="1"/>
  <c r="BU10" i="19"/>
  <c r="BU18" i="19"/>
  <c r="BU12" i="19"/>
  <c r="BJ15" i="19"/>
  <c r="CU18" i="19"/>
  <c r="BJ13" i="19"/>
  <c r="BQ5" i="19"/>
  <c r="BQ12" i="19"/>
  <c r="BJ7" i="19"/>
  <c r="BQ7" i="19"/>
  <c r="BQ4" i="19"/>
  <c r="BQ3" i="19"/>
  <c r="BQ9" i="21"/>
  <c r="BU9" i="21"/>
  <c r="BU6" i="21"/>
  <c r="BU11" i="19"/>
  <c r="CU14" i="19"/>
  <c r="CL18" i="19"/>
  <c r="BK17" i="19"/>
  <c r="CN17" i="19"/>
  <c r="CL14" i="19"/>
  <c r="BK13" i="19"/>
  <c r="CN13" i="19"/>
  <c r="CL10" i="19"/>
  <c r="BK9" i="19"/>
  <c r="CN9" i="19"/>
  <c r="CL6" i="19"/>
  <c r="BK5" i="19"/>
  <c r="CK18" i="19"/>
  <c r="CK14" i="19"/>
  <c r="CK10" i="19"/>
  <c r="CL17" i="19"/>
  <c r="BK16" i="19"/>
  <c r="CN16" i="19"/>
  <c r="CL13" i="19"/>
  <c r="BK12" i="19"/>
  <c r="CN12" i="19"/>
  <c r="CL9" i="19"/>
  <c r="BK8" i="19"/>
  <c r="CN8" i="19"/>
  <c r="CN5" i="19"/>
  <c r="CK17" i="19"/>
  <c r="CK13" i="19"/>
  <c r="CK9" i="19"/>
  <c r="CN20" i="19"/>
  <c r="CN19" i="19"/>
  <c r="CL16" i="19"/>
  <c r="BK15" i="19"/>
  <c r="CN15" i="19"/>
  <c r="CL12" i="19"/>
  <c r="BK11" i="19"/>
  <c r="CN11" i="19"/>
  <c r="CL8" i="19"/>
  <c r="BK7" i="19"/>
  <c r="CN7" i="19"/>
  <c r="CL5" i="19"/>
  <c r="BK4" i="19"/>
  <c r="CL20" i="19"/>
  <c r="CL19" i="19"/>
  <c r="BK18" i="19"/>
  <c r="O19" i="19"/>
  <c r="CN18" i="19"/>
  <c r="CL15" i="19"/>
  <c r="BK14" i="19"/>
  <c r="CN14" i="19"/>
  <c r="CL11" i="19"/>
  <c r="BK10" i="19"/>
  <c r="CN10" i="19"/>
  <c r="CL7" i="19"/>
  <c r="BK6" i="19"/>
  <c r="CN6" i="19"/>
  <c r="CK16" i="19"/>
  <c r="CK12" i="19"/>
  <c r="CK8" i="19"/>
  <c r="CK5" i="19"/>
  <c r="CK19" i="19"/>
  <c r="CK7" i="19"/>
  <c r="BK19" i="19"/>
  <c r="BK3" i="19"/>
  <c r="CK6" i="19"/>
  <c r="CK20" i="19"/>
  <c r="CK15" i="19"/>
  <c r="CK11" i="19"/>
  <c r="CU16" i="19"/>
  <c r="BJ10" i="19"/>
  <c r="BU13" i="19"/>
  <c r="BU9" i="19"/>
  <c r="BJ17" i="19"/>
  <c r="CU9" i="19"/>
  <c r="CU20" i="19"/>
  <c r="CI20" i="19"/>
  <c r="CI19" i="19"/>
  <c r="CI15" i="19"/>
  <c r="CI11" i="19"/>
  <c r="CI18" i="19"/>
  <c r="CI14" i="19"/>
  <c r="CI10" i="19"/>
  <c r="CI6" i="19"/>
  <c r="AQ19" i="19"/>
  <c r="CI16" i="19"/>
  <c r="CI12" i="19"/>
  <c r="CI8" i="19"/>
  <c r="CI5" i="19"/>
  <c r="CI7" i="19"/>
  <c r="CI17" i="19"/>
  <c r="CI13" i="19"/>
  <c r="CI9" i="19"/>
  <c r="BU16" i="19"/>
  <c r="CU11" i="19"/>
  <c r="BU6" i="19"/>
  <c r="CU19" i="19"/>
  <c r="BJ9" i="19"/>
  <c r="BU4" i="19"/>
  <c r="CU17" i="19"/>
  <c r="BM19" i="19"/>
  <c r="BJ3" i="19"/>
  <c r="CU15" i="19"/>
  <c r="BI19" i="19"/>
  <c r="BU8" i="19"/>
  <c r="BU7" i="19"/>
  <c r="CU5" i="19"/>
  <c r="BJ11" i="19"/>
  <c r="BH19" i="19"/>
  <c r="AB3" i="19"/>
  <c r="CU6" i="19"/>
  <c r="BU17" i="19"/>
  <c r="BU15" i="19"/>
  <c r="BJ6" i="19"/>
  <c r="CU8" i="19"/>
  <c r="BD3" i="19"/>
  <c r="CU7" i="19"/>
  <c r="CU10" i="19"/>
  <c r="CU12" i="19"/>
  <c r="BU3" i="19"/>
  <c r="BQ8" i="21"/>
  <c r="BQ5" i="21"/>
  <c r="BU8" i="21"/>
  <c r="BU11" i="21"/>
  <c r="CI20" i="21"/>
  <c r="CI19" i="21"/>
  <c r="CI15" i="21"/>
  <c r="CI11" i="21"/>
  <c r="CI7" i="21"/>
  <c r="CI18" i="21"/>
  <c r="CI14" i="21"/>
  <c r="CI10" i="21"/>
  <c r="CI17" i="21"/>
  <c r="CI13" i="21"/>
  <c r="CI9" i="21"/>
  <c r="CI8" i="21"/>
  <c r="CI6" i="21"/>
  <c r="CI16" i="21"/>
  <c r="AQ18" i="21"/>
  <c r="CI5" i="21"/>
  <c r="CI12" i="21"/>
  <c r="BU13" i="21"/>
  <c r="BU15" i="21"/>
  <c r="AB3" i="21"/>
  <c r="AB6" i="21" s="1"/>
  <c r="BU5" i="21"/>
  <c r="BQ3" i="21"/>
  <c r="CL18" i="21"/>
  <c r="CN17" i="21"/>
  <c r="CL14" i="21"/>
  <c r="BK13" i="21"/>
  <c r="CN13" i="21"/>
  <c r="CL10" i="21"/>
  <c r="BK9" i="21"/>
  <c r="CN9" i="21"/>
  <c r="CL6" i="21"/>
  <c r="BK5" i="21"/>
  <c r="CK18" i="21"/>
  <c r="CK14" i="21"/>
  <c r="CK10" i="21"/>
  <c r="CL17" i="21"/>
  <c r="BK16" i="21"/>
  <c r="CN16" i="21"/>
  <c r="CL13" i="21"/>
  <c r="BK12" i="21"/>
  <c r="CN12" i="21"/>
  <c r="CL9" i="21"/>
  <c r="BK8" i="21"/>
  <c r="CN8" i="21"/>
  <c r="CN5" i="21"/>
  <c r="CK17" i="21"/>
  <c r="CK13" i="21"/>
  <c r="CK9" i="21"/>
  <c r="CN20" i="21"/>
  <c r="CN19" i="21"/>
  <c r="CL16" i="21"/>
  <c r="BK15" i="21"/>
  <c r="CN15" i="21"/>
  <c r="CL12" i="21"/>
  <c r="BK11" i="21"/>
  <c r="CN11" i="21"/>
  <c r="CL8" i="21"/>
  <c r="BK7" i="21"/>
  <c r="CN7" i="21"/>
  <c r="CL5" i="21"/>
  <c r="BK4" i="21"/>
  <c r="CK16" i="21"/>
  <c r="CK12" i="21"/>
  <c r="CK8" i="21"/>
  <c r="CK5" i="21"/>
  <c r="CL19" i="21"/>
  <c r="CL15" i="21"/>
  <c r="CN6" i="21"/>
  <c r="CN10" i="21"/>
  <c r="CN14" i="21"/>
  <c r="CK19" i="21"/>
  <c r="CK15" i="21"/>
  <c r="BK6" i="21"/>
  <c r="BK3" i="21"/>
  <c r="CN18" i="21"/>
  <c r="CK6" i="21"/>
  <c r="BK14" i="21"/>
  <c r="O18" i="21"/>
  <c r="CK7" i="21"/>
  <c r="BK17" i="21"/>
  <c r="BK10" i="21"/>
  <c r="CL20" i="21"/>
  <c r="CL11" i="21"/>
  <c r="CK20" i="21"/>
  <c r="CK11" i="21"/>
  <c r="CL7" i="21"/>
  <c r="BU14" i="21"/>
  <c r="BU4" i="21"/>
  <c r="BQ18" i="21"/>
  <c r="BQ7" i="21"/>
  <c r="BQ4" i="21"/>
  <c r="BQ11" i="21"/>
  <c r="BQ15" i="21"/>
  <c r="BU17" i="21"/>
  <c r="BQ12" i="21"/>
  <c r="BU7" i="21"/>
  <c r="BD3" i="21"/>
  <c r="BU16" i="21"/>
  <c r="BU10" i="21"/>
  <c r="BU3" i="21"/>
  <c r="CX20" i="21"/>
  <c r="BQ14" i="21"/>
  <c r="CG19" i="46" l="1"/>
  <c r="CH19" i="46" s="1"/>
  <c r="CG6" i="46"/>
  <c r="CH6" i="46" s="1"/>
  <c r="BR4" i="46" s="1"/>
  <c r="CG14" i="46"/>
  <c r="CH14" i="46" s="1"/>
  <c r="BR12" i="46" s="1"/>
  <c r="CG13" i="46"/>
  <c r="CH13" i="46" s="1"/>
  <c r="BR11" i="46" s="1"/>
  <c r="CG11" i="46"/>
  <c r="CH11" i="46" s="1"/>
  <c r="BR9" i="46" s="1"/>
  <c r="CG7" i="46"/>
  <c r="CH7" i="46" s="1"/>
  <c r="BR5" i="46" s="1"/>
  <c r="CG9" i="46"/>
  <c r="CH9" i="46" s="1"/>
  <c r="BR7" i="46" s="1"/>
  <c r="CG12" i="46"/>
  <c r="CH12" i="46" s="1"/>
  <c r="BR10" i="46" s="1"/>
  <c r="BS12" i="46"/>
  <c r="BS7" i="46"/>
  <c r="BS10" i="46"/>
  <c r="BS8" i="46"/>
  <c r="BS11" i="46"/>
  <c r="BS14" i="46"/>
  <c r="BS15" i="46"/>
  <c r="BS6" i="46"/>
  <c r="BS16" i="46"/>
  <c r="CG16" i="46"/>
  <c r="CH16" i="46" s="1"/>
  <c r="BR14" i="46" s="1"/>
  <c r="CS11" i="46"/>
  <c r="CZ11" i="46"/>
  <c r="CG5" i="46"/>
  <c r="CH5" i="46" s="1"/>
  <c r="BR3" i="46" s="1"/>
  <c r="CG15" i="46"/>
  <c r="CH15" i="46" s="1"/>
  <c r="BR13" i="46" s="1"/>
  <c r="BS3" i="46"/>
  <c r="CG17" i="46"/>
  <c r="CH17" i="46" s="1"/>
  <c r="BR15" i="46" s="1"/>
  <c r="CZ15" i="46"/>
  <c r="CS15" i="46"/>
  <c r="CZ6" i="46"/>
  <c r="CS6" i="46"/>
  <c r="CG18" i="46"/>
  <c r="CH18" i="46" s="1"/>
  <c r="BR16" i="46" s="1"/>
  <c r="CZ20" i="46"/>
  <c r="CS20" i="46"/>
  <c r="CG10" i="46"/>
  <c r="CH10" i="46" s="1"/>
  <c r="BR8" i="46" s="1"/>
  <c r="BS5" i="46"/>
  <c r="CG8" i="46"/>
  <c r="CH8" i="46" s="1"/>
  <c r="BR6" i="46" s="1"/>
  <c r="CG20" i="46"/>
  <c r="CH20" i="46" s="1"/>
  <c r="BR17" i="46" s="1"/>
  <c r="CZ19" i="46"/>
  <c r="CS19" i="46"/>
  <c r="CG5" i="45"/>
  <c r="CH5" i="45" s="1"/>
  <c r="BR3" i="45" s="1"/>
  <c r="M67" i="37" s="1"/>
  <c r="CG13" i="45"/>
  <c r="CH13" i="45" s="1"/>
  <c r="BR11" i="45" s="1"/>
  <c r="M75" i="37" s="1"/>
  <c r="CG9" i="45"/>
  <c r="CH9" i="45" s="1"/>
  <c r="BR7" i="45" s="1"/>
  <c r="M71" i="37" s="1"/>
  <c r="CG17" i="45"/>
  <c r="CH17" i="45" s="1"/>
  <c r="BR15" i="45" s="1"/>
  <c r="M79" i="37" s="1"/>
  <c r="CG18" i="45"/>
  <c r="CH18" i="45" s="1"/>
  <c r="BR16" i="45" s="1"/>
  <c r="M80" i="37" s="1"/>
  <c r="CG8" i="45"/>
  <c r="CH8" i="45" s="1"/>
  <c r="BR6" i="45" s="1"/>
  <c r="M70" i="37" s="1"/>
  <c r="CG11" i="45"/>
  <c r="CH11" i="45" s="1"/>
  <c r="BR9" i="45" s="1"/>
  <c r="M73" i="37" s="1"/>
  <c r="CG14" i="45"/>
  <c r="CH14" i="45" s="1"/>
  <c r="BR12" i="45" s="1"/>
  <c r="M76" i="37" s="1"/>
  <c r="CG10" i="45"/>
  <c r="CH10" i="45" s="1"/>
  <c r="BR8" i="45" s="1"/>
  <c r="M72" i="37" s="1"/>
  <c r="CG7" i="45"/>
  <c r="CH7" i="45" s="1"/>
  <c r="BR5" i="45" s="1"/>
  <c r="M69" i="37" s="1"/>
  <c r="CS15" i="45"/>
  <c r="BS7" i="45"/>
  <c r="CZ15" i="45"/>
  <c r="BS9" i="45"/>
  <c r="BS15" i="45"/>
  <c r="BS10" i="45"/>
  <c r="CS7" i="45"/>
  <c r="BS17" i="45"/>
  <c r="BS3" i="45"/>
  <c r="BS14" i="45"/>
  <c r="CZ7" i="45"/>
  <c r="BS4" i="45"/>
  <c r="BS11" i="45"/>
  <c r="BS12" i="45"/>
  <c r="CG20" i="45"/>
  <c r="CH20" i="45" s="1"/>
  <c r="BR17" i="45" s="1"/>
  <c r="M81" i="37" s="1"/>
  <c r="BS6" i="45"/>
  <c r="CZ10" i="45"/>
  <c r="CS10" i="45"/>
  <c r="CG19" i="45"/>
  <c r="CH19" i="45" s="1"/>
  <c r="CG12" i="45"/>
  <c r="CH12" i="45" s="1"/>
  <c r="BR10" i="45" s="1"/>
  <c r="M74" i="37" s="1"/>
  <c r="CG6" i="45"/>
  <c r="CH6" i="45" s="1"/>
  <c r="BR4" i="45" s="1"/>
  <c r="M68" i="37" s="1"/>
  <c r="CG16" i="45"/>
  <c r="CH16" i="45" s="1"/>
  <c r="BR14" i="45" s="1"/>
  <c r="M78" i="37" s="1"/>
  <c r="CG15" i="45"/>
  <c r="CH15" i="45" s="1"/>
  <c r="BR13" i="45" s="1"/>
  <c r="M77" i="37" s="1"/>
  <c r="BS16" i="45"/>
  <c r="BS15" i="44"/>
  <c r="BT15" i="44" s="1"/>
  <c r="BS16" i="44"/>
  <c r="BT16" i="44" s="1"/>
  <c r="CZ6" i="44"/>
  <c r="BS11" i="44"/>
  <c r="BT11" i="44" s="1"/>
  <c r="CZ10" i="44"/>
  <c r="CZ7" i="44"/>
  <c r="CS7" i="44"/>
  <c r="BS6" i="44"/>
  <c r="BT6" i="44" s="1"/>
  <c r="BS12" i="44"/>
  <c r="BT12" i="44" s="1"/>
  <c r="BS13" i="44"/>
  <c r="BT13" i="44" s="1"/>
  <c r="BS14" i="44"/>
  <c r="BT14" i="44" s="1"/>
  <c r="CS6" i="44"/>
  <c r="BS10" i="44"/>
  <c r="BT10" i="44" s="1"/>
  <c r="BS9" i="44"/>
  <c r="BT9" i="44" s="1"/>
  <c r="CZ20" i="44"/>
  <c r="CS20" i="44"/>
  <c r="BS3" i="44"/>
  <c r="BT3" i="44" s="1"/>
  <c r="BS7" i="44"/>
  <c r="BT7" i="44" s="1"/>
  <c r="CS10" i="44"/>
  <c r="BS14" i="43"/>
  <c r="BT14" i="43" s="1"/>
  <c r="BS4" i="43"/>
  <c r="BT4" i="43" s="1"/>
  <c r="BS17" i="43"/>
  <c r="BT17" i="43" s="1"/>
  <c r="BS5" i="43"/>
  <c r="BT5" i="43" s="1"/>
  <c r="BS3" i="43"/>
  <c r="BT3" i="43" s="1"/>
  <c r="BS6" i="43"/>
  <c r="BT6" i="43" s="1"/>
  <c r="BS9" i="43"/>
  <c r="BT9" i="43" s="1"/>
  <c r="BS11" i="43"/>
  <c r="BT11" i="43" s="1"/>
  <c r="BS7" i="43"/>
  <c r="BT7" i="43" s="1"/>
  <c r="BS15" i="43"/>
  <c r="BT15" i="43" s="1"/>
  <c r="BS16" i="43"/>
  <c r="BT16" i="43" s="1"/>
  <c r="CS14" i="43"/>
  <c r="CZ14" i="43"/>
  <c r="BS13" i="43"/>
  <c r="BT13" i="43" s="1"/>
  <c r="BS10" i="43"/>
  <c r="BT10" i="43" s="1"/>
  <c r="CS10" i="43"/>
  <c r="CZ10" i="43"/>
  <c r="CG7" i="42"/>
  <c r="CH7" i="42" s="1"/>
  <c r="BR5" i="42" s="1"/>
  <c r="CG9" i="42"/>
  <c r="CH9" i="42" s="1"/>
  <c r="BR7" i="42" s="1"/>
  <c r="BS7" i="42"/>
  <c r="BS10" i="42"/>
  <c r="CG14" i="42"/>
  <c r="CH14" i="42" s="1"/>
  <c r="BR12" i="42" s="1"/>
  <c r="CG19" i="42"/>
  <c r="CH19" i="42" s="1"/>
  <c r="BS13" i="42"/>
  <c r="BS3" i="42"/>
  <c r="BS16" i="42"/>
  <c r="BS9" i="42"/>
  <c r="CG16" i="42"/>
  <c r="CH16" i="42" s="1"/>
  <c r="BR14" i="42" s="1"/>
  <c r="CG8" i="42"/>
  <c r="CH8" i="42" s="1"/>
  <c r="BR6" i="42" s="1"/>
  <c r="P17" i="16"/>
  <c r="E16" i="37" s="1"/>
  <c r="P6" i="16"/>
  <c r="E5" i="37" s="1"/>
  <c r="P5" i="16"/>
  <c r="E4" i="37" s="1"/>
  <c r="BS14" i="42"/>
  <c r="BS4" i="42"/>
  <c r="BS5" i="42"/>
  <c r="CZ13" i="42"/>
  <c r="CS13" i="42"/>
  <c r="CG10" i="42"/>
  <c r="CH10" i="42" s="1"/>
  <c r="BR8" i="42" s="1"/>
  <c r="CG12" i="42"/>
  <c r="CH12" i="42" s="1"/>
  <c r="BR10" i="42" s="1"/>
  <c r="CG11" i="42"/>
  <c r="CH11" i="42" s="1"/>
  <c r="BR9" i="42" s="1"/>
  <c r="CG13" i="42"/>
  <c r="CH13" i="42" s="1"/>
  <c r="BR11" i="42" s="1"/>
  <c r="BS12" i="42"/>
  <c r="CG5" i="42"/>
  <c r="CH5" i="42" s="1"/>
  <c r="BR3" i="42" s="1"/>
  <c r="BS17" i="42"/>
  <c r="CS17" i="42"/>
  <c r="CZ17" i="42"/>
  <c r="BS6" i="42"/>
  <c r="CG15" i="42"/>
  <c r="CH15" i="42" s="1"/>
  <c r="BR13" i="42" s="1"/>
  <c r="CG18" i="42"/>
  <c r="CH18" i="42" s="1"/>
  <c r="BR16" i="42" s="1"/>
  <c r="CG17" i="42"/>
  <c r="CH17" i="42" s="1"/>
  <c r="BR15" i="42" s="1"/>
  <c r="BS8" i="42"/>
  <c r="CG6" i="42"/>
  <c r="CH6" i="42" s="1"/>
  <c r="BR4" i="42" s="1"/>
  <c r="CG20" i="42"/>
  <c r="CH20" i="42" s="1"/>
  <c r="BR17" i="42" s="1"/>
  <c r="P15" i="16"/>
  <c r="E14" i="37" s="1"/>
  <c r="P19" i="16"/>
  <c r="E18" i="37" s="1"/>
  <c r="P18" i="16"/>
  <c r="E17" i="37" s="1"/>
  <c r="P14" i="16"/>
  <c r="E13" i="37" s="1"/>
  <c r="P9" i="16"/>
  <c r="E8" i="37" s="1"/>
  <c r="H4" i="16"/>
  <c r="B4" i="47" s="1"/>
  <c r="J4" i="16"/>
  <c r="C4" i="47" s="1"/>
  <c r="P4" i="16"/>
  <c r="E3" i="37" s="1"/>
  <c r="P7" i="16"/>
  <c r="E6" i="37" s="1"/>
  <c r="P12" i="16"/>
  <c r="E11" i="37" s="1"/>
  <c r="P8" i="16"/>
  <c r="E7" i="37" s="1"/>
  <c r="P13" i="16"/>
  <c r="E12" i="37" s="1"/>
  <c r="P16" i="16"/>
  <c r="E15" i="37" s="1"/>
  <c r="P11" i="16"/>
  <c r="E10" i="37" s="1"/>
  <c r="AA13" i="16"/>
  <c r="P12" i="37" s="1"/>
  <c r="AA11" i="16"/>
  <c r="P10" i="37" s="1"/>
  <c r="Q4" i="16"/>
  <c r="F3" i="37" s="1"/>
  <c r="AA8" i="16"/>
  <c r="P7" i="37" s="1"/>
  <c r="AA12" i="16"/>
  <c r="P11" i="37" s="1"/>
  <c r="AA9" i="16"/>
  <c r="P8" i="37" s="1"/>
  <c r="Q15" i="16"/>
  <c r="F14" i="37" s="1"/>
  <c r="Q5" i="16"/>
  <c r="F4" i="37" s="1"/>
  <c r="Q17" i="16"/>
  <c r="F16" i="37" s="1"/>
  <c r="Q10" i="16"/>
  <c r="F9" i="37" s="1"/>
  <c r="P10" i="16"/>
  <c r="E9" i="37" s="1"/>
  <c r="AA6" i="16"/>
  <c r="P5" i="37" s="1"/>
  <c r="Q16" i="16"/>
  <c r="F15" i="37" s="1"/>
  <c r="Q9" i="16"/>
  <c r="F8" i="37" s="1"/>
  <c r="AA7" i="16"/>
  <c r="P6" i="37" s="1"/>
  <c r="Q11" i="16"/>
  <c r="F10" i="37" s="1"/>
  <c r="Q8" i="16"/>
  <c r="F7" i="37" s="1"/>
  <c r="AA5" i="16"/>
  <c r="P4" i="37" s="1"/>
  <c r="AA18" i="16"/>
  <c r="P17" i="37" s="1"/>
  <c r="Q7" i="16"/>
  <c r="F6" i="37" s="1"/>
  <c r="AA16" i="16"/>
  <c r="P15" i="37" s="1"/>
  <c r="Q14" i="16"/>
  <c r="F13" i="37" s="1"/>
  <c r="AA15" i="16"/>
  <c r="P14" i="37" s="1"/>
  <c r="Q19" i="16"/>
  <c r="F18" i="37" s="1"/>
  <c r="Q13" i="16"/>
  <c r="F12" i="37" s="1"/>
  <c r="Q6" i="16"/>
  <c r="F5" i="37" s="1"/>
  <c r="AA14" i="16"/>
  <c r="P13" i="37" s="1"/>
  <c r="AA17" i="16"/>
  <c r="P16" i="37" s="1"/>
  <c r="AA10" i="16"/>
  <c r="P9" i="37" s="1"/>
  <c r="AA4" i="16"/>
  <c r="P3" i="37" s="1"/>
  <c r="Q12" i="16"/>
  <c r="F11" i="37" s="1"/>
  <c r="Q18" i="16"/>
  <c r="F17" i="37" s="1"/>
  <c r="CT14" i="19"/>
  <c r="CJ14" i="19"/>
  <c r="BU19" i="19"/>
  <c r="CJ7" i="19"/>
  <c r="CT7" i="19"/>
  <c r="CQ20" i="19"/>
  <c r="CO20" i="19" s="1"/>
  <c r="CM20" i="19" s="1"/>
  <c r="CQ12" i="19"/>
  <c r="CO12" i="19" s="1"/>
  <c r="CM12" i="19" s="1"/>
  <c r="CJ18" i="19"/>
  <c r="CT18" i="19"/>
  <c r="CT19" i="19"/>
  <c r="CJ19" i="19"/>
  <c r="CQ10" i="19"/>
  <c r="CO10" i="19" s="1"/>
  <c r="CM10" i="19" s="1"/>
  <c r="CQ11" i="19"/>
  <c r="CO11" i="19" s="1"/>
  <c r="CT9" i="19"/>
  <c r="CJ9" i="19"/>
  <c r="CQ17" i="19"/>
  <c r="CO17" i="19" s="1"/>
  <c r="CQ19" i="19"/>
  <c r="CO19" i="19" s="1"/>
  <c r="CM19" i="19" s="1"/>
  <c r="CJ11" i="19"/>
  <c r="CT11" i="19"/>
  <c r="CT5" i="19"/>
  <c r="CJ5" i="19"/>
  <c r="CT13" i="19"/>
  <c r="CJ13" i="19"/>
  <c r="CJ15" i="19"/>
  <c r="CT15" i="19"/>
  <c r="CT8" i="19"/>
  <c r="CJ8" i="19"/>
  <c r="CJ17" i="19"/>
  <c r="CT17" i="19"/>
  <c r="CQ16" i="19"/>
  <c r="CO16" i="19" s="1"/>
  <c r="CQ9" i="19"/>
  <c r="CO9" i="19" s="1"/>
  <c r="CM9" i="19" s="1"/>
  <c r="CQ18" i="19"/>
  <c r="CO18" i="19" s="1"/>
  <c r="CJ20" i="19"/>
  <c r="CT20" i="19"/>
  <c r="CJ12" i="19"/>
  <c r="CT12" i="19"/>
  <c r="CQ14" i="19"/>
  <c r="CO14" i="19" s="1"/>
  <c r="CM14" i="19" s="1"/>
  <c r="CQ15" i="19"/>
  <c r="CO15" i="19" s="1"/>
  <c r="CQ5" i="19"/>
  <c r="CO5" i="19" s="1"/>
  <c r="AB6" i="19"/>
  <c r="BS19" i="19"/>
  <c r="CT6" i="19"/>
  <c r="CJ6" i="19"/>
  <c r="CT16" i="19"/>
  <c r="CJ16" i="19"/>
  <c r="CQ8" i="19"/>
  <c r="CO8" i="19" s="1"/>
  <c r="BD6" i="19"/>
  <c r="BR19" i="19"/>
  <c r="CB20" i="19"/>
  <c r="CB19" i="19"/>
  <c r="CB15" i="19"/>
  <c r="CB11" i="19"/>
  <c r="CB7" i="19"/>
  <c r="CB18" i="19"/>
  <c r="CB14" i="19"/>
  <c r="CB10" i="19"/>
  <c r="CB6" i="19"/>
  <c r="CB17" i="19"/>
  <c r="CB13" i="19"/>
  <c r="CB9" i="19"/>
  <c r="CB16" i="19"/>
  <c r="CB12" i="19"/>
  <c r="CB8" i="19"/>
  <c r="CB5" i="19"/>
  <c r="CQ6" i="19"/>
  <c r="CO6" i="19" s="1"/>
  <c r="CM6" i="19" s="1"/>
  <c r="CQ7" i="19"/>
  <c r="CO7" i="19" s="1"/>
  <c r="CM7" i="19" s="1"/>
  <c r="CJ10" i="19"/>
  <c r="CT10" i="19"/>
  <c r="CQ13" i="19"/>
  <c r="CO13" i="19" s="1"/>
  <c r="CQ19" i="21"/>
  <c r="CO19" i="21" s="1"/>
  <c r="CM19" i="21" s="1"/>
  <c r="CT5" i="21"/>
  <c r="CJ5" i="21"/>
  <c r="CQ20" i="21"/>
  <c r="CO20" i="21" s="1"/>
  <c r="CM20" i="21" s="1"/>
  <c r="CQ12" i="21"/>
  <c r="CO12" i="21" s="1"/>
  <c r="CM12" i="21" s="1"/>
  <c r="CJ18" i="21"/>
  <c r="CT18" i="21"/>
  <c r="CT15" i="21"/>
  <c r="CJ15" i="21"/>
  <c r="CT8" i="21"/>
  <c r="CJ8" i="21"/>
  <c r="CQ11" i="21"/>
  <c r="CO11" i="21" s="1"/>
  <c r="CM11" i="21" s="1"/>
  <c r="CT9" i="21"/>
  <c r="CJ9" i="21"/>
  <c r="CQ17" i="21"/>
  <c r="CO17" i="21" s="1"/>
  <c r="BS18" i="21"/>
  <c r="CQ18" i="21"/>
  <c r="CO18" i="21" s="1"/>
  <c r="CM18" i="21" s="1"/>
  <c r="CQ13" i="21"/>
  <c r="CO13" i="21" s="1"/>
  <c r="CT7" i="21"/>
  <c r="CJ7" i="21"/>
  <c r="CT19" i="21"/>
  <c r="CJ19" i="21"/>
  <c r="CJ12" i="21"/>
  <c r="CT12" i="21"/>
  <c r="CT13" i="21"/>
  <c r="CJ13" i="21"/>
  <c r="CT14" i="21"/>
  <c r="CJ14" i="21"/>
  <c r="CT11" i="21"/>
  <c r="CJ11" i="21"/>
  <c r="CQ14" i="21"/>
  <c r="CO14" i="21" s="1"/>
  <c r="CM14" i="21" s="1"/>
  <c r="CJ16" i="21"/>
  <c r="CT16" i="21"/>
  <c r="CT17" i="21"/>
  <c r="CJ17" i="21"/>
  <c r="CQ16" i="21"/>
  <c r="CO16" i="21" s="1"/>
  <c r="CQ9" i="21"/>
  <c r="CO9" i="21" s="1"/>
  <c r="CQ7" i="21"/>
  <c r="CO7" i="21" s="1"/>
  <c r="CM7" i="21" s="1"/>
  <c r="BU18" i="21"/>
  <c r="AA19" i="16" s="1"/>
  <c r="CJ20" i="21"/>
  <c r="CT20" i="21"/>
  <c r="CQ10" i="21"/>
  <c r="CO10" i="21" s="1"/>
  <c r="CM10" i="21" s="1"/>
  <c r="CQ15" i="21"/>
  <c r="CO15" i="21" s="1"/>
  <c r="CQ5" i="21"/>
  <c r="CO5" i="21" s="1"/>
  <c r="CT10" i="21"/>
  <c r="CJ10" i="21"/>
  <c r="BD6" i="21"/>
  <c r="BR18" i="21"/>
  <c r="CT6" i="21"/>
  <c r="CJ6" i="21"/>
  <c r="CQ6" i="21"/>
  <c r="CO6" i="21" s="1"/>
  <c r="CM6" i="21" s="1"/>
  <c r="CQ8" i="21"/>
  <c r="CO8" i="21" s="1"/>
  <c r="CM8" i="21" s="1"/>
  <c r="CB20" i="21"/>
  <c r="CB19" i="21"/>
  <c r="CB15" i="21"/>
  <c r="CB11" i="21"/>
  <c r="CB7" i="21"/>
  <c r="CB18" i="21"/>
  <c r="CB14" i="21"/>
  <c r="CB10" i="21"/>
  <c r="CB6" i="21"/>
  <c r="CB17" i="21"/>
  <c r="CB13" i="21"/>
  <c r="CB9" i="21"/>
  <c r="CB16" i="21"/>
  <c r="CB8" i="21"/>
  <c r="CB5" i="21"/>
  <c r="CB12" i="21"/>
  <c r="BT11" i="46" l="1"/>
  <c r="BT7" i="46"/>
  <c r="BT5" i="46"/>
  <c r="BT12" i="46"/>
  <c r="BT8" i="46"/>
  <c r="BT15" i="46"/>
  <c r="BT10" i="46"/>
  <c r="BS4" i="46"/>
  <c r="BT4" i="46" s="1"/>
  <c r="BS17" i="46"/>
  <c r="BT17" i="46" s="1"/>
  <c r="BS9" i="46"/>
  <c r="BT9" i="46" s="1"/>
  <c r="BS13" i="46"/>
  <c r="BT13" i="46" s="1"/>
  <c r="BT16" i="46"/>
  <c r="BT6" i="46"/>
  <c r="BT3" i="46"/>
  <c r="BT14" i="46"/>
  <c r="J10" i="16"/>
  <c r="C6" i="47" s="1"/>
  <c r="BT11" i="45"/>
  <c r="O75" i="37" s="1"/>
  <c r="BT3" i="45"/>
  <c r="O67" i="37" s="1"/>
  <c r="BT12" i="45"/>
  <c r="O76" i="37" s="1"/>
  <c r="BT16" i="45"/>
  <c r="O80" i="37" s="1"/>
  <c r="BT7" i="45"/>
  <c r="O71" i="37" s="1"/>
  <c r="BT15" i="45"/>
  <c r="O79" i="37" s="1"/>
  <c r="BT6" i="45"/>
  <c r="O70" i="37" s="1"/>
  <c r="BT9" i="45"/>
  <c r="O73" i="37" s="1"/>
  <c r="BS13" i="45"/>
  <c r="BT13" i="45" s="1"/>
  <c r="O77" i="37" s="1"/>
  <c r="BT17" i="45"/>
  <c r="O81" i="37" s="1"/>
  <c r="BT10" i="45"/>
  <c r="O74" i="37" s="1"/>
  <c r="BT4" i="45"/>
  <c r="O68" i="37" s="1"/>
  <c r="BT14" i="45"/>
  <c r="O78" i="37" s="1"/>
  <c r="BS5" i="45"/>
  <c r="BT5" i="45" s="1"/>
  <c r="O69" i="37" s="1"/>
  <c r="BS8" i="45"/>
  <c r="BT8" i="45" s="1"/>
  <c r="O72" i="37" s="1"/>
  <c r="BS4" i="44"/>
  <c r="BT4" i="44" s="1"/>
  <c r="BS5" i="44"/>
  <c r="BT5" i="44" s="1"/>
  <c r="BS8" i="44"/>
  <c r="BT8" i="44" s="1"/>
  <c r="BS17" i="44"/>
  <c r="BT17" i="44" s="1"/>
  <c r="BS8" i="43"/>
  <c r="BT8" i="43" s="1"/>
  <c r="BS12" i="43"/>
  <c r="BT12" i="43" s="1"/>
  <c r="H10" i="16"/>
  <c r="B6" i="47" s="1"/>
  <c r="BT10" i="42"/>
  <c r="BT16" i="42"/>
  <c r="BS11" i="42"/>
  <c r="BT13" i="42"/>
  <c r="BT9" i="42"/>
  <c r="BT5" i="42"/>
  <c r="BT7" i="42"/>
  <c r="BT3" i="42"/>
  <c r="BT12" i="42"/>
  <c r="BT8" i="42"/>
  <c r="BT4" i="42"/>
  <c r="BT14" i="42"/>
  <c r="BT6" i="42"/>
  <c r="H7" i="16"/>
  <c r="B5" i="47" s="1"/>
  <c r="BS15" i="42"/>
  <c r="BT17" i="42"/>
  <c r="J7" i="16"/>
  <c r="C5" i="47" s="1"/>
  <c r="BZ13" i="19"/>
  <c r="CC13" i="19"/>
  <c r="CF13" i="19" s="1"/>
  <c r="BZ17" i="19"/>
  <c r="CC17" i="19"/>
  <c r="CF17" i="19" s="1"/>
  <c r="BZ19" i="19"/>
  <c r="CG19" i="19" s="1"/>
  <c r="CH19" i="19" s="1"/>
  <c r="CC19" i="19"/>
  <c r="CF19" i="19" s="1"/>
  <c r="CR9" i="19"/>
  <c r="CW9" i="19"/>
  <c r="CR11" i="19"/>
  <c r="CW11" i="19"/>
  <c r="BZ20" i="19"/>
  <c r="CC20" i="19"/>
  <c r="CF20" i="19" s="1"/>
  <c r="CR14" i="19"/>
  <c r="CW14" i="19"/>
  <c r="CR19" i="19"/>
  <c r="CW19" i="19"/>
  <c r="CR10" i="19"/>
  <c r="CS10" i="19" s="1"/>
  <c r="CW10" i="19"/>
  <c r="CZ10" i="19" s="1"/>
  <c r="CR20" i="19"/>
  <c r="CS20" i="19" s="1"/>
  <c r="CW20" i="19"/>
  <c r="CR18" i="19"/>
  <c r="CW18" i="19"/>
  <c r="BZ5" i="19"/>
  <c r="CG5" i="19" s="1"/>
  <c r="CH5" i="19" s="1"/>
  <c r="BR3" i="19" s="1"/>
  <c r="CC5" i="19"/>
  <c r="CF5" i="19" s="1"/>
  <c r="BZ10" i="19"/>
  <c r="CG10" i="19" s="1"/>
  <c r="CH10" i="19" s="1"/>
  <c r="BR8" i="19" s="1"/>
  <c r="CC10" i="19"/>
  <c r="CF10" i="19" s="1"/>
  <c r="BR17" i="19"/>
  <c r="BT19" i="19"/>
  <c r="CW16" i="19"/>
  <c r="CR16" i="19"/>
  <c r="CR17" i="19"/>
  <c r="CS17" i="19" s="1"/>
  <c r="CW17" i="19"/>
  <c r="CZ17" i="19" s="1"/>
  <c r="CS19" i="19"/>
  <c r="CR13" i="19"/>
  <c r="CW13" i="19"/>
  <c r="CM13" i="19"/>
  <c r="CZ13" i="19" s="1"/>
  <c r="BZ8" i="19"/>
  <c r="CC8" i="19"/>
  <c r="CF8" i="19" s="1"/>
  <c r="BZ14" i="19"/>
  <c r="CC14" i="19"/>
  <c r="CF14" i="19" s="1"/>
  <c r="CM16" i="19"/>
  <c r="CM17" i="19"/>
  <c r="CZ19" i="19"/>
  <c r="CR15" i="19"/>
  <c r="CW15" i="19"/>
  <c r="CR6" i="19"/>
  <c r="CS6" i="19" s="1"/>
  <c r="CW6" i="19"/>
  <c r="CZ6" i="19" s="1"/>
  <c r="BZ12" i="19"/>
  <c r="CC12" i="19"/>
  <c r="CF12" i="19" s="1"/>
  <c r="BZ18" i="19"/>
  <c r="CG18" i="19" s="1"/>
  <c r="CH18" i="19" s="1"/>
  <c r="BR16" i="19" s="1"/>
  <c r="CC18" i="19"/>
  <c r="CF18" i="19" s="1"/>
  <c r="CW8" i="19"/>
  <c r="CR8" i="19"/>
  <c r="CR5" i="19"/>
  <c r="CW5" i="19"/>
  <c r="CZ20" i="19"/>
  <c r="CS9" i="19"/>
  <c r="BZ16" i="19"/>
  <c r="CC16" i="19"/>
  <c r="CF16" i="19" s="1"/>
  <c r="BZ7" i="19"/>
  <c r="CC7" i="19"/>
  <c r="CF7" i="19" s="1"/>
  <c r="CM8" i="19"/>
  <c r="CM5" i="19"/>
  <c r="CZ5" i="19" s="1"/>
  <c r="CZ9" i="19"/>
  <c r="CS18" i="19"/>
  <c r="CS14" i="19"/>
  <c r="BS12" i="19" s="1"/>
  <c r="BZ15" i="19"/>
  <c r="CC15" i="19"/>
  <c r="CF15" i="19" s="1"/>
  <c r="BZ6" i="19"/>
  <c r="CC6" i="19"/>
  <c r="CF6" i="19" s="1"/>
  <c r="CR7" i="19"/>
  <c r="CS7" i="19" s="1"/>
  <c r="CW7" i="19"/>
  <c r="CZ7" i="19" s="1"/>
  <c r="BZ9" i="19"/>
  <c r="CC9" i="19"/>
  <c r="CF9" i="19" s="1"/>
  <c r="BZ11" i="19"/>
  <c r="CC11" i="19"/>
  <c r="CF11" i="19" s="1"/>
  <c r="CS16" i="19"/>
  <c r="CM15" i="19"/>
  <c r="CM18" i="19"/>
  <c r="CZ18" i="19" s="1"/>
  <c r="CS8" i="19"/>
  <c r="CM11" i="19"/>
  <c r="CS11" i="19" s="1"/>
  <c r="CW12" i="19"/>
  <c r="CZ12" i="19" s="1"/>
  <c r="CR12" i="19"/>
  <c r="CS12" i="19" s="1"/>
  <c r="BS10" i="19" s="1"/>
  <c r="CZ14" i="19"/>
  <c r="CR11" i="21"/>
  <c r="CS11" i="21" s="1"/>
  <c r="CW11" i="21"/>
  <c r="CZ11" i="21" s="1"/>
  <c r="BZ6" i="21"/>
  <c r="CC6" i="21"/>
  <c r="CF6" i="21" s="1"/>
  <c r="BZ20" i="21"/>
  <c r="CC20" i="21"/>
  <c r="CF20" i="21" s="1"/>
  <c r="CR10" i="21"/>
  <c r="CS10" i="21" s="1"/>
  <c r="CW10" i="21"/>
  <c r="CZ10" i="21" s="1"/>
  <c r="CW16" i="21"/>
  <c r="CR16" i="21"/>
  <c r="BT18" i="21"/>
  <c r="BZ15" i="21"/>
  <c r="CC15" i="21"/>
  <c r="CF15" i="21" s="1"/>
  <c r="CR18" i="21"/>
  <c r="CS18" i="21" s="1"/>
  <c r="CW18" i="21"/>
  <c r="CZ18" i="21" s="1"/>
  <c r="BZ12" i="21"/>
  <c r="CC12" i="21"/>
  <c r="CF12" i="21" s="1"/>
  <c r="BZ10" i="21"/>
  <c r="CC10" i="21"/>
  <c r="CF10" i="21" s="1"/>
  <c r="CW8" i="21"/>
  <c r="CZ8" i="21" s="1"/>
  <c r="CR8" i="21"/>
  <c r="CS8" i="21" s="1"/>
  <c r="CM16" i="21"/>
  <c r="CR20" i="21"/>
  <c r="CS20" i="21" s="1"/>
  <c r="CW20" i="21"/>
  <c r="CZ20" i="21" s="1"/>
  <c r="CR15" i="21"/>
  <c r="CW15" i="21"/>
  <c r="BZ19" i="21"/>
  <c r="CC19" i="21"/>
  <c r="CF19" i="21" s="1"/>
  <c r="CR14" i="21"/>
  <c r="CS14" i="21" s="1"/>
  <c r="CW14" i="21"/>
  <c r="CZ14" i="21" s="1"/>
  <c r="CR17" i="21"/>
  <c r="CW17" i="21"/>
  <c r="BZ14" i="21"/>
  <c r="CC14" i="21"/>
  <c r="CF14" i="21" s="1"/>
  <c r="CR5" i="21"/>
  <c r="CW5" i="21"/>
  <c r="CM17" i="21"/>
  <c r="BZ13" i="21"/>
  <c r="CC13" i="21"/>
  <c r="CF13" i="21" s="1"/>
  <c r="CW12" i="21"/>
  <c r="CZ12" i="21" s="1"/>
  <c r="CR12" i="21"/>
  <c r="CS12" i="21" s="1"/>
  <c r="BZ5" i="21"/>
  <c r="CC5" i="21"/>
  <c r="CF5" i="21" s="1"/>
  <c r="BZ18" i="21"/>
  <c r="CC18" i="21"/>
  <c r="CF18" i="21" s="1"/>
  <c r="BZ16" i="21"/>
  <c r="CC16" i="21"/>
  <c r="CF16" i="21" s="1"/>
  <c r="BZ7" i="21"/>
  <c r="CC7" i="21"/>
  <c r="CF7" i="21" s="1"/>
  <c r="CR6" i="21"/>
  <c r="CS6" i="21" s="1"/>
  <c r="CW6" i="21"/>
  <c r="CZ6" i="21" s="1"/>
  <c r="CM5" i="21"/>
  <c r="CR13" i="21"/>
  <c r="CW13" i="21"/>
  <c r="CR9" i="21"/>
  <c r="CW9" i="21"/>
  <c r="BZ17" i="21"/>
  <c r="CC17" i="21"/>
  <c r="CF17" i="21" s="1"/>
  <c r="CM9" i="21"/>
  <c r="BZ8" i="21"/>
  <c r="CC8" i="21"/>
  <c r="CF8" i="21" s="1"/>
  <c r="BZ9" i="21"/>
  <c r="CC9" i="21"/>
  <c r="CF9" i="21" s="1"/>
  <c r="BZ11" i="21"/>
  <c r="CC11" i="21"/>
  <c r="CF11" i="21" s="1"/>
  <c r="CM15" i="21"/>
  <c r="CR7" i="21"/>
  <c r="CS7" i="21" s="1"/>
  <c r="CW7" i="21"/>
  <c r="CZ7" i="21" s="1"/>
  <c r="CM13" i="21"/>
  <c r="CR19" i="21"/>
  <c r="CS19" i="21" s="1"/>
  <c r="CW19" i="21"/>
  <c r="CZ19" i="21" s="1"/>
  <c r="W19" i="16"/>
  <c r="L18" i="37" s="1"/>
  <c r="V12" i="16"/>
  <c r="K11" i="37" s="1"/>
  <c r="V16" i="16"/>
  <c r="K15" i="37" s="1"/>
  <c r="V6" i="16"/>
  <c r="K5" i="37" s="1"/>
  <c r="V9" i="16"/>
  <c r="K8" i="37" s="1"/>
  <c r="V14" i="16"/>
  <c r="K13" i="37" s="1"/>
  <c r="V7" i="16"/>
  <c r="K6" i="37" s="1"/>
  <c r="V17" i="16"/>
  <c r="K16" i="37" s="1"/>
  <c r="V15" i="16"/>
  <c r="K14" i="37" s="1"/>
  <c r="V18" i="16"/>
  <c r="K17" i="37" s="1"/>
  <c r="V13" i="16"/>
  <c r="K12" i="37" s="1"/>
  <c r="V19" i="16"/>
  <c r="K18" i="37" s="1"/>
  <c r="V4" i="16"/>
  <c r="K3" i="37" s="1"/>
  <c r="V11" i="16"/>
  <c r="K10" i="37" s="1"/>
  <c r="V8" i="16"/>
  <c r="K7" i="37" s="1"/>
  <c r="V10" i="16"/>
  <c r="K9" i="37" s="1"/>
  <c r="V5" i="16"/>
  <c r="K4" i="37" s="1"/>
  <c r="BT11" i="42" l="1"/>
  <c r="BT15" i="42"/>
  <c r="BS4" i="21"/>
  <c r="CS15" i="21"/>
  <c r="CZ16" i="21"/>
  <c r="CZ5" i="21"/>
  <c r="CZ9" i="21"/>
  <c r="CS16" i="21"/>
  <c r="CZ13" i="21"/>
  <c r="BS8" i="19"/>
  <c r="CZ15" i="19"/>
  <c r="CZ8" i="19"/>
  <c r="CG12" i="19"/>
  <c r="CH12" i="19" s="1"/>
  <c r="BR10" i="19" s="1"/>
  <c r="CZ16" i="19"/>
  <c r="BS18" i="19"/>
  <c r="CG20" i="19"/>
  <c r="CH20" i="19" s="1"/>
  <c r="BR18" i="19" s="1"/>
  <c r="CG17" i="21"/>
  <c r="CH17" i="21" s="1"/>
  <c r="BR15" i="21" s="1"/>
  <c r="BS16" i="21"/>
  <c r="BT10" i="19"/>
  <c r="BS4" i="19"/>
  <c r="CG11" i="19"/>
  <c r="CH11" i="19" s="1"/>
  <c r="BR9" i="19" s="1"/>
  <c r="CG15" i="19"/>
  <c r="CH15" i="19" s="1"/>
  <c r="BR13" i="19" s="1"/>
  <c r="BS7" i="19"/>
  <c r="BT7" i="19" s="1"/>
  <c r="CG14" i="19"/>
  <c r="CH14" i="19" s="1"/>
  <c r="BR12" i="19" s="1"/>
  <c r="BT12" i="19" s="1"/>
  <c r="BS17" i="19"/>
  <c r="BT17" i="19" s="1"/>
  <c r="BS5" i="19"/>
  <c r="CZ11" i="19"/>
  <c r="BS9" i="19" s="1"/>
  <c r="CG9" i="19"/>
  <c r="CH9" i="19" s="1"/>
  <c r="BR7" i="19" s="1"/>
  <c r="BS16" i="19"/>
  <c r="BT16" i="19" s="1"/>
  <c r="CG7" i="19"/>
  <c r="CH7" i="19" s="1"/>
  <c r="BR5" i="19" s="1"/>
  <c r="CG8" i="19"/>
  <c r="CH8" i="19" s="1"/>
  <c r="BR6" i="19" s="1"/>
  <c r="CS13" i="19"/>
  <c r="BS11" i="19" s="1"/>
  <c r="CG17" i="19"/>
  <c r="CH17" i="19" s="1"/>
  <c r="BR15" i="19" s="1"/>
  <c r="CS5" i="19"/>
  <c r="BS3" i="19" s="1"/>
  <c r="BT3" i="19" s="1"/>
  <c r="CG16" i="19"/>
  <c r="CH16" i="19" s="1"/>
  <c r="BR14" i="19" s="1"/>
  <c r="CS15" i="19"/>
  <c r="BS13" i="19" s="1"/>
  <c r="BS15" i="19"/>
  <c r="BT8" i="19"/>
  <c r="BS6" i="19"/>
  <c r="BS14" i="19"/>
  <c r="CG6" i="19"/>
  <c r="CH6" i="19" s="1"/>
  <c r="BR4" i="19" s="1"/>
  <c r="CG13" i="19"/>
  <c r="CH13" i="19" s="1"/>
  <c r="BR11" i="19" s="1"/>
  <c r="CS5" i="21"/>
  <c r="CG15" i="21"/>
  <c r="CH15" i="21" s="1"/>
  <c r="BR13" i="21" s="1"/>
  <c r="CZ17" i="21"/>
  <c r="CS9" i="21"/>
  <c r="CS17" i="21"/>
  <c r="CG19" i="21"/>
  <c r="CH19" i="21" s="1"/>
  <c r="BS8" i="21"/>
  <c r="CS13" i="21"/>
  <c r="CG16" i="21"/>
  <c r="CH16" i="21" s="1"/>
  <c r="BR14" i="21" s="1"/>
  <c r="BS10" i="21"/>
  <c r="BS17" i="21"/>
  <c r="BS9" i="21"/>
  <c r="CG6" i="21"/>
  <c r="CH6" i="21" s="1"/>
  <c r="BR4" i="21" s="1"/>
  <c r="CZ15" i="21"/>
  <c r="CG12" i="21"/>
  <c r="CH12" i="21" s="1"/>
  <c r="BR10" i="21" s="1"/>
  <c r="CG13" i="21"/>
  <c r="CH13" i="21" s="1"/>
  <c r="BR11" i="21" s="1"/>
  <c r="BS5" i="21"/>
  <c r="CG7" i="21"/>
  <c r="CH7" i="21" s="1"/>
  <c r="BR5" i="21" s="1"/>
  <c r="BS6" i="21"/>
  <c r="CG10" i="21"/>
  <c r="CH10" i="21" s="1"/>
  <c r="BR8" i="21" s="1"/>
  <c r="CG20" i="21"/>
  <c r="CH20" i="21" s="1"/>
  <c r="BR17" i="21" s="1"/>
  <c r="CG11" i="21"/>
  <c r="CH11" i="21" s="1"/>
  <c r="BR9" i="21" s="1"/>
  <c r="CG18" i="21"/>
  <c r="CH18" i="21" s="1"/>
  <c r="BR16" i="21" s="1"/>
  <c r="CG14" i="21"/>
  <c r="CH14" i="21" s="1"/>
  <c r="BR12" i="21" s="1"/>
  <c r="BS12" i="21"/>
  <c r="Y13" i="16" s="1"/>
  <c r="N12" i="37" s="1"/>
  <c r="CG8" i="21"/>
  <c r="CH8" i="21" s="1"/>
  <c r="BR6" i="21" s="1"/>
  <c r="CG9" i="21"/>
  <c r="CH9" i="21" s="1"/>
  <c r="BR7" i="21" s="1"/>
  <c r="CG5" i="21"/>
  <c r="CH5" i="21" s="1"/>
  <c r="BR3" i="21" s="1"/>
  <c r="W8" i="16"/>
  <c r="L7" i="37" s="1"/>
  <c r="W5" i="16"/>
  <c r="L4" i="37" s="1"/>
  <c r="W14" i="16"/>
  <c r="L13" i="37" s="1"/>
  <c r="W6" i="16"/>
  <c r="L5" i="37" s="1"/>
  <c r="W11" i="16"/>
  <c r="L10" i="37" s="1"/>
  <c r="W16" i="16"/>
  <c r="L15" i="37" s="1"/>
  <c r="W12" i="16"/>
  <c r="L11" i="37" s="1"/>
  <c r="W10" i="16"/>
  <c r="L9" i="37" s="1"/>
  <c r="W4" i="16"/>
  <c r="L3" i="37" s="1"/>
  <c r="W7" i="16"/>
  <c r="L6" i="37" s="1"/>
  <c r="W15" i="16"/>
  <c r="L14" i="37" s="1"/>
  <c r="W17" i="16"/>
  <c r="L16" i="37" s="1"/>
  <c r="W13" i="16"/>
  <c r="L12" i="37" s="1"/>
  <c r="W18" i="16"/>
  <c r="L17" i="37" s="1"/>
  <c r="W9" i="16"/>
  <c r="L8" i="37" s="1"/>
  <c r="BS7" i="21" l="1"/>
  <c r="BT7" i="21" s="1"/>
  <c r="BS14" i="21"/>
  <c r="Y15" i="16" s="1"/>
  <c r="N14" i="37" s="1"/>
  <c r="BS13" i="21"/>
  <c r="Y14" i="16" s="1"/>
  <c r="N13" i="37" s="1"/>
  <c r="BS3" i="21"/>
  <c r="BT3" i="21" s="1"/>
  <c r="BS11" i="21"/>
  <c r="Y12" i="16" s="1"/>
  <c r="N11" i="37" s="1"/>
  <c r="Y18" i="16"/>
  <c r="N17" i="37" s="1"/>
  <c r="Y9" i="16"/>
  <c r="N8" i="37" s="1"/>
  <c r="X8" i="16"/>
  <c r="M7" i="37" s="1"/>
  <c r="Y17" i="16"/>
  <c r="N16" i="37" s="1"/>
  <c r="BT14" i="19"/>
  <c r="BT18" i="19"/>
  <c r="BT9" i="19"/>
  <c r="BS15" i="21"/>
  <c r="Y16" i="16" s="1"/>
  <c r="N15" i="37" s="1"/>
  <c r="BT15" i="19"/>
  <c r="BT11" i="19"/>
  <c r="BT13" i="19"/>
  <c r="BT8" i="21"/>
  <c r="BT16" i="21"/>
  <c r="BT17" i="21"/>
  <c r="BT6" i="19"/>
  <c r="BT4" i="19"/>
  <c r="BT5" i="19"/>
  <c r="BT9" i="21"/>
  <c r="BT10" i="21"/>
  <c r="BT4" i="21"/>
  <c r="BT6" i="21"/>
  <c r="BT5" i="21"/>
  <c r="BT12" i="21"/>
  <c r="X19" i="16"/>
  <c r="M18" i="37" s="1"/>
  <c r="X5" i="16"/>
  <c r="M4" i="37" s="1"/>
  <c r="X6" i="16"/>
  <c r="M5" i="37" s="1"/>
  <c r="X11" i="16"/>
  <c r="M10" i="37" s="1"/>
  <c r="X10" i="16"/>
  <c r="M9" i="37" s="1"/>
  <c r="Y11" i="16"/>
  <c r="N10" i="37" s="1"/>
  <c r="Y10" i="16"/>
  <c r="N9" i="37" s="1"/>
  <c r="Y19" i="16"/>
  <c r="N18" i="37" s="1"/>
  <c r="Y7" i="16"/>
  <c r="N6" i="37" s="1"/>
  <c r="Y6" i="16"/>
  <c r="N5" i="37" s="1"/>
  <c r="X4" i="16"/>
  <c r="M3" i="37" s="1"/>
  <c r="X7" i="16"/>
  <c r="M6" i="37" s="1"/>
  <c r="Y8" i="16" l="1"/>
  <c r="N7" i="37" s="1"/>
  <c r="Y4" i="16"/>
  <c r="N3" i="37" s="1"/>
  <c r="BT13" i="21"/>
  <c r="Z14" i="16" s="1"/>
  <c r="O13" i="37" s="1"/>
  <c r="BT14" i="21"/>
  <c r="Z15" i="16" s="1"/>
  <c r="O14" i="37" s="1"/>
  <c r="BT11" i="21"/>
  <c r="Z12" i="16" s="1"/>
  <c r="O11" i="37" s="1"/>
  <c r="Y5" i="16"/>
  <c r="N4" i="37" s="1"/>
  <c r="Z8" i="16"/>
  <c r="O7" i="37" s="1"/>
  <c r="X17" i="16"/>
  <c r="M16" i="37" s="1"/>
  <c r="Z17" i="16"/>
  <c r="O16" i="37" s="1"/>
  <c r="X16" i="16"/>
  <c r="M15" i="37" s="1"/>
  <c r="X18" i="16"/>
  <c r="M17" i="37" s="1"/>
  <c r="Z13" i="16"/>
  <c r="O12" i="37" s="1"/>
  <c r="X12" i="16"/>
  <c r="M11" i="37" s="1"/>
  <c r="Z9" i="16"/>
  <c r="O8" i="37" s="1"/>
  <c r="X15" i="16"/>
  <c r="M14" i="37" s="1"/>
  <c r="X9" i="16"/>
  <c r="M8" i="37" s="1"/>
  <c r="X14" i="16"/>
  <c r="M13" i="37" s="1"/>
  <c r="X13" i="16"/>
  <c r="M12" i="37" s="1"/>
  <c r="Z18" i="16"/>
  <c r="O17" i="37" s="1"/>
  <c r="BT15" i="21"/>
  <c r="Z16" i="16" s="1"/>
  <c r="O15" i="37" s="1"/>
  <c r="Z4" i="16"/>
  <c r="O3" i="37" s="1"/>
  <c r="Z5" i="16"/>
  <c r="O4" i="37" s="1"/>
  <c r="Z10" i="16"/>
  <c r="O9" i="37" s="1"/>
  <c r="Z6" i="16"/>
  <c r="O5" i="37" s="1"/>
  <c r="Z19" i="16"/>
  <c r="O18" i="37" s="1"/>
  <c r="Z11" i="16"/>
  <c r="O10" i="37" s="1"/>
  <c r="Z7" i="16"/>
  <c r="O6" i="3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2F67F-C408-41BB-85A1-7676B96770C2}" name="Query - AVERAGES" description="Connection to the 'AVERAGES' query in the workbook." type="100" refreshedVersion="8" minRefreshableVersion="5">
    <extLst>
      <ext xmlns:x15="http://schemas.microsoft.com/office/spreadsheetml/2010/11/main" uri="{DE250136-89BD-433C-8126-D09CA5730AF9}">
        <x15:connection id="2dc1bff9-b0b4-4aaf-ba2f-7e5f17975c6d"/>
      </ext>
    </extLst>
  </connection>
  <connection id="2" xr16:uid="{A7C9A300-9E7A-4AFB-81EF-1759C3756FB0}" name="Query - Games + Average" description="Connection to the 'Games + Average' query in the workbook." type="100" refreshedVersion="8" minRefreshableVersion="5">
    <extLst>
      <ext xmlns:x15="http://schemas.microsoft.com/office/spreadsheetml/2010/11/main" uri="{DE250136-89BD-433C-8126-D09CA5730AF9}">
        <x15:connection id="a601498b-49b2-4d57-ba7b-bf3ec8a5e7ea"/>
      </ext>
    </extLst>
  </connection>
  <connection id="3" xr16:uid="{2E44E1C5-3D11-413B-830F-E8E3115072A3}" name="Query - vs Opponent" description="Connection to the 'vs Opponent' query in the workbook." type="100" refreshedVersion="8" minRefreshableVersion="5">
    <extLst>
      <ext xmlns:x15="http://schemas.microsoft.com/office/spreadsheetml/2010/11/main" uri="{DE250136-89BD-433C-8126-D09CA5730AF9}">
        <x15:connection id="277f2c73-8363-4dcd-af47-030dee9d2b97"/>
      </ext>
    </extLst>
  </connection>
  <connection id="4" xr16:uid="{9BB77708-ED73-4BC9-A28E-B4FADA65A4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<sst xmlns="http://schemas.openxmlformats.org/spreadsheetml/2006/main" count="1579" uniqueCount="138">
  <si>
    <t>Player</t>
  </si>
  <si>
    <t>2-pt</t>
  </si>
  <si>
    <t>FG</t>
  </si>
  <si>
    <t>FGA</t>
  </si>
  <si>
    <t>%</t>
  </si>
  <si>
    <t>3-pt</t>
  </si>
  <si>
    <t>Total</t>
  </si>
  <si>
    <t>TP</t>
  </si>
  <si>
    <t>Rebounds</t>
  </si>
  <si>
    <t>Off</t>
  </si>
  <si>
    <t>Def</t>
  </si>
  <si>
    <t>A</t>
  </si>
  <si>
    <t>TO</t>
  </si>
  <si>
    <t>Blk</t>
  </si>
  <si>
    <t>Stl</t>
  </si>
  <si>
    <t>Avg PTs</t>
  </si>
  <si>
    <t>Games</t>
  </si>
  <si>
    <t>Lewis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</si>
  <si>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</si>
  <si>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</si>
  <si>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</si>
  <si>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</si>
  <si>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</si>
  <si>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</si>
  <si>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</si>
  <si>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</si>
  <si>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</si>
  <si>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</si>
  <si>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</si>
  <si>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</si>
  <si>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</si>
  <si>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Graddick</t>
  </si>
  <si>
    <t>Baker</t>
  </si>
  <si>
    <t>#</t>
  </si>
  <si>
    <t>MP</t>
  </si>
  <si>
    <t>AVG MP</t>
  </si>
  <si>
    <t>eFG%</t>
  </si>
  <si>
    <t>TS%</t>
  </si>
  <si>
    <t>FT</t>
  </si>
  <si>
    <t>FTA</t>
  </si>
  <si>
    <t>FT%</t>
  </si>
  <si>
    <t>Usage %</t>
  </si>
  <si>
    <t>-</t>
  </si>
  <si>
    <t>Team</t>
  </si>
  <si>
    <t>Shooting % and Usage</t>
  </si>
  <si>
    <t>Ast %</t>
  </si>
  <si>
    <t>Ast Ratio</t>
  </si>
  <si>
    <t>TO Ratio</t>
  </si>
  <si>
    <t>Ast/TO</t>
  </si>
  <si>
    <t>Shooting percentage taking into account all shots (FT, 2FG, 3FG)</t>
  </si>
  <si>
    <t>Estimates number of possesions finished by the player compared to the team</t>
  </si>
  <si>
    <t>Distribution of assists over 100 possesions</t>
  </si>
  <si>
    <t>Distribution of turnovers over 100 possesions</t>
  </si>
  <si>
    <t>Ratio comparing the assists and turnovers of a player</t>
  </si>
  <si>
    <t>Assist and Turnovers</t>
  </si>
  <si>
    <t>Reb %</t>
  </si>
  <si>
    <t>Percentage of rebounds taken by a player compared to total rebound opportunities</t>
  </si>
  <si>
    <t>Off Reb %</t>
  </si>
  <si>
    <t>Def Reb %</t>
  </si>
  <si>
    <t>Tot Reb %</t>
  </si>
  <si>
    <t>Rebound Percentages</t>
  </si>
  <si>
    <t>PER</t>
  </si>
  <si>
    <t>Fls</t>
  </si>
  <si>
    <t>Stop 1</t>
  </si>
  <si>
    <t>Individual Player Rating Calculations</t>
  </si>
  <si>
    <t>OppOR%</t>
  </si>
  <si>
    <t>FMwt</t>
  </si>
  <si>
    <t>Stop 2</t>
  </si>
  <si>
    <t>Stop</t>
  </si>
  <si>
    <t>Stop%</t>
  </si>
  <si>
    <t>OppScPoss</t>
  </si>
  <si>
    <t>Num of Poss</t>
  </si>
  <si>
    <t>DefRtg</t>
  </si>
  <si>
    <t>Player Ratings</t>
  </si>
  <si>
    <t>OffRtg</t>
  </si>
  <si>
    <t>Defensive Rating Calcs</t>
  </si>
  <si>
    <t>PtsGenFG</t>
  </si>
  <si>
    <t>qAst</t>
  </si>
  <si>
    <t>PtsGenAst</t>
  </si>
  <si>
    <t>a</t>
  </si>
  <si>
    <t>TeScPoss</t>
  </si>
  <si>
    <t>TeORW</t>
  </si>
  <si>
    <t>TePl%</t>
  </si>
  <si>
    <t>PtsGenOR</t>
  </si>
  <si>
    <t>PtsGen</t>
  </si>
  <si>
    <t>ScPossFG</t>
  </si>
  <si>
    <t>ScPossAst</t>
  </si>
  <si>
    <t>ScPossFT</t>
  </si>
  <si>
    <t>ScPossOR</t>
  </si>
  <si>
    <t>FGxPoss</t>
  </si>
  <si>
    <t>FTxPoss</t>
  </si>
  <si>
    <t>PossTot</t>
  </si>
  <si>
    <t>Offensive Rating Calcs</t>
  </si>
  <si>
    <t>TeOR%</t>
  </si>
  <si>
    <t>NetRtg</t>
  </si>
  <si>
    <t>Def Rtg</t>
  </si>
  <si>
    <t>Points responsible for per 100 possesions (lower is better)</t>
  </si>
  <si>
    <t>Off Rtg</t>
  </si>
  <si>
    <t>Pace</t>
  </si>
  <si>
    <t>PIE</t>
  </si>
  <si>
    <t>Impact and Efficiency</t>
  </si>
  <si>
    <t>Net Rtg</t>
  </si>
  <si>
    <t>Overall rating per 100 possesions</t>
  </si>
  <si>
    <t>Simple Player Efficiency Rating based on a minimum threshold of shooting percentage</t>
  </si>
  <si>
    <t>2FG</t>
  </si>
  <si>
    <t>3FG</t>
  </si>
  <si>
    <t>S2TO</t>
  </si>
  <si>
    <t>S2FT</t>
  </si>
  <si>
    <t>S2FG</t>
  </si>
  <si>
    <t>Chg</t>
  </si>
  <si>
    <t>Opp</t>
  </si>
  <si>
    <t>HHS</t>
  </si>
  <si>
    <t>Opponent</t>
  </si>
  <si>
    <t>PPP</t>
  </si>
  <si>
    <t>Stat</t>
  </si>
  <si>
    <t>Definition</t>
  </si>
  <si>
    <t>Field goal percentage with greater value set on three-point shot</t>
  </si>
  <si>
    <t>Percentage of team baskets made following an assist from this player</t>
  </si>
  <si>
    <t>Points generated per 100 possesions (Higher is better)</t>
  </si>
  <si>
    <t>Estimated impact on the game based on a variety of statistics</t>
  </si>
  <si>
    <t>PER Threshold</t>
  </si>
  <si>
    <t>2FG: 37.5%     |     3FG: 28%     |     FT: 65%</t>
  </si>
  <si>
    <t>Average</t>
  </si>
  <si>
    <t>2FG%</t>
  </si>
  <si>
    <t>2FGA</t>
  </si>
  <si>
    <t>3FGA</t>
  </si>
  <si>
    <t>3FG%</t>
  </si>
  <si>
    <t>Brentwood Academy</t>
  </si>
  <si>
    <t>2fg</t>
  </si>
  <si>
    <t>3fg</t>
  </si>
  <si>
    <t>ft</t>
  </si>
  <si>
    <t>Poss</t>
  </si>
  <si>
    <t>Emsworth</t>
  </si>
  <si>
    <t>Christian Brothers</t>
  </si>
  <si>
    <t>Our Value</t>
  </si>
  <si>
    <t>Opp Value</t>
  </si>
  <si>
    <t>Sparkman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</si>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</sst>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AFAF"/>
        <bgColor indexed="64"/>
      </patternFill>
    </fill>
    <fill>
      <patternFill patternType="solid">
        <fgColor rgb="FFFFAFAF"/>
        <bgColor rgb="FF000000"/>
      </patternFill>
    </fill>
    <fill>
      <patternFill patternType="solid">
        <fgColor rgb="FFE5E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0">
    <xf numFmtId="0" fontId="0" fillId="0" borderId="0" xfId="0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9" fontId="1" fillId="4" borderId="10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9" fontId="2" fillId="7" borderId="1" xfId="1" applyFont="1" applyFill="1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0" borderId="1" xfId="1" applyFont="1" applyBorder="1"/>
    <xf numFmtId="0" fontId="0" fillId="0" borderId="5" xfId="0" applyBorder="1"/>
    <xf numFmtId="9" fontId="0" fillId="0" borderId="8" xfId="1" applyFont="1" applyBorder="1"/>
    <xf numFmtId="0" fontId="0" fillId="0" borderId="8" xfId="0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28" xfId="0" applyBorder="1"/>
    <xf numFmtId="0" fontId="0" fillId="0" borderId="10" xfId="0" applyBorder="1"/>
    <xf numFmtId="2" fontId="0" fillId="0" borderId="10" xfId="0" applyNumberFormat="1" applyBorder="1"/>
    <xf numFmtId="2" fontId="0" fillId="0" borderId="22" xfId="0" applyNumberFormat="1" applyBorder="1"/>
    <xf numFmtId="0" fontId="0" fillId="0" borderId="6" xfId="0" applyBorder="1"/>
    <xf numFmtId="0" fontId="0" fillId="0" borderId="26" xfId="0" applyBorder="1"/>
    <xf numFmtId="0" fontId="1" fillId="3" borderId="18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0" fillId="0" borderId="27" xfId="0" applyBorder="1"/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7" borderId="24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0" fontId="5" fillId="0" borderId="26" xfId="0" applyFont="1" applyBorder="1"/>
    <xf numFmtId="0" fontId="5" fillId="0" borderId="4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9" fontId="6" fillId="4" borderId="10" xfId="0" applyNumberFormat="1" applyFont="1" applyFill="1" applyBorder="1" applyAlignment="1">
      <alignment horizontal="center"/>
    </xf>
    <xf numFmtId="9" fontId="6" fillId="4" borderId="6" xfId="0" applyNumberFormat="1" applyFont="1" applyFill="1" applyBorder="1" applyAlignment="1">
      <alignment horizontal="center"/>
    </xf>
    <xf numFmtId="9" fontId="6" fillId="4" borderId="5" xfId="0" applyNumberFormat="1" applyFont="1" applyFill="1" applyBorder="1" applyAlignment="1">
      <alignment horizontal="center"/>
    </xf>
    <xf numFmtId="9" fontId="6" fillId="4" borderId="1" xfId="0" applyNumberFormat="1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9" fontId="7" fillId="7" borderId="5" xfId="1" applyFont="1" applyFill="1" applyBorder="1" applyAlignment="1">
      <alignment horizontal="center"/>
    </xf>
    <xf numFmtId="2" fontId="7" fillId="7" borderId="6" xfId="1" applyNumberFormat="1" applyFont="1" applyFill="1" applyBorder="1" applyAlignment="1">
      <alignment horizontal="center"/>
    </xf>
    <xf numFmtId="164" fontId="7" fillId="7" borderId="5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>
      <alignment horizontal="center"/>
    </xf>
    <xf numFmtId="9" fontId="7" fillId="8" borderId="5" xfId="1" applyFont="1" applyFill="1" applyBorder="1" applyAlignment="1">
      <alignment horizontal="center"/>
    </xf>
    <xf numFmtId="2" fontId="7" fillId="8" borderId="6" xfId="1" applyNumberFormat="1" applyFont="1" applyFill="1" applyBorder="1" applyAlignment="1">
      <alignment horizontal="center"/>
    </xf>
    <xf numFmtId="164" fontId="7" fillId="8" borderId="5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7" fillId="8" borderId="6" xfId="0" applyNumberFormat="1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9" fontId="7" fillId="8" borderId="33" xfId="1" applyFont="1" applyFill="1" applyBorder="1" applyAlignment="1">
      <alignment horizontal="center"/>
    </xf>
    <xf numFmtId="2" fontId="7" fillId="8" borderId="32" xfId="1" applyNumberFormat="1" applyFont="1" applyFill="1" applyBorder="1" applyAlignment="1">
      <alignment horizontal="center"/>
    </xf>
    <xf numFmtId="164" fontId="7" fillId="8" borderId="33" xfId="0" applyNumberFormat="1" applyFont="1" applyFill="1" applyBorder="1" applyAlignment="1">
      <alignment horizontal="center"/>
    </xf>
    <xf numFmtId="164" fontId="7" fillId="8" borderId="14" xfId="0" applyNumberFormat="1" applyFont="1" applyFill="1" applyBorder="1" applyAlignment="1">
      <alignment horizontal="center"/>
    </xf>
    <xf numFmtId="164" fontId="7" fillId="8" borderId="32" xfId="0" applyNumberFormat="1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9" fontId="7" fillId="7" borderId="38" xfId="1" applyFont="1" applyFill="1" applyBorder="1" applyAlignment="1">
      <alignment horizontal="center"/>
    </xf>
    <xf numFmtId="2" fontId="7" fillId="7" borderId="37" xfId="1" applyNumberFormat="1" applyFont="1" applyFill="1" applyBorder="1" applyAlignment="1">
      <alignment horizontal="center"/>
    </xf>
    <xf numFmtId="164" fontId="7" fillId="7" borderId="37" xfId="0" applyNumberFormat="1" applyFont="1" applyFill="1" applyBorder="1" applyAlignment="1">
      <alignment horizontal="center"/>
    </xf>
    <xf numFmtId="9" fontId="7" fillId="7" borderId="38" xfId="0" applyNumberFormat="1" applyFont="1" applyFill="1" applyBorder="1" applyAlignment="1">
      <alignment horizontal="center"/>
    </xf>
    <xf numFmtId="2" fontId="7" fillId="7" borderId="5" xfId="1" applyNumberFormat="1" applyFont="1" applyFill="1" applyBorder="1" applyAlignment="1">
      <alignment horizontal="center"/>
    </xf>
    <xf numFmtId="2" fontId="7" fillId="8" borderId="5" xfId="1" applyNumberFormat="1" applyFont="1" applyFill="1" applyBorder="1" applyAlignment="1">
      <alignment horizontal="center"/>
    </xf>
    <xf numFmtId="164" fontId="7" fillId="7" borderId="5" xfId="1" applyNumberFormat="1" applyFont="1" applyFill="1" applyBorder="1" applyAlignment="1">
      <alignment horizontal="center"/>
    </xf>
    <xf numFmtId="164" fontId="7" fillId="8" borderId="5" xfId="1" applyNumberFormat="1" applyFont="1" applyFill="1" applyBorder="1" applyAlignment="1">
      <alignment horizontal="center"/>
    </xf>
    <xf numFmtId="164" fontId="7" fillId="8" borderId="33" xfId="1" applyNumberFormat="1" applyFont="1" applyFill="1" applyBorder="1" applyAlignment="1">
      <alignment horizontal="center"/>
    </xf>
    <xf numFmtId="164" fontId="7" fillId="7" borderId="38" xfId="0" applyNumberFormat="1" applyFont="1" applyFill="1" applyBorder="1" applyAlignment="1">
      <alignment horizontal="center"/>
    </xf>
    <xf numFmtId="164" fontId="7" fillId="7" borderId="39" xfId="0" applyNumberFormat="1" applyFont="1" applyFill="1" applyBorder="1" applyAlignment="1">
      <alignment horizontal="center"/>
    </xf>
    <xf numFmtId="9" fontId="7" fillId="7" borderId="1" xfId="1" applyFont="1" applyFill="1" applyBorder="1" applyAlignment="1">
      <alignment horizontal="center"/>
    </xf>
    <xf numFmtId="9" fontId="7" fillId="7" borderId="6" xfId="0" applyNumberFormat="1" applyFont="1" applyFill="1" applyBorder="1" applyAlignment="1">
      <alignment horizontal="center"/>
    </xf>
    <xf numFmtId="9" fontId="7" fillId="7" borderId="10" xfId="0" applyNumberFormat="1" applyFont="1" applyFill="1" applyBorder="1" applyAlignment="1">
      <alignment horizontal="center"/>
    </xf>
    <xf numFmtId="9" fontId="7" fillId="7" borderId="20" xfId="1" applyFont="1" applyFill="1" applyBorder="1" applyAlignment="1">
      <alignment horizontal="center"/>
    </xf>
    <xf numFmtId="9" fontId="7" fillId="8" borderId="1" xfId="1" applyFont="1" applyFill="1" applyBorder="1" applyAlignment="1">
      <alignment horizontal="center"/>
    </xf>
    <xf numFmtId="9" fontId="7" fillId="8" borderId="6" xfId="0" applyNumberFormat="1" applyFont="1" applyFill="1" applyBorder="1" applyAlignment="1">
      <alignment horizontal="center"/>
    </xf>
    <xf numFmtId="9" fontId="7" fillId="8" borderId="10" xfId="0" applyNumberFormat="1" applyFont="1" applyFill="1" applyBorder="1" applyAlignment="1">
      <alignment horizontal="center"/>
    </xf>
    <xf numFmtId="9" fontId="7" fillId="8" borderId="20" xfId="1" applyFont="1" applyFill="1" applyBorder="1" applyAlignment="1">
      <alignment horizontal="center"/>
    </xf>
    <xf numFmtId="9" fontId="7" fillId="8" borderId="14" xfId="1" applyFont="1" applyFill="1" applyBorder="1" applyAlignment="1">
      <alignment horizontal="center"/>
    </xf>
    <xf numFmtId="9" fontId="7" fillId="8" borderId="32" xfId="0" applyNumberFormat="1" applyFont="1" applyFill="1" applyBorder="1" applyAlignment="1">
      <alignment horizontal="center"/>
    </xf>
    <xf numFmtId="9" fontId="7" fillId="8" borderId="34" xfId="0" applyNumberFormat="1" applyFont="1" applyFill="1" applyBorder="1" applyAlignment="1">
      <alignment horizontal="center"/>
    </xf>
    <xf numFmtId="9" fontId="7" fillId="8" borderId="35" xfId="1" applyFont="1" applyFill="1" applyBorder="1" applyAlignment="1">
      <alignment horizontal="center"/>
    </xf>
    <xf numFmtId="9" fontId="7" fillId="7" borderId="39" xfId="1" applyFont="1" applyFill="1" applyBorder="1" applyAlignment="1">
      <alignment horizontal="center"/>
    </xf>
    <xf numFmtId="9" fontId="7" fillId="7" borderId="37" xfId="0" applyNumberFormat="1" applyFont="1" applyFill="1" applyBorder="1" applyAlignment="1">
      <alignment horizontal="center"/>
    </xf>
    <xf numFmtId="9" fontId="7" fillId="7" borderId="40" xfId="1" applyFont="1" applyFill="1" applyBorder="1" applyAlignment="1">
      <alignment horizontal="center"/>
    </xf>
    <xf numFmtId="9" fontId="7" fillId="7" borderId="39" xfId="0" applyNumberFormat="1" applyFont="1" applyFill="1" applyBorder="1" applyAlignment="1">
      <alignment horizontal="center"/>
    </xf>
    <xf numFmtId="9" fontId="7" fillId="7" borderId="41" xfId="1" applyFont="1" applyFill="1" applyBorder="1" applyAlignment="1">
      <alignment horizontal="center"/>
    </xf>
    <xf numFmtId="9" fontId="2" fillId="7" borderId="6" xfId="0" applyNumberFormat="1" applyFont="1" applyFill="1" applyBorder="1" applyAlignment="1">
      <alignment horizontal="center"/>
    </xf>
    <xf numFmtId="9" fontId="2" fillId="8" borderId="6" xfId="0" applyNumberFormat="1" applyFont="1" applyFill="1" applyBorder="1" applyAlignment="1">
      <alignment horizontal="center"/>
    </xf>
    <xf numFmtId="9" fontId="2" fillId="6" borderId="9" xfId="0" applyNumberFormat="1" applyFont="1" applyFill="1" applyBorder="1" applyAlignment="1">
      <alignment horizontal="center"/>
    </xf>
    <xf numFmtId="9" fontId="2" fillId="7" borderId="10" xfId="0" applyNumberFormat="1" applyFont="1" applyFill="1" applyBorder="1" applyAlignment="1">
      <alignment horizontal="center"/>
    </xf>
    <xf numFmtId="9" fontId="2" fillId="8" borderId="10" xfId="0" applyNumberFormat="1" applyFont="1" applyFill="1" applyBorder="1" applyAlignment="1">
      <alignment horizontal="center"/>
    </xf>
    <xf numFmtId="9" fontId="2" fillId="6" borderId="22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9" fontId="2" fillId="6" borderId="8" xfId="0" applyNumberFormat="1" applyFont="1" applyFill="1" applyBorder="1" applyAlignment="1">
      <alignment horizontal="center"/>
    </xf>
    <xf numFmtId="9" fontId="0" fillId="0" borderId="0" xfId="0" applyNumberForma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25" xfId="0" applyFont="1" applyBorder="1"/>
    <xf numFmtId="0" fontId="0" fillId="9" borderId="0" xfId="0" applyFill="1"/>
    <xf numFmtId="0" fontId="4" fillId="0" borderId="0" xfId="0" applyFont="1" applyAlignment="1">
      <alignment horizontal="center"/>
    </xf>
    <xf numFmtId="0" fontId="4" fillId="0" borderId="26" xfId="0" applyFont="1" applyBorder="1"/>
    <xf numFmtId="0" fontId="4" fillId="0" borderId="15" xfId="0" applyFont="1" applyBorder="1"/>
    <xf numFmtId="0" fontId="4" fillId="0" borderId="27" xfId="0" applyFont="1" applyBorder="1"/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2" fillId="7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2" fillId="6" borderId="8" xfId="0" applyNumberFormat="1" applyFont="1" applyFill="1" applyBorder="1" applyAlignment="1">
      <alignment horizontal="center"/>
    </xf>
    <xf numFmtId="1" fontId="0" fillId="0" borderId="0" xfId="0" applyNumberFormat="1"/>
    <xf numFmtId="2" fontId="2" fillId="7" borderId="1" xfId="0" applyNumberFormat="1" applyFon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AEDFE765-6460-4A93-ACCE-C9D93819A7A7}"/>
  </tableStyles>
  <colors>
    <mruColors>
      <color rgb="FF4C0000"/>
      <color rgb="FF7E0000"/>
      <color rgb="FFE5E6FF"/>
      <color rgb="FFECF0F8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70371-3AAA-4F1F-8E04-D2108DB4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D8E760-3369-4B8B-8671-4F6249F17D67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C1ED06-54C9-43EB-AC79-AF2B80EF73D1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38C3E3-8D00-4038-B1D1-5455B10AECA7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B8F42B-B1CA-48A8-AEE8-23B01C27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E5F33D-1E43-4A6A-B3B7-CFEDB60E99B6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947B-E293-4EA0-9E22-3517297690F3}">
  <dimension ref="A1:Q21"/>
  <sheetViews>
    <sheetView workbookViewId="0">
      <selection activeCell="N20" sqref="N20"/>
    </sheetView>
  </sheetViews>
  <sheetFormatPr defaultRowHeight="14.4" x14ac:dyDescent="0.55000000000000004"/>
  <sheetData>
    <row r="1" spans="1:13" ht="14.7" thickBot="1" x14ac:dyDescent="0.6"/>
    <row r="2" spans="1:13" x14ac:dyDescent="0.55000000000000004">
      <c r="A2" s="146" t="s">
        <v>114</v>
      </c>
      <c r="B2" s="147" t="s">
        <v>115</v>
      </c>
      <c r="C2" s="147"/>
      <c r="D2" s="147"/>
      <c r="E2" s="147"/>
      <c r="F2" s="147"/>
      <c r="G2" s="147"/>
      <c r="H2" s="147"/>
      <c r="I2" s="148"/>
    </row>
    <row r="3" spans="1:13" x14ac:dyDescent="0.55000000000000004">
      <c r="A3" s="143" t="s">
        <v>36</v>
      </c>
      <c r="B3" t="s">
        <v>116</v>
      </c>
      <c r="I3" s="49"/>
    </row>
    <row r="4" spans="1:13" x14ac:dyDescent="0.55000000000000004">
      <c r="A4" s="143" t="s">
        <v>37</v>
      </c>
      <c r="B4" t="s">
        <v>49</v>
      </c>
      <c r="I4" s="49"/>
    </row>
    <row r="5" spans="1:13" x14ac:dyDescent="0.55000000000000004">
      <c r="A5" s="143" t="s">
        <v>41</v>
      </c>
      <c r="B5" t="s">
        <v>50</v>
      </c>
      <c r="I5" s="49"/>
    </row>
    <row r="6" spans="1:13" x14ac:dyDescent="0.55000000000000004">
      <c r="A6" s="143" t="s">
        <v>45</v>
      </c>
      <c r="B6" t="s">
        <v>117</v>
      </c>
      <c r="I6" s="49"/>
    </row>
    <row r="7" spans="1:13" x14ac:dyDescent="0.55000000000000004">
      <c r="A7" s="143" t="s">
        <v>46</v>
      </c>
      <c r="B7" t="s">
        <v>51</v>
      </c>
      <c r="I7" s="49"/>
    </row>
    <row r="8" spans="1:13" x14ac:dyDescent="0.55000000000000004">
      <c r="A8" s="143" t="s">
        <v>47</v>
      </c>
      <c r="B8" t="s">
        <v>52</v>
      </c>
      <c r="I8" s="49"/>
    </row>
    <row r="9" spans="1:13" x14ac:dyDescent="0.55000000000000004">
      <c r="A9" s="143" t="s">
        <v>48</v>
      </c>
      <c r="B9" t="s">
        <v>53</v>
      </c>
      <c r="I9" s="49"/>
    </row>
    <row r="10" spans="1:13" x14ac:dyDescent="0.55000000000000004">
      <c r="A10" s="143" t="s">
        <v>55</v>
      </c>
      <c r="B10" t="s">
        <v>56</v>
      </c>
      <c r="I10" s="49"/>
    </row>
    <row r="11" spans="1:13" x14ac:dyDescent="0.55000000000000004">
      <c r="A11" s="143" t="s">
        <v>95</v>
      </c>
      <c r="B11" t="s">
        <v>96</v>
      </c>
      <c r="I11" s="49"/>
    </row>
    <row r="12" spans="1:13" x14ac:dyDescent="0.55000000000000004">
      <c r="A12" s="143" t="s">
        <v>97</v>
      </c>
      <c r="B12" t="s">
        <v>118</v>
      </c>
      <c r="I12" s="49"/>
    </row>
    <row r="13" spans="1:13" x14ac:dyDescent="0.55000000000000004">
      <c r="A13" s="143" t="s">
        <v>101</v>
      </c>
      <c r="B13" t="s">
        <v>102</v>
      </c>
      <c r="I13" s="49"/>
    </row>
    <row r="14" spans="1:13" x14ac:dyDescent="0.55000000000000004">
      <c r="A14" s="143" t="s">
        <v>99</v>
      </c>
      <c r="B14" t="s">
        <v>119</v>
      </c>
      <c r="I14" s="49"/>
      <c r="K14" t="s">
        <v>128</v>
      </c>
      <c r="L14" t="s">
        <v>129</v>
      </c>
      <c r="M14" t="s">
        <v>130</v>
      </c>
    </row>
    <row r="15" spans="1:13" x14ac:dyDescent="0.55000000000000004">
      <c r="A15" s="149" t="s">
        <v>61</v>
      </c>
      <c r="B15" t="s">
        <v>103</v>
      </c>
      <c r="I15" s="49"/>
      <c r="K15">
        <v>0.375</v>
      </c>
      <c r="L15">
        <v>0.28000000000000003</v>
      </c>
      <c r="M15">
        <v>0.65</v>
      </c>
    </row>
    <row r="16" spans="1:13" x14ac:dyDescent="0.55000000000000004">
      <c r="A16" s="149" t="s">
        <v>120</v>
      </c>
      <c r="B16" t="s">
        <v>121</v>
      </c>
    </row>
    <row r="21" spans="16:17" x14ac:dyDescent="0.55000000000000004">
      <c r="P21" s="151"/>
      <c r="Q21" s="15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F3C-6BEB-4295-9A94-786665FD0A09}">
  <dimension ref="B1:CZ20"/>
  <sheetViews>
    <sheetView topLeftCell="AB1" zoomScale="65" zoomScaleNormal="60" workbookViewId="0">
      <selection activeCell="BD21" sqref="BD21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52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3125" bestFit="1" customWidth="1"/>
    <col min="35" max="35" width="2.89453125" bestFit="1" customWidth="1"/>
    <col min="36" max="36" width="4.1015625" bestFit="1" customWidth="1"/>
    <col min="37" max="37" width="4.3125" bestFit="1" customWidth="1"/>
    <col min="38" max="38" width="2.62890625" bestFit="1" customWidth="1"/>
    <col min="39" max="39" width="3.83984375" bestFit="1" customWidth="1"/>
    <col min="40" max="40" width="4" bestFit="1" customWidth="1"/>
    <col min="41" max="41" width="2.89453125" bestFit="1" customWidth="1"/>
    <col min="42" max="42" width="4.1015625" bestFit="1" customWidth="1"/>
    <col min="43" max="43" width="4.3125" bestFit="1" customWidth="1"/>
    <col min="44" max="44" width="2.8398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6" t="s">
        <v>1</v>
      </c>
      <c r="E1" s="177"/>
      <c r="F1" s="178"/>
      <c r="G1" s="179" t="s">
        <v>5</v>
      </c>
      <c r="H1" s="180"/>
      <c r="I1" s="181"/>
      <c r="J1" s="182" t="s">
        <v>38</v>
      </c>
      <c r="K1" s="183"/>
      <c r="L1" s="184"/>
      <c r="M1" s="185" t="s">
        <v>6</v>
      </c>
      <c r="N1" s="185"/>
      <c r="O1" s="185"/>
      <c r="P1" s="186"/>
      <c r="Q1" s="187" t="s">
        <v>8</v>
      </c>
      <c r="R1" s="188"/>
      <c r="S1" s="189"/>
      <c r="T1" s="174"/>
      <c r="U1" s="175"/>
      <c r="V1" s="175"/>
      <c r="W1" s="175"/>
      <c r="X1" s="175"/>
      <c r="Y1" s="175"/>
      <c r="Z1" s="37"/>
      <c r="AD1" s="11" t="s">
        <v>110</v>
      </c>
      <c r="AE1" s="11"/>
      <c r="AF1" s="176" t="s">
        <v>1</v>
      </c>
      <c r="AG1" s="177"/>
      <c r="AH1" s="178"/>
      <c r="AI1" s="179" t="s">
        <v>5</v>
      </c>
      <c r="AJ1" s="180"/>
      <c r="AK1" s="181"/>
      <c r="AL1" s="182" t="s">
        <v>38</v>
      </c>
      <c r="AM1" s="183"/>
      <c r="AN1" s="184"/>
      <c r="AO1" s="185" t="s">
        <v>6</v>
      </c>
      <c r="AP1" s="185"/>
      <c r="AQ1" s="185"/>
      <c r="AR1" s="186"/>
      <c r="AS1" s="187" t="s">
        <v>8</v>
      </c>
      <c r="AT1" s="188"/>
      <c r="AU1" s="189"/>
      <c r="AV1" s="174"/>
      <c r="AW1" s="175"/>
      <c r="AX1" s="175"/>
      <c r="AY1" s="175"/>
      <c r="AZ1" s="175"/>
      <c r="BA1" s="175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6" t="s">
        <v>64</v>
      </c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7"/>
    </row>
    <row r="3" spans="2:104" ht="23.1" x14ac:dyDescent="0.85">
      <c r="B3" s="11">
        <v>0</v>
      </c>
      <c r="C3" s="11" t="s">
        <v>17</v>
      </c>
      <c r="D3" s="15">
        <v>0</v>
      </c>
      <c r="E3" s="16">
        <v>2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2</v>
      </c>
      <c r="O3" s="136">
        <f>IFERROR(M3/N3,0)</f>
        <v>0</v>
      </c>
      <c r="P3" s="17">
        <f>(D3*2)+(G3*3)+(J3)</f>
        <v>0</v>
      </c>
      <c r="Q3" s="15">
        <v>2</v>
      </c>
      <c r="R3" s="16">
        <v>0</v>
      </c>
      <c r="S3" s="17">
        <f>Q3+R3</f>
        <v>2</v>
      </c>
      <c r="T3" s="15">
        <v>0</v>
      </c>
      <c r="U3" s="16">
        <v>1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7</v>
      </c>
      <c r="AB3" s="60">
        <f>IFERROR($N$18+0.44*$K$18-(1.07*($Q$18/($Q$18+$AT$18))*($N$18-$M$18))+U18, 0)</f>
        <v>60.240571428571428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51.856428571428566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0.1749271137026239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0.33333333333333331</v>
      </c>
      <c r="BN3" s="82">
        <f t="shared" ref="BN3:BN18" si="8">IFERROR(T3/U3, 0)</f>
        <v>0</v>
      </c>
      <c r="BO3" s="81">
        <f t="shared" ref="BO3:BO17" si="9">IFERROR(Q3/(($Q$18+$AT$18)*((5*AA3)/$AA$18)), 0)</f>
        <v>0.2612571428571428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0.11875324675324672</v>
      </c>
      <c r="BR3" s="83">
        <f t="shared" ref="BR3:BR16" si="12">IFERROR($BR$18+0.2*(100*($AR$18/CI5)*(1-CH5)-$BR$18), 0)</f>
        <v>72.504950731196388</v>
      </c>
      <c r="BS3" s="84">
        <f t="shared" ref="BS3:BS16" si="13">IFERROR((CS5/CZ5)*100, 0)</f>
        <v>23.843272449977306</v>
      </c>
      <c r="BT3" s="85">
        <f>BS3-BR3</f>
        <v>-48.661678281219082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-1.1904761904761904E-2</v>
      </c>
      <c r="BV3" s="85">
        <f>IFERROR((D3*2)-(E3*((homedefinitions!$K$15)*2))+(G3*3)-(H3*((homedefinitions!$L$15)*3))+(J3)-(K3*(homedefinitions!$M$15))+S3+T3+V3+W3-U3, 0)</f>
        <v>0.5</v>
      </c>
      <c r="BX3" s="54"/>
      <c r="BY3" s="57"/>
      <c r="BZ3" s="168" t="s">
        <v>75</v>
      </c>
      <c r="CA3" s="169"/>
      <c r="CB3" s="169"/>
      <c r="CC3" s="169"/>
      <c r="CD3" s="169"/>
      <c r="CE3" s="169"/>
      <c r="CF3" s="169"/>
      <c r="CG3" s="169"/>
      <c r="CH3" s="169"/>
      <c r="CI3" s="170"/>
      <c r="CJ3" s="171" t="s">
        <v>92</v>
      </c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3"/>
    </row>
    <row r="4" spans="2:104" ht="23.1" x14ac:dyDescent="0.85">
      <c r="B4" s="11">
        <v>1</v>
      </c>
      <c r="C4" s="11" t="s">
        <v>18</v>
      </c>
      <c r="D4" s="18">
        <v>4</v>
      </c>
      <c r="E4" s="19">
        <v>4</v>
      </c>
      <c r="F4" s="131">
        <f t="shared" ref="F4:F18" si="15">IFERROR(D4/E4,0)</f>
        <v>1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4</v>
      </c>
      <c r="N4" s="19">
        <f t="shared" si="0"/>
        <v>5</v>
      </c>
      <c r="O4" s="137">
        <f t="shared" ref="O4:O18" si="18">IFERROR(M4/N4,0)</f>
        <v>0.8</v>
      </c>
      <c r="P4" s="20">
        <f t="shared" ref="P4:P17" si="19">(D4*2)+(G4*3)+(J4)</f>
        <v>8</v>
      </c>
      <c r="Q4" s="18">
        <v>0</v>
      </c>
      <c r="R4" s="19">
        <v>7</v>
      </c>
      <c r="S4" s="20">
        <f t="shared" ref="S4:S18" si="20">Q4+R4</f>
        <v>7</v>
      </c>
      <c r="T4" s="18">
        <v>1</v>
      </c>
      <c r="U4" s="19">
        <v>3</v>
      </c>
      <c r="V4" s="19">
        <v>0</v>
      </c>
      <c r="W4" s="19">
        <v>1</v>
      </c>
      <c r="X4" s="19">
        <v>0</v>
      </c>
      <c r="Y4" s="19">
        <v>0</v>
      </c>
      <c r="Z4" s="19">
        <v>1</v>
      </c>
      <c r="AA4" s="153">
        <v>16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0.8</v>
      </c>
      <c r="BI4" s="117">
        <f t="shared" si="3"/>
        <v>0.8</v>
      </c>
      <c r="BJ4" s="118">
        <f t="shared" si="4"/>
        <v>0.2040816326530612</v>
      </c>
      <c r="BK4" s="86">
        <f t="shared" si="5"/>
        <v>0.11766868639331722</v>
      </c>
      <c r="BL4" s="117">
        <f t="shared" si="6"/>
        <v>0.1111111111111111</v>
      </c>
      <c r="BM4" s="119">
        <f t="shared" si="7"/>
        <v>0.33333333333333331</v>
      </c>
      <c r="BN4" s="87">
        <f t="shared" si="8"/>
        <v>0.33333333333333331</v>
      </c>
      <c r="BO4" s="86">
        <f t="shared" si="9"/>
        <v>0</v>
      </c>
      <c r="BP4" s="117">
        <f t="shared" si="10"/>
        <v>0.33337499999999992</v>
      </c>
      <c r="BQ4" s="120">
        <f t="shared" si="11"/>
        <v>0.18184090909090905</v>
      </c>
      <c r="BR4" s="88">
        <f t="shared" si="12"/>
        <v>47.458296819253</v>
      </c>
      <c r="BS4" s="89">
        <f t="shared" si="13"/>
        <v>97.148940291857556</v>
      </c>
      <c r="BT4" s="90">
        <f t="shared" ref="BT4:BT18" si="27">BS4-BR4</f>
        <v>49.690643472604556</v>
      </c>
      <c r="BU4" s="86">
        <f t="shared" si="14"/>
        <v>0.15476190476190477</v>
      </c>
      <c r="BV4" s="85">
        <f>IFERROR((D4*2)-(E4*((homedefinitions!$K$15)*2))+(G4*3)-(H4*((homedefinitions!$L$15)*3))+(J4)-(K4*(homedefinitions!$M$15))+S4+T4+V4+W4-U4, 0)</f>
        <v>10.16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1</v>
      </c>
      <c r="H5" s="16">
        <v>2</v>
      </c>
      <c r="I5" s="133">
        <f t="shared" si="16"/>
        <v>0.5</v>
      </c>
      <c r="J5" s="33">
        <v>0</v>
      </c>
      <c r="K5" s="33">
        <v>0</v>
      </c>
      <c r="L5" s="31">
        <f t="shared" si="17"/>
        <v>0</v>
      </c>
      <c r="M5" s="21">
        <f t="shared" si="0"/>
        <v>2</v>
      </c>
      <c r="N5" s="16">
        <f t="shared" si="0"/>
        <v>4</v>
      </c>
      <c r="O5" s="136">
        <f t="shared" si="18"/>
        <v>0.5</v>
      </c>
      <c r="P5" s="17">
        <f t="shared" si="19"/>
        <v>5</v>
      </c>
      <c r="Q5" s="15">
        <v>1</v>
      </c>
      <c r="R5" s="16">
        <v>0</v>
      </c>
      <c r="S5" s="17">
        <f t="shared" si="20"/>
        <v>1</v>
      </c>
      <c r="T5" s="15">
        <v>0</v>
      </c>
      <c r="U5" s="16">
        <v>1</v>
      </c>
      <c r="V5" s="16">
        <v>1</v>
      </c>
      <c r="W5" s="16">
        <v>0</v>
      </c>
      <c r="X5" s="16">
        <v>0</v>
      </c>
      <c r="Y5" s="16">
        <v>0</v>
      </c>
      <c r="Z5" s="16">
        <v>0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0.625</v>
      </c>
      <c r="BI5" s="113">
        <f t="shared" si="3"/>
        <v>0.625</v>
      </c>
      <c r="BJ5" s="114">
        <f t="shared" si="4"/>
        <v>0.1360544217687075</v>
      </c>
      <c r="BK5" s="81">
        <f t="shared" si="5"/>
        <v>0</v>
      </c>
      <c r="BL5" s="113">
        <f t="shared" si="6"/>
        <v>0</v>
      </c>
      <c r="BM5" s="115">
        <f t="shared" si="7"/>
        <v>0.2</v>
      </c>
      <c r="BN5" s="82">
        <f t="shared" si="8"/>
        <v>0</v>
      </c>
      <c r="BO5" s="81">
        <f t="shared" si="9"/>
        <v>6.0959999999999986E-2</v>
      </c>
      <c r="BP5" s="113">
        <f t="shared" si="10"/>
        <v>0</v>
      </c>
      <c r="BQ5" s="116">
        <f t="shared" si="11"/>
        <v>2.7709090909090902E-2</v>
      </c>
      <c r="BR5" s="83">
        <f t="shared" si="12"/>
        <v>89.910587976985994</v>
      </c>
      <c r="BS5" s="84">
        <f t="shared" si="13"/>
        <v>113.52588921111146</v>
      </c>
      <c r="BT5" s="85">
        <f t="shared" si="27"/>
        <v>23.615301234125468</v>
      </c>
      <c r="BU5" s="81">
        <f t="shared" si="14"/>
        <v>3.5714285714285712E-2</v>
      </c>
      <c r="BV5" s="85">
        <f>IFERROR((D5*2)-(E5*((homedefinitions!$K$15)*2))+(G5*3)-(H5*((homedefinitions!$L$15)*3))+(J5)-(K5*(homedefinitions!$M$15))+S5+T5+V5+W5-U5, 0)</f>
        <v>2.82</v>
      </c>
      <c r="BX5" s="26">
        <v>0</v>
      </c>
      <c r="BY5" s="25" t="s">
        <v>17</v>
      </c>
      <c r="BZ5" s="47">
        <f t="shared" ref="BZ5:BZ18" si="28">IFERROR(W3+((V3*CB5)*(1-(1.07*CA5)))+(R3*(1-CB5)), 0)</f>
        <v>1</v>
      </c>
      <c r="CA5" s="39">
        <f>IFERROR(($AS$18/($AS$18+$R$18)), 0)</f>
        <v>0.35714285714285715</v>
      </c>
      <c r="CB5" s="45">
        <f>IFERROR(($AQ$18*(1-CA5))/($AQ$18*(1-CA5)+(CA5*(1-$AQ$18))), 0)</f>
        <v>0.4247787610619469</v>
      </c>
      <c r="CC5" s="45">
        <f t="shared" ref="CC5:CC18" si="29">IFERROR(((($AP$18-$AO$18-$V$18)*CB5*(1-1.07*CA5))/$AA$18)*AA3, 0)</f>
        <v>0.4133111679624118</v>
      </c>
      <c r="CD5" s="45">
        <f t="shared" ref="CD5:CD18" si="30">IFERROR((Z3/$Z$18)*0.4*$AM$18*((1-$AN$18)^2), 0)</f>
        <v>0</v>
      </c>
      <c r="CE5" s="36">
        <f t="shared" ref="CE5:CE18" si="31">IFERROR((($AW$18-$W$18)/$AA$18)*AA3, 0)</f>
        <v>0</v>
      </c>
      <c r="CF5" s="45">
        <f>IFERROR(CC5+CE5+CD5, 0)</f>
        <v>0.4133111679624118</v>
      </c>
      <c r="CG5" s="45">
        <f>IFERROR(BZ5+CF5, 0)</f>
        <v>1.4133111679624117</v>
      </c>
      <c r="CH5" s="45">
        <f t="shared" ref="CH5:CH18" si="32">IFERROR(CG5/($BD$3*(AA3/$BC$18)),0)</f>
        <v>0.62295565193456082</v>
      </c>
      <c r="CI5" s="51">
        <f>IFERROR($AO$18+(1-((1-$AN$18)^2))*0.4*$AM$18, 0)</f>
        <v>16</v>
      </c>
      <c r="CJ5" s="47">
        <f t="shared" ref="CJ5:CJ18" si="33">IFERROR(2*(M3+0.5*G3)*(1-(0.5*((P3-J3)/(2*N3)))*CK5), 0)</f>
        <v>0</v>
      </c>
      <c r="CK5" s="45">
        <f t="shared" ref="CK5:CK18" si="34">IFERROR(((5*AA3/$AA$18)*1.14*(($T$18-T3)/$M$18))+((1-(5*AA3/$AA$18))*(((($T$18/$AA$18)*AA3*5)-T3)/((($M$18/$AA$18)*AA3*5)-M3))), 0)</f>
        <v>0.53592300962379713</v>
      </c>
      <c r="CL5" s="45">
        <f t="shared" ref="CL5:CL18" si="35">IFERROR(2*((($M$18)+0.5*($H$18-G3))/($M$18-M3))*0.5*((($P$18-$J$18)-(P3-J3))/(2*($N$18-N3)))*T3, 0)</f>
        <v>0</v>
      </c>
      <c r="CM5" s="45">
        <f t="shared" ref="CM5:CM20" si="36">IFERROR(1-($Q$18/CN5)*CO5*CQ5, 0)</f>
        <v>0.92225696904762888</v>
      </c>
      <c r="CN5" s="45">
        <f>IFERROR($M$18+(1-(1-($J$18/$K$18))^2)*$K$18*0.4, 0)</f>
        <v>27.560000000000002</v>
      </c>
      <c r="CO5" s="45">
        <f>IFERROR(((1-CP5)*CQ5)/((1-CP5)*CQ5+(1-CQ5)*CP5), 0)</f>
        <v>0.33861409037032764</v>
      </c>
      <c r="CP5" s="45">
        <f>IFERROR($Q$18/($Q$18+$AT$18), 0)</f>
        <v>0.51428571428571423</v>
      </c>
      <c r="CQ5" s="45">
        <f>IFERROR(CN5/($N$18+0.44*$K$18+$U$18), 0)</f>
        <v>0.35153061224489796</v>
      </c>
      <c r="CR5" s="45">
        <f t="shared" ref="CR5:CR18" si="37">IFERROR(Q3*CO5*CQ5*($P$18/($M$18+(1-(1-($J$18/$K$18))^2)*0.4*$K$18)), 0)</f>
        <v>0.50964875846554414</v>
      </c>
      <c r="CS5" s="45">
        <f t="shared" ref="CS5:CS18" si="38">IFERROR((CJ5+CL5+J3)*CM5+CR5, 0)</f>
        <v>0.50964875846554414</v>
      </c>
      <c r="CT5" s="45">
        <f t="shared" ref="CT5:CT18" si="39">IFERROR(M3*(1-(0.5*((P3-J3)/(2*N3)))*CK5), 0)</f>
        <v>0</v>
      </c>
      <c r="CU5" s="45">
        <f t="shared" ref="CU5:CU18" si="40">IFERROR(0.5*((($P$18-$J$18)-(P3-J3))/(2*($N$18-N3)))*T3, 0)</f>
        <v>0</v>
      </c>
      <c r="CV5" s="45">
        <f t="shared" ref="CV5:CV18" si="41">IFERROR((1-(1-(J3/K3))^2)*0.4*K3, 0)</f>
        <v>0</v>
      </c>
      <c r="CW5" s="45">
        <f t="shared" ref="CW5:CW18" si="42">IFERROR(Q3*CO5*CQ5, 0)</f>
        <v>0.23806643700526095</v>
      </c>
      <c r="CX5" s="45">
        <f t="shared" ref="CX5:CX18" si="43">IFERROR((N3-M3)*(1-(1.07*CP5)), 0)</f>
        <v>0.89942857142857147</v>
      </c>
      <c r="CY5" s="45">
        <f t="shared" ref="CY5:CY18" si="44">IFERROR(((1-(J3/K3))^2)*0.4*K3, 0)</f>
        <v>0</v>
      </c>
      <c r="CZ5" s="43">
        <f t="shared" ref="CZ5:CZ18" si="45">IFERROR(((CT5+CU5+CV5)*CM5)+CW5+CX5+CY5+U3, 0)</f>
        <v>2.1374950084338327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0</v>
      </c>
      <c r="H6" s="19">
        <v>2</v>
      </c>
      <c r="I6" s="134">
        <f t="shared" si="16"/>
        <v>0</v>
      </c>
      <c r="J6" s="34">
        <v>0</v>
      </c>
      <c r="K6" s="34">
        <v>0</v>
      </c>
      <c r="L6" s="32">
        <f t="shared" si="17"/>
        <v>0</v>
      </c>
      <c r="M6" s="22">
        <f t="shared" si="0"/>
        <v>0</v>
      </c>
      <c r="N6" s="19">
        <f t="shared" si="0"/>
        <v>2</v>
      </c>
      <c r="O6" s="137">
        <f t="shared" si="18"/>
        <v>0</v>
      </c>
      <c r="P6" s="20">
        <f t="shared" si="19"/>
        <v>0</v>
      </c>
      <c r="Q6" s="18">
        <v>0</v>
      </c>
      <c r="R6" s="19">
        <v>2</v>
      </c>
      <c r="S6" s="20">
        <f t="shared" si="20"/>
        <v>2</v>
      </c>
      <c r="T6" s="18">
        <v>2</v>
      </c>
      <c r="U6" s="19">
        <v>0</v>
      </c>
      <c r="V6" s="19">
        <v>1</v>
      </c>
      <c r="W6" s="19">
        <v>1</v>
      </c>
      <c r="X6" s="19">
        <v>0</v>
      </c>
      <c r="Y6" s="19">
        <v>0</v>
      </c>
      <c r="Z6" s="19">
        <v>1</v>
      </c>
      <c r="AA6" s="153">
        <v>10.66</v>
      </c>
      <c r="AB6" s="60">
        <f>IFERROR((AB3/32)*40, 0)</f>
        <v>75.300714285714292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64.820535714285711</v>
      </c>
      <c r="BF6" s="67">
        <v>3</v>
      </c>
      <c r="BG6" s="68" t="s">
        <v>20</v>
      </c>
      <c r="BH6" s="86">
        <f t="shared" si="2"/>
        <v>0</v>
      </c>
      <c r="BI6" s="117">
        <f t="shared" si="3"/>
        <v>0</v>
      </c>
      <c r="BJ6" s="118">
        <f t="shared" si="4"/>
        <v>7.6578473791017343E-2</v>
      </c>
      <c r="BK6" s="86">
        <f t="shared" si="5"/>
        <v>0.24018011257035646</v>
      </c>
      <c r="BL6" s="117">
        <f t="shared" si="6"/>
        <v>0.5</v>
      </c>
      <c r="BM6" s="119">
        <f t="shared" si="7"/>
        <v>0</v>
      </c>
      <c r="BN6" s="87">
        <f t="shared" si="8"/>
        <v>0</v>
      </c>
      <c r="BO6" s="86">
        <f t="shared" si="9"/>
        <v>0</v>
      </c>
      <c r="BP6" s="117">
        <f t="shared" si="10"/>
        <v>0.14296435272045024</v>
      </c>
      <c r="BQ6" s="120">
        <f t="shared" si="11"/>
        <v>7.7980556029336512E-2</v>
      </c>
      <c r="BR6" s="88">
        <f t="shared" si="12"/>
        <v>59.017817900368826</v>
      </c>
      <c r="BS6" s="89">
        <f t="shared" si="13"/>
        <v>91.093041822704961</v>
      </c>
      <c r="BT6" s="90">
        <f t="shared" si="27"/>
        <v>32.075223922336136</v>
      </c>
      <c r="BU6" s="86">
        <f t="shared" si="14"/>
        <v>4.1666666666666664E-2</v>
      </c>
      <c r="BV6" s="85">
        <f>IFERROR((D6*2)-(E6*((homedefinitions!$K$15)*2))+(G6*3)-(H6*((homedefinitions!$L$15)*3))+(J6)-(K6*(homedefinitions!$M$15))+S6+T6+V6+W6-U6, 0)</f>
        <v>4.32</v>
      </c>
      <c r="BX6" s="26">
        <v>1</v>
      </c>
      <c r="BY6" s="25" t="s">
        <v>18</v>
      </c>
      <c r="BZ6" s="47">
        <f t="shared" si="28"/>
        <v>5.0265486725663715</v>
      </c>
      <c r="CA6" s="39">
        <f t="shared" ref="CA6:CA20" si="46">IFERROR(($AS$18/($AS$18+$R$18)), 0)</f>
        <v>0.35714285714285715</v>
      </c>
      <c r="CB6" s="45">
        <f t="shared" ref="CB6:CB20" si="47">IFERROR(($AQ$18*(1-CA6))/($AQ$18*(1-CA6)+(CA6*(1-$AQ$18))), 0)</f>
        <v>0.4247787610619469</v>
      </c>
      <c r="CC6" s="45">
        <f t="shared" si="29"/>
        <v>0.94471124105694126</v>
      </c>
      <c r="CD6" s="45">
        <f t="shared" si="30"/>
        <v>0.14545454545454548</v>
      </c>
      <c r="CE6" s="36">
        <f t="shared" si="31"/>
        <v>0</v>
      </c>
      <c r="CF6" s="45">
        <f t="shared" ref="CF6:CF20" si="48">IFERROR(CC6+CE6+CD6, 0)</f>
        <v>1.0901657865114867</v>
      </c>
      <c r="CG6" s="45">
        <f t="shared" ref="CG6:CG20" si="49">IFERROR(BZ6+CF6, 0)</f>
        <v>6.1167144590778584</v>
      </c>
      <c r="CH6" s="45">
        <f t="shared" si="32"/>
        <v>1.1795479610888584</v>
      </c>
      <c r="CI6" s="51">
        <f t="shared" ref="CI6:CI20" si="50">IFERROR($AO$18+(1-((1-$AN$18)^2))*0.4*$AM$18, 0)</f>
        <v>16</v>
      </c>
      <c r="CJ6" s="47">
        <f t="shared" si="33"/>
        <v>6.0891285359728293</v>
      </c>
      <c r="CK6" s="45">
        <f t="shared" si="34"/>
        <v>0.59714733250849095</v>
      </c>
      <c r="CL6" s="45">
        <f t="shared" si="35"/>
        <v>0.71787960467205758</v>
      </c>
      <c r="CM6" s="36">
        <f t="shared" si="36"/>
        <v>0.92225696904762888</v>
      </c>
      <c r="CN6" s="45">
        <f t="shared" ref="CN6:CN20" si="51">IFERROR($M$18+(1-(1-($J$18/$K$18))^2)*$K$18*0.4, 0)</f>
        <v>27.560000000000002</v>
      </c>
      <c r="CO6" s="45">
        <f t="shared" ref="CO6:CO20" si="52">IFERROR(((1-CP6)*CQ6)/((1-CP6)*CQ6+(1-CQ6)*CP6), 0)</f>
        <v>0.33861409037032764</v>
      </c>
      <c r="CP6" s="45">
        <f t="shared" ref="CP6:CP20" si="53">IFERROR($Q$18/($Q$18+$AT$18), 0)</f>
        <v>0.51428571428571423</v>
      </c>
      <c r="CQ6" s="45">
        <f t="shared" ref="CQ6:CQ20" si="54">IFERROR(CN6/($N$18+0.44*$K$18+$U$18), 0)</f>
        <v>0.35153061224489796</v>
      </c>
      <c r="CR6" s="45">
        <f t="shared" si="37"/>
        <v>0</v>
      </c>
      <c r="CS6" s="45">
        <f t="shared" si="38"/>
        <v>6.277810696073689</v>
      </c>
      <c r="CT6" s="45">
        <f t="shared" si="39"/>
        <v>3.0445642679864147</v>
      </c>
      <c r="CU6" s="45">
        <f t="shared" si="40"/>
        <v>0.22169811320754718</v>
      </c>
      <c r="CV6" s="45">
        <f t="shared" si="41"/>
        <v>0</v>
      </c>
      <c r="CW6" s="45">
        <f t="shared" si="42"/>
        <v>0</v>
      </c>
      <c r="CX6" s="45">
        <f t="shared" si="43"/>
        <v>0.44971428571428573</v>
      </c>
      <c r="CY6" s="45">
        <f t="shared" si="44"/>
        <v>0</v>
      </c>
      <c r="CZ6" s="43">
        <f t="shared" si="45"/>
        <v>6.4620475295085207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5</v>
      </c>
      <c r="F7" s="130">
        <f t="shared" si="15"/>
        <v>0.4</v>
      </c>
      <c r="G7" s="15">
        <v>1</v>
      </c>
      <c r="H7" s="16">
        <v>3</v>
      </c>
      <c r="I7" s="133">
        <f t="shared" si="16"/>
        <v>0.33333333333333331</v>
      </c>
      <c r="J7" s="33">
        <v>0</v>
      </c>
      <c r="K7" s="33">
        <v>0</v>
      </c>
      <c r="L7" s="31">
        <f t="shared" si="17"/>
        <v>0</v>
      </c>
      <c r="M7" s="21">
        <f t="shared" si="0"/>
        <v>3</v>
      </c>
      <c r="N7" s="16">
        <f t="shared" si="0"/>
        <v>8</v>
      </c>
      <c r="O7" s="136">
        <f t="shared" si="18"/>
        <v>0.375</v>
      </c>
      <c r="P7" s="17">
        <f t="shared" si="19"/>
        <v>7</v>
      </c>
      <c r="Q7" s="15">
        <v>2</v>
      </c>
      <c r="R7" s="16">
        <v>1</v>
      </c>
      <c r="S7" s="17">
        <f t="shared" si="20"/>
        <v>3</v>
      </c>
      <c r="T7" s="15">
        <v>1</v>
      </c>
      <c r="U7" s="16">
        <v>1</v>
      </c>
      <c r="V7" s="16">
        <v>0</v>
      </c>
      <c r="W7" s="16">
        <v>0</v>
      </c>
      <c r="X7" s="16">
        <v>0</v>
      </c>
      <c r="Y7" s="16">
        <v>0</v>
      </c>
      <c r="Z7" s="16">
        <v>1</v>
      </c>
      <c r="AA7" s="152">
        <v>17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0.4375</v>
      </c>
      <c r="BI7" s="113">
        <f t="shared" si="3"/>
        <v>0.4375</v>
      </c>
      <c r="BJ7" s="114">
        <f t="shared" si="4"/>
        <v>0.21608643457382951</v>
      </c>
      <c r="BK7" s="81">
        <f t="shared" si="5"/>
        <v>9.7280143956618478E-2</v>
      </c>
      <c r="BL7" s="113">
        <f t="shared" si="6"/>
        <v>0.1</v>
      </c>
      <c r="BM7" s="115">
        <f t="shared" si="7"/>
        <v>0.1</v>
      </c>
      <c r="BN7" s="82">
        <f t="shared" si="8"/>
        <v>1</v>
      </c>
      <c r="BO7" s="81">
        <f t="shared" si="9"/>
        <v>0.10757647058823529</v>
      </c>
      <c r="BP7" s="113">
        <f t="shared" si="10"/>
        <v>4.4823529411764707E-2</v>
      </c>
      <c r="BQ7" s="116">
        <f t="shared" si="11"/>
        <v>7.3347593582887699E-2</v>
      </c>
      <c r="BR7" s="83">
        <f t="shared" si="12"/>
        <v>86.453925958794414</v>
      </c>
      <c r="BS7" s="84">
        <f t="shared" si="13"/>
        <v>111.6184310887574</v>
      </c>
      <c r="BT7" s="85">
        <f t="shared" si="27"/>
        <v>25.16450512996299</v>
      </c>
      <c r="BU7" s="81">
        <f t="shared" si="14"/>
        <v>4.7619047619047616E-2</v>
      </c>
      <c r="BV7" s="85">
        <f>IFERROR((D7*2)-(E7*((homedefinitions!$K$15)*2))+(G7*3)-(H7*((homedefinitions!$L$15)*3))+(J7)-(K7*(homedefinitions!$M$15))+S7+T7+V7+W7-U7, 0)</f>
        <v>3.7299999999999995</v>
      </c>
      <c r="BX7" s="26">
        <v>2</v>
      </c>
      <c r="BY7" s="25" t="s">
        <v>19</v>
      </c>
      <c r="BZ7" s="47">
        <f t="shared" si="28"/>
        <v>0.2624525916561315</v>
      </c>
      <c r="CA7" s="39">
        <f t="shared" si="46"/>
        <v>0.35714285714285715</v>
      </c>
      <c r="CB7" s="45">
        <f t="shared" si="47"/>
        <v>0.4247787610619469</v>
      </c>
      <c r="CC7" s="45">
        <f t="shared" si="29"/>
        <v>0.88566678849088243</v>
      </c>
      <c r="CD7" s="45">
        <f t="shared" si="30"/>
        <v>0</v>
      </c>
      <c r="CE7" s="36">
        <f t="shared" si="31"/>
        <v>0</v>
      </c>
      <c r="CF7" s="45">
        <f t="shared" si="48"/>
        <v>0.88566678849088243</v>
      </c>
      <c r="CG7" s="45">
        <f t="shared" si="49"/>
        <v>1.148119380147014</v>
      </c>
      <c r="CH7" s="45">
        <f t="shared" si="32"/>
        <v>0.23616371313923623</v>
      </c>
      <c r="CI7" s="51">
        <f t="shared" si="50"/>
        <v>16</v>
      </c>
      <c r="CJ7" s="47">
        <f t="shared" si="33"/>
        <v>4.045336799305975</v>
      </c>
      <c r="CK7" s="45">
        <f t="shared" si="34"/>
        <v>0.6109844484441761</v>
      </c>
      <c r="CL7" s="45">
        <f t="shared" si="35"/>
        <v>0</v>
      </c>
      <c r="CM7" s="36">
        <f t="shared" si="36"/>
        <v>0.92225696904762888</v>
      </c>
      <c r="CN7" s="45">
        <f t="shared" si="51"/>
        <v>27.560000000000002</v>
      </c>
      <c r="CO7" s="45">
        <f t="shared" si="52"/>
        <v>0.33861409037032764</v>
      </c>
      <c r="CP7" s="45">
        <f t="shared" si="53"/>
        <v>0.51428571428571423</v>
      </c>
      <c r="CQ7" s="45">
        <f t="shared" si="54"/>
        <v>0.35153061224489796</v>
      </c>
      <c r="CR7" s="45">
        <f t="shared" si="37"/>
        <v>0.25482437923277207</v>
      </c>
      <c r="CS7" s="45">
        <f t="shared" si="38"/>
        <v>3.9856644345375365</v>
      </c>
      <c r="CT7" s="45">
        <f t="shared" si="39"/>
        <v>1.6181347197223899</v>
      </c>
      <c r="CU7" s="45">
        <f t="shared" si="40"/>
        <v>0</v>
      </c>
      <c r="CV7" s="45">
        <f t="shared" si="41"/>
        <v>0</v>
      </c>
      <c r="CW7" s="45">
        <f t="shared" si="42"/>
        <v>0.11903321850263048</v>
      </c>
      <c r="CX7" s="45">
        <f t="shared" si="43"/>
        <v>0.89942857142857147</v>
      </c>
      <c r="CY7" s="45">
        <f t="shared" si="44"/>
        <v>0</v>
      </c>
      <c r="CZ7" s="43">
        <f t="shared" si="45"/>
        <v>3.5107978120531076</v>
      </c>
    </row>
    <row r="8" spans="2:104" ht="23.1" x14ac:dyDescent="0.85">
      <c r="B8" s="11">
        <v>5</v>
      </c>
      <c r="C8" s="11" t="s">
        <v>22</v>
      </c>
      <c r="D8" s="18">
        <v>4</v>
      </c>
      <c r="E8" s="19">
        <v>7</v>
      </c>
      <c r="F8" s="131">
        <f t="shared" si="15"/>
        <v>0.5714285714285714</v>
      </c>
      <c r="G8" s="18">
        <v>0</v>
      </c>
      <c r="H8" s="19">
        <v>2</v>
      </c>
      <c r="I8" s="134">
        <f t="shared" si="16"/>
        <v>0</v>
      </c>
      <c r="J8" s="34">
        <v>3</v>
      </c>
      <c r="K8" s="34">
        <v>4</v>
      </c>
      <c r="L8" s="32">
        <f t="shared" si="17"/>
        <v>0.75</v>
      </c>
      <c r="M8" s="22">
        <f t="shared" si="0"/>
        <v>4</v>
      </c>
      <c r="N8" s="19">
        <f t="shared" si="0"/>
        <v>9</v>
      </c>
      <c r="O8" s="137">
        <f t="shared" si="18"/>
        <v>0.44444444444444442</v>
      </c>
      <c r="P8" s="20">
        <f t="shared" si="19"/>
        <v>11</v>
      </c>
      <c r="Q8" s="18">
        <v>2</v>
      </c>
      <c r="R8" s="19">
        <v>2</v>
      </c>
      <c r="S8" s="20">
        <f t="shared" si="20"/>
        <v>4</v>
      </c>
      <c r="T8" s="18">
        <v>2</v>
      </c>
      <c r="U8" s="19">
        <v>1</v>
      </c>
      <c r="V8" s="19">
        <v>0</v>
      </c>
      <c r="W8" s="19">
        <v>2</v>
      </c>
      <c r="X8" s="19">
        <v>0</v>
      </c>
      <c r="Y8" s="19">
        <v>3</v>
      </c>
      <c r="Z8" s="19">
        <v>0</v>
      </c>
      <c r="AA8" s="153">
        <v>17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0.44444444444444442</v>
      </c>
      <c r="BI8" s="117">
        <f t="shared" si="3"/>
        <v>0.51115241635687736</v>
      </c>
      <c r="BJ8" s="118">
        <f t="shared" si="4"/>
        <v>0.28235294117647053</v>
      </c>
      <c r="BK8" s="86">
        <f t="shared" si="5"/>
        <v>0.21552676238450555</v>
      </c>
      <c r="BL8" s="117">
        <f t="shared" si="6"/>
        <v>0.14534883720930233</v>
      </c>
      <c r="BM8" s="119">
        <f t="shared" si="7"/>
        <v>7.2674418604651167E-2</v>
      </c>
      <c r="BN8" s="87">
        <f t="shared" si="8"/>
        <v>2</v>
      </c>
      <c r="BO8" s="86">
        <f t="shared" si="9"/>
        <v>0.10757647058823529</v>
      </c>
      <c r="BP8" s="117">
        <f t="shared" si="10"/>
        <v>8.9647058823529413E-2</v>
      </c>
      <c r="BQ8" s="120">
        <f t="shared" si="11"/>
        <v>9.779679144385027E-2</v>
      </c>
      <c r="BR8" s="88">
        <f t="shared" si="12"/>
        <v>66.609179863350093</v>
      </c>
      <c r="BS8" s="89">
        <f t="shared" si="13"/>
        <v>129.53719701843792</v>
      </c>
      <c r="BT8" s="90">
        <f t="shared" si="27"/>
        <v>62.928017155087829</v>
      </c>
      <c r="BU8" s="86">
        <f t="shared" si="14"/>
        <v>0.13095238095238096</v>
      </c>
      <c r="BV8" s="85">
        <f>IFERROR((D8*2)-(E8*((homedefinitions!$K$15)*2))+(G8*3)-(H8*((homedefinitions!$L$15)*3))+(J8)-(K8*(homedefinitions!$M$15))+S8+T8+V8+W8-U8, 0)</f>
        <v>8.4700000000000006</v>
      </c>
      <c r="BX8" s="26">
        <v>3</v>
      </c>
      <c r="BY8" s="25" t="s">
        <v>20</v>
      </c>
      <c r="BZ8" s="47">
        <f t="shared" si="28"/>
        <v>2.4128950695322375</v>
      </c>
      <c r="CA8" s="39">
        <f t="shared" si="46"/>
        <v>0.35714285714285715</v>
      </c>
      <c r="CB8" s="45">
        <f t="shared" si="47"/>
        <v>0.4247787610619469</v>
      </c>
      <c r="CC8" s="45">
        <f t="shared" si="29"/>
        <v>0.62941386435418711</v>
      </c>
      <c r="CD8" s="45">
        <f t="shared" si="30"/>
        <v>0.14545454545454548</v>
      </c>
      <c r="CE8" s="36">
        <f t="shared" si="31"/>
        <v>0</v>
      </c>
      <c r="CF8" s="45">
        <f t="shared" si="48"/>
        <v>0.77486840980873262</v>
      </c>
      <c r="CG8" s="45">
        <f t="shared" si="49"/>
        <v>3.1877634793409699</v>
      </c>
      <c r="CH8" s="45">
        <f t="shared" si="32"/>
        <v>0.92266971484184013</v>
      </c>
      <c r="CI8" s="51">
        <f t="shared" si="50"/>
        <v>16</v>
      </c>
      <c r="CJ8" s="47">
        <f t="shared" si="33"/>
        <v>0</v>
      </c>
      <c r="CK8" s="45">
        <f t="shared" si="34"/>
        <v>0.35369115352138208</v>
      </c>
      <c r="CL8" s="45">
        <f t="shared" si="35"/>
        <v>1.3357142857142859</v>
      </c>
      <c r="CM8" s="36">
        <f t="shared" si="36"/>
        <v>0.92225696904762888</v>
      </c>
      <c r="CN8" s="45">
        <f t="shared" si="51"/>
        <v>27.560000000000002</v>
      </c>
      <c r="CO8" s="45">
        <f t="shared" si="52"/>
        <v>0.33861409037032764</v>
      </c>
      <c r="CP8" s="45">
        <f t="shared" si="53"/>
        <v>0.51428571428571423</v>
      </c>
      <c r="CQ8" s="45">
        <f t="shared" si="54"/>
        <v>0.35153061224489796</v>
      </c>
      <c r="CR8" s="45">
        <f t="shared" si="37"/>
        <v>0</v>
      </c>
      <c r="CS8" s="45">
        <f t="shared" si="38"/>
        <v>1.2318718086564759</v>
      </c>
      <c r="CT8" s="45">
        <f t="shared" si="39"/>
        <v>0</v>
      </c>
      <c r="CU8" s="45">
        <f t="shared" si="40"/>
        <v>0.49107142857142855</v>
      </c>
      <c r="CV8" s="45">
        <f t="shared" si="41"/>
        <v>0</v>
      </c>
      <c r="CW8" s="45">
        <f t="shared" si="42"/>
        <v>0</v>
      </c>
      <c r="CX8" s="45">
        <f t="shared" si="43"/>
        <v>0.89942857142857147</v>
      </c>
      <c r="CY8" s="45">
        <f t="shared" si="44"/>
        <v>0</v>
      </c>
      <c r="CZ8" s="43">
        <f t="shared" si="45"/>
        <v>1.3523226187287463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1</v>
      </c>
      <c r="F9" s="130">
        <f t="shared" si="15"/>
        <v>0</v>
      </c>
      <c r="G9" s="15">
        <v>0</v>
      </c>
      <c r="H9" s="16">
        <v>1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0</v>
      </c>
      <c r="N9" s="16">
        <f t="shared" si="0"/>
        <v>2</v>
      </c>
      <c r="O9" s="136">
        <f t="shared" si="18"/>
        <v>0</v>
      </c>
      <c r="P9" s="17">
        <f t="shared" si="19"/>
        <v>0</v>
      </c>
      <c r="Q9" s="15">
        <v>0</v>
      </c>
      <c r="R9" s="16">
        <v>1</v>
      </c>
      <c r="S9" s="17">
        <f t="shared" si="20"/>
        <v>1</v>
      </c>
      <c r="T9" s="15">
        <v>1</v>
      </c>
      <c r="U9" s="16">
        <v>1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7.5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</v>
      </c>
      <c r="BI9" s="113">
        <f t="shared" si="3"/>
        <v>0</v>
      </c>
      <c r="BJ9" s="114">
        <f t="shared" si="4"/>
        <v>0.16326530612244897</v>
      </c>
      <c r="BK9" s="81">
        <f t="shared" si="5"/>
        <v>0.17068799999999998</v>
      </c>
      <c r="BL9" s="113">
        <f t="shared" si="6"/>
        <v>0.25</v>
      </c>
      <c r="BM9" s="115">
        <f t="shared" si="7"/>
        <v>0.25</v>
      </c>
      <c r="BN9" s="82">
        <f t="shared" si="8"/>
        <v>1</v>
      </c>
      <c r="BO9" s="81">
        <f t="shared" si="9"/>
        <v>0</v>
      </c>
      <c r="BP9" s="113">
        <f t="shared" si="10"/>
        <v>0.10159999999999998</v>
      </c>
      <c r="BQ9" s="116">
        <f t="shared" si="11"/>
        <v>5.5418181818181804E-2</v>
      </c>
      <c r="BR9" s="83">
        <f t="shared" si="12"/>
        <v>81.691064243328185</v>
      </c>
      <c r="BS9" s="84">
        <f t="shared" si="13"/>
        <v>28.973280739198092</v>
      </c>
      <c r="BT9" s="85">
        <f t="shared" si="27"/>
        <v>-52.717783504130097</v>
      </c>
      <c r="BU9" s="81">
        <f t="shared" si="14"/>
        <v>-1.1904761904761904E-2</v>
      </c>
      <c r="BV9" s="85">
        <f>IFERROR((D9*2)-(E9*((homedefinitions!$K$15)*2))+(G9*3)-(H9*((homedefinitions!$L$15)*3))+(J9)-(K9*(homedefinitions!$M$15))+S9+T9+V9+W9-U9, 0)</f>
        <v>-0.59000000000000008</v>
      </c>
      <c r="BX9" s="26">
        <v>4</v>
      </c>
      <c r="BY9" s="25" t="s">
        <v>21</v>
      </c>
      <c r="BZ9" s="47">
        <f t="shared" si="28"/>
        <v>0.5752212389380531</v>
      </c>
      <c r="CA9" s="39">
        <f t="shared" si="46"/>
        <v>0.35714285714285715</v>
      </c>
      <c r="CB9" s="45">
        <f t="shared" si="47"/>
        <v>0.4247787610619469</v>
      </c>
      <c r="CC9" s="45">
        <f t="shared" si="29"/>
        <v>1.0037556936230001</v>
      </c>
      <c r="CD9" s="45">
        <f t="shared" si="30"/>
        <v>0.14545454545454548</v>
      </c>
      <c r="CE9" s="36">
        <f t="shared" si="31"/>
        <v>0</v>
      </c>
      <c r="CF9" s="45">
        <f t="shared" si="48"/>
        <v>1.1492102390775456</v>
      </c>
      <c r="CG9" s="45">
        <f t="shared" si="49"/>
        <v>1.7244314780155987</v>
      </c>
      <c r="CH9" s="45">
        <f t="shared" si="32"/>
        <v>0.31297842465460485</v>
      </c>
      <c r="CI9" s="51">
        <f t="shared" si="50"/>
        <v>16</v>
      </c>
      <c r="CJ9" s="47">
        <f t="shared" si="33"/>
        <v>6.1425186063449635</v>
      </c>
      <c r="CK9" s="45">
        <f t="shared" si="34"/>
        <v>0.55998784891757469</v>
      </c>
      <c r="CL9" s="45">
        <f t="shared" si="35"/>
        <v>0.73090909090909084</v>
      </c>
      <c r="CM9" s="36">
        <f t="shared" si="36"/>
        <v>0.92225696904762888</v>
      </c>
      <c r="CN9" s="45">
        <f t="shared" si="51"/>
        <v>27.560000000000002</v>
      </c>
      <c r="CO9" s="45">
        <f t="shared" si="52"/>
        <v>0.33861409037032764</v>
      </c>
      <c r="CP9" s="45">
        <f t="shared" si="53"/>
        <v>0.51428571428571423</v>
      </c>
      <c r="CQ9" s="45">
        <f t="shared" si="54"/>
        <v>0.35153061224489796</v>
      </c>
      <c r="CR9" s="45">
        <f t="shared" si="37"/>
        <v>0.50964875846554414</v>
      </c>
      <c r="CS9" s="45">
        <f t="shared" si="38"/>
        <v>6.8487153535030911</v>
      </c>
      <c r="CT9" s="45">
        <f t="shared" si="39"/>
        <v>2.6325079741478414</v>
      </c>
      <c r="CU9" s="45">
        <f t="shared" si="40"/>
        <v>0.24</v>
      </c>
      <c r="CV9" s="45">
        <f t="shared" si="41"/>
        <v>0</v>
      </c>
      <c r="CW9" s="45">
        <f t="shared" si="42"/>
        <v>0.23806643700526095</v>
      </c>
      <c r="CX9" s="45">
        <f t="shared" si="43"/>
        <v>2.2485714285714287</v>
      </c>
      <c r="CY9" s="45">
        <f t="shared" si="44"/>
        <v>0</v>
      </c>
      <c r="CZ9" s="43">
        <f t="shared" si="45"/>
        <v>6.1358283633794226</v>
      </c>
    </row>
    <row r="10" spans="2:104" ht="23.1" x14ac:dyDescent="0.85">
      <c r="B10" s="11">
        <v>11</v>
      </c>
      <c r="C10" s="11" t="s">
        <v>24</v>
      </c>
      <c r="D10" s="18">
        <v>2</v>
      </c>
      <c r="E10" s="19">
        <v>3</v>
      </c>
      <c r="F10" s="131">
        <f t="shared" si="15"/>
        <v>0.66666666666666663</v>
      </c>
      <c r="G10" s="18">
        <v>0</v>
      </c>
      <c r="H10" s="19">
        <v>0</v>
      </c>
      <c r="I10" s="134">
        <f t="shared" si="16"/>
        <v>0</v>
      </c>
      <c r="J10" s="34">
        <v>1</v>
      </c>
      <c r="K10" s="34">
        <v>2</v>
      </c>
      <c r="L10" s="32">
        <f t="shared" si="17"/>
        <v>0.5</v>
      </c>
      <c r="M10" s="22">
        <f t="shared" si="0"/>
        <v>2</v>
      </c>
      <c r="N10" s="19">
        <f t="shared" si="0"/>
        <v>3</v>
      </c>
      <c r="O10" s="137">
        <f t="shared" si="18"/>
        <v>0.66666666666666663</v>
      </c>
      <c r="P10" s="20">
        <f t="shared" si="19"/>
        <v>5</v>
      </c>
      <c r="Q10" s="18">
        <v>0</v>
      </c>
      <c r="R10" s="19">
        <v>3</v>
      </c>
      <c r="S10" s="20">
        <f t="shared" si="20"/>
        <v>3</v>
      </c>
      <c r="T10" s="18">
        <v>2</v>
      </c>
      <c r="U10" s="19">
        <v>5</v>
      </c>
      <c r="V10" s="19">
        <v>0</v>
      </c>
      <c r="W10" s="19">
        <v>0</v>
      </c>
      <c r="X10" s="19">
        <v>0</v>
      </c>
      <c r="Y10" s="19">
        <v>1</v>
      </c>
      <c r="Z10" s="19">
        <v>0</v>
      </c>
      <c r="AA10" s="153">
        <v>11.66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0.66666666666666663</v>
      </c>
      <c r="BI10" s="117">
        <f t="shared" si="3"/>
        <v>0.64432989690721654</v>
      </c>
      <c r="BJ10" s="118">
        <f t="shared" si="4"/>
        <v>0.31084818146812748</v>
      </c>
      <c r="BK10" s="86">
        <f t="shared" si="5"/>
        <v>0.28136374026339389</v>
      </c>
      <c r="BL10" s="117">
        <f t="shared" si="6"/>
        <v>0.18382352941176472</v>
      </c>
      <c r="BM10" s="119">
        <f t="shared" si="7"/>
        <v>0.4595588235294118</v>
      </c>
      <c r="BN10" s="87">
        <f t="shared" si="8"/>
        <v>0.4</v>
      </c>
      <c r="BO10" s="86">
        <f t="shared" si="9"/>
        <v>0</v>
      </c>
      <c r="BP10" s="117">
        <f t="shared" si="10"/>
        <v>0.19605488850771866</v>
      </c>
      <c r="BQ10" s="120">
        <f t="shared" si="11"/>
        <v>0.10693903009511928</v>
      </c>
      <c r="BR10" s="88">
        <f t="shared" si="12"/>
        <v>71.791085205726404</v>
      </c>
      <c r="BS10" s="89">
        <f t="shared" si="13"/>
        <v>65.143838981182626</v>
      </c>
      <c r="BT10" s="90">
        <f t="shared" si="27"/>
        <v>-6.6472462245437782</v>
      </c>
      <c r="BU10" s="86">
        <f t="shared" si="14"/>
        <v>3.5714285714285712E-2</v>
      </c>
      <c r="BV10" s="85">
        <f>IFERROR((D10*2)-(E10*((homedefinitions!$K$15)*2))+(G10*3)-(H10*((homedefinitions!$L$15)*3))+(J10)-(K10*(homedefinitions!$M$15))+S10+T10+V10+W10-U10, 0)</f>
        <v>1.4500000000000002</v>
      </c>
      <c r="BX10" s="26">
        <v>5</v>
      </c>
      <c r="BY10" s="25" t="s">
        <v>22</v>
      </c>
      <c r="BZ10" s="47">
        <f t="shared" si="28"/>
        <v>3.1504424778761062</v>
      </c>
      <c r="CA10" s="39">
        <f t="shared" si="46"/>
        <v>0.35714285714285715</v>
      </c>
      <c r="CB10" s="45">
        <f t="shared" si="47"/>
        <v>0.4247787610619469</v>
      </c>
      <c r="CC10" s="45">
        <f t="shared" si="29"/>
        <v>1.0037556936230001</v>
      </c>
      <c r="CD10" s="45">
        <f t="shared" si="30"/>
        <v>0</v>
      </c>
      <c r="CE10" s="36">
        <f t="shared" si="31"/>
        <v>0</v>
      </c>
      <c r="CF10" s="45">
        <f t="shared" si="48"/>
        <v>1.0037556936230001</v>
      </c>
      <c r="CG10" s="45">
        <f t="shared" si="49"/>
        <v>4.1541981714991065</v>
      </c>
      <c r="CH10" s="45">
        <f t="shared" si="32"/>
        <v>0.7539727823311454</v>
      </c>
      <c r="CI10" s="51">
        <f t="shared" si="50"/>
        <v>16</v>
      </c>
      <c r="CJ10" s="47">
        <f t="shared" si="33"/>
        <v>7.0857459183317264</v>
      </c>
      <c r="CK10" s="45">
        <f t="shared" si="34"/>
        <v>0.51426792093840412</v>
      </c>
      <c r="CL10" s="45">
        <f t="shared" si="35"/>
        <v>1.5529640427599611</v>
      </c>
      <c r="CM10" s="36">
        <f t="shared" si="36"/>
        <v>0.92225696904762888</v>
      </c>
      <c r="CN10" s="45">
        <f t="shared" si="51"/>
        <v>27.560000000000002</v>
      </c>
      <c r="CO10" s="45">
        <f t="shared" si="52"/>
        <v>0.33861409037032764</v>
      </c>
      <c r="CP10" s="45">
        <f t="shared" si="53"/>
        <v>0.51428571428571423</v>
      </c>
      <c r="CQ10" s="45">
        <f t="shared" si="54"/>
        <v>0.35153061224489796</v>
      </c>
      <c r="CR10" s="45">
        <f t="shared" si="37"/>
        <v>0.50964875846554414</v>
      </c>
      <c r="CS10" s="45">
        <f t="shared" si="38"/>
        <v>11.243530130806413</v>
      </c>
      <c r="CT10" s="45">
        <f t="shared" si="39"/>
        <v>3.5428729591658632</v>
      </c>
      <c r="CU10" s="45">
        <f t="shared" si="40"/>
        <v>0.47959183673469385</v>
      </c>
      <c r="CV10" s="45">
        <f t="shared" si="41"/>
        <v>1.5</v>
      </c>
      <c r="CW10" s="45">
        <f t="shared" si="42"/>
        <v>0.23806643700526095</v>
      </c>
      <c r="CX10" s="45">
        <f t="shared" si="43"/>
        <v>2.2485714285714287</v>
      </c>
      <c r="CY10" s="45">
        <f t="shared" si="44"/>
        <v>0.1</v>
      </c>
      <c r="CZ10" s="43">
        <f t="shared" si="45"/>
        <v>8.67976950991617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1</v>
      </c>
      <c r="I11" s="133">
        <f t="shared" si="16"/>
        <v>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1</v>
      </c>
      <c r="O11" s="136">
        <f t="shared" si="18"/>
        <v>1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1</v>
      </c>
      <c r="AA11" s="152">
        <v>4.7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1.5</v>
      </c>
      <c r="BI11" s="113">
        <f t="shared" si="3"/>
        <v>1.5</v>
      </c>
      <c r="BJ11" s="114">
        <f t="shared" si="4"/>
        <v>8.6843247937472862E-2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58.501528791494927</v>
      </c>
      <c r="BS11" s="84">
        <f t="shared" si="13"/>
        <v>300</v>
      </c>
      <c r="BT11" s="85">
        <f t="shared" si="27"/>
        <v>241.49847120850507</v>
      </c>
      <c r="BU11" s="81">
        <f t="shared" si="14"/>
        <v>4.7619047619047616E-2</v>
      </c>
      <c r="BV11" s="85">
        <f>IFERROR((D11*2)-(E11*((homedefinitions!$K$15)*2))+(G11*3)-(H11*((homedefinitions!$L$15)*3))+(J11)-(K11*(homedefinitions!$M$15))+S11+T11+V11+W11-U11, 0)</f>
        <v>3.16</v>
      </c>
      <c r="BX11" s="26">
        <v>10</v>
      </c>
      <c r="BY11" s="25" t="s">
        <v>23</v>
      </c>
      <c r="BZ11" s="47">
        <f t="shared" si="28"/>
        <v>0.5752212389380531</v>
      </c>
      <c r="CA11" s="39">
        <f t="shared" si="46"/>
        <v>0.35714285714285715</v>
      </c>
      <c r="CB11" s="45">
        <f t="shared" si="47"/>
        <v>0.4247787610619469</v>
      </c>
      <c r="CC11" s="45">
        <f t="shared" si="29"/>
        <v>0.44283339424544121</v>
      </c>
      <c r="CD11" s="45">
        <f t="shared" si="30"/>
        <v>0</v>
      </c>
      <c r="CE11" s="36">
        <f t="shared" si="31"/>
        <v>0</v>
      </c>
      <c r="CF11" s="45">
        <f t="shared" si="48"/>
        <v>0.44283339424544121</v>
      </c>
      <c r="CG11" s="45">
        <f t="shared" si="49"/>
        <v>1.0180546331834943</v>
      </c>
      <c r="CH11" s="45">
        <f t="shared" si="32"/>
        <v>0.41881979610940973</v>
      </c>
      <c r="CI11" s="51">
        <f t="shared" si="50"/>
        <v>16</v>
      </c>
      <c r="CJ11" s="47">
        <f t="shared" si="33"/>
        <v>0</v>
      </c>
      <c r="CK11" s="45">
        <f t="shared" si="34"/>
        <v>0.39568620322459702</v>
      </c>
      <c r="CL11" s="45">
        <f t="shared" si="35"/>
        <v>0.66785714285714293</v>
      </c>
      <c r="CM11" s="36">
        <f t="shared" si="36"/>
        <v>0.92225696904762888</v>
      </c>
      <c r="CN11" s="45">
        <f t="shared" si="51"/>
        <v>27.560000000000002</v>
      </c>
      <c r="CO11" s="45">
        <f t="shared" si="52"/>
        <v>0.33861409037032764</v>
      </c>
      <c r="CP11" s="45">
        <f t="shared" si="53"/>
        <v>0.51428571428571423</v>
      </c>
      <c r="CQ11" s="45">
        <f t="shared" si="54"/>
        <v>0.35153061224489796</v>
      </c>
      <c r="CR11" s="45">
        <f t="shared" si="37"/>
        <v>0</v>
      </c>
      <c r="CS11" s="45">
        <f t="shared" si="38"/>
        <v>0.61593590432823797</v>
      </c>
      <c r="CT11" s="45">
        <f t="shared" si="39"/>
        <v>0</v>
      </c>
      <c r="CU11" s="45">
        <f t="shared" si="40"/>
        <v>0.24553571428571427</v>
      </c>
      <c r="CV11" s="45">
        <f t="shared" si="41"/>
        <v>0</v>
      </c>
      <c r="CW11" s="45">
        <f t="shared" si="42"/>
        <v>0</v>
      </c>
      <c r="CX11" s="45">
        <f t="shared" si="43"/>
        <v>0.89942857142857147</v>
      </c>
      <c r="CY11" s="45">
        <f t="shared" si="44"/>
        <v>0</v>
      </c>
      <c r="CZ11" s="43">
        <f t="shared" si="45"/>
        <v>2.125875595078659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2</v>
      </c>
      <c r="F12" s="131">
        <f t="shared" si="15"/>
        <v>0.5</v>
      </c>
      <c r="G12" s="18">
        <v>2</v>
      </c>
      <c r="H12" s="19">
        <v>2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3</v>
      </c>
      <c r="N12" s="19">
        <f t="shared" si="0"/>
        <v>4</v>
      </c>
      <c r="O12" s="137">
        <f t="shared" si="18"/>
        <v>0.75</v>
      </c>
      <c r="P12" s="20">
        <f t="shared" si="19"/>
        <v>8</v>
      </c>
      <c r="Q12" s="18">
        <v>1</v>
      </c>
      <c r="R12" s="19">
        <v>2</v>
      </c>
      <c r="S12" s="20">
        <f t="shared" si="20"/>
        <v>3</v>
      </c>
      <c r="T12" s="18">
        <v>1</v>
      </c>
      <c r="U12" s="19">
        <v>1</v>
      </c>
      <c r="V12" s="19">
        <v>0</v>
      </c>
      <c r="W12" s="19">
        <v>2</v>
      </c>
      <c r="X12" s="19">
        <v>0</v>
      </c>
      <c r="Y12" s="19">
        <v>0</v>
      </c>
      <c r="Z12" s="19">
        <v>2</v>
      </c>
      <c r="AA12" s="153">
        <v>10.5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</v>
      </c>
      <c r="BJ12" s="118">
        <f t="shared" si="4"/>
        <v>0.1943634596695821</v>
      </c>
      <c r="BK12" s="86">
        <f t="shared" si="5"/>
        <v>0.19223007063572142</v>
      </c>
      <c r="BL12" s="117">
        <f t="shared" si="6"/>
        <v>0.16666666666666666</v>
      </c>
      <c r="BM12" s="119">
        <f t="shared" si="7"/>
        <v>0.16666666666666666</v>
      </c>
      <c r="BN12" s="87">
        <f t="shared" si="8"/>
        <v>1</v>
      </c>
      <c r="BO12" s="86">
        <f t="shared" si="9"/>
        <v>8.7085714285714266E-2</v>
      </c>
      <c r="BP12" s="117">
        <f t="shared" si="10"/>
        <v>0.14514285714285713</v>
      </c>
      <c r="BQ12" s="120">
        <f t="shared" si="11"/>
        <v>0.11875324675324674</v>
      </c>
      <c r="BR12" s="88">
        <f t="shared" si="12"/>
        <v>46.833832588607791</v>
      </c>
      <c r="BS12" s="89">
        <f t="shared" si="13"/>
        <v>162.42356187574885</v>
      </c>
      <c r="BT12" s="90">
        <f t="shared" si="27"/>
        <v>115.58972928714105</v>
      </c>
      <c r="BU12" s="86">
        <f t="shared" si="14"/>
        <v>0.13690476190476192</v>
      </c>
      <c r="BV12" s="85">
        <f>IFERROR((D12*2)-(E12*((homedefinitions!$K$15)*2))+(G12*3)-(H12*((homedefinitions!$L$15)*3))+(J12)-(K12*(homedefinitions!$M$15))+S12+T12+V12+W12-U12, 0)</f>
        <v>9.82</v>
      </c>
      <c r="BX12" s="26">
        <v>11</v>
      </c>
      <c r="BY12" s="25" t="s">
        <v>24</v>
      </c>
      <c r="BZ12" s="47">
        <f t="shared" si="28"/>
        <v>1.7256637168141593</v>
      </c>
      <c r="CA12" s="39">
        <f t="shared" si="46"/>
        <v>0.35714285714285715</v>
      </c>
      <c r="CB12" s="45">
        <f t="shared" si="47"/>
        <v>0.4247787610619469</v>
      </c>
      <c r="CC12" s="45">
        <f t="shared" si="29"/>
        <v>0.68845831692024595</v>
      </c>
      <c r="CD12" s="45">
        <f t="shared" si="30"/>
        <v>0</v>
      </c>
      <c r="CE12" s="36">
        <f t="shared" si="31"/>
        <v>0</v>
      </c>
      <c r="CF12" s="45">
        <f t="shared" si="48"/>
        <v>0.68845831692024595</v>
      </c>
      <c r="CG12" s="45">
        <f t="shared" si="49"/>
        <v>2.4141220337344054</v>
      </c>
      <c r="CH12" s="45">
        <f t="shared" si="32"/>
        <v>0.63881933027833837</v>
      </c>
      <c r="CI12" s="51">
        <f t="shared" si="50"/>
        <v>16</v>
      </c>
      <c r="CJ12" s="47">
        <f t="shared" si="33"/>
        <v>3.4300718529900793</v>
      </c>
      <c r="CK12" s="45">
        <f t="shared" si="34"/>
        <v>0.42744611025744056</v>
      </c>
      <c r="CL12" s="45">
        <f t="shared" si="35"/>
        <v>1.3707509881422923</v>
      </c>
      <c r="CM12" s="36">
        <f t="shared" si="36"/>
        <v>0.92225696904762888</v>
      </c>
      <c r="CN12" s="45">
        <f t="shared" si="51"/>
        <v>27.560000000000002</v>
      </c>
      <c r="CO12" s="45">
        <f t="shared" si="52"/>
        <v>0.33861409037032764</v>
      </c>
      <c r="CP12" s="45">
        <f t="shared" si="53"/>
        <v>0.51428571428571423</v>
      </c>
      <c r="CQ12" s="45">
        <f t="shared" si="54"/>
        <v>0.35153061224489796</v>
      </c>
      <c r="CR12" s="45">
        <f t="shared" si="37"/>
        <v>0</v>
      </c>
      <c r="CS12" s="45">
        <f t="shared" si="38"/>
        <v>5.3498492914449969</v>
      </c>
      <c r="CT12" s="45">
        <f t="shared" si="39"/>
        <v>1.7150359264950397</v>
      </c>
      <c r="CU12" s="45">
        <f t="shared" si="40"/>
        <v>0.46363636363636362</v>
      </c>
      <c r="CV12" s="45">
        <f t="shared" si="41"/>
        <v>0.60000000000000009</v>
      </c>
      <c r="CW12" s="45">
        <f t="shared" si="42"/>
        <v>0</v>
      </c>
      <c r="CX12" s="45">
        <f t="shared" si="43"/>
        <v>0.44971428571428573</v>
      </c>
      <c r="CY12" s="45">
        <f t="shared" si="44"/>
        <v>0.2</v>
      </c>
      <c r="CZ12" s="43">
        <f t="shared" si="45"/>
        <v>8.2123641699875076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7</v>
      </c>
      <c r="F13" s="130">
        <f t="shared" si="15"/>
        <v>0.42857142857142855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2</v>
      </c>
      <c r="L13" s="31">
        <f t="shared" si="17"/>
        <v>0</v>
      </c>
      <c r="M13" s="21">
        <f t="shared" si="0"/>
        <v>3</v>
      </c>
      <c r="N13" s="16">
        <f t="shared" si="0"/>
        <v>9</v>
      </c>
      <c r="O13" s="136">
        <f t="shared" si="18"/>
        <v>0.33333333333333331</v>
      </c>
      <c r="P13" s="17">
        <f t="shared" si="19"/>
        <v>6</v>
      </c>
      <c r="Q13" s="15">
        <v>5</v>
      </c>
      <c r="R13" s="16">
        <v>4</v>
      </c>
      <c r="S13" s="17">
        <f t="shared" si="20"/>
        <v>9</v>
      </c>
      <c r="T13" s="15">
        <v>2</v>
      </c>
      <c r="U13" s="16">
        <v>0</v>
      </c>
      <c r="V13" s="16">
        <v>1</v>
      </c>
      <c r="W13" s="16">
        <v>0</v>
      </c>
      <c r="X13" s="16">
        <v>0</v>
      </c>
      <c r="Y13" s="16">
        <v>1</v>
      </c>
      <c r="Z13" s="16">
        <v>2</v>
      </c>
      <c r="AA13" s="152">
        <v>15.5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0.33333333333333331</v>
      </c>
      <c r="BI13" s="113">
        <f t="shared" si="3"/>
        <v>0.30364372469635625</v>
      </c>
      <c r="BJ13" s="114">
        <f t="shared" si="4"/>
        <v>0.26017116524028966</v>
      </c>
      <c r="BK13" s="81">
        <f t="shared" si="5"/>
        <v>0.21959051487539791</v>
      </c>
      <c r="BL13" s="113">
        <f t="shared" si="6"/>
        <v>0.16835016835016833</v>
      </c>
      <c r="BM13" s="115">
        <f t="shared" si="7"/>
        <v>0</v>
      </c>
      <c r="BN13" s="82">
        <f t="shared" si="8"/>
        <v>0</v>
      </c>
      <c r="BO13" s="81">
        <f t="shared" si="9"/>
        <v>0.29496774193548381</v>
      </c>
      <c r="BP13" s="113">
        <f t="shared" si="10"/>
        <v>0.19664516129032253</v>
      </c>
      <c r="BQ13" s="116">
        <f t="shared" si="11"/>
        <v>0.24133724340175949</v>
      </c>
      <c r="BR13" s="83">
        <f t="shared" si="12"/>
        <v>66.772350562759215</v>
      </c>
      <c r="BS13" s="84">
        <f t="shared" si="13"/>
        <v>109.68597334524401</v>
      </c>
      <c r="BT13" s="85">
        <f t="shared" si="27"/>
        <v>42.913622782484794</v>
      </c>
      <c r="BU13" s="81">
        <f t="shared" si="14"/>
        <v>8.3333333333333329E-2</v>
      </c>
      <c r="BV13" s="85">
        <f>IFERROR((D13*2)-(E13*((homedefinitions!$K$15)*2))+(G13*3)-(H13*((homedefinitions!$L$15)*3))+(J13)-(K13*(homedefinitions!$M$15))+S13+T13+V13+W13-U13, 0)</f>
        <v>9.77</v>
      </c>
      <c r="BX13" s="26">
        <v>12</v>
      </c>
      <c r="BY13" s="25" t="s">
        <v>25</v>
      </c>
      <c r="BZ13" s="47">
        <f t="shared" si="28"/>
        <v>1</v>
      </c>
      <c r="CA13" s="39">
        <f t="shared" si="46"/>
        <v>0.35714285714285715</v>
      </c>
      <c r="CB13" s="45">
        <f t="shared" si="47"/>
        <v>0.4247787610619469</v>
      </c>
      <c r="CC13" s="45">
        <f t="shared" si="29"/>
        <v>0.27750892706047653</v>
      </c>
      <c r="CD13" s="45">
        <f t="shared" si="30"/>
        <v>0.14545454545454548</v>
      </c>
      <c r="CE13" s="36">
        <f t="shared" si="31"/>
        <v>0</v>
      </c>
      <c r="CF13" s="45">
        <f t="shared" si="48"/>
        <v>0.42296347251502198</v>
      </c>
      <c r="CG13" s="45">
        <f t="shared" si="49"/>
        <v>1.422963472515022</v>
      </c>
      <c r="CH13" s="45">
        <f t="shared" si="32"/>
        <v>0.934142806150149</v>
      </c>
      <c r="CI13" s="51">
        <f t="shared" si="50"/>
        <v>16</v>
      </c>
      <c r="CJ13" s="47">
        <f t="shared" si="33"/>
        <v>1.4322937169229815</v>
      </c>
      <c r="CK13" s="45">
        <f t="shared" si="34"/>
        <v>0.69675834803423042</v>
      </c>
      <c r="CL13" s="45">
        <f t="shared" si="35"/>
        <v>0</v>
      </c>
      <c r="CM13" s="36">
        <f t="shared" si="36"/>
        <v>0.92225696904762888</v>
      </c>
      <c r="CN13" s="45">
        <f t="shared" si="51"/>
        <v>27.560000000000002</v>
      </c>
      <c r="CO13" s="45">
        <f t="shared" si="52"/>
        <v>0.33861409037032764</v>
      </c>
      <c r="CP13" s="45">
        <f t="shared" si="53"/>
        <v>0.51428571428571423</v>
      </c>
      <c r="CQ13" s="45">
        <f t="shared" si="54"/>
        <v>0.35153061224489796</v>
      </c>
      <c r="CR13" s="45">
        <f t="shared" si="37"/>
        <v>0</v>
      </c>
      <c r="CS13" s="45">
        <f t="shared" si="38"/>
        <v>1.3209428621553514</v>
      </c>
      <c r="CT13" s="45">
        <f t="shared" si="39"/>
        <v>0.47743123897432715</v>
      </c>
      <c r="CU13" s="45">
        <f t="shared" si="40"/>
        <v>0</v>
      </c>
      <c r="CV13" s="45">
        <f t="shared" si="41"/>
        <v>0</v>
      </c>
      <c r="CW13" s="45">
        <f t="shared" si="42"/>
        <v>0</v>
      </c>
      <c r="CX13" s="45">
        <f t="shared" si="43"/>
        <v>0</v>
      </c>
      <c r="CY13" s="45">
        <f t="shared" si="44"/>
        <v>0</v>
      </c>
      <c r="CZ13" s="43">
        <f t="shared" si="45"/>
        <v>0.44031428738511713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2.5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0.16326530612244897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92.339934684143401</v>
      </c>
      <c r="BS14" s="89">
        <f t="shared" si="13"/>
        <v>0</v>
      </c>
      <c r="BT14" s="90">
        <f t="shared" si="27"/>
        <v>-92.339934684143401</v>
      </c>
      <c r="BU14" s="86">
        <f t="shared" si="14"/>
        <v>-1.1904761904761904E-2</v>
      </c>
      <c r="BV14" s="85">
        <f>IFERROR((D14*2)-(E14*((homedefinitions!$K$15)*2))+(G14*3)-(H14*((homedefinitions!$L$15)*3))+(J14)-(K14*(homedefinitions!$M$15))+S14+T14+V14+W14-U14, 0)</f>
        <v>-0.84000000000000008</v>
      </c>
      <c r="BX14" s="26">
        <v>24</v>
      </c>
      <c r="BY14" s="25" t="s">
        <v>26</v>
      </c>
      <c r="BZ14" s="47">
        <f t="shared" si="28"/>
        <v>3.1504424778761062</v>
      </c>
      <c r="CA14" s="39">
        <f t="shared" si="46"/>
        <v>0.35714285714285715</v>
      </c>
      <c r="CB14" s="45">
        <f t="shared" si="47"/>
        <v>0.4247787610619469</v>
      </c>
      <c r="CC14" s="45">
        <f t="shared" si="29"/>
        <v>0.61996675194361772</v>
      </c>
      <c r="CD14" s="45">
        <f t="shared" si="30"/>
        <v>0.29090909090909095</v>
      </c>
      <c r="CE14" s="36">
        <f t="shared" si="31"/>
        <v>0</v>
      </c>
      <c r="CF14" s="45">
        <f t="shared" si="48"/>
        <v>0.91087584285270862</v>
      </c>
      <c r="CG14" s="45">
        <f t="shared" si="49"/>
        <v>4.061318320728815</v>
      </c>
      <c r="CH14" s="45">
        <f t="shared" si="32"/>
        <v>1.1934249439920852</v>
      </c>
      <c r="CI14" s="51">
        <f t="shared" si="50"/>
        <v>16</v>
      </c>
      <c r="CJ14" s="47">
        <f t="shared" si="33"/>
        <v>5.5949805467051235</v>
      </c>
      <c r="CK14" s="45">
        <f t="shared" si="34"/>
        <v>0.60125486332371925</v>
      </c>
      <c r="CL14" s="45">
        <f t="shared" si="35"/>
        <v>0.65277777777777779</v>
      </c>
      <c r="CM14" s="36">
        <f t="shared" si="36"/>
        <v>0.92225696904762888</v>
      </c>
      <c r="CN14" s="45">
        <f t="shared" si="51"/>
        <v>27.560000000000002</v>
      </c>
      <c r="CO14" s="45">
        <f t="shared" si="52"/>
        <v>0.33861409037032764</v>
      </c>
      <c r="CP14" s="45">
        <f t="shared" si="53"/>
        <v>0.51428571428571423</v>
      </c>
      <c r="CQ14" s="45">
        <f t="shared" si="54"/>
        <v>0.35153061224489796</v>
      </c>
      <c r="CR14" s="45">
        <f t="shared" si="37"/>
        <v>0.25482437923277207</v>
      </c>
      <c r="CS14" s="45">
        <f t="shared" si="38"/>
        <v>6.0168630349124648</v>
      </c>
      <c r="CT14" s="45">
        <f t="shared" si="39"/>
        <v>2.0981177050144213</v>
      </c>
      <c r="CU14" s="45">
        <f t="shared" si="40"/>
        <v>0.21759259259259259</v>
      </c>
      <c r="CV14" s="45">
        <f t="shared" si="41"/>
        <v>0</v>
      </c>
      <c r="CW14" s="45">
        <f t="shared" si="42"/>
        <v>0.11903321850263048</v>
      </c>
      <c r="CX14" s="45">
        <f t="shared" si="43"/>
        <v>0.44971428571428573</v>
      </c>
      <c r="CY14" s="45">
        <f t="shared" si="44"/>
        <v>0</v>
      </c>
      <c r="CZ14" s="43">
        <f t="shared" si="45"/>
        <v>3.7044274644803434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3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4</v>
      </c>
      <c r="O15" s="136">
        <f t="shared" si="18"/>
        <v>0</v>
      </c>
      <c r="P15" s="17">
        <f t="shared" si="19"/>
        <v>0</v>
      </c>
      <c r="Q15" s="15">
        <v>4</v>
      </c>
      <c r="R15" s="16">
        <v>1</v>
      </c>
      <c r="S15" s="17">
        <f t="shared" si="20"/>
        <v>5</v>
      </c>
      <c r="T15" s="15">
        <v>0</v>
      </c>
      <c r="U15" s="16">
        <v>0</v>
      </c>
      <c r="V15" s="16">
        <v>0</v>
      </c>
      <c r="W15" s="16">
        <v>1</v>
      </c>
      <c r="X15" s="16">
        <v>0</v>
      </c>
      <c r="Y15" s="16">
        <v>0</v>
      </c>
      <c r="Z15" s="16">
        <v>1</v>
      </c>
      <c r="AA15" s="152">
        <v>7.5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0.21768707482993196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0.48767999999999989</v>
      </c>
      <c r="BP15" s="113">
        <f t="shared" si="10"/>
        <v>0.10159999999999998</v>
      </c>
      <c r="BQ15" s="116">
        <f t="shared" si="11"/>
        <v>0.27709090909090905</v>
      </c>
      <c r="BR15" s="83">
        <f t="shared" si="12"/>
        <v>60.485663217268474</v>
      </c>
      <c r="BS15" s="84">
        <f t="shared" si="13"/>
        <v>44.80448306909561</v>
      </c>
      <c r="BT15" s="85">
        <f t="shared" si="27"/>
        <v>-15.681180148172864</v>
      </c>
      <c r="BU15" s="81">
        <f t="shared" si="14"/>
        <v>0</v>
      </c>
      <c r="BV15" s="85">
        <f>IFERROR((D15*2)-(E15*((homedefinitions!$K$15)*2))+(G15*3)-(H15*((homedefinitions!$L$15)*3))+(J15)-(K15*(homedefinitions!$M$15))+S15+T15+V15+W15-U15, 0)</f>
        <v>2.91</v>
      </c>
      <c r="BX15" s="26">
        <v>30</v>
      </c>
      <c r="BY15" s="25" t="s">
        <v>27</v>
      </c>
      <c r="BZ15" s="47">
        <f t="shared" si="28"/>
        <v>2.5633375474083437</v>
      </c>
      <c r="CA15" s="39">
        <f t="shared" si="46"/>
        <v>0.35714285714285715</v>
      </c>
      <c r="CB15" s="45">
        <f t="shared" si="47"/>
        <v>0.4247787610619469</v>
      </c>
      <c r="CC15" s="45">
        <f t="shared" si="29"/>
        <v>0.9151890147739119</v>
      </c>
      <c r="CD15" s="45">
        <f t="shared" si="30"/>
        <v>0.29090909090909095</v>
      </c>
      <c r="CE15" s="36">
        <f t="shared" si="31"/>
        <v>0</v>
      </c>
      <c r="CF15" s="45">
        <f t="shared" si="48"/>
        <v>1.2060981056830029</v>
      </c>
      <c r="CG15" s="45">
        <f t="shared" si="49"/>
        <v>3.7694356530913469</v>
      </c>
      <c r="CH15" s="45">
        <f t="shared" si="32"/>
        <v>0.75034676678872025</v>
      </c>
      <c r="CI15" s="51">
        <f t="shared" si="50"/>
        <v>16</v>
      </c>
      <c r="CJ15" s="47">
        <f t="shared" si="33"/>
        <v>5.5138241097566176</v>
      </c>
      <c r="CK15" s="45">
        <f t="shared" si="34"/>
        <v>0.48617589024338259</v>
      </c>
      <c r="CL15" s="45">
        <f t="shared" si="35"/>
        <v>1.5454545454545454</v>
      </c>
      <c r="CM15" s="36">
        <f t="shared" si="36"/>
        <v>0.92225696904762888</v>
      </c>
      <c r="CN15" s="45">
        <f t="shared" si="51"/>
        <v>27.560000000000002</v>
      </c>
      <c r="CO15" s="45">
        <f t="shared" si="52"/>
        <v>0.33861409037032764</v>
      </c>
      <c r="CP15" s="45">
        <f t="shared" si="53"/>
        <v>0.51428571428571423</v>
      </c>
      <c r="CQ15" s="45">
        <f t="shared" si="54"/>
        <v>0.35153061224489796</v>
      </c>
      <c r="CR15" s="45">
        <f t="shared" si="37"/>
        <v>1.2741218961638605</v>
      </c>
      <c r="CS15" s="45">
        <f t="shared" si="38"/>
        <v>7.7845908323815287</v>
      </c>
      <c r="CT15" s="45">
        <f t="shared" si="39"/>
        <v>2.7569120548783088</v>
      </c>
      <c r="CU15" s="45">
        <f t="shared" si="40"/>
        <v>0.5</v>
      </c>
      <c r="CV15" s="45">
        <f t="shared" si="41"/>
        <v>0</v>
      </c>
      <c r="CW15" s="45">
        <f t="shared" si="42"/>
        <v>0.59516609251315244</v>
      </c>
      <c r="CX15" s="45">
        <f t="shared" si="43"/>
        <v>2.6982857142857144</v>
      </c>
      <c r="CY15" s="45">
        <f t="shared" si="44"/>
        <v>0.8</v>
      </c>
      <c r="CZ15" s="43">
        <f t="shared" si="45"/>
        <v>7.0971616469856205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3</v>
      </c>
      <c r="F16" s="131">
        <f t="shared" si="15"/>
        <v>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0</v>
      </c>
      <c r="L16" s="32">
        <f t="shared" si="17"/>
        <v>0</v>
      </c>
      <c r="M16" s="22">
        <f t="shared" si="0"/>
        <v>3</v>
      </c>
      <c r="N16" s="19">
        <f t="shared" si="0"/>
        <v>3</v>
      </c>
      <c r="O16" s="137">
        <f t="shared" si="18"/>
        <v>1</v>
      </c>
      <c r="P16" s="20">
        <f t="shared" si="19"/>
        <v>6</v>
      </c>
      <c r="Q16" s="18">
        <v>0</v>
      </c>
      <c r="R16" s="19">
        <v>3</v>
      </c>
      <c r="S16" s="20">
        <f t="shared" si="20"/>
        <v>3</v>
      </c>
      <c r="T16" s="18">
        <v>1</v>
      </c>
      <c r="U16" s="19">
        <v>1</v>
      </c>
      <c r="V16" s="19">
        <v>0</v>
      </c>
      <c r="W16" s="19">
        <v>1</v>
      </c>
      <c r="X16" s="19">
        <v>0</v>
      </c>
      <c r="Y16" s="19">
        <v>0</v>
      </c>
      <c r="Z16" s="19">
        <v>1</v>
      </c>
      <c r="AA16" s="153">
        <v>9.5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</v>
      </c>
      <c r="BI16" s="117">
        <f t="shared" si="3"/>
        <v>1</v>
      </c>
      <c r="BJ16" s="118">
        <f t="shared" si="4"/>
        <v>0.1718582169709989</v>
      </c>
      <c r="BK16" s="86">
        <f t="shared" si="5"/>
        <v>0.22619586113309961</v>
      </c>
      <c r="BL16" s="117">
        <f t="shared" si="6"/>
        <v>0.2</v>
      </c>
      <c r="BM16" s="119">
        <f t="shared" si="7"/>
        <v>0.2</v>
      </c>
      <c r="BN16" s="87">
        <f t="shared" si="8"/>
        <v>1</v>
      </c>
      <c r="BO16" s="86">
        <f t="shared" si="9"/>
        <v>0</v>
      </c>
      <c r="BP16" s="117">
        <f t="shared" si="10"/>
        <v>0.24063157894736842</v>
      </c>
      <c r="BQ16" s="120">
        <f t="shared" si="11"/>
        <v>0.1312535885167464</v>
      </c>
      <c r="BR16" s="88">
        <f t="shared" si="12"/>
        <v>50.377819672165501</v>
      </c>
      <c r="BS16" s="89">
        <f t="shared" si="13"/>
        <v>143.05111132416809</v>
      </c>
      <c r="BT16" s="90">
        <f t="shared" si="27"/>
        <v>92.67329165200259</v>
      </c>
      <c r="BU16" s="86">
        <f t="shared" si="14"/>
        <v>0.11904761904761904</v>
      </c>
      <c r="BV16" s="85">
        <f>IFERROR((D16*2)-(E16*((homedefinitions!$K$15)*2))+(G16*3)-(H16*((homedefinitions!$L$15)*3))+(J16)-(K16*(homedefinitions!$M$15))+S16+T16+V16+W16-U16, 0)</f>
        <v>7.75</v>
      </c>
      <c r="BX16" s="26">
        <v>32</v>
      </c>
      <c r="BY16" s="25" t="s">
        <v>28</v>
      </c>
      <c r="BZ16" s="47">
        <f t="shared" si="28"/>
        <v>0</v>
      </c>
      <c r="CA16" s="39">
        <f t="shared" si="46"/>
        <v>0.35714285714285715</v>
      </c>
      <c r="CB16" s="45">
        <f t="shared" si="47"/>
        <v>0.4247787610619469</v>
      </c>
      <c r="CC16" s="45">
        <f t="shared" si="29"/>
        <v>0.14761113141514706</v>
      </c>
      <c r="CD16" s="45">
        <f t="shared" si="30"/>
        <v>0</v>
      </c>
      <c r="CE16" s="36">
        <f t="shared" si="31"/>
        <v>0</v>
      </c>
      <c r="CF16" s="45">
        <f t="shared" si="48"/>
        <v>0.14761113141514706</v>
      </c>
      <c r="CG16" s="45">
        <f t="shared" si="49"/>
        <v>0.14761113141514706</v>
      </c>
      <c r="CH16" s="45">
        <f t="shared" si="32"/>
        <v>0.18217823075796055</v>
      </c>
      <c r="CI16" s="51">
        <f t="shared" si="50"/>
        <v>16</v>
      </c>
      <c r="CJ16" s="47">
        <f t="shared" si="33"/>
        <v>0</v>
      </c>
      <c r="CK16" s="45">
        <f t="shared" si="34"/>
        <v>0.52568678915135614</v>
      </c>
      <c r="CL16" s="45">
        <f t="shared" si="35"/>
        <v>0</v>
      </c>
      <c r="CM16" s="36">
        <f t="shared" si="36"/>
        <v>0.92225696904762888</v>
      </c>
      <c r="CN16" s="45">
        <f t="shared" si="51"/>
        <v>27.560000000000002</v>
      </c>
      <c r="CO16" s="45">
        <f t="shared" si="52"/>
        <v>0.33861409037032764</v>
      </c>
      <c r="CP16" s="45">
        <f t="shared" si="53"/>
        <v>0.51428571428571423</v>
      </c>
      <c r="CQ16" s="45">
        <f t="shared" si="54"/>
        <v>0.35153061224489796</v>
      </c>
      <c r="CR16" s="45">
        <f t="shared" si="37"/>
        <v>0</v>
      </c>
      <c r="CS16" s="45">
        <f t="shared" si="38"/>
        <v>0</v>
      </c>
      <c r="CT16" s="45">
        <f t="shared" si="39"/>
        <v>0</v>
      </c>
      <c r="CU16" s="45">
        <f t="shared" si="40"/>
        <v>0</v>
      </c>
      <c r="CV16" s="45">
        <f t="shared" si="41"/>
        <v>0</v>
      </c>
      <c r="CW16" s="45">
        <f t="shared" si="42"/>
        <v>0</v>
      </c>
      <c r="CX16" s="45">
        <f t="shared" si="43"/>
        <v>0.44971428571428573</v>
      </c>
      <c r="CY16" s="45">
        <f t="shared" si="44"/>
        <v>0</v>
      </c>
      <c r="CZ16" s="43">
        <f t="shared" si="45"/>
        <v>0.44971428571428573</v>
      </c>
    </row>
    <row r="17" spans="2:104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si="15"/>
        <v>0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2</v>
      </c>
      <c r="L17" s="32">
        <f t="shared" si="17"/>
        <v>0</v>
      </c>
      <c r="M17" s="22">
        <f t="shared" si="0"/>
        <v>0</v>
      </c>
      <c r="N17" s="19">
        <f t="shared" si="0"/>
        <v>1</v>
      </c>
      <c r="O17" s="137">
        <f t="shared" si="18"/>
        <v>0</v>
      </c>
      <c r="P17" s="20">
        <f t="shared" si="19"/>
        <v>0</v>
      </c>
      <c r="Q17" s="18">
        <v>1</v>
      </c>
      <c r="R17" s="19">
        <v>1</v>
      </c>
      <c r="S17" s="20">
        <f t="shared" si="20"/>
        <v>2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1</v>
      </c>
      <c r="Z17" s="19">
        <v>1</v>
      </c>
      <c r="AA17" s="153">
        <v>8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0.14693877551020407</v>
      </c>
      <c r="BK17" s="95">
        <f t="shared" si="5"/>
        <v>0</v>
      </c>
      <c r="BL17" s="121">
        <f t="shared" si="6"/>
        <v>0</v>
      </c>
      <c r="BM17" s="123">
        <f t="shared" si="7"/>
        <v>0.34722222222222221</v>
      </c>
      <c r="BN17" s="96">
        <f t="shared" si="8"/>
        <v>0</v>
      </c>
      <c r="BO17" s="95">
        <f t="shared" si="9"/>
        <v>0.11429999999999997</v>
      </c>
      <c r="BP17" s="121">
        <f t="shared" si="10"/>
        <v>9.5249999999999987E-2</v>
      </c>
      <c r="BQ17" s="124">
        <f t="shared" si="11"/>
        <v>0.10390909090909088</v>
      </c>
      <c r="BR17" s="97">
        <f>IFERROR($BR$18+0.2*(100*($AR$18/CI20)*(1-CH20)-$BR$18), 0)</f>
        <v>79.832166142776799</v>
      </c>
      <c r="BS17" s="98">
        <f>IFERROR((CS20/CZ20)*100, 0)</f>
        <v>10.757768769323281</v>
      </c>
      <c r="BT17" s="99">
        <f t="shared" si="27"/>
        <v>-69.074397373453522</v>
      </c>
      <c r="BU17" s="95">
        <f t="shared" si="14"/>
        <v>-2.976190476190476E-2</v>
      </c>
      <c r="BV17" s="85">
        <f>IFERROR((D17*2)-(E17*((homedefinitions!$K$15)*2))+(G17*3)-(H17*((homedefinitions!$L$15)*3))+(J17)-(K17*(homedefinitions!$M$15))+S17+T17+V17+W17-U17, 0)</f>
        <v>-1.0499999999999998</v>
      </c>
      <c r="BX17" s="55">
        <v>33</v>
      </c>
      <c r="BY17" s="58" t="s">
        <v>29</v>
      </c>
      <c r="BZ17" s="47">
        <f t="shared" si="28"/>
        <v>1.5752212389380531</v>
      </c>
      <c r="CA17" s="39">
        <f t="shared" si="46"/>
        <v>0.35714285714285715</v>
      </c>
      <c r="CB17" s="45">
        <f t="shared" si="47"/>
        <v>0.4247787610619469</v>
      </c>
      <c r="CC17" s="45">
        <f t="shared" si="29"/>
        <v>0.44283339424544121</v>
      </c>
      <c r="CD17" s="45">
        <f t="shared" si="30"/>
        <v>0.14545454545454548</v>
      </c>
      <c r="CE17" s="36">
        <f t="shared" si="31"/>
        <v>0</v>
      </c>
      <c r="CF17" s="45">
        <f t="shared" si="48"/>
        <v>0.58828793969998672</v>
      </c>
      <c r="CG17" s="45">
        <f t="shared" si="49"/>
        <v>2.1635091786380398</v>
      </c>
      <c r="CH17" s="45">
        <f t="shared" si="32"/>
        <v>0.89005093002184787</v>
      </c>
      <c r="CI17" s="51">
        <f t="shared" si="50"/>
        <v>16</v>
      </c>
      <c r="CJ17" s="47">
        <f t="shared" si="33"/>
        <v>0</v>
      </c>
      <c r="CK17" s="45">
        <f t="shared" si="34"/>
        <v>0.53706036745406838</v>
      </c>
      <c r="CL17" s="45">
        <f t="shared" si="35"/>
        <v>0</v>
      </c>
      <c r="CM17" s="36">
        <f t="shared" si="36"/>
        <v>0.92225696904762888</v>
      </c>
      <c r="CN17" s="45">
        <f t="shared" si="51"/>
        <v>27.560000000000002</v>
      </c>
      <c r="CO17" s="45">
        <f t="shared" si="52"/>
        <v>0.33861409037032764</v>
      </c>
      <c r="CP17" s="45">
        <f t="shared" si="53"/>
        <v>0.51428571428571423</v>
      </c>
      <c r="CQ17" s="45">
        <f t="shared" si="54"/>
        <v>0.35153061224489796</v>
      </c>
      <c r="CR17" s="45">
        <f t="shared" si="37"/>
        <v>1.0192975169310883</v>
      </c>
      <c r="CS17" s="45">
        <f t="shared" si="38"/>
        <v>1.0192975169310883</v>
      </c>
      <c r="CT17" s="45">
        <f t="shared" si="39"/>
        <v>0</v>
      </c>
      <c r="CU17" s="45">
        <f t="shared" si="40"/>
        <v>0</v>
      </c>
      <c r="CV17" s="45">
        <f t="shared" si="41"/>
        <v>0</v>
      </c>
      <c r="CW17" s="45">
        <f t="shared" si="42"/>
        <v>0.4761328740105219</v>
      </c>
      <c r="CX17" s="45">
        <f t="shared" si="43"/>
        <v>1.7988571428571429</v>
      </c>
      <c r="CY17" s="45">
        <f t="shared" si="44"/>
        <v>0</v>
      </c>
      <c r="CZ17" s="43">
        <f t="shared" si="45"/>
        <v>2.2749900168676649</v>
      </c>
    </row>
    <row r="18" spans="2:104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40</v>
      </c>
      <c r="F18" s="132">
        <f t="shared" si="15"/>
        <v>0.5</v>
      </c>
      <c r="G18" s="8">
        <f>SUM(G3:G17)</f>
        <v>5</v>
      </c>
      <c r="H18" s="6">
        <f>SUM(H3:H17)</f>
        <v>18</v>
      </c>
      <c r="I18" s="135">
        <f t="shared" si="16"/>
        <v>0.27777777777777779</v>
      </c>
      <c r="J18" s="35">
        <f>SUM(J3:J17)</f>
        <v>4</v>
      </c>
      <c r="K18" s="35">
        <f>SUM(K3:K17)</f>
        <v>10</v>
      </c>
      <c r="L18" s="31">
        <f t="shared" si="17"/>
        <v>0.4</v>
      </c>
      <c r="M18" s="30">
        <f>SUM(M3:M17)</f>
        <v>25</v>
      </c>
      <c r="N18" s="6">
        <f>SUM(N3:N17)</f>
        <v>58</v>
      </c>
      <c r="O18" s="138">
        <f t="shared" si="18"/>
        <v>0.43103448275862066</v>
      </c>
      <c r="P18" s="9">
        <f>(D18*2)+(G18*3)+(J18)</f>
        <v>59</v>
      </c>
      <c r="Q18" s="8">
        <f>SUM(Q3:Q17)</f>
        <v>18</v>
      </c>
      <c r="R18" s="6">
        <f>SUM(R3:R17)</f>
        <v>27</v>
      </c>
      <c r="S18" s="9">
        <f t="shared" si="20"/>
        <v>45</v>
      </c>
      <c r="T18" s="8">
        <f t="shared" ref="T18:AA18" si="55">SUM(T3:T17)</f>
        <v>13</v>
      </c>
      <c r="U18" s="6">
        <f t="shared" si="55"/>
        <v>16</v>
      </c>
      <c r="V18" s="6">
        <f t="shared" si="55"/>
        <v>3</v>
      </c>
      <c r="W18" s="6">
        <f t="shared" si="55"/>
        <v>10</v>
      </c>
      <c r="X18" s="6">
        <f t="shared" si="55"/>
        <v>0</v>
      </c>
      <c r="Y18" s="6">
        <f t="shared" si="55"/>
        <v>6</v>
      </c>
      <c r="Z18" s="6">
        <f t="shared" si="55"/>
        <v>11</v>
      </c>
      <c r="AA18" s="154">
        <f t="shared" si="55"/>
        <v>160.01999999999998</v>
      </c>
      <c r="AD18" s="11"/>
      <c r="AE18" s="11" t="s">
        <v>43</v>
      </c>
      <c r="AF18" s="8">
        <v>12</v>
      </c>
      <c r="AG18" s="6">
        <v>35</v>
      </c>
      <c r="AH18" s="132">
        <f t="shared" si="21"/>
        <v>0.34285714285714286</v>
      </c>
      <c r="AI18" s="8">
        <v>4</v>
      </c>
      <c r="AJ18" s="6">
        <v>20</v>
      </c>
      <c r="AK18" s="135">
        <f t="shared" si="22"/>
        <v>0.2</v>
      </c>
      <c r="AL18" s="35">
        <v>0</v>
      </c>
      <c r="AM18" s="35">
        <v>4</v>
      </c>
      <c r="AN18" s="31">
        <f t="shared" si="23"/>
        <v>0</v>
      </c>
      <c r="AO18" s="30">
        <v>16</v>
      </c>
      <c r="AP18" s="6">
        <v>55</v>
      </c>
      <c r="AQ18" s="138">
        <f t="shared" si="24"/>
        <v>0.29090909090909089</v>
      </c>
      <c r="AR18" s="9">
        <f>(AF18*2)+(AI18*3)+(AL18)</f>
        <v>36</v>
      </c>
      <c r="AS18" s="8">
        <v>15</v>
      </c>
      <c r="AT18" s="6">
        <v>17</v>
      </c>
      <c r="AU18" s="9">
        <f t="shared" si="26"/>
        <v>32</v>
      </c>
      <c r="AV18" s="8">
        <v>4</v>
      </c>
      <c r="AW18" s="6">
        <v>10</v>
      </c>
      <c r="AX18" s="6">
        <f t="shared" ref="AX18:AZ18" si="56">SUM(AX3:AX17)</f>
        <v>0</v>
      </c>
      <c r="AY18" s="6">
        <v>8</v>
      </c>
      <c r="AZ18" s="6">
        <f t="shared" si="56"/>
        <v>0</v>
      </c>
      <c r="BA18" s="6">
        <v>4</v>
      </c>
      <c r="BB18" s="6">
        <v>16</v>
      </c>
      <c r="BC18" s="6">
        <v>160</v>
      </c>
      <c r="BF18" s="100"/>
      <c r="BG18" s="101" t="s">
        <v>43</v>
      </c>
      <c r="BH18" s="102">
        <f t="shared" si="2"/>
        <v>0.47413793103448276</v>
      </c>
      <c r="BI18" s="125">
        <f t="shared" si="3"/>
        <v>0.47275641025641024</v>
      </c>
      <c r="BJ18" s="126">
        <v>0</v>
      </c>
      <c r="BK18" s="102">
        <f>IFERROR(T18/M18, 0)</f>
        <v>0.52</v>
      </c>
      <c r="BL18" s="125">
        <f>IFERROR(T18/(N18+(0.44*K18)+U18), 0)</f>
        <v>0.16581632653061223</v>
      </c>
      <c r="BM18" s="127">
        <f>IFERROR(U18/(N18+(0.44*K18)+U18), 0)</f>
        <v>0.2040816326530612</v>
      </c>
      <c r="BN18" s="103">
        <f t="shared" si="8"/>
        <v>0.8125</v>
      </c>
      <c r="BO18" s="105">
        <f>IFERROR(Q18/(Q18+AT18), 0)</f>
        <v>0.51428571428571423</v>
      </c>
      <c r="BP18" s="128">
        <f>IFERROR(R18/(R18+AS18), 0)</f>
        <v>0.6428571428571429</v>
      </c>
      <c r="BQ18" s="129">
        <f>IFERROR(S18/(S18+AU18), 0)</f>
        <v>0.58441558441558439</v>
      </c>
      <c r="BR18" s="111">
        <f>IFERROR(($AR$18/$BD$3)*100, 0)</f>
        <v>69.422443835314539</v>
      </c>
      <c r="BS18" s="112">
        <f>IFERROR(($P$18/$AB$3)*100, 0)</f>
        <v>97.940638013299065</v>
      </c>
      <c r="BT18" s="104">
        <f t="shared" si="27"/>
        <v>28.518194177984526</v>
      </c>
      <c r="BU18" s="102">
        <f>IFERROR(SUM(BU3:BU17), 0)</f>
        <v>0.76785714285714279</v>
      </c>
      <c r="BV18" s="85">
        <f>IFERROR((D18*2)-(E18*((homedefinitions!$K$15)*2))+(G18*3)-(H18*((homedefinitions!$L$15)*3))+(J18)-(K18*(homedefinitions!$M$15))+S18+T18+V18+W18-U18, 0)</f>
        <v>62.379999999999995</v>
      </c>
      <c r="BX18" s="55">
        <v>34</v>
      </c>
      <c r="BY18" s="58" t="s">
        <v>30</v>
      </c>
      <c r="BZ18" s="47">
        <f t="shared" si="28"/>
        <v>2.7256637168141591</v>
      </c>
      <c r="CA18" s="39">
        <f t="shared" si="46"/>
        <v>0.35714285714285715</v>
      </c>
      <c r="CB18" s="45">
        <f t="shared" si="47"/>
        <v>0.4247787610619469</v>
      </c>
      <c r="CC18" s="45">
        <f t="shared" si="29"/>
        <v>0.56092229937755889</v>
      </c>
      <c r="CD18" s="45">
        <f t="shared" si="30"/>
        <v>0.14545454545454548</v>
      </c>
      <c r="CE18" s="36">
        <f t="shared" si="31"/>
        <v>0</v>
      </c>
      <c r="CF18" s="45">
        <f t="shared" si="48"/>
        <v>0.70637684483210439</v>
      </c>
      <c r="CG18" s="45">
        <f t="shared" si="49"/>
        <v>3.4320405616462635</v>
      </c>
      <c r="CH18" s="45">
        <f t="shared" si="32"/>
        <v>1.1146696754685808</v>
      </c>
      <c r="CI18" s="51">
        <f t="shared" si="50"/>
        <v>16</v>
      </c>
      <c r="CJ18" s="47">
        <f t="shared" si="33"/>
        <v>4.1485700666473573</v>
      </c>
      <c r="CK18" s="45">
        <f t="shared" si="34"/>
        <v>0.61714331111754772</v>
      </c>
      <c r="CL18" s="45">
        <f t="shared" si="35"/>
        <v>0.68842975206611567</v>
      </c>
      <c r="CM18" s="36">
        <f t="shared" si="36"/>
        <v>0.92225696904762888</v>
      </c>
      <c r="CN18" s="45">
        <f t="shared" si="51"/>
        <v>27.560000000000002</v>
      </c>
      <c r="CO18" s="45">
        <f t="shared" si="52"/>
        <v>0.33861409037032764</v>
      </c>
      <c r="CP18" s="45">
        <f t="shared" si="53"/>
        <v>0.51428571428571423</v>
      </c>
      <c r="CQ18" s="45">
        <f t="shared" si="54"/>
        <v>0.35153061224489796</v>
      </c>
      <c r="CR18" s="45">
        <f t="shared" si="37"/>
        <v>0</v>
      </c>
      <c r="CS18" s="45">
        <f t="shared" si="38"/>
        <v>4.4609567920906175</v>
      </c>
      <c r="CT18" s="45">
        <f t="shared" si="39"/>
        <v>2.0742850333236786</v>
      </c>
      <c r="CU18" s="45">
        <f t="shared" si="40"/>
        <v>0.22272727272727272</v>
      </c>
      <c r="CV18" s="45">
        <f t="shared" si="41"/>
        <v>0</v>
      </c>
      <c r="CW18" s="45">
        <f t="shared" si="42"/>
        <v>0</v>
      </c>
      <c r="CX18" s="45">
        <f t="shared" si="43"/>
        <v>0</v>
      </c>
      <c r="CY18" s="45">
        <f t="shared" si="44"/>
        <v>0</v>
      </c>
      <c r="CZ18" s="43">
        <f t="shared" si="45"/>
        <v>3.1184356072436548</v>
      </c>
    </row>
    <row r="19" spans="2:104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6"/>
        <v>0.35714285714285715</v>
      </c>
      <c r="CB19" s="45">
        <f t="shared" si="47"/>
        <v>0.4247787610619469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8"/>
        <v>0</v>
      </c>
      <c r="CG19" s="45">
        <f t="shared" si="49"/>
        <v>0</v>
      </c>
      <c r="CH19" s="45">
        <f>IFERROR(CG19/($BD$3*(#REF!/$BC$18)),0)</f>
        <v>0</v>
      </c>
      <c r="CI19" s="51">
        <f t="shared" si="50"/>
        <v>16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6"/>
        <v>0.92225696904762888</v>
      </c>
      <c r="CN19" s="45">
        <f t="shared" si="51"/>
        <v>27.560000000000002</v>
      </c>
      <c r="CO19" s="45">
        <f t="shared" si="52"/>
        <v>0.33861409037032764</v>
      </c>
      <c r="CP19" s="45">
        <f t="shared" si="53"/>
        <v>0.51428571428571423</v>
      </c>
      <c r="CQ19" s="45">
        <f t="shared" si="54"/>
        <v>0.35153061224489796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</row>
    <row r="20" spans="2:104" ht="14.7" thickBot="1" x14ac:dyDescent="0.6">
      <c r="BX20" s="56">
        <v>55</v>
      </c>
      <c r="BY20" s="59" t="s">
        <v>32</v>
      </c>
      <c r="BZ20" s="48">
        <f>IFERROR(W17+((V17*CB20)*(1-(1.07*CA20)))+(R17*(1-CB20)), 0)</f>
        <v>0.5752212389380531</v>
      </c>
      <c r="CA20" s="41">
        <f t="shared" si="46"/>
        <v>0.35714285714285715</v>
      </c>
      <c r="CB20" s="46">
        <f t="shared" si="47"/>
        <v>0.4247787610619469</v>
      </c>
      <c r="CC20" s="46">
        <f>IFERROR(((($AP$18-$AO$18-$V$18)*CB20*(1-1.07*CA20))/$AA$18)*AA17, 0)</f>
        <v>0.47235562052847063</v>
      </c>
      <c r="CD20" s="46">
        <f>IFERROR((Z17/$Z$18)*0.4*$AM$18*((1-$AN$18)^2), 0)</f>
        <v>0.14545454545454548</v>
      </c>
      <c r="CE20" s="42">
        <f>IFERROR((($AW$18-$W$18)/$AA$18)*AA17, 0)</f>
        <v>0</v>
      </c>
      <c r="CF20" s="46">
        <f t="shared" si="48"/>
        <v>0.61781016598301608</v>
      </c>
      <c r="CG20" s="46">
        <f t="shared" si="49"/>
        <v>1.1930314049210691</v>
      </c>
      <c r="CH20" s="46">
        <f>IFERROR(CG20/($BD$3*(AA17/$BC$18)),0)</f>
        <v>0.46012864278832954</v>
      </c>
      <c r="CI20" s="52">
        <f t="shared" si="50"/>
        <v>16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0.5381977252843394</v>
      </c>
      <c r="CL20" s="46">
        <f>IFERROR(2*((($M$18)+0.5*($H$18-G17))/($M$18-M17))*0.5*((($P$18-$J$18)-(P17-J17))/(2*($N$18-N17)))*T17, 0)</f>
        <v>0</v>
      </c>
      <c r="CM20" s="42">
        <f t="shared" si="36"/>
        <v>0.92225696904762888</v>
      </c>
      <c r="CN20" s="46">
        <f t="shared" si="51"/>
        <v>27.560000000000002</v>
      </c>
      <c r="CO20" s="46">
        <f t="shared" si="52"/>
        <v>0.33861409037032764</v>
      </c>
      <c r="CP20" s="46">
        <f t="shared" si="53"/>
        <v>0.51428571428571423</v>
      </c>
      <c r="CQ20" s="46">
        <f t="shared" si="54"/>
        <v>0.35153061224489796</v>
      </c>
      <c r="CR20" s="46">
        <f>IFERROR(Q17*CO20*CQ20*($P$18/($M$18+(1-(1-($J$18/$K$18))^2)*0.4*$K$18)), 0)</f>
        <v>0.25482437923277207</v>
      </c>
      <c r="CS20" s="46">
        <f>IFERROR((CJ20+CL20+J17)*CM20+CR20, 0)</f>
        <v>0.25482437923277207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0.11903321850263048</v>
      </c>
      <c r="CX20" s="46">
        <f>IFERROR((N17-M17)*(1-(1.07*CP20)), 0)</f>
        <v>0.44971428571428573</v>
      </c>
      <c r="CY20" s="46">
        <f>IFERROR(((1-(J17/K17))^2)*0.4*K17, 0)</f>
        <v>0.8</v>
      </c>
      <c r="CZ20" s="44">
        <f>IFERROR(((CT20+CU20+CV20)*CM20)+CW20+CX20+CY20+U17, 0)</f>
        <v>2.3687475042169162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D387-4D60-48F2-942C-B184971DBED1}">
  <dimension ref="B1:CZ20"/>
  <sheetViews>
    <sheetView zoomScale="95" zoomScaleNormal="60" workbookViewId="0">
      <selection activeCell="BV3" sqref="BV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3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6" t="s">
        <v>1</v>
      </c>
      <c r="E1" s="177"/>
      <c r="F1" s="178"/>
      <c r="G1" s="179" t="s">
        <v>5</v>
      </c>
      <c r="H1" s="180"/>
      <c r="I1" s="181"/>
      <c r="J1" s="182" t="s">
        <v>38</v>
      </c>
      <c r="K1" s="183"/>
      <c r="L1" s="184"/>
      <c r="M1" s="185" t="s">
        <v>6</v>
      </c>
      <c r="N1" s="185"/>
      <c r="O1" s="185"/>
      <c r="P1" s="186"/>
      <c r="Q1" s="187" t="s">
        <v>8</v>
      </c>
      <c r="R1" s="188"/>
      <c r="S1" s="189"/>
      <c r="T1" s="174"/>
      <c r="U1" s="175"/>
      <c r="V1" s="175"/>
      <c r="W1" s="175"/>
      <c r="X1" s="175"/>
      <c r="Y1" s="175"/>
      <c r="Z1" s="37"/>
      <c r="AD1" s="11" t="s">
        <v>110</v>
      </c>
      <c r="AE1" s="11"/>
      <c r="AF1" s="176" t="s">
        <v>1</v>
      </c>
      <c r="AG1" s="177"/>
      <c r="AH1" s="178"/>
      <c r="AI1" s="179" t="s">
        <v>5</v>
      </c>
      <c r="AJ1" s="180"/>
      <c r="AK1" s="181"/>
      <c r="AL1" s="182" t="s">
        <v>38</v>
      </c>
      <c r="AM1" s="183"/>
      <c r="AN1" s="184"/>
      <c r="AO1" s="185" t="s">
        <v>6</v>
      </c>
      <c r="AP1" s="185"/>
      <c r="AQ1" s="185"/>
      <c r="AR1" s="186"/>
      <c r="AS1" s="187" t="s">
        <v>8</v>
      </c>
      <c r="AT1" s="188"/>
      <c r="AU1" s="189"/>
      <c r="AV1" s="174"/>
      <c r="AW1" s="175"/>
      <c r="AX1" s="175"/>
      <c r="AY1" s="175"/>
      <c r="AZ1" s="175"/>
      <c r="BA1" s="175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6" t="s">
        <v>64</v>
      </c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7"/>
    </row>
    <row r="3" spans="2:104" ht="23.1" x14ac:dyDescent="0.85">
      <c r="B3" s="11">
        <v>0</v>
      </c>
      <c r="C3" s="11" t="s">
        <v>17</v>
      </c>
      <c r="D3" s="15">
        <v>2</v>
      </c>
      <c r="E3" s="16">
        <v>4</v>
      </c>
      <c r="F3" s="130">
        <f>IFERROR(D3/E3,0)</f>
        <v>0.5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2</v>
      </c>
      <c r="N3" s="16">
        <f t="shared" si="0"/>
        <v>4</v>
      </c>
      <c r="O3" s="136">
        <f>IFERROR(M3/N3,0)</f>
        <v>0.5</v>
      </c>
      <c r="P3" s="17">
        <f>(D3*2)+(G3*3)+(J3)</f>
        <v>4</v>
      </c>
      <c r="Q3" s="15">
        <v>0</v>
      </c>
      <c r="R3" s="16">
        <v>5</v>
      </c>
      <c r="S3" s="17">
        <f>Q3+R3</f>
        <v>5</v>
      </c>
      <c r="T3" s="15">
        <v>2</v>
      </c>
      <c r="U3" s="16">
        <v>1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52">
        <v>10</v>
      </c>
      <c r="AB3" s="60">
        <f>IFERROR($N$18+0.44*$K$18-(1.07*($Q$18/($Q$18+$AT$18))*($N$18-$M$18))+U18, 0)</f>
        <v>57.504374999999996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58.95862068965517</v>
      </c>
      <c r="BF3" s="67">
        <v>0</v>
      </c>
      <c r="BG3" s="68" t="s">
        <v>17</v>
      </c>
      <c r="BH3" s="81">
        <f t="shared" ref="BH3:BH18" si="2">IFERROR(((D3+(1.5*G3))/N3), 0)</f>
        <v>0.5</v>
      </c>
      <c r="BI3" s="113">
        <f t="shared" ref="BI3:BI18" si="3">IFERROR(P3/(2*(N3+(0.44*K3))), 0)</f>
        <v>0.5</v>
      </c>
      <c r="BJ3" s="114">
        <f t="shared" ref="BJ3:BJ17" si="4">IFERROR((N3+(0.44*K3)+U3)/(($N$18+(0.44*$K$18)+$U$18)*((5*AA3)/160)), 0)</f>
        <v>0.22509848058525606</v>
      </c>
      <c r="BK3" s="81">
        <f t="shared" ref="BK3:BK17" si="5">IFERROR(T3/(($M$18*((5*AA3)/$AA$18))-M3), 0)</f>
        <v>0.31067961165048541</v>
      </c>
      <c r="BL3" s="113">
        <f t="shared" ref="BL3:BL17" si="6">IFERROR(T3/(N3+(0.44*K3)+T3+U3), 0)</f>
        <v>0.2857142857142857</v>
      </c>
      <c r="BM3" s="115">
        <f t="shared" ref="BM3:BM17" si="7">IFERROR(U3/(N3+(0.44*K3)+T3+U3), 0)</f>
        <v>0.14285714285714285</v>
      </c>
      <c r="BN3" s="82">
        <f t="shared" ref="BN3:BN18" si="8">IFERROR(T3/U3, 0)</f>
        <v>2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0.55172413793103448</v>
      </c>
      <c r="BQ3" s="116">
        <f t="shared" ref="BQ3:BQ17" si="11">IFERROR(S3/(($S$18+$AU$18)*((5*AA3)/$AA$18)), 0)</f>
        <v>0.26229508196721313</v>
      </c>
      <c r="BR3" s="83">
        <f t="shared" ref="BR3:BR16" si="12">IFERROR($BR$18+0.2*(100*($AR$18/CI5)*(1-CH5)-$BR$18), 0)</f>
        <v>65.638383484616128</v>
      </c>
      <c r="BS3" s="84">
        <f t="shared" ref="BS3:BS16" si="13">IFERROR((CS5/CZ5)*100, 0)</f>
        <v>113.70395739063031</v>
      </c>
      <c r="BT3" s="85">
        <f>BS3-BR3</f>
        <v>48.06557390601418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7.9207920792079209E-2</v>
      </c>
      <c r="BV3" s="85">
        <f>IFERROR((D3*2)-(E3*((homedefinitions!$K$15)*2))+(G3*3)-(H3*((homedefinitions!$L$15)*3))+(J3)-(K3*(homedefinitions!$M$15))+S3+T3+V3+W3-U3, 0)</f>
        <v>7</v>
      </c>
      <c r="BX3" s="54"/>
      <c r="BY3" s="57"/>
      <c r="BZ3" s="168" t="s">
        <v>75</v>
      </c>
      <c r="CA3" s="169"/>
      <c r="CB3" s="169"/>
      <c r="CC3" s="169"/>
      <c r="CD3" s="169"/>
      <c r="CE3" s="169"/>
      <c r="CF3" s="169"/>
      <c r="CG3" s="169"/>
      <c r="CH3" s="169"/>
      <c r="CI3" s="170"/>
      <c r="CJ3" s="171" t="s">
        <v>92</v>
      </c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3"/>
    </row>
    <row r="4" spans="2:104" ht="23.1" x14ac:dyDescent="0.85">
      <c r="B4" s="11">
        <v>1</v>
      </c>
      <c r="C4" s="11" t="s">
        <v>18</v>
      </c>
      <c r="D4" s="18">
        <v>0</v>
      </c>
      <c r="E4" s="19">
        <v>1</v>
      </c>
      <c r="F4" s="131">
        <f t="shared" ref="F4:F18" si="15">IFERROR(D4/E4,0)</f>
        <v>0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0</v>
      </c>
      <c r="N4" s="19">
        <f t="shared" si="0"/>
        <v>2</v>
      </c>
      <c r="O4" s="137">
        <f t="shared" ref="O4:O18" si="18">IFERROR(M4/N4,0)</f>
        <v>0</v>
      </c>
      <c r="P4" s="20">
        <f t="shared" ref="P4:P17" si="19">(D4*2)+(G4*3)+(J4)</f>
        <v>0</v>
      </c>
      <c r="Q4" s="18">
        <v>0</v>
      </c>
      <c r="R4" s="19">
        <v>1</v>
      </c>
      <c r="S4" s="20">
        <f t="shared" ref="S4:S18" si="20">Q4+R4</f>
        <v>1</v>
      </c>
      <c r="T4" s="18">
        <v>0</v>
      </c>
      <c r="U4" s="19">
        <v>1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53">
        <v>8.33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</v>
      </c>
      <c r="BI4" s="117">
        <f t="shared" si="3"/>
        <v>0</v>
      </c>
      <c r="BJ4" s="118">
        <f t="shared" si="4"/>
        <v>0.16213576032551455</v>
      </c>
      <c r="BK4" s="86">
        <f t="shared" si="5"/>
        <v>0</v>
      </c>
      <c r="BL4" s="117">
        <f t="shared" si="6"/>
        <v>0</v>
      </c>
      <c r="BM4" s="119">
        <f t="shared" si="7"/>
        <v>0.33333333333333331</v>
      </c>
      <c r="BN4" s="87">
        <f t="shared" si="8"/>
        <v>0</v>
      </c>
      <c r="BO4" s="86">
        <f t="shared" si="9"/>
        <v>0</v>
      </c>
      <c r="BP4" s="117">
        <f t="shared" si="10"/>
        <v>0.13246677981537444</v>
      </c>
      <c r="BQ4" s="120">
        <f t="shared" si="11"/>
        <v>6.2976010076161618E-2</v>
      </c>
      <c r="BR4" s="88">
        <f t="shared" si="12"/>
        <v>72.469274104134612</v>
      </c>
      <c r="BS4" s="89">
        <f t="shared" si="13"/>
        <v>0</v>
      </c>
      <c r="BT4" s="90">
        <f t="shared" ref="BT4:BT18" si="27">BS4-BR4</f>
        <v>-72.469274104134612</v>
      </c>
      <c r="BU4" s="86">
        <f t="shared" si="14"/>
        <v>-1.9801980198019802E-2</v>
      </c>
      <c r="BV4" s="85">
        <f>IFERROR((D4*2)-(E4*((homedefinitions!$K$15)*2))+(G4*3)-(H4*((homedefinitions!$L$15)*3))+(J4)-(K4*(homedefinitions!$M$15))+S4+T4+V4+W4-U4, 0)</f>
        <v>-1.59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2</v>
      </c>
      <c r="F5" s="130">
        <f t="shared" si="15"/>
        <v>1</v>
      </c>
      <c r="G5" s="15">
        <v>0</v>
      </c>
      <c r="H5" s="16">
        <v>1</v>
      </c>
      <c r="I5" s="133">
        <f t="shared" si="16"/>
        <v>0</v>
      </c>
      <c r="J5" s="33">
        <v>0</v>
      </c>
      <c r="K5" s="33">
        <v>2</v>
      </c>
      <c r="L5" s="31">
        <f t="shared" si="17"/>
        <v>0</v>
      </c>
      <c r="M5" s="21">
        <f t="shared" si="0"/>
        <v>2</v>
      </c>
      <c r="N5" s="16">
        <f t="shared" si="0"/>
        <v>3</v>
      </c>
      <c r="O5" s="136">
        <f t="shared" si="18"/>
        <v>0.66666666666666663</v>
      </c>
      <c r="P5" s="17">
        <f t="shared" si="19"/>
        <v>4</v>
      </c>
      <c r="Q5" s="15">
        <v>1</v>
      </c>
      <c r="R5" s="16">
        <v>1</v>
      </c>
      <c r="S5" s="17">
        <f t="shared" si="20"/>
        <v>2</v>
      </c>
      <c r="T5" s="15">
        <v>0</v>
      </c>
      <c r="U5" s="16">
        <v>1</v>
      </c>
      <c r="V5" s="16">
        <v>0</v>
      </c>
      <c r="W5" s="16">
        <v>0</v>
      </c>
      <c r="X5" s="16">
        <v>0</v>
      </c>
      <c r="Y5" s="16">
        <v>0</v>
      </c>
      <c r="Z5" s="16">
        <v>1</v>
      </c>
      <c r="AA5" s="152">
        <v>13.33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0.66666666666666663</v>
      </c>
      <c r="BI5" s="113">
        <f t="shared" si="3"/>
        <v>0.51546391752577325</v>
      </c>
      <c r="BJ5" s="114">
        <f t="shared" si="4"/>
        <v>0.1648132911111852</v>
      </c>
      <c r="BK5" s="81">
        <f t="shared" si="5"/>
        <v>0</v>
      </c>
      <c r="BL5" s="113">
        <f t="shared" si="6"/>
        <v>0</v>
      </c>
      <c r="BM5" s="115">
        <f t="shared" si="7"/>
        <v>0.20491803278688525</v>
      </c>
      <c r="BN5" s="82">
        <f t="shared" si="8"/>
        <v>0</v>
      </c>
      <c r="BO5" s="81">
        <f t="shared" si="9"/>
        <v>7.5018754688672154E-2</v>
      </c>
      <c r="BP5" s="113">
        <f t="shared" si="10"/>
        <v>8.2779315518534791E-2</v>
      </c>
      <c r="BQ5" s="116">
        <f t="shared" si="11"/>
        <v>7.8708201640574071E-2</v>
      </c>
      <c r="BR5" s="83">
        <f t="shared" si="12"/>
        <v>73.015263374838995</v>
      </c>
      <c r="BS5" s="84">
        <f t="shared" si="13"/>
        <v>84.381222268605143</v>
      </c>
      <c r="BT5" s="85">
        <f t="shared" si="27"/>
        <v>11.365958893766148</v>
      </c>
      <c r="BU5" s="81">
        <f t="shared" si="14"/>
        <v>1.4851485148514851E-2</v>
      </c>
      <c r="BV5" s="85">
        <f>IFERROR((D5*2)-(E5*((homedefinitions!$K$15)*2))+(G5*3)-(H5*((homedefinitions!$L$15)*3))+(J5)-(K5*(homedefinitions!$M$15))+S5+T5+V5+W5-U5, 0)</f>
        <v>1.3599999999999999</v>
      </c>
      <c r="BX5" s="26">
        <v>0</v>
      </c>
      <c r="BY5" s="25" t="s">
        <v>17</v>
      </c>
      <c r="BZ5" s="47">
        <f t="shared" ref="BZ5:BZ18" si="28">IFERROR(W3+((V3*CB5)*(1-(1.07*CA5)))+(R3*(1-CB5)), 0)</f>
        <v>0.68230277185501065</v>
      </c>
      <c r="CA5" s="39">
        <f>IFERROR(($AS$18/($AS$18+$R$18)), 0)</f>
        <v>6.8965517241379309E-2</v>
      </c>
      <c r="CB5" s="45">
        <f>IFERROR(($AQ$18*(1-CA5))/($AQ$18*(1-CA5)+(CA5*(1-$AQ$18))), 0)</f>
        <v>0.86353944562899787</v>
      </c>
      <c r="CC5" s="45">
        <f t="shared" ref="CC5:CC18" si="29">IFERROR(((($AP$18-$AO$18-$V$18)*CB5*(1-1.07*CA5))/$AA$18)*AA3, 0)</f>
        <v>1.5996323799720606</v>
      </c>
      <c r="CD5" s="45">
        <f t="shared" ref="CD5:CD18" si="30">IFERROR((Z3/$Z$18)*0.4*$AM$18*((1-$AN$18)^2), 0)</f>
        <v>0</v>
      </c>
      <c r="CE5" s="36">
        <f t="shared" ref="CE5:CE18" si="31">IFERROR((($AW$18-$W$18)/$AA$18)*AA3, 0)</f>
        <v>0.4375</v>
      </c>
      <c r="CF5" s="45">
        <f>IFERROR(CC5+CE5+CD5, 0)</f>
        <v>2.0371323799720606</v>
      </c>
      <c r="CG5" s="45">
        <f>IFERROR(BZ5+CF5, 0)</f>
        <v>2.7194351518270712</v>
      </c>
      <c r="CH5" s="45">
        <f t="shared" ref="CH5:CH18" si="32">IFERROR(CG5/($BD$3*(AA3/$BC$18)),0)</f>
        <v>0.73799152558647862</v>
      </c>
      <c r="CI5" s="51">
        <f>IFERROR($AO$18+(1-((1-$AN$18)^2))*0.4*$AM$18, 0)</f>
        <v>16.066666666666666</v>
      </c>
      <c r="CJ5" s="47">
        <f t="shared" ref="CJ5:CJ18" si="33">IFERROR(2*(M3+0.5*G3)*(1-(0.5*((P3-J3)/(2*N3)))*CK5), 0)</f>
        <v>3.6345941208198491</v>
      </c>
      <c r="CK5" s="45">
        <f t="shared" ref="CK5:CK18" si="34">IFERROR(((5*AA3/$AA$18)*1.14*(($T$18-T3)/$M$18))+((1-(5*AA3/$AA$18))*(((($T$18/$AA$18)*AA3*5)-T3)/((($M$18/$AA$18)*AA3*5)-M3))), 0)</f>
        <v>0.36540587918015099</v>
      </c>
      <c r="CL5" s="45">
        <f t="shared" ref="CL5:CL18" si="35">IFERROR(2*((($M$18)+0.5*($H$18-G3))/($M$18-M3))*0.5*((($P$18-$J$18)-(P3-J3))/(2*($N$18-N3)))*T3, 0)</f>
        <v>1.6507692307692308</v>
      </c>
      <c r="CM5" s="45">
        <f t="shared" ref="CM5:CM20" si="36">IFERROR(1-($Q$18/CN5)*CO5*CQ5, 0)</f>
        <v>0.9077951035423073</v>
      </c>
      <c r="CN5" s="45">
        <f>IFERROR($M$18+(1-(1-($J$18/$K$18))^2)*$K$18*0.4, 0)</f>
        <v>28.885714285714286</v>
      </c>
      <c r="CO5" s="45">
        <f>IFERROR(((1-CP5)*CQ5)/((1-CP5)*CQ5+(1-CQ5)*CP5), 0)</f>
        <v>0.46813743144377101</v>
      </c>
      <c r="CP5" s="45">
        <f>IFERROR($Q$18/($Q$18+$AT$18), 0)</f>
        <v>0.4375</v>
      </c>
      <c r="CQ5" s="45">
        <f>IFERROR(CN5/($N$18+0.44*$K$18+$U$18), 0)</f>
        <v>0.40638314977088191</v>
      </c>
      <c r="CR5" s="45">
        <f t="shared" ref="CR5:CR18" si="37">IFERROR(Q3*CO5*CQ5*($P$18/($M$18+(1-(1-($J$18/$K$18))^2)*0.4*$K$18)), 0)</f>
        <v>0</v>
      </c>
      <c r="CS5" s="45">
        <f t="shared" ref="CS5:CS18" si="38">IFERROR((CJ5+CL5+J3)*CM5+CR5, 0)</f>
        <v>4.7980269710145249</v>
      </c>
      <c r="CT5" s="45">
        <f t="shared" ref="CT5:CT18" si="39">IFERROR(M3*(1-(0.5*((P3-J3)/(2*N3)))*CK5), 0)</f>
        <v>1.8172970604099246</v>
      </c>
      <c r="CU5" s="45">
        <f t="shared" ref="CU5:CU18" si="40">IFERROR(0.5*((($P$18-$J$18)-(P3-J3))/(2*($N$18-N3)))*T3, 0)</f>
        <v>0.55769230769230771</v>
      </c>
      <c r="CV5" s="45">
        <f t="shared" ref="CV5:CV18" si="41">IFERROR((1-(1-(J3/K3))^2)*0.4*K3, 0)</f>
        <v>0</v>
      </c>
      <c r="CW5" s="45">
        <f t="shared" ref="CW5:CW18" si="42">IFERROR(Q3*CO5*CQ5, 0)</f>
        <v>0</v>
      </c>
      <c r="CX5" s="45">
        <f t="shared" ref="CX5:CX18" si="43">IFERROR((N3-M3)*(1-(1.07*CP5)), 0)</f>
        <v>1.06375</v>
      </c>
      <c r="CY5" s="45">
        <f t="shared" ref="CY5:CY18" si="44">IFERROR(((1-(J3/K3))^2)*0.4*K3, 0)</f>
        <v>0</v>
      </c>
      <c r="CZ5" s="43">
        <f t="shared" ref="CZ5:CZ18" si="45">IFERROR(((CT5+CU5+CV5)*CM5)+CW5+CX5+CY5+U3, 0)</f>
        <v>4.2197537193282448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3</v>
      </c>
      <c r="H6" s="19">
        <v>6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4</v>
      </c>
      <c r="N6" s="19">
        <f t="shared" si="0"/>
        <v>7</v>
      </c>
      <c r="O6" s="137">
        <f t="shared" si="18"/>
        <v>0.5714285714285714</v>
      </c>
      <c r="P6" s="20">
        <f t="shared" si="19"/>
        <v>11</v>
      </c>
      <c r="Q6" s="18">
        <v>0</v>
      </c>
      <c r="R6" s="19">
        <v>0</v>
      </c>
      <c r="S6" s="20">
        <f t="shared" si="20"/>
        <v>0</v>
      </c>
      <c r="T6" s="18">
        <v>1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1</v>
      </c>
      <c r="AA6" s="153">
        <v>9.5</v>
      </c>
      <c r="AB6" s="60">
        <f>IFERROR((AB3/32)*40, 0)</f>
        <v>71.880468749999991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73.698275862068968</v>
      </c>
      <c r="BF6" s="67">
        <v>3</v>
      </c>
      <c r="BG6" s="68" t="s">
        <v>20</v>
      </c>
      <c r="BH6" s="86">
        <f t="shared" si="2"/>
        <v>0.7857142857142857</v>
      </c>
      <c r="BI6" s="117">
        <f t="shared" si="3"/>
        <v>0.7857142857142857</v>
      </c>
      <c r="BJ6" s="118">
        <f t="shared" si="4"/>
        <v>0.37911323045937861</v>
      </c>
      <c r="BK6" s="86">
        <f t="shared" si="5"/>
        <v>0.24902723735408561</v>
      </c>
      <c r="BL6" s="117">
        <f t="shared" si="6"/>
        <v>0.1111111111111111</v>
      </c>
      <c r="BM6" s="119">
        <f t="shared" si="7"/>
        <v>0.1111111111111111</v>
      </c>
      <c r="BN6" s="87">
        <f t="shared" si="8"/>
        <v>1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74.257716602671309</v>
      </c>
      <c r="BS6" s="89">
        <f t="shared" si="13"/>
        <v>147.45945882240616</v>
      </c>
      <c r="BT6" s="90">
        <f t="shared" si="27"/>
        <v>73.201742219734854</v>
      </c>
      <c r="BU6" s="86">
        <f t="shared" si="14"/>
        <v>7.9207920792079209E-2</v>
      </c>
      <c r="BV6" s="85">
        <f>IFERROR((D6*2)-(E6*((homedefinitions!$K$15)*2))+(G6*3)-(H6*((homedefinitions!$L$15)*3))+(J6)-(K6*(homedefinitions!$M$15))+S6+T6+V6+W6-U6, 0)</f>
        <v>5.2099999999999991</v>
      </c>
      <c r="BX6" s="26">
        <v>1</v>
      </c>
      <c r="BY6" s="25" t="s">
        <v>18</v>
      </c>
      <c r="BZ6" s="47">
        <f t="shared" si="28"/>
        <v>0.13646055437100213</v>
      </c>
      <c r="CA6" s="39">
        <f t="shared" ref="CA6:CA20" si="46">IFERROR(($AS$18/($AS$18+$R$18)), 0)</f>
        <v>6.8965517241379309E-2</v>
      </c>
      <c r="CB6" s="45">
        <f t="shared" ref="CB6:CB20" si="47">IFERROR(($AQ$18*(1-CA6))/($AQ$18*(1-CA6)+(CA6*(1-$AQ$18))), 0)</f>
        <v>0.86353944562899787</v>
      </c>
      <c r="CC6" s="45">
        <f t="shared" si="29"/>
        <v>1.3324937725167265</v>
      </c>
      <c r="CD6" s="45">
        <f t="shared" si="30"/>
        <v>0</v>
      </c>
      <c r="CE6" s="36">
        <f t="shared" si="31"/>
        <v>0.36443749999999997</v>
      </c>
      <c r="CF6" s="45">
        <f t="shared" ref="CF6:CF20" si="48">IFERROR(CC6+CE6+CD6, 0)</f>
        <v>1.6969312725167265</v>
      </c>
      <c r="CG6" s="45">
        <f t="shared" ref="CG6:CG20" si="49">IFERROR(BZ6+CF6, 0)</f>
        <v>1.8333918268877287</v>
      </c>
      <c r="CH6" s="45">
        <f t="shared" si="32"/>
        <v>0.59728685556049965</v>
      </c>
      <c r="CI6" s="51">
        <f t="shared" ref="CI6:CI20" si="50">IFERROR($AO$18+(1-((1-$AN$18)^2))*0.4*$AM$18, 0)</f>
        <v>16.066666666666666</v>
      </c>
      <c r="CJ6" s="47">
        <f t="shared" si="33"/>
        <v>0</v>
      </c>
      <c r="CK6" s="45">
        <f t="shared" si="34"/>
        <v>0.49902847222222224</v>
      </c>
      <c r="CL6" s="45">
        <f t="shared" si="35"/>
        <v>0</v>
      </c>
      <c r="CM6" s="36">
        <f t="shared" si="36"/>
        <v>0.9077951035423073</v>
      </c>
      <c r="CN6" s="45">
        <f t="shared" ref="CN6:CN20" si="51">IFERROR($M$18+(1-(1-($J$18/$K$18))^2)*$K$18*0.4, 0)</f>
        <v>28.885714285714286</v>
      </c>
      <c r="CO6" s="45">
        <f t="shared" ref="CO6:CO20" si="52">IFERROR(((1-CP6)*CQ6)/((1-CP6)*CQ6+(1-CQ6)*CP6), 0)</f>
        <v>0.46813743144377101</v>
      </c>
      <c r="CP6" s="45">
        <f t="shared" ref="CP6:CP20" si="53">IFERROR($Q$18/($Q$18+$AT$18), 0)</f>
        <v>0.4375</v>
      </c>
      <c r="CQ6" s="45">
        <f t="shared" ref="CQ6:CQ20" si="54">IFERROR(CN6/($N$18+0.44*$K$18+$U$18), 0)</f>
        <v>0.40638314977088191</v>
      </c>
      <c r="CR6" s="45">
        <f t="shared" si="37"/>
        <v>0</v>
      </c>
      <c r="CS6" s="45">
        <f t="shared" si="38"/>
        <v>0</v>
      </c>
      <c r="CT6" s="45">
        <f t="shared" si="39"/>
        <v>0</v>
      </c>
      <c r="CU6" s="45">
        <f t="shared" si="40"/>
        <v>0</v>
      </c>
      <c r="CV6" s="45">
        <f t="shared" si="41"/>
        <v>0</v>
      </c>
      <c r="CW6" s="45">
        <f t="shared" si="42"/>
        <v>0</v>
      </c>
      <c r="CX6" s="45">
        <f t="shared" si="43"/>
        <v>1.06375</v>
      </c>
      <c r="CY6" s="45">
        <f t="shared" si="44"/>
        <v>0</v>
      </c>
      <c r="CZ6" s="43">
        <f t="shared" si="45"/>
        <v>2.0637499999999998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3</v>
      </c>
      <c r="F7" s="130">
        <f t="shared" si="15"/>
        <v>0.66666666666666663</v>
      </c>
      <c r="G7" s="15">
        <v>2</v>
      </c>
      <c r="H7" s="16">
        <v>2</v>
      </c>
      <c r="I7" s="133">
        <f t="shared" si="16"/>
        <v>1</v>
      </c>
      <c r="J7" s="33">
        <v>0</v>
      </c>
      <c r="K7" s="33">
        <v>0</v>
      </c>
      <c r="L7" s="31">
        <f t="shared" si="17"/>
        <v>0</v>
      </c>
      <c r="M7" s="21">
        <f t="shared" si="0"/>
        <v>4</v>
      </c>
      <c r="N7" s="16">
        <f t="shared" si="0"/>
        <v>5</v>
      </c>
      <c r="O7" s="136">
        <f t="shared" si="18"/>
        <v>0.8</v>
      </c>
      <c r="P7" s="17">
        <f t="shared" si="19"/>
        <v>10</v>
      </c>
      <c r="Q7" s="15">
        <v>0</v>
      </c>
      <c r="R7" s="16">
        <v>3</v>
      </c>
      <c r="S7" s="17">
        <f t="shared" si="20"/>
        <v>3</v>
      </c>
      <c r="T7" s="15">
        <v>2</v>
      </c>
      <c r="U7" s="16">
        <v>1</v>
      </c>
      <c r="V7" s="16">
        <v>0</v>
      </c>
      <c r="W7" s="16">
        <v>2</v>
      </c>
      <c r="X7" s="16">
        <v>0</v>
      </c>
      <c r="Y7" s="16">
        <v>0</v>
      </c>
      <c r="Z7" s="16">
        <v>0</v>
      </c>
      <c r="AA7" s="152">
        <v>13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</v>
      </c>
      <c r="BJ7" s="114">
        <f t="shared" si="4"/>
        <v>0.20778321284792867</v>
      </c>
      <c r="BK7" s="81">
        <f t="shared" si="5"/>
        <v>0.28699551569506726</v>
      </c>
      <c r="BL7" s="113">
        <f t="shared" si="6"/>
        <v>0.25</v>
      </c>
      <c r="BM7" s="115">
        <f t="shared" si="7"/>
        <v>0.125</v>
      </c>
      <c r="BN7" s="82">
        <f t="shared" si="8"/>
        <v>2</v>
      </c>
      <c r="BO7" s="81">
        <f t="shared" si="9"/>
        <v>0</v>
      </c>
      <c r="BP7" s="113">
        <f t="shared" si="10"/>
        <v>0.25464190981432361</v>
      </c>
      <c r="BQ7" s="116">
        <f t="shared" si="11"/>
        <v>0.12105926860025221</v>
      </c>
      <c r="BR7" s="83">
        <f t="shared" si="12"/>
        <v>50.209890629142912</v>
      </c>
      <c r="BS7" s="84">
        <f t="shared" si="13"/>
        <v>175.91828725917097</v>
      </c>
      <c r="BT7" s="85">
        <f t="shared" si="27"/>
        <v>125.70839663002806</v>
      </c>
      <c r="BU7" s="81">
        <f t="shared" si="14"/>
        <v>0.14851485148514851</v>
      </c>
      <c r="BV7" s="85">
        <f>IFERROR((D7*2)-(E7*((homedefinitions!$K$15)*2))+(G7*3)-(H7*((homedefinitions!$L$15)*3))+(J7)-(K7*(homedefinitions!$M$15))+S7+T7+V7+W7-U7, 0)</f>
        <v>12.07</v>
      </c>
      <c r="BX7" s="26">
        <v>2</v>
      </c>
      <c r="BY7" s="25" t="s">
        <v>19</v>
      </c>
      <c r="BZ7" s="47">
        <f t="shared" si="28"/>
        <v>0.13646055437100213</v>
      </c>
      <c r="CA7" s="39">
        <f t="shared" si="46"/>
        <v>6.8965517241379309E-2</v>
      </c>
      <c r="CB7" s="45">
        <f t="shared" si="47"/>
        <v>0.86353944562899787</v>
      </c>
      <c r="CC7" s="45">
        <f t="shared" si="29"/>
        <v>2.1323099625027568</v>
      </c>
      <c r="CD7" s="45">
        <f t="shared" si="30"/>
        <v>2.6666666666666675E-2</v>
      </c>
      <c r="CE7" s="36">
        <f t="shared" si="31"/>
        <v>0.58318749999999997</v>
      </c>
      <c r="CF7" s="45">
        <f t="shared" si="48"/>
        <v>2.7421641291694239</v>
      </c>
      <c r="CG7" s="45">
        <f t="shared" si="49"/>
        <v>2.8786246835404259</v>
      </c>
      <c r="CH7" s="45">
        <f t="shared" si="32"/>
        <v>0.5860404098989821</v>
      </c>
      <c r="CI7" s="51">
        <f t="shared" si="50"/>
        <v>16.066666666666666</v>
      </c>
      <c r="CJ7" s="47">
        <f t="shared" si="33"/>
        <v>3.2395765450768943</v>
      </c>
      <c r="CK7" s="45">
        <f t="shared" si="34"/>
        <v>0.5703175911923295</v>
      </c>
      <c r="CL7" s="45">
        <f t="shared" si="35"/>
        <v>0</v>
      </c>
      <c r="CM7" s="36">
        <f t="shared" si="36"/>
        <v>0.9077951035423073</v>
      </c>
      <c r="CN7" s="45">
        <f t="shared" si="51"/>
        <v>28.885714285714286</v>
      </c>
      <c r="CO7" s="45">
        <f t="shared" si="52"/>
        <v>0.46813743144377101</v>
      </c>
      <c r="CP7" s="45">
        <f t="shared" si="53"/>
        <v>0.4375</v>
      </c>
      <c r="CQ7" s="45">
        <f t="shared" si="54"/>
        <v>0.40638314977088191</v>
      </c>
      <c r="CR7" s="45">
        <f t="shared" si="37"/>
        <v>0.42809416212500162</v>
      </c>
      <c r="CS7" s="45">
        <f t="shared" si="38"/>
        <v>3.3689658872963109</v>
      </c>
      <c r="CT7" s="45">
        <f t="shared" si="39"/>
        <v>1.6197882725384471</v>
      </c>
      <c r="CU7" s="45">
        <f t="shared" si="40"/>
        <v>0</v>
      </c>
      <c r="CV7" s="45">
        <f t="shared" si="41"/>
        <v>0</v>
      </c>
      <c r="CW7" s="45">
        <f t="shared" si="42"/>
        <v>0.19024316391576995</v>
      </c>
      <c r="CX7" s="45">
        <f t="shared" si="43"/>
        <v>0.53187499999999999</v>
      </c>
      <c r="CY7" s="45">
        <f t="shared" si="44"/>
        <v>0.8</v>
      </c>
      <c r="CZ7" s="43">
        <f t="shared" si="45"/>
        <v>3.9925540265014243</v>
      </c>
    </row>
    <row r="8" spans="2:104" ht="23.1" x14ac:dyDescent="0.85">
      <c r="B8" s="11">
        <v>5</v>
      </c>
      <c r="C8" s="11" t="s">
        <v>22</v>
      </c>
      <c r="D8" s="18">
        <v>3</v>
      </c>
      <c r="E8" s="19">
        <v>4</v>
      </c>
      <c r="F8" s="131">
        <f t="shared" si="15"/>
        <v>0.75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3</v>
      </c>
      <c r="N8" s="19">
        <f t="shared" si="0"/>
        <v>4</v>
      </c>
      <c r="O8" s="137">
        <f t="shared" si="18"/>
        <v>0.75</v>
      </c>
      <c r="P8" s="20">
        <f t="shared" si="19"/>
        <v>6</v>
      </c>
      <c r="Q8" s="18">
        <v>2</v>
      </c>
      <c r="R8" s="19">
        <v>5</v>
      </c>
      <c r="S8" s="20">
        <f t="shared" si="20"/>
        <v>7</v>
      </c>
      <c r="T8" s="18">
        <v>4</v>
      </c>
      <c r="U8" s="19">
        <v>3</v>
      </c>
      <c r="V8" s="19">
        <v>0</v>
      </c>
      <c r="W8" s="19">
        <v>2</v>
      </c>
      <c r="X8" s="19">
        <v>0</v>
      </c>
      <c r="Y8" s="19">
        <v>1</v>
      </c>
      <c r="Z8" s="19">
        <v>1</v>
      </c>
      <c r="AA8" s="153">
        <v>13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0.75</v>
      </c>
      <c r="BI8" s="117">
        <f t="shared" si="3"/>
        <v>0.75</v>
      </c>
      <c r="BJ8" s="118">
        <f t="shared" si="4"/>
        <v>0.24241374832258344</v>
      </c>
      <c r="BK8" s="86">
        <f t="shared" si="5"/>
        <v>0.50196078431372548</v>
      </c>
      <c r="BL8" s="117">
        <f t="shared" si="6"/>
        <v>0.36363636363636365</v>
      </c>
      <c r="BM8" s="119">
        <f t="shared" si="7"/>
        <v>0.27272727272727271</v>
      </c>
      <c r="BN8" s="87">
        <f t="shared" si="8"/>
        <v>1.3333333333333333</v>
      </c>
      <c r="BO8" s="86">
        <f t="shared" si="9"/>
        <v>0.15384615384615385</v>
      </c>
      <c r="BP8" s="117">
        <f t="shared" si="10"/>
        <v>0.4244031830238727</v>
      </c>
      <c r="BQ8" s="120">
        <f t="shared" si="11"/>
        <v>0.28247162673392184</v>
      </c>
      <c r="BR8" s="88">
        <f t="shared" si="12"/>
        <v>47.173747628004222</v>
      </c>
      <c r="BS8" s="89">
        <f t="shared" si="13"/>
        <v>119.68924440065297</v>
      </c>
      <c r="BT8" s="90">
        <f t="shared" si="27"/>
        <v>72.515496772648746</v>
      </c>
      <c r="BU8" s="86">
        <f t="shared" si="14"/>
        <v>0.13861386138613863</v>
      </c>
      <c r="BV8" s="85">
        <f>IFERROR((D8*2)-(E8*((homedefinitions!$K$15)*2))+(G8*3)-(H8*((homedefinitions!$L$15)*3))+(J8)-(K8*(homedefinitions!$M$15))+S8+T8+V8+W8-U8, 0)</f>
        <v>13</v>
      </c>
      <c r="BX8" s="26">
        <v>3</v>
      </c>
      <c r="BY8" s="25" t="s">
        <v>20</v>
      </c>
      <c r="BZ8" s="47">
        <f t="shared" si="28"/>
        <v>0</v>
      </c>
      <c r="CA8" s="39">
        <f t="shared" si="46"/>
        <v>6.8965517241379309E-2</v>
      </c>
      <c r="CB8" s="45">
        <f t="shared" si="47"/>
        <v>0.86353944562899787</v>
      </c>
      <c r="CC8" s="45">
        <f t="shared" si="29"/>
        <v>1.5196507609734577</v>
      </c>
      <c r="CD8" s="45">
        <f t="shared" si="30"/>
        <v>2.6666666666666675E-2</v>
      </c>
      <c r="CE8" s="36">
        <f t="shared" si="31"/>
        <v>0.41562499999999997</v>
      </c>
      <c r="CF8" s="45">
        <f t="shared" si="48"/>
        <v>1.9619424276401243</v>
      </c>
      <c r="CG8" s="45">
        <f t="shared" si="49"/>
        <v>1.9619424276401243</v>
      </c>
      <c r="CH8" s="45">
        <f t="shared" si="32"/>
        <v>0.56044799725730787</v>
      </c>
      <c r="CI8" s="51">
        <f t="shared" si="50"/>
        <v>16.066666666666666</v>
      </c>
      <c r="CJ8" s="47">
        <f t="shared" si="33"/>
        <v>8.1863807728830817</v>
      </c>
      <c r="CK8" s="45">
        <f t="shared" si="34"/>
        <v>0.65108544098573284</v>
      </c>
      <c r="CL8" s="45">
        <f t="shared" si="35"/>
        <v>0.80323868677905952</v>
      </c>
      <c r="CM8" s="36">
        <f t="shared" si="36"/>
        <v>0.9077951035423073</v>
      </c>
      <c r="CN8" s="45">
        <f t="shared" si="51"/>
        <v>28.885714285714286</v>
      </c>
      <c r="CO8" s="45">
        <f t="shared" si="52"/>
        <v>0.46813743144377101</v>
      </c>
      <c r="CP8" s="45">
        <f t="shared" si="53"/>
        <v>0.4375</v>
      </c>
      <c r="CQ8" s="45">
        <f t="shared" si="54"/>
        <v>0.40638314977088191</v>
      </c>
      <c r="CR8" s="45">
        <f t="shared" si="37"/>
        <v>0</v>
      </c>
      <c r="CS8" s="45">
        <f t="shared" si="38"/>
        <v>8.1607325281899339</v>
      </c>
      <c r="CT8" s="45">
        <f t="shared" si="39"/>
        <v>2.9768657355938482</v>
      </c>
      <c r="CU8" s="45">
        <f t="shared" si="40"/>
        <v>0.26020408163265307</v>
      </c>
      <c r="CV8" s="45">
        <f t="shared" si="41"/>
        <v>0</v>
      </c>
      <c r="CW8" s="45">
        <f t="shared" si="42"/>
        <v>0</v>
      </c>
      <c r="CX8" s="45">
        <f t="shared" si="43"/>
        <v>1.5956250000000001</v>
      </c>
      <c r="CY8" s="45">
        <f t="shared" si="44"/>
        <v>0</v>
      </c>
      <c r="CZ8" s="43">
        <f t="shared" si="45"/>
        <v>5.534221129902809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1</v>
      </c>
      <c r="F9" s="130">
        <f t="shared" si="15"/>
        <v>1</v>
      </c>
      <c r="G9" s="15">
        <v>1</v>
      </c>
      <c r="H9" s="16">
        <v>3</v>
      </c>
      <c r="I9" s="133">
        <f t="shared" si="16"/>
        <v>0.33333333333333331</v>
      </c>
      <c r="J9" s="33">
        <v>0</v>
      </c>
      <c r="K9" s="33">
        <v>0</v>
      </c>
      <c r="L9" s="31">
        <f t="shared" si="17"/>
        <v>0</v>
      </c>
      <c r="M9" s="21">
        <f t="shared" si="0"/>
        <v>2</v>
      </c>
      <c r="N9" s="16">
        <f t="shared" si="0"/>
        <v>4</v>
      </c>
      <c r="O9" s="136">
        <f t="shared" si="18"/>
        <v>0.5</v>
      </c>
      <c r="P9" s="17">
        <f t="shared" si="19"/>
        <v>5</v>
      </c>
      <c r="Q9" s="15">
        <v>0</v>
      </c>
      <c r="R9" s="16">
        <v>0</v>
      </c>
      <c r="S9" s="17">
        <f t="shared" si="20"/>
        <v>0</v>
      </c>
      <c r="T9" s="15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10.5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0.625</v>
      </c>
      <c r="BI9" s="113">
        <f t="shared" si="3"/>
        <v>0.625</v>
      </c>
      <c r="BJ9" s="114">
        <f t="shared" si="4"/>
        <v>0.17150360425543318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</v>
      </c>
      <c r="BQ9" s="116">
        <f t="shared" si="11"/>
        <v>0</v>
      </c>
      <c r="BR9" s="83">
        <f t="shared" si="12"/>
        <v>74.627533383603321</v>
      </c>
      <c r="BS9" s="84">
        <f t="shared" si="13"/>
        <v>145.30416379063536</v>
      </c>
      <c r="BT9" s="85">
        <f t="shared" si="27"/>
        <v>70.676630407032036</v>
      </c>
      <c r="BU9" s="81">
        <f t="shared" si="14"/>
        <v>2.9702970297029702E-2</v>
      </c>
      <c r="BV9" s="85">
        <f>IFERROR((D9*2)-(E9*((homedefinitions!$K$15)*2))+(G9*3)-(H9*((homedefinitions!$L$15)*3))+(J9)-(K9*(homedefinitions!$M$15))+S9+T9+V9+W9-U9, 0)</f>
        <v>1.7299999999999995</v>
      </c>
      <c r="BX9" s="26">
        <v>4</v>
      </c>
      <c r="BY9" s="25" t="s">
        <v>21</v>
      </c>
      <c r="BZ9" s="47">
        <f t="shared" si="28"/>
        <v>2.4093816631130065</v>
      </c>
      <c r="CA9" s="39">
        <f t="shared" si="46"/>
        <v>6.8965517241379309E-2</v>
      </c>
      <c r="CB9" s="45">
        <f t="shared" si="47"/>
        <v>0.86353944562899787</v>
      </c>
      <c r="CC9" s="45">
        <f t="shared" si="29"/>
        <v>2.0795220939636789</v>
      </c>
      <c r="CD9" s="45">
        <f t="shared" si="30"/>
        <v>0</v>
      </c>
      <c r="CE9" s="36">
        <f t="shared" si="31"/>
        <v>0.56874999999999998</v>
      </c>
      <c r="CF9" s="45">
        <f t="shared" si="48"/>
        <v>2.648272093963679</v>
      </c>
      <c r="CG9" s="45">
        <f t="shared" si="49"/>
        <v>5.057653757076686</v>
      </c>
      <c r="CH9" s="45">
        <f t="shared" si="32"/>
        <v>1.0557921049171664</v>
      </c>
      <c r="CI9" s="51">
        <f t="shared" si="50"/>
        <v>16.066666666666666</v>
      </c>
      <c r="CJ9" s="47">
        <f t="shared" si="33"/>
        <v>7.658755293971101</v>
      </c>
      <c r="CK9" s="45">
        <f t="shared" si="34"/>
        <v>0.46824894120577981</v>
      </c>
      <c r="CL9" s="45">
        <f t="shared" si="35"/>
        <v>1.5959079283887467</v>
      </c>
      <c r="CM9" s="36">
        <f t="shared" si="36"/>
        <v>0.9077951035423073</v>
      </c>
      <c r="CN9" s="45">
        <f t="shared" si="51"/>
        <v>28.885714285714286</v>
      </c>
      <c r="CO9" s="45">
        <f t="shared" si="52"/>
        <v>0.46813743144377101</v>
      </c>
      <c r="CP9" s="45">
        <f t="shared" si="53"/>
        <v>0.4375</v>
      </c>
      <c r="CQ9" s="45">
        <f t="shared" si="54"/>
        <v>0.40638314977088191</v>
      </c>
      <c r="CR9" s="45">
        <f t="shared" si="37"/>
        <v>0</v>
      </c>
      <c r="CS9" s="45">
        <f t="shared" si="38"/>
        <v>8.401337958191343</v>
      </c>
      <c r="CT9" s="45">
        <f t="shared" si="39"/>
        <v>3.0635021175884405</v>
      </c>
      <c r="CU9" s="45">
        <f t="shared" si="40"/>
        <v>0.50980392156862742</v>
      </c>
      <c r="CV9" s="45">
        <f t="shared" si="41"/>
        <v>0</v>
      </c>
      <c r="CW9" s="45">
        <f t="shared" si="42"/>
        <v>0</v>
      </c>
      <c r="CX9" s="45">
        <f t="shared" si="43"/>
        <v>0.53187499999999999</v>
      </c>
      <c r="CY9" s="45">
        <f t="shared" si="44"/>
        <v>0</v>
      </c>
      <c r="CZ9" s="43">
        <f t="shared" si="45"/>
        <v>4.7757047258049425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2</v>
      </c>
      <c r="F10" s="131">
        <f t="shared" si="15"/>
        <v>0.5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2</v>
      </c>
      <c r="O10" s="137">
        <f t="shared" si="18"/>
        <v>0.5</v>
      </c>
      <c r="P10" s="20">
        <f t="shared" si="19"/>
        <v>2</v>
      </c>
      <c r="Q10" s="18">
        <v>2</v>
      </c>
      <c r="R10" s="19">
        <v>3</v>
      </c>
      <c r="S10" s="20">
        <f t="shared" si="20"/>
        <v>5</v>
      </c>
      <c r="T10" s="18">
        <v>2</v>
      </c>
      <c r="U10" s="19">
        <v>0</v>
      </c>
      <c r="V10" s="19">
        <v>0</v>
      </c>
      <c r="W10" s="19">
        <v>0</v>
      </c>
      <c r="X10" s="19">
        <v>0</v>
      </c>
      <c r="Y10" s="19">
        <v>2</v>
      </c>
      <c r="Z10" s="19">
        <v>0</v>
      </c>
      <c r="AA10" s="153">
        <v>8.5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0.5</v>
      </c>
      <c r="BI10" s="117">
        <f t="shared" si="3"/>
        <v>0.5</v>
      </c>
      <c r="BJ10" s="118">
        <f t="shared" si="4"/>
        <v>0.10592869674600286</v>
      </c>
      <c r="BK10" s="86">
        <f t="shared" si="5"/>
        <v>0.32405063291139241</v>
      </c>
      <c r="BL10" s="117">
        <f t="shared" si="6"/>
        <v>0.5</v>
      </c>
      <c r="BM10" s="119">
        <f t="shared" si="7"/>
        <v>0</v>
      </c>
      <c r="BN10" s="87">
        <f t="shared" si="8"/>
        <v>0</v>
      </c>
      <c r="BO10" s="86">
        <f t="shared" si="9"/>
        <v>0.23529411764705882</v>
      </c>
      <c r="BP10" s="117">
        <f t="shared" si="10"/>
        <v>0.38945233265720081</v>
      </c>
      <c r="BQ10" s="120">
        <f t="shared" si="11"/>
        <v>0.3085824493731919</v>
      </c>
      <c r="BR10" s="88">
        <f t="shared" si="12"/>
        <v>68.282251101965301</v>
      </c>
      <c r="BS10" s="89">
        <f t="shared" si="13"/>
        <v>175.99763500716011</v>
      </c>
      <c r="BT10" s="90">
        <f t="shared" si="27"/>
        <v>107.71538390519481</v>
      </c>
      <c r="BU10" s="86">
        <f t="shared" si="14"/>
        <v>6.9306930693069313E-2</v>
      </c>
      <c r="BV10" s="85">
        <f>IFERROR((D10*2)-(E10*((homedefinitions!$K$15)*2))+(G10*3)-(H10*((homedefinitions!$L$15)*3))+(J10)-(K10*(homedefinitions!$M$15))+S10+T10+V10+W10-U10, 0)</f>
        <v>7.5</v>
      </c>
      <c r="BX10" s="26">
        <v>5</v>
      </c>
      <c r="BY10" s="25" t="s">
        <v>22</v>
      </c>
      <c r="BZ10" s="47">
        <f t="shared" si="28"/>
        <v>2.6823027718550105</v>
      </c>
      <c r="CA10" s="39">
        <f t="shared" si="46"/>
        <v>6.8965517241379309E-2</v>
      </c>
      <c r="CB10" s="45">
        <f t="shared" si="47"/>
        <v>0.86353944562899787</v>
      </c>
      <c r="CC10" s="45">
        <f t="shared" si="29"/>
        <v>2.0795220939636789</v>
      </c>
      <c r="CD10" s="45">
        <f t="shared" si="30"/>
        <v>2.6666666666666675E-2</v>
      </c>
      <c r="CE10" s="36">
        <f t="shared" si="31"/>
        <v>0.56874999999999998</v>
      </c>
      <c r="CF10" s="45">
        <f t="shared" si="48"/>
        <v>2.6749387606303459</v>
      </c>
      <c r="CG10" s="45">
        <f t="shared" si="49"/>
        <v>5.3572415324853564</v>
      </c>
      <c r="CH10" s="45">
        <f t="shared" si="32"/>
        <v>1.1183314607525872</v>
      </c>
      <c r="CI10" s="51">
        <f t="shared" si="50"/>
        <v>16.066666666666666</v>
      </c>
      <c r="CJ10" s="47">
        <f t="shared" si="33"/>
        <v>5.4378584558823526</v>
      </c>
      <c r="CK10" s="45">
        <f t="shared" si="34"/>
        <v>0.24984068627450987</v>
      </c>
      <c r="CL10" s="45">
        <f t="shared" si="35"/>
        <v>3.3205128205128207</v>
      </c>
      <c r="CM10" s="36">
        <f t="shared" si="36"/>
        <v>0.9077951035423073</v>
      </c>
      <c r="CN10" s="45">
        <f t="shared" si="51"/>
        <v>28.885714285714286</v>
      </c>
      <c r="CO10" s="45">
        <f t="shared" si="52"/>
        <v>0.46813743144377101</v>
      </c>
      <c r="CP10" s="45">
        <f t="shared" si="53"/>
        <v>0.4375</v>
      </c>
      <c r="CQ10" s="45">
        <f t="shared" si="54"/>
        <v>0.40638314977088191</v>
      </c>
      <c r="CR10" s="45">
        <f t="shared" si="37"/>
        <v>0.85618832425000324</v>
      </c>
      <c r="CS10" s="45">
        <f t="shared" si="38"/>
        <v>8.8069948839671301</v>
      </c>
      <c r="CT10" s="45">
        <f t="shared" si="39"/>
        <v>2.7189292279411763</v>
      </c>
      <c r="CU10" s="45">
        <f t="shared" si="40"/>
        <v>1.0769230769230769</v>
      </c>
      <c r="CV10" s="45">
        <f t="shared" si="41"/>
        <v>0</v>
      </c>
      <c r="CW10" s="45">
        <f t="shared" si="42"/>
        <v>0.38048632783153991</v>
      </c>
      <c r="CX10" s="45">
        <f t="shared" si="43"/>
        <v>0.53187499999999999</v>
      </c>
      <c r="CY10" s="45">
        <f t="shared" si="44"/>
        <v>0</v>
      </c>
      <c r="CZ10" s="43">
        <f t="shared" si="45"/>
        <v>7.3582174639570903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3</v>
      </c>
      <c r="I11" s="133">
        <f t="shared" si="16"/>
        <v>0.33333333333333331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3</v>
      </c>
      <c r="O11" s="136">
        <f t="shared" si="18"/>
        <v>0.33333333333333331</v>
      </c>
      <c r="P11" s="17">
        <f t="shared" si="19"/>
        <v>3</v>
      </c>
      <c r="Q11" s="15">
        <v>0</v>
      </c>
      <c r="R11" s="16">
        <v>1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9.66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0.5</v>
      </c>
      <c r="BI11" s="113">
        <f t="shared" si="3"/>
        <v>0.5</v>
      </c>
      <c r="BJ11" s="114">
        <f t="shared" si="4"/>
        <v>0.1398127208604075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0.11422859998572144</v>
      </c>
      <c r="BQ11" s="116">
        <f t="shared" si="11"/>
        <v>5.4305399993211823E-2</v>
      </c>
      <c r="BR11" s="83">
        <f t="shared" si="12"/>
        <v>72.766425744061465</v>
      </c>
      <c r="BS11" s="84">
        <f t="shared" si="13"/>
        <v>127.21860391518665</v>
      </c>
      <c r="BT11" s="85">
        <f t="shared" si="27"/>
        <v>54.452178171125183</v>
      </c>
      <c r="BU11" s="81">
        <f t="shared" si="14"/>
        <v>1.9801980198019802E-2</v>
      </c>
      <c r="BV11" s="85">
        <f>IFERROR((D11*2)-(E11*((homedefinitions!$K$15)*2))+(G11*3)-(H11*((homedefinitions!$L$15)*3))+(J11)-(K11*(homedefinitions!$M$15))+S11+T11+V11+W11-U11, 0)</f>
        <v>1.4799999999999995</v>
      </c>
      <c r="BX11" s="26">
        <v>10</v>
      </c>
      <c r="BY11" s="25" t="s">
        <v>23</v>
      </c>
      <c r="BZ11" s="47">
        <f t="shared" si="28"/>
        <v>0</v>
      </c>
      <c r="CA11" s="39">
        <f t="shared" si="46"/>
        <v>6.8965517241379309E-2</v>
      </c>
      <c r="CB11" s="45">
        <f t="shared" si="47"/>
        <v>0.86353944562899787</v>
      </c>
      <c r="CC11" s="45">
        <f t="shared" si="29"/>
        <v>1.6796139989706638</v>
      </c>
      <c r="CD11" s="45">
        <f t="shared" si="30"/>
        <v>0</v>
      </c>
      <c r="CE11" s="36">
        <f t="shared" si="31"/>
        <v>0.45937499999999998</v>
      </c>
      <c r="CF11" s="45">
        <f t="shared" si="48"/>
        <v>2.1389889989706639</v>
      </c>
      <c r="CG11" s="45">
        <f t="shared" si="49"/>
        <v>2.1389889989706639</v>
      </c>
      <c r="CH11" s="45">
        <f t="shared" si="32"/>
        <v>0.55283040373554582</v>
      </c>
      <c r="CI11" s="51">
        <f t="shared" si="50"/>
        <v>16.066666666666666</v>
      </c>
      <c r="CJ11" s="47">
        <f t="shared" si="33"/>
        <v>4.065747422527525</v>
      </c>
      <c r="CK11" s="45">
        <f t="shared" si="34"/>
        <v>0.59792164958238425</v>
      </c>
      <c r="CL11" s="45">
        <f t="shared" si="35"/>
        <v>0</v>
      </c>
      <c r="CM11" s="36">
        <f t="shared" si="36"/>
        <v>0.9077951035423073</v>
      </c>
      <c r="CN11" s="45">
        <f t="shared" si="51"/>
        <v>28.885714285714286</v>
      </c>
      <c r="CO11" s="45">
        <f t="shared" si="52"/>
        <v>0.46813743144377101</v>
      </c>
      <c r="CP11" s="45">
        <f t="shared" si="53"/>
        <v>0.4375</v>
      </c>
      <c r="CQ11" s="45">
        <f t="shared" si="54"/>
        <v>0.40638314977088191</v>
      </c>
      <c r="CR11" s="45">
        <f t="shared" si="37"/>
        <v>0</v>
      </c>
      <c r="CS11" s="45">
        <f t="shared" si="38"/>
        <v>3.6908656024102435</v>
      </c>
      <c r="CT11" s="45">
        <f t="shared" si="39"/>
        <v>1.6262989690110099</v>
      </c>
      <c r="CU11" s="45">
        <f t="shared" si="40"/>
        <v>0</v>
      </c>
      <c r="CV11" s="45">
        <f t="shared" si="41"/>
        <v>0</v>
      </c>
      <c r="CW11" s="45">
        <f t="shared" si="42"/>
        <v>0</v>
      </c>
      <c r="CX11" s="45">
        <f t="shared" si="43"/>
        <v>1.06375</v>
      </c>
      <c r="CY11" s="45">
        <f t="shared" si="44"/>
        <v>0</v>
      </c>
      <c r="CZ11" s="43">
        <f t="shared" si="45"/>
        <v>2.5400962409640973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1</v>
      </c>
      <c r="F12" s="131">
        <f t="shared" si="15"/>
        <v>0</v>
      </c>
      <c r="G12" s="18">
        <v>0</v>
      </c>
      <c r="H12" s="19">
        <v>2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3</v>
      </c>
      <c r="O12" s="137">
        <f t="shared" si="18"/>
        <v>0</v>
      </c>
      <c r="P12" s="20">
        <f t="shared" si="19"/>
        <v>0</v>
      </c>
      <c r="Q12" s="18">
        <v>1</v>
      </c>
      <c r="R12" s="19">
        <v>1</v>
      </c>
      <c r="S12" s="20">
        <f t="shared" si="20"/>
        <v>2</v>
      </c>
      <c r="T12" s="18">
        <v>0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1</v>
      </c>
      <c r="AA12" s="153">
        <v>11.16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0.1613609179822624</v>
      </c>
      <c r="BK12" s="86">
        <f t="shared" si="5"/>
        <v>0</v>
      </c>
      <c r="BL12" s="117">
        <f t="shared" si="6"/>
        <v>0</v>
      </c>
      <c r="BM12" s="119">
        <f t="shared" si="7"/>
        <v>0.25</v>
      </c>
      <c r="BN12" s="87">
        <f t="shared" si="8"/>
        <v>0</v>
      </c>
      <c r="BO12" s="86">
        <f t="shared" si="9"/>
        <v>8.9605734767025089E-2</v>
      </c>
      <c r="BP12" s="117">
        <f t="shared" si="10"/>
        <v>9.8875293536027684E-2</v>
      </c>
      <c r="BQ12" s="120">
        <f t="shared" si="11"/>
        <v>9.4012574181796815E-2</v>
      </c>
      <c r="BR12" s="88">
        <f t="shared" si="12"/>
        <v>60.896459241680418</v>
      </c>
      <c r="BS12" s="89">
        <f t="shared" si="13"/>
        <v>15.36663391577294</v>
      </c>
      <c r="BT12" s="90">
        <f t="shared" si="27"/>
        <v>-45.529825325907481</v>
      </c>
      <c r="BU12" s="86">
        <f t="shared" si="14"/>
        <v>-1.4851485148514851E-2</v>
      </c>
      <c r="BV12" s="85">
        <f>IFERROR((D12*2)-(E12*((homedefinitions!$K$15)*2))+(G12*3)-(H12*((homedefinitions!$L$15)*3))+(J12)-(K12*(homedefinitions!$M$15))+S12+T12+V12+W12-U12, 0)</f>
        <v>-0.43000000000000016</v>
      </c>
      <c r="BX12" s="26">
        <v>11</v>
      </c>
      <c r="BY12" s="25" t="s">
        <v>24</v>
      </c>
      <c r="BZ12" s="47">
        <f t="shared" si="28"/>
        <v>0.40938166311300639</v>
      </c>
      <c r="CA12" s="39">
        <f t="shared" si="46"/>
        <v>6.8965517241379309E-2</v>
      </c>
      <c r="CB12" s="45">
        <f t="shared" si="47"/>
        <v>0.86353944562899787</v>
      </c>
      <c r="CC12" s="45">
        <f t="shared" si="29"/>
        <v>1.3596875229762517</v>
      </c>
      <c r="CD12" s="45">
        <f t="shared" si="30"/>
        <v>0</v>
      </c>
      <c r="CE12" s="36">
        <f t="shared" si="31"/>
        <v>0.37187499999999996</v>
      </c>
      <c r="CF12" s="45">
        <f t="shared" si="48"/>
        <v>1.7315625229762517</v>
      </c>
      <c r="CG12" s="45">
        <f t="shared" si="49"/>
        <v>2.140944186089258</v>
      </c>
      <c r="CH12" s="45">
        <f t="shared" si="32"/>
        <v>0.68353237210091011</v>
      </c>
      <c r="CI12" s="51">
        <f t="shared" si="50"/>
        <v>16.066666666666666</v>
      </c>
      <c r="CJ12" s="47">
        <f t="shared" si="33"/>
        <v>1.8518642317158931</v>
      </c>
      <c r="CK12" s="45">
        <f t="shared" si="34"/>
        <v>0.29627153656821376</v>
      </c>
      <c r="CL12" s="45">
        <f t="shared" si="35"/>
        <v>1.5811965811965814</v>
      </c>
      <c r="CM12" s="36">
        <f t="shared" si="36"/>
        <v>0.9077951035423073</v>
      </c>
      <c r="CN12" s="45">
        <f t="shared" si="51"/>
        <v>28.885714285714286</v>
      </c>
      <c r="CO12" s="45">
        <f t="shared" si="52"/>
        <v>0.46813743144377101</v>
      </c>
      <c r="CP12" s="45">
        <f t="shared" si="53"/>
        <v>0.4375</v>
      </c>
      <c r="CQ12" s="45">
        <f t="shared" si="54"/>
        <v>0.40638314977088191</v>
      </c>
      <c r="CR12" s="45">
        <f t="shared" si="37"/>
        <v>0.85618832425000324</v>
      </c>
      <c r="CS12" s="45">
        <f t="shared" si="38"/>
        <v>3.9727041203749205</v>
      </c>
      <c r="CT12" s="45">
        <f t="shared" si="39"/>
        <v>0.92593211585794655</v>
      </c>
      <c r="CU12" s="45">
        <f t="shared" si="40"/>
        <v>0.55555555555555558</v>
      </c>
      <c r="CV12" s="45">
        <f t="shared" si="41"/>
        <v>0</v>
      </c>
      <c r="CW12" s="45">
        <f t="shared" si="42"/>
        <v>0.38048632783153991</v>
      </c>
      <c r="CX12" s="45">
        <f t="shared" si="43"/>
        <v>0.53187499999999999</v>
      </c>
      <c r="CY12" s="45">
        <f t="shared" si="44"/>
        <v>0</v>
      </c>
      <c r="CZ12" s="43">
        <f t="shared" si="45"/>
        <v>2.2572485818990118</v>
      </c>
    </row>
    <row r="13" spans="2:104" ht="23.1" x14ac:dyDescent="0.85">
      <c r="B13" s="11">
        <v>30</v>
      </c>
      <c r="C13" s="11" t="s">
        <v>27</v>
      </c>
      <c r="D13" s="15">
        <v>2</v>
      </c>
      <c r="E13" s="16">
        <v>3</v>
      </c>
      <c r="F13" s="130">
        <f t="shared" si="15"/>
        <v>0.66666666666666663</v>
      </c>
      <c r="G13" s="15">
        <v>0</v>
      </c>
      <c r="H13" s="16">
        <v>1</v>
      </c>
      <c r="I13" s="133">
        <f t="shared" si="16"/>
        <v>0</v>
      </c>
      <c r="J13" s="33">
        <v>0</v>
      </c>
      <c r="K13" s="33">
        <v>0</v>
      </c>
      <c r="L13" s="31">
        <f t="shared" si="17"/>
        <v>0</v>
      </c>
      <c r="M13" s="21">
        <f t="shared" si="0"/>
        <v>2</v>
      </c>
      <c r="N13" s="16">
        <f t="shared" si="0"/>
        <v>4</v>
      </c>
      <c r="O13" s="136">
        <f t="shared" si="18"/>
        <v>0.5</v>
      </c>
      <c r="P13" s="17">
        <f t="shared" si="19"/>
        <v>4</v>
      </c>
      <c r="Q13" s="15">
        <v>2</v>
      </c>
      <c r="R13" s="16">
        <v>1</v>
      </c>
      <c r="S13" s="17">
        <f t="shared" si="20"/>
        <v>3</v>
      </c>
      <c r="T13" s="15">
        <v>0</v>
      </c>
      <c r="U13" s="16">
        <v>2</v>
      </c>
      <c r="V13" s="16">
        <v>0</v>
      </c>
      <c r="W13" s="16">
        <v>0</v>
      </c>
      <c r="X13" s="16">
        <v>0</v>
      </c>
      <c r="Y13" s="16">
        <v>1</v>
      </c>
      <c r="Z13" s="16">
        <v>0</v>
      </c>
      <c r="AA13" s="152">
        <v>15.16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0.5</v>
      </c>
      <c r="BJ13" s="114">
        <f t="shared" si="4"/>
        <v>0.17817821682210241</v>
      </c>
      <c r="BK13" s="81">
        <f t="shared" si="5"/>
        <v>0</v>
      </c>
      <c r="BL13" s="113">
        <f t="shared" si="6"/>
        <v>0</v>
      </c>
      <c r="BM13" s="115">
        <f t="shared" si="7"/>
        <v>0.33333333333333331</v>
      </c>
      <c r="BN13" s="82">
        <f t="shared" si="8"/>
        <v>0</v>
      </c>
      <c r="BO13" s="81">
        <f t="shared" si="9"/>
        <v>0.13192612137203166</v>
      </c>
      <c r="BP13" s="113">
        <f t="shared" si="10"/>
        <v>7.2786825584569198E-2</v>
      </c>
      <c r="BQ13" s="116">
        <f t="shared" si="11"/>
        <v>0.10381071845668065</v>
      </c>
      <c r="BR13" s="83">
        <f t="shared" si="12"/>
        <v>73.441629702998156</v>
      </c>
      <c r="BS13" s="84">
        <f t="shared" si="13"/>
        <v>79.486234182468849</v>
      </c>
      <c r="BT13" s="85">
        <f t="shared" si="27"/>
        <v>6.0446044794706921</v>
      </c>
      <c r="BU13" s="81">
        <f t="shared" si="14"/>
        <v>1.9801980198019802E-2</v>
      </c>
      <c r="BV13" s="85">
        <f>IFERROR((D13*2)-(E13*((homedefinitions!$K$15)*2))+(G13*3)-(H13*((homedefinitions!$L$15)*3))+(J13)-(K13*(homedefinitions!$M$15))+S13+T13+V13+W13-U13, 0)</f>
        <v>1.9100000000000001</v>
      </c>
      <c r="BX13" s="26">
        <v>12</v>
      </c>
      <c r="BY13" s="25" t="s">
        <v>25</v>
      </c>
      <c r="BZ13" s="47">
        <f t="shared" si="28"/>
        <v>0.13646055437100213</v>
      </c>
      <c r="CA13" s="39">
        <f t="shared" si="46"/>
        <v>6.8965517241379309E-2</v>
      </c>
      <c r="CB13" s="45">
        <f t="shared" si="47"/>
        <v>0.86353944562899787</v>
      </c>
      <c r="CC13" s="45">
        <f t="shared" si="29"/>
        <v>1.5452448790530107</v>
      </c>
      <c r="CD13" s="45">
        <f t="shared" si="30"/>
        <v>0</v>
      </c>
      <c r="CE13" s="36">
        <f t="shared" si="31"/>
        <v>0.42262499999999997</v>
      </c>
      <c r="CF13" s="45">
        <f t="shared" si="48"/>
        <v>1.9678698790530107</v>
      </c>
      <c r="CG13" s="45">
        <f t="shared" si="49"/>
        <v>2.1043304334240127</v>
      </c>
      <c r="CH13" s="45">
        <f t="shared" si="32"/>
        <v>0.59116603972952775</v>
      </c>
      <c r="CI13" s="51">
        <f t="shared" si="50"/>
        <v>16.066666666666666</v>
      </c>
      <c r="CJ13" s="47">
        <f t="shared" si="33"/>
        <v>2.5883716739686218</v>
      </c>
      <c r="CK13" s="45">
        <f t="shared" si="34"/>
        <v>0.54883776804183793</v>
      </c>
      <c r="CL13" s="45">
        <f t="shared" si="35"/>
        <v>0</v>
      </c>
      <c r="CM13" s="36">
        <f t="shared" si="36"/>
        <v>0.9077951035423073</v>
      </c>
      <c r="CN13" s="45">
        <f t="shared" si="51"/>
        <v>28.885714285714286</v>
      </c>
      <c r="CO13" s="45">
        <f t="shared" si="52"/>
        <v>0.46813743144377101</v>
      </c>
      <c r="CP13" s="45">
        <f t="shared" si="53"/>
        <v>0.4375</v>
      </c>
      <c r="CQ13" s="45">
        <f t="shared" si="54"/>
        <v>0.40638314977088191</v>
      </c>
      <c r="CR13" s="45">
        <f t="shared" si="37"/>
        <v>0</v>
      </c>
      <c r="CS13" s="45">
        <f t="shared" si="38"/>
        <v>2.3497111317763202</v>
      </c>
      <c r="CT13" s="45">
        <f t="shared" si="39"/>
        <v>0.86279055798954052</v>
      </c>
      <c r="CU13" s="45">
        <f t="shared" si="40"/>
        <v>0</v>
      </c>
      <c r="CV13" s="45">
        <f t="shared" si="41"/>
        <v>0</v>
      </c>
      <c r="CW13" s="45">
        <f t="shared" si="42"/>
        <v>0</v>
      </c>
      <c r="CX13" s="45">
        <f t="shared" si="43"/>
        <v>1.06375</v>
      </c>
      <c r="CY13" s="45">
        <f t="shared" si="44"/>
        <v>0</v>
      </c>
      <c r="CZ13" s="43">
        <f t="shared" si="45"/>
        <v>1.8469870439254401</v>
      </c>
    </row>
    <row r="14" spans="2:104" ht="23.1" x14ac:dyDescent="0.85">
      <c r="B14" s="11">
        <v>32</v>
      </c>
      <c r="C14" s="11" t="s">
        <v>28</v>
      </c>
      <c r="D14" s="18">
        <v>1</v>
      </c>
      <c r="E14" s="19">
        <v>2</v>
      </c>
      <c r="F14" s="131">
        <f t="shared" si="15"/>
        <v>0.5</v>
      </c>
      <c r="G14" s="18">
        <v>1</v>
      </c>
      <c r="H14" s="19">
        <v>1</v>
      </c>
      <c r="I14" s="134">
        <f t="shared" si="16"/>
        <v>1</v>
      </c>
      <c r="J14" s="34">
        <v>0</v>
      </c>
      <c r="K14" s="34">
        <v>0</v>
      </c>
      <c r="L14" s="32">
        <f t="shared" si="17"/>
        <v>0</v>
      </c>
      <c r="M14" s="22">
        <f t="shared" si="0"/>
        <v>2</v>
      </c>
      <c r="N14" s="19">
        <f t="shared" si="0"/>
        <v>3</v>
      </c>
      <c r="O14" s="137">
        <f t="shared" si="18"/>
        <v>0.66666666666666663</v>
      </c>
      <c r="P14" s="20">
        <f t="shared" si="19"/>
        <v>5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1</v>
      </c>
      <c r="V14" s="19">
        <v>0</v>
      </c>
      <c r="W14" s="19">
        <v>0</v>
      </c>
      <c r="X14" s="19">
        <v>0</v>
      </c>
      <c r="Y14" s="19">
        <v>0</v>
      </c>
      <c r="Z14" s="19">
        <v>1</v>
      </c>
      <c r="AA14" s="153">
        <v>8.75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0.83333333333333337</v>
      </c>
      <c r="BI14" s="117">
        <f t="shared" si="3"/>
        <v>0.83333333333333337</v>
      </c>
      <c r="BJ14" s="118">
        <f t="shared" si="4"/>
        <v>0.20580432510651983</v>
      </c>
      <c r="BK14" s="86">
        <f t="shared" si="5"/>
        <v>0</v>
      </c>
      <c r="BL14" s="117">
        <f t="shared" si="6"/>
        <v>0</v>
      </c>
      <c r="BM14" s="119">
        <f t="shared" si="7"/>
        <v>0.25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74.226018021448567</v>
      </c>
      <c r="BS14" s="89">
        <f t="shared" si="13"/>
        <v>116.60576613748771</v>
      </c>
      <c r="BT14" s="90">
        <f t="shared" si="27"/>
        <v>42.379748116039138</v>
      </c>
      <c r="BU14" s="86">
        <f t="shared" si="14"/>
        <v>2.9702970297029702E-2</v>
      </c>
      <c r="BV14" s="85">
        <f>IFERROR((D14*2)-(E14*((homedefinitions!$K$15)*2))+(G14*3)-(H14*((homedefinitions!$L$15)*3))+(J14)-(K14*(homedefinitions!$M$15))+S14+T14+V14+W14-U14, 0)</f>
        <v>1.6600000000000001</v>
      </c>
      <c r="BX14" s="26">
        <v>24</v>
      </c>
      <c r="BY14" s="25" t="s">
        <v>26</v>
      </c>
      <c r="BZ14" s="47">
        <f t="shared" si="28"/>
        <v>1.136460554371002</v>
      </c>
      <c r="CA14" s="39">
        <f t="shared" si="46"/>
        <v>6.8965517241379309E-2</v>
      </c>
      <c r="CB14" s="45">
        <f t="shared" si="47"/>
        <v>0.86353944562899787</v>
      </c>
      <c r="CC14" s="45">
        <f t="shared" si="29"/>
        <v>1.7851897360488198</v>
      </c>
      <c r="CD14" s="45">
        <f t="shared" si="30"/>
        <v>2.6666666666666675E-2</v>
      </c>
      <c r="CE14" s="36">
        <f t="shared" si="31"/>
        <v>0.48824999999999996</v>
      </c>
      <c r="CF14" s="45">
        <f t="shared" si="48"/>
        <v>2.3001064027154867</v>
      </c>
      <c r="CG14" s="45">
        <f t="shared" si="49"/>
        <v>3.4365669570864887</v>
      </c>
      <c r="CH14" s="45">
        <f t="shared" si="32"/>
        <v>0.83566705913754746</v>
      </c>
      <c r="CI14" s="51">
        <f t="shared" si="50"/>
        <v>16.066666666666666</v>
      </c>
      <c r="CJ14" s="47">
        <f t="shared" si="33"/>
        <v>0</v>
      </c>
      <c r="CK14" s="45">
        <f t="shared" si="34"/>
        <v>0.50498981481481486</v>
      </c>
      <c r="CL14" s="45">
        <f t="shared" si="35"/>
        <v>0</v>
      </c>
      <c r="CM14" s="36">
        <f t="shared" si="36"/>
        <v>0.9077951035423073</v>
      </c>
      <c r="CN14" s="45">
        <f t="shared" si="51"/>
        <v>28.885714285714286</v>
      </c>
      <c r="CO14" s="45">
        <f t="shared" si="52"/>
        <v>0.46813743144377101</v>
      </c>
      <c r="CP14" s="45">
        <f t="shared" si="53"/>
        <v>0.4375</v>
      </c>
      <c r="CQ14" s="45">
        <f t="shared" si="54"/>
        <v>0.40638314977088191</v>
      </c>
      <c r="CR14" s="45">
        <f t="shared" si="37"/>
        <v>0.42809416212500162</v>
      </c>
      <c r="CS14" s="45">
        <f t="shared" si="38"/>
        <v>0.42809416212500162</v>
      </c>
      <c r="CT14" s="45">
        <f t="shared" si="39"/>
        <v>0</v>
      </c>
      <c r="CU14" s="45">
        <f t="shared" si="40"/>
        <v>0</v>
      </c>
      <c r="CV14" s="45">
        <f t="shared" si="41"/>
        <v>0</v>
      </c>
      <c r="CW14" s="45">
        <f t="shared" si="42"/>
        <v>0.19024316391576995</v>
      </c>
      <c r="CX14" s="45">
        <f t="shared" si="43"/>
        <v>1.5956250000000001</v>
      </c>
      <c r="CY14" s="45">
        <f t="shared" si="44"/>
        <v>0</v>
      </c>
      <c r="CZ14" s="43">
        <f t="shared" si="45"/>
        <v>2.7858681639157701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2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3</v>
      </c>
      <c r="R15" s="16">
        <v>1</v>
      </c>
      <c r="S15" s="17">
        <f t="shared" si="20"/>
        <v>4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1</v>
      </c>
      <c r="Z15" s="16">
        <v>0</v>
      </c>
      <c r="AA15" s="152">
        <v>10.5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8.5751802127716589E-2</v>
      </c>
      <c r="BK15" s="81">
        <f t="shared" si="5"/>
        <v>0.1128747795414462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0.2857142857142857</v>
      </c>
      <c r="BP15" s="113">
        <f t="shared" si="10"/>
        <v>0.10509031198686371</v>
      </c>
      <c r="BQ15" s="116">
        <f t="shared" si="11"/>
        <v>0.19984387197501952</v>
      </c>
      <c r="BR15" s="83">
        <f t="shared" si="12"/>
        <v>72.915314355224808</v>
      </c>
      <c r="BS15" s="84">
        <f t="shared" si="13"/>
        <v>105.45575126642221</v>
      </c>
      <c r="BT15" s="85">
        <f t="shared" si="27"/>
        <v>32.540436911197403</v>
      </c>
      <c r="BU15" s="81">
        <f t="shared" si="14"/>
        <v>1.4851485148514851E-2</v>
      </c>
      <c r="BV15" s="85">
        <f>IFERROR((D15*2)-(E15*((homedefinitions!$K$15)*2))+(G15*3)-(H15*((homedefinitions!$L$15)*3))+(J15)-(K15*(homedefinitions!$M$15))+S15+T15+V15+W15-U15, 0)</f>
        <v>3.5</v>
      </c>
      <c r="BX15" s="26">
        <v>30</v>
      </c>
      <c r="BY15" s="25" t="s">
        <v>27</v>
      </c>
      <c r="BZ15" s="47">
        <f t="shared" si="28"/>
        <v>0.13646055437100213</v>
      </c>
      <c r="CA15" s="39">
        <f t="shared" si="46"/>
        <v>6.8965517241379309E-2</v>
      </c>
      <c r="CB15" s="45">
        <f t="shared" si="47"/>
        <v>0.86353944562899787</v>
      </c>
      <c r="CC15" s="45">
        <f t="shared" si="29"/>
        <v>2.4250426880376441</v>
      </c>
      <c r="CD15" s="45">
        <f t="shared" si="30"/>
        <v>0</v>
      </c>
      <c r="CE15" s="36">
        <f t="shared" si="31"/>
        <v>0.66325000000000001</v>
      </c>
      <c r="CF15" s="45">
        <f t="shared" si="48"/>
        <v>3.0882926880376442</v>
      </c>
      <c r="CG15" s="45">
        <f t="shared" si="49"/>
        <v>3.2247532424086462</v>
      </c>
      <c r="CH15" s="45">
        <f t="shared" si="32"/>
        <v>0.57725799237023356</v>
      </c>
      <c r="CI15" s="51">
        <f t="shared" si="50"/>
        <v>16.066666666666666</v>
      </c>
      <c r="CJ15" s="47">
        <f t="shared" si="33"/>
        <v>3.4396240591657339</v>
      </c>
      <c r="CK15" s="45">
        <f t="shared" si="34"/>
        <v>0.56037594083426634</v>
      </c>
      <c r="CL15" s="45">
        <f t="shared" si="35"/>
        <v>0</v>
      </c>
      <c r="CM15" s="36">
        <f t="shared" si="36"/>
        <v>0.9077951035423073</v>
      </c>
      <c r="CN15" s="45">
        <f t="shared" si="51"/>
        <v>28.885714285714286</v>
      </c>
      <c r="CO15" s="45">
        <f t="shared" si="52"/>
        <v>0.46813743144377101</v>
      </c>
      <c r="CP15" s="45">
        <f t="shared" si="53"/>
        <v>0.4375</v>
      </c>
      <c r="CQ15" s="45">
        <f t="shared" si="54"/>
        <v>0.40638314977088191</v>
      </c>
      <c r="CR15" s="45">
        <f t="shared" si="37"/>
        <v>0.85618832425000324</v>
      </c>
      <c r="CS15" s="45">
        <f t="shared" si="38"/>
        <v>3.9786622031869721</v>
      </c>
      <c r="CT15" s="45">
        <f t="shared" si="39"/>
        <v>1.7198120295828669</v>
      </c>
      <c r="CU15" s="45">
        <f t="shared" si="40"/>
        <v>0</v>
      </c>
      <c r="CV15" s="45">
        <f t="shared" si="41"/>
        <v>0</v>
      </c>
      <c r="CW15" s="45">
        <f t="shared" si="42"/>
        <v>0.38048632783153991</v>
      </c>
      <c r="CX15" s="45">
        <f t="shared" si="43"/>
        <v>1.06375</v>
      </c>
      <c r="CY15" s="45">
        <f t="shared" si="44"/>
        <v>0</v>
      </c>
      <c r="CZ15" s="43">
        <f t="shared" si="45"/>
        <v>5.0054732673000242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7</v>
      </c>
      <c r="F16" s="131">
        <f t="shared" si="15"/>
        <v>0.42857142857142855</v>
      </c>
      <c r="G16" s="18">
        <v>0</v>
      </c>
      <c r="H16" s="19">
        <v>0</v>
      </c>
      <c r="I16" s="134">
        <f t="shared" si="16"/>
        <v>0</v>
      </c>
      <c r="J16" s="34">
        <v>3</v>
      </c>
      <c r="K16" s="34">
        <v>4</v>
      </c>
      <c r="L16" s="32">
        <f t="shared" si="17"/>
        <v>0.75</v>
      </c>
      <c r="M16" s="22">
        <f t="shared" si="0"/>
        <v>3</v>
      </c>
      <c r="N16" s="19">
        <f t="shared" si="0"/>
        <v>7</v>
      </c>
      <c r="O16" s="137">
        <f t="shared" si="18"/>
        <v>0.42857142857142855</v>
      </c>
      <c r="P16" s="20">
        <f t="shared" si="19"/>
        <v>9</v>
      </c>
      <c r="Q16" s="18">
        <v>3</v>
      </c>
      <c r="R16" s="19">
        <v>4</v>
      </c>
      <c r="S16" s="20">
        <f t="shared" si="20"/>
        <v>7</v>
      </c>
      <c r="T16" s="18">
        <v>1</v>
      </c>
      <c r="U16" s="19">
        <v>0</v>
      </c>
      <c r="V16" s="19">
        <v>0</v>
      </c>
      <c r="W16" s="19">
        <v>1</v>
      </c>
      <c r="X16" s="19">
        <v>0</v>
      </c>
      <c r="Y16" s="19">
        <v>0</v>
      </c>
      <c r="Z16" s="19">
        <v>0</v>
      </c>
      <c r="AA16" s="153">
        <v>12.83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0.42857142857142855</v>
      </c>
      <c r="BI16" s="117">
        <f t="shared" si="3"/>
        <v>0.51369863013698636</v>
      </c>
      <c r="BJ16" s="118">
        <f t="shared" si="4"/>
        <v>0.30738311612265667</v>
      </c>
      <c r="BK16" s="86">
        <f t="shared" si="5"/>
        <v>0.12779042370512358</v>
      </c>
      <c r="BL16" s="117">
        <f t="shared" si="6"/>
        <v>0.10245901639344263</v>
      </c>
      <c r="BM16" s="119">
        <f t="shared" si="7"/>
        <v>0</v>
      </c>
      <c r="BN16" s="87">
        <f t="shared" si="8"/>
        <v>0</v>
      </c>
      <c r="BO16" s="86">
        <f t="shared" si="9"/>
        <v>0.23382696804364766</v>
      </c>
      <c r="BP16" s="117">
        <f t="shared" si="10"/>
        <v>0.34402128631709084</v>
      </c>
      <c r="BQ16" s="120">
        <f t="shared" si="11"/>
        <v>0.28621443082938292</v>
      </c>
      <c r="BR16" s="88">
        <f t="shared" si="12"/>
        <v>58.753766633881682</v>
      </c>
      <c r="BS16" s="89">
        <f t="shared" si="13"/>
        <v>141.02947612521163</v>
      </c>
      <c r="BT16" s="90">
        <f t="shared" si="27"/>
        <v>82.275709491329948</v>
      </c>
      <c r="BU16" s="86">
        <f t="shared" si="14"/>
        <v>0.11386138613861387</v>
      </c>
      <c r="BV16" s="85">
        <f>IFERROR((D16*2)-(E16*((homedefinitions!$K$15)*2))+(G16*3)-(H16*((homedefinitions!$L$15)*3))+(J16)-(K16*(homedefinitions!$M$15))+S16+T16+V16+W16-U16, 0)</f>
        <v>10.15</v>
      </c>
      <c r="BX16" s="26">
        <v>32</v>
      </c>
      <c r="BY16" s="25" t="s">
        <v>28</v>
      </c>
      <c r="BZ16" s="47">
        <f t="shared" si="28"/>
        <v>0</v>
      </c>
      <c r="CA16" s="39">
        <f t="shared" si="46"/>
        <v>6.8965517241379309E-2</v>
      </c>
      <c r="CB16" s="45">
        <f t="shared" si="47"/>
        <v>0.86353944562899787</v>
      </c>
      <c r="CC16" s="45">
        <f t="shared" si="29"/>
        <v>1.3996783324755531</v>
      </c>
      <c r="CD16" s="45">
        <f t="shared" si="30"/>
        <v>2.6666666666666675E-2</v>
      </c>
      <c r="CE16" s="36">
        <f t="shared" si="31"/>
        <v>0.3828125</v>
      </c>
      <c r="CF16" s="45">
        <f t="shared" si="48"/>
        <v>1.8091574991422197</v>
      </c>
      <c r="CG16" s="45">
        <f t="shared" si="49"/>
        <v>1.8091574991422197</v>
      </c>
      <c r="CH16" s="45">
        <f t="shared" si="32"/>
        <v>0.56110093384488746</v>
      </c>
      <c r="CI16" s="51">
        <f t="shared" si="50"/>
        <v>16.066666666666666</v>
      </c>
      <c r="CJ16" s="47">
        <f t="shared" si="33"/>
        <v>3.6877245206586307</v>
      </c>
      <c r="CK16" s="45">
        <f t="shared" si="34"/>
        <v>0.62989223008385742</v>
      </c>
      <c r="CL16" s="45">
        <f t="shared" si="35"/>
        <v>0</v>
      </c>
      <c r="CM16" s="36">
        <f t="shared" si="36"/>
        <v>0.9077951035423073</v>
      </c>
      <c r="CN16" s="45">
        <f t="shared" si="51"/>
        <v>28.885714285714286</v>
      </c>
      <c r="CO16" s="45">
        <f t="shared" si="52"/>
        <v>0.46813743144377101</v>
      </c>
      <c r="CP16" s="45">
        <f t="shared" si="53"/>
        <v>0.4375</v>
      </c>
      <c r="CQ16" s="45">
        <f t="shared" si="54"/>
        <v>0.40638314977088191</v>
      </c>
      <c r="CR16" s="45">
        <f t="shared" si="37"/>
        <v>0</v>
      </c>
      <c r="CS16" s="45">
        <f t="shared" si="38"/>
        <v>3.3476982630668073</v>
      </c>
      <c r="CT16" s="45">
        <f t="shared" si="39"/>
        <v>1.4750898082634523</v>
      </c>
      <c r="CU16" s="45">
        <f t="shared" si="40"/>
        <v>0</v>
      </c>
      <c r="CV16" s="45">
        <f t="shared" si="41"/>
        <v>0</v>
      </c>
      <c r="CW16" s="45">
        <f t="shared" si="42"/>
        <v>0</v>
      </c>
      <c r="CX16" s="45">
        <f t="shared" si="43"/>
        <v>0.53187499999999999</v>
      </c>
      <c r="CY16" s="45">
        <f t="shared" si="44"/>
        <v>0</v>
      </c>
      <c r="CZ16" s="43">
        <f t="shared" si="45"/>
        <v>2.8709543052267228</v>
      </c>
    </row>
    <row r="17" spans="2:104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1</v>
      </c>
      <c r="L17" s="32">
        <f t="shared" si="17"/>
        <v>0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2</v>
      </c>
      <c r="Q17" s="18">
        <v>0</v>
      </c>
      <c r="R17" s="19">
        <v>1</v>
      </c>
      <c r="S17" s="20">
        <f t="shared" si="20"/>
        <v>1</v>
      </c>
      <c r="T17" s="18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53">
        <v>5.5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0.29069767441860467</v>
      </c>
      <c r="BJ17" s="122">
        <f t="shared" si="4"/>
        <v>0.28157773571392031</v>
      </c>
      <c r="BK17" s="95">
        <f t="shared" si="5"/>
        <v>0</v>
      </c>
      <c r="BL17" s="121">
        <f t="shared" si="6"/>
        <v>0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0.20062695924764889</v>
      </c>
      <c r="BQ17" s="124">
        <f t="shared" si="11"/>
        <v>9.5380029806259314E-2</v>
      </c>
      <c r="BR17" s="97">
        <f>IFERROR($BR$18+0.2*(100*($AR$18/CI20)*(1-CH20)-$BR$18), 0)</f>
        <v>71.358751602153433</v>
      </c>
      <c r="BS17" s="98">
        <f>IFERROR((CS20/CZ20)*100, 0)</f>
        <v>71.621931746931025</v>
      </c>
      <c r="BT17" s="99">
        <f t="shared" si="27"/>
        <v>0.26318014477759277</v>
      </c>
      <c r="BU17" s="95">
        <f t="shared" si="14"/>
        <v>0</v>
      </c>
      <c r="BV17" s="85">
        <f>IFERROR((D17*2)-(E17*((homedefinitions!$K$15)*2))+(G17*3)-(H17*((homedefinitions!$L$15)*3))+(J17)-(K17*(homedefinitions!$M$15))+S17+T17+V17+W17-U17, 0)</f>
        <v>9.9999999999999978E-2</v>
      </c>
      <c r="BX17" s="55">
        <v>33</v>
      </c>
      <c r="BY17" s="58" t="s">
        <v>29</v>
      </c>
      <c r="BZ17" s="47">
        <f t="shared" si="28"/>
        <v>0.13646055437100213</v>
      </c>
      <c r="CA17" s="39">
        <f t="shared" si="46"/>
        <v>6.8965517241379309E-2</v>
      </c>
      <c r="CB17" s="45">
        <f t="shared" si="47"/>
        <v>0.86353944562899787</v>
      </c>
      <c r="CC17" s="45">
        <f t="shared" si="29"/>
        <v>1.6796139989706638</v>
      </c>
      <c r="CD17" s="45">
        <f t="shared" si="30"/>
        <v>0</v>
      </c>
      <c r="CE17" s="36">
        <f t="shared" si="31"/>
        <v>0.45937499999999998</v>
      </c>
      <c r="CF17" s="45">
        <f t="shared" si="48"/>
        <v>2.1389889989706639</v>
      </c>
      <c r="CG17" s="45">
        <f t="shared" si="49"/>
        <v>2.2754495533416659</v>
      </c>
      <c r="CH17" s="45">
        <f t="shared" si="32"/>
        <v>0.58809918885000911</v>
      </c>
      <c r="CI17" s="51">
        <f t="shared" si="50"/>
        <v>16.066666666666666</v>
      </c>
      <c r="CJ17" s="47">
        <f t="shared" si="33"/>
        <v>0</v>
      </c>
      <c r="CK17" s="45">
        <f t="shared" si="34"/>
        <v>0.41390762786596114</v>
      </c>
      <c r="CL17" s="45">
        <f t="shared" si="35"/>
        <v>0.78669410150891639</v>
      </c>
      <c r="CM17" s="36">
        <f t="shared" si="36"/>
        <v>0.9077951035423073</v>
      </c>
      <c r="CN17" s="45">
        <f t="shared" si="51"/>
        <v>28.885714285714286</v>
      </c>
      <c r="CO17" s="45">
        <f t="shared" si="52"/>
        <v>0.46813743144377101</v>
      </c>
      <c r="CP17" s="45">
        <f t="shared" si="53"/>
        <v>0.4375</v>
      </c>
      <c r="CQ17" s="45">
        <f t="shared" si="54"/>
        <v>0.40638314977088191</v>
      </c>
      <c r="CR17" s="45">
        <f t="shared" si="37"/>
        <v>1.2842824863750049</v>
      </c>
      <c r="CS17" s="45">
        <f t="shared" si="38"/>
        <v>1.998439539710414</v>
      </c>
      <c r="CT17" s="45">
        <f t="shared" si="39"/>
        <v>0</v>
      </c>
      <c r="CU17" s="45">
        <f t="shared" si="40"/>
        <v>0.28703703703703703</v>
      </c>
      <c r="CV17" s="45">
        <f t="shared" si="41"/>
        <v>0</v>
      </c>
      <c r="CW17" s="45">
        <f t="shared" si="42"/>
        <v>0.57072949174730991</v>
      </c>
      <c r="CX17" s="45">
        <f t="shared" si="43"/>
        <v>1.06375</v>
      </c>
      <c r="CY17" s="45">
        <f t="shared" si="44"/>
        <v>0</v>
      </c>
      <c r="CZ17" s="43">
        <f t="shared" si="45"/>
        <v>1.895050308504824</v>
      </c>
    </row>
    <row r="18" spans="2:104" ht="23.4" thickBot="1" x14ac:dyDescent="0.9">
      <c r="B18" s="11">
        <v>99</v>
      </c>
      <c r="C18" s="11" t="s">
        <v>43</v>
      </c>
      <c r="D18" s="8">
        <f>SUM(D3:D17)</f>
        <v>19</v>
      </c>
      <c r="E18" s="6">
        <f>SUM(E3:E17)</f>
        <v>36</v>
      </c>
      <c r="F18" s="132">
        <f t="shared" si="15"/>
        <v>0.52777777777777779</v>
      </c>
      <c r="G18" s="8">
        <f>SUM(G3:G17)</f>
        <v>8</v>
      </c>
      <c r="H18" s="6">
        <f>SUM(H3:H17)</f>
        <v>20</v>
      </c>
      <c r="I18" s="135">
        <f t="shared" si="16"/>
        <v>0.4</v>
      </c>
      <c r="J18" s="35">
        <f>SUM(J3:J17)</f>
        <v>3</v>
      </c>
      <c r="K18" s="35">
        <f>SUM(K3:K17)</f>
        <v>7</v>
      </c>
      <c r="L18" s="31">
        <f t="shared" si="17"/>
        <v>0.42857142857142855</v>
      </c>
      <c r="M18" s="30">
        <f>SUM(M3:M17)</f>
        <v>27</v>
      </c>
      <c r="N18" s="6">
        <f>SUM(N3:N17)</f>
        <v>56</v>
      </c>
      <c r="O18" s="138">
        <f t="shared" si="18"/>
        <v>0.48214285714285715</v>
      </c>
      <c r="P18" s="9">
        <f>(D18*2)+(G18*3)+(J18)</f>
        <v>65</v>
      </c>
      <c r="Q18" s="8">
        <f>SUM(Q3:Q17)</f>
        <v>14</v>
      </c>
      <c r="R18" s="6">
        <f>SUM(R3:R17)</f>
        <v>27</v>
      </c>
      <c r="S18" s="9">
        <f t="shared" si="20"/>
        <v>41</v>
      </c>
      <c r="T18" s="8">
        <f t="shared" ref="T18:Z18" si="55">SUM(T3:T17)</f>
        <v>13</v>
      </c>
      <c r="U18" s="6">
        <f t="shared" si="55"/>
        <v>12</v>
      </c>
      <c r="V18" s="6">
        <f t="shared" si="55"/>
        <v>0</v>
      </c>
      <c r="W18" s="6">
        <f t="shared" si="55"/>
        <v>6</v>
      </c>
      <c r="X18" s="6">
        <f t="shared" si="55"/>
        <v>0</v>
      </c>
      <c r="Y18" s="6">
        <f t="shared" si="55"/>
        <v>6</v>
      </c>
      <c r="Z18" s="6">
        <f t="shared" si="55"/>
        <v>5</v>
      </c>
      <c r="AA18" s="154">
        <v>160</v>
      </c>
      <c r="AD18" s="11"/>
      <c r="AE18" s="11" t="s">
        <v>43</v>
      </c>
      <c r="AF18" s="8">
        <v>8</v>
      </c>
      <c r="AG18" s="6">
        <v>27</v>
      </c>
      <c r="AH18" s="132">
        <f t="shared" si="21"/>
        <v>0.29629629629629628</v>
      </c>
      <c r="AI18" s="8">
        <v>7</v>
      </c>
      <c r="AJ18" s="6">
        <v>20</v>
      </c>
      <c r="AK18" s="135">
        <f t="shared" si="22"/>
        <v>0.35</v>
      </c>
      <c r="AL18" s="35">
        <v>2</v>
      </c>
      <c r="AM18" s="35">
        <v>3</v>
      </c>
      <c r="AN18" s="31">
        <f t="shared" si="23"/>
        <v>0.66666666666666663</v>
      </c>
      <c r="AO18" s="30">
        <v>15</v>
      </c>
      <c r="AP18" s="6">
        <v>47</v>
      </c>
      <c r="AQ18" s="138">
        <f t="shared" si="24"/>
        <v>0.31914893617021278</v>
      </c>
      <c r="AR18" s="9">
        <f>(AF18*2)+(AI18*3)+(AL18)</f>
        <v>39</v>
      </c>
      <c r="AS18" s="8">
        <v>2</v>
      </c>
      <c r="AT18" s="6">
        <v>18</v>
      </c>
      <c r="AU18" s="9">
        <f t="shared" si="26"/>
        <v>20</v>
      </c>
      <c r="AV18" s="8">
        <v>8</v>
      </c>
      <c r="AW18" s="6">
        <v>13</v>
      </c>
      <c r="AX18" s="6">
        <v>4</v>
      </c>
      <c r="AY18" s="6">
        <v>6</v>
      </c>
      <c r="AZ18" s="6">
        <v>1</v>
      </c>
      <c r="BA18" s="6">
        <v>2</v>
      </c>
      <c r="BB18" s="6">
        <v>8</v>
      </c>
      <c r="BC18" s="6">
        <v>160</v>
      </c>
      <c r="BF18" s="100"/>
      <c r="BG18" s="101" t="s">
        <v>43</v>
      </c>
      <c r="BH18" s="102">
        <f t="shared" si="2"/>
        <v>0.5535714285714286</v>
      </c>
      <c r="BI18" s="125">
        <f t="shared" si="3"/>
        <v>0.55010155721056198</v>
      </c>
      <c r="BJ18" s="126">
        <v>0</v>
      </c>
      <c r="BK18" s="102">
        <f>IFERROR(T18/M18, 0)</f>
        <v>0.48148148148148145</v>
      </c>
      <c r="BL18" s="125">
        <f>IFERROR(T18/(N18+(0.44*K18)+U18), 0)</f>
        <v>0.18289251547552055</v>
      </c>
      <c r="BM18" s="127">
        <f>IFERROR(U18/(N18+(0.44*K18)+U18), 0)</f>
        <v>0.16882386043894204</v>
      </c>
      <c r="BN18" s="103">
        <f t="shared" si="8"/>
        <v>1.0833333333333333</v>
      </c>
      <c r="BO18" s="105">
        <f>IFERROR(Q18/(Q18+AT18), 0)</f>
        <v>0.4375</v>
      </c>
      <c r="BP18" s="128">
        <f>IFERROR(R18/(R18+AS18), 0)</f>
        <v>0.93103448275862066</v>
      </c>
      <c r="BQ18" s="129">
        <f>IFERROR(S18/(S18+AU18), 0)</f>
        <v>0.67213114754098358</v>
      </c>
      <c r="BR18" s="111">
        <f>IFERROR(($AR$18/$BD$3)*100, 0)</f>
        <v>66.148087495613524</v>
      </c>
      <c r="BS18" s="112">
        <f>IFERROR(($P$18/$AB$3)*100, 0)</f>
        <v>113.0348777810384</v>
      </c>
      <c r="BT18" s="104">
        <f t="shared" si="27"/>
        <v>46.88679028542488</v>
      </c>
      <c r="BU18" s="102">
        <f>IFERROR(SUM(BU3:BU17), 0)</f>
        <v>0.72277227722772286</v>
      </c>
      <c r="BV18" s="85">
        <f>IFERROR((D18*2)-(E18*((homedefinitions!$K$15)*2))+(G18*3)-(H18*((homedefinitions!$L$15)*3))+(J18)-(K18*(homedefinitions!$M$15))+S18+T18+V18+W18-U18, 0)</f>
        <v>64.650000000000006</v>
      </c>
      <c r="BX18" s="55">
        <v>34</v>
      </c>
      <c r="BY18" s="58" t="s">
        <v>30</v>
      </c>
      <c r="BZ18" s="47">
        <f t="shared" si="28"/>
        <v>1.5458422174840085</v>
      </c>
      <c r="CA18" s="39">
        <f t="shared" si="46"/>
        <v>6.8965517241379309E-2</v>
      </c>
      <c r="CB18" s="45">
        <f t="shared" si="47"/>
        <v>0.86353944562899787</v>
      </c>
      <c r="CC18" s="45">
        <f t="shared" si="29"/>
        <v>2.0523283435041542</v>
      </c>
      <c r="CD18" s="45">
        <f t="shared" si="30"/>
        <v>0</v>
      </c>
      <c r="CE18" s="36">
        <f t="shared" si="31"/>
        <v>0.56131249999999999</v>
      </c>
      <c r="CF18" s="45">
        <f t="shared" si="48"/>
        <v>2.6136408435041543</v>
      </c>
      <c r="CG18" s="45">
        <f t="shared" si="49"/>
        <v>4.1594830609881628</v>
      </c>
      <c r="CH18" s="45">
        <f t="shared" si="32"/>
        <v>0.87980286413579512</v>
      </c>
      <c r="CI18" s="51">
        <f t="shared" si="50"/>
        <v>16.066666666666666</v>
      </c>
      <c r="CJ18" s="47">
        <f t="shared" si="33"/>
        <v>5.3242242424566575</v>
      </c>
      <c r="CK18" s="45">
        <f t="shared" si="34"/>
        <v>0.52560336697815568</v>
      </c>
      <c r="CL18" s="45">
        <f t="shared" si="35"/>
        <v>0.88095238095238093</v>
      </c>
      <c r="CM18" s="36">
        <f t="shared" si="36"/>
        <v>0.9077951035423073</v>
      </c>
      <c r="CN18" s="45">
        <f t="shared" si="51"/>
        <v>28.885714285714286</v>
      </c>
      <c r="CO18" s="45">
        <f t="shared" si="52"/>
        <v>0.46813743144377101</v>
      </c>
      <c r="CP18" s="45">
        <f t="shared" si="53"/>
        <v>0.4375</v>
      </c>
      <c r="CQ18" s="45">
        <f t="shared" si="54"/>
        <v>0.40638314977088191</v>
      </c>
      <c r="CR18" s="45">
        <f t="shared" si="37"/>
        <v>1.2842824863750049</v>
      </c>
      <c r="CS18" s="45">
        <f t="shared" si="38"/>
        <v>9.6406967523478393</v>
      </c>
      <c r="CT18" s="45">
        <f t="shared" si="39"/>
        <v>2.6621121212283287</v>
      </c>
      <c r="CU18" s="45">
        <f t="shared" si="40"/>
        <v>0.2857142857142857</v>
      </c>
      <c r="CV18" s="45">
        <f t="shared" si="41"/>
        <v>1.5</v>
      </c>
      <c r="CW18" s="45">
        <f t="shared" si="42"/>
        <v>0.57072949174730991</v>
      </c>
      <c r="CX18" s="45">
        <f t="shared" si="43"/>
        <v>2.1274999999999999</v>
      </c>
      <c r="CY18" s="45">
        <f t="shared" si="44"/>
        <v>0.1</v>
      </c>
      <c r="CZ18" s="43">
        <f t="shared" si="45"/>
        <v>6.8359445253759876</v>
      </c>
    </row>
    <row r="19" spans="2:104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6"/>
        <v>6.8965517241379309E-2</v>
      </c>
      <c r="CB19" s="45">
        <f t="shared" si="47"/>
        <v>0.86353944562899787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8"/>
        <v>0</v>
      </c>
      <c r="CG19" s="45">
        <f t="shared" si="49"/>
        <v>0</v>
      </c>
      <c r="CH19" s="45">
        <f>IFERROR(CG19/($BD$3*(#REF!/$BC$18)),0)</f>
        <v>0</v>
      </c>
      <c r="CI19" s="51">
        <f t="shared" si="50"/>
        <v>16.066666666666666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6"/>
        <v>0.9077951035423073</v>
      </c>
      <c r="CN19" s="45">
        <f t="shared" si="51"/>
        <v>28.885714285714286</v>
      </c>
      <c r="CO19" s="45">
        <f t="shared" si="52"/>
        <v>0.46813743144377101</v>
      </c>
      <c r="CP19" s="45">
        <f t="shared" si="53"/>
        <v>0.4375</v>
      </c>
      <c r="CQ19" s="45">
        <f t="shared" si="54"/>
        <v>0.40638314977088191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</row>
    <row r="20" spans="2:104" ht="14.7" thickBot="1" x14ac:dyDescent="0.6">
      <c r="BX20" s="56">
        <v>55</v>
      </c>
      <c r="BY20" s="59" t="s">
        <v>32</v>
      </c>
      <c r="BZ20" s="48">
        <f>IFERROR(W17+((V17*CB20)*(1-(1.07*CA20)))+(R17*(1-CB20)), 0)</f>
        <v>0.13646055437100213</v>
      </c>
      <c r="CA20" s="41">
        <f t="shared" si="46"/>
        <v>6.8965517241379309E-2</v>
      </c>
      <c r="CB20" s="46">
        <f t="shared" si="47"/>
        <v>0.86353944562899787</v>
      </c>
      <c r="CC20" s="46">
        <f>IFERROR(((($AP$18-$AO$18-$V$18)*CB20*(1-1.07*CA20))/$AA$18)*AA17, 0)</f>
        <v>0.87979780898463344</v>
      </c>
      <c r="CD20" s="46">
        <f>IFERROR((Z17/$Z$18)*0.4*$AM$18*((1-$AN$18)^2), 0)</f>
        <v>0</v>
      </c>
      <c r="CE20" s="42">
        <f>IFERROR((($AW$18-$W$18)/$AA$18)*AA17, 0)</f>
        <v>0.24062499999999998</v>
      </c>
      <c r="CF20" s="46">
        <f t="shared" si="48"/>
        <v>1.1204228089846335</v>
      </c>
      <c r="CG20" s="46">
        <f t="shared" si="49"/>
        <v>1.2568833633556356</v>
      </c>
      <c r="CH20" s="46">
        <f>IFERROR(CG20/($BD$3*(AA17/$BC$18)),0)</f>
        <v>0.62016172077224863</v>
      </c>
      <c r="CI20" s="52">
        <f t="shared" si="50"/>
        <v>16.066666666666666</v>
      </c>
      <c r="CJ20" s="48">
        <f>IFERROR(2*(M17+0.5*G17)*(1-(0.5*((P17-J17)/(2*N17)))*CK20), 0)</f>
        <v>1.7991371105547609</v>
      </c>
      <c r="CK20" s="46">
        <f>IFERROR(((5*AA17/$AA$18)*1.14*(($T$18-T17)/$M$18))+((1-(5*AA17/$AA$18))*(((($T$18/$AA$18)*AA17*5)-T17)/((($M$18/$AA$18)*AA17*5)-M17))), 0)</f>
        <v>0.60258866833571767</v>
      </c>
      <c r="CL20" s="46">
        <f>IFERROR(2*((($M$18)+0.5*($H$18-G17))/($M$18-M17))*0.5*((($P$18-$J$18)-(P17-J17))/(2*($N$18-N17)))*T17, 0)</f>
        <v>0</v>
      </c>
      <c r="CM20" s="42">
        <f t="shared" si="36"/>
        <v>0.9077951035423073</v>
      </c>
      <c r="CN20" s="46">
        <f t="shared" si="51"/>
        <v>28.885714285714286</v>
      </c>
      <c r="CO20" s="46">
        <f t="shared" si="52"/>
        <v>0.46813743144377101</v>
      </c>
      <c r="CP20" s="46">
        <f t="shared" si="53"/>
        <v>0.4375</v>
      </c>
      <c r="CQ20" s="46">
        <f t="shared" si="54"/>
        <v>0.40638314977088191</v>
      </c>
      <c r="CR20" s="46">
        <f>IFERROR(Q17*CO20*CQ20*($P$18/($M$18+(1-(1-($J$18/$K$18))^2)*0.4*$K$18)), 0)</f>
        <v>0</v>
      </c>
      <c r="CS20" s="46">
        <f>IFERROR((CJ20+CL20+J17)*CM20+CR20, 0)</f>
        <v>1.6332478595628668</v>
      </c>
      <c r="CT20" s="46">
        <f>IFERROR(M17*(1-(0.5*((P17-J17)/(2*N17)))*CK20), 0)</f>
        <v>0.89956855527738044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1.06375</v>
      </c>
      <c r="CY20" s="46">
        <f>IFERROR(((1-(J17/K17))^2)*0.4*K17, 0)</f>
        <v>0.4</v>
      </c>
      <c r="CZ20" s="44">
        <f>IFERROR(((CT20+CU20+CV20)*CM20)+CW20+CX20+CY20+U17, 0)</f>
        <v>2.2803739297814332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5D9-B7DD-8F42-B7A0-8C3C6FA48AFD}">
  <dimension ref="A1:CZ20"/>
  <sheetViews>
    <sheetView topLeftCell="A4" zoomScale="60" zoomScaleNormal="60" workbookViewId="0">
      <selection activeCell="Y35" sqref="Y35"/>
    </sheetView>
  </sheetViews>
  <sheetFormatPr defaultColWidth="10.83984375" defaultRowHeight="14.4" x14ac:dyDescent="0.55000000000000004"/>
  <cols>
    <col min="1" max="1" width="16.578125" style="144" customWidth="1"/>
    <col min="2" max="2" width="2.68359375" bestFit="1" customWidth="1"/>
    <col min="3" max="3" width="8.3671875" bestFit="1" customWidth="1"/>
    <col min="4" max="4" width="4.05078125" bestFit="1" customWidth="1"/>
    <col min="5" max="5" width="4" bestFit="1" customWidth="1"/>
    <col min="6" max="6" width="5.62890625" bestFit="1" customWidth="1"/>
    <col min="7" max="7" width="4.05078125" bestFit="1" customWidth="1"/>
    <col min="8" max="8" width="4" bestFit="1" customWidth="1"/>
    <col min="9" max="9" width="5.62890625" bestFit="1" customWidth="1"/>
    <col min="10" max="10" width="4.05078125" bestFit="1" customWidth="1"/>
    <col min="11" max="11" width="4" bestFit="1" customWidth="1"/>
    <col min="12" max="12" width="5.62890625" bestFit="1" customWidth="1"/>
    <col min="13" max="13" width="3.20703125" bestFit="1" customWidth="1"/>
    <col min="14" max="14" width="3.578125" bestFit="1" customWidth="1"/>
    <col min="15" max="15" width="4.83984375" bestFit="1" customWidth="1"/>
    <col min="16" max="16" width="4.7890625" bestFit="1" customWidth="1"/>
    <col min="17" max="17" width="3" bestFit="1" customWidth="1"/>
    <col min="18" max="18" width="3.3125" bestFit="1" customWidth="1"/>
    <col min="19" max="19" width="2.83984375" bestFit="1" customWidth="1"/>
    <col min="20" max="21" width="11.68359375" bestFit="1" customWidth="1"/>
  </cols>
  <sheetData>
    <row r="1" spans="2:104" ht="23.4" thickBot="1" x14ac:dyDescent="0.9">
      <c r="B1" s="11"/>
      <c r="C1" s="11" t="s">
        <v>111</v>
      </c>
      <c r="D1" s="176" t="s">
        <v>1</v>
      </c>
      <c r="E1" s="177"/>
      <c r="F1" s="178"/>
      <c r="G1" s="179" t="s">
        <v>5</v>
      </c>
      <c r="H1" s="180"/>
      <c r="I1" s="181"/>
      <c r="J1" s="182" t="s">
        <v>38</v>
      </c>
      <c r="K1" s="183"/>
      <c r="L1" s="184"/>
      <c r="M1" s="185" t="s">
        <v>6</v>
      </c>
      <c r="N1" s="185"/>
      <c r="O1" s="185"/>
      <c r="P1" s="186"/>
      <c r="Q1" s="187" t="s">
        <v>8</v>
      </c>
      <c r="R1" s="188"/>
      <c r="S1" s="189"/>
      <c r="T1" s="174"/>
      <c r="U1" s="175"/>
      <c r="V1" s="175"/>
      <c r="W1" s="175"/>
      <c r="X1" s="175"/>
      <c r="Y1" s="175"/>
      <c r="Z1" s="37"/>
      <c r="AD1" s="11" t="s">
        <v>110</v>
      </c>
      <c r="AE1" s="11"/>
      <c r="AF1" s="176" t="s">
        <v>1</v>
      </c>
      <c r="AG1" s="177"/>
      <c r="AH1" s="178"/>
      <c r="AI1" s="179" t="s">
        <v>5</v>
      </c>
      <c r="AJ1" s="180"/>
      <c r="AK1" s="181"/>
      <c r="AL1" s="182" t="s">
        <v>38</v>
      </c>
      <c r="AM1" s="183"/>
      <c r="AN1" s="184"/>
      <c r="AO1" s="185" t="s">
        <v>6</v>
      </c>
      <c r="AP1" s="185"/>
      <c r="AQ1" s="185"/>
      <c r="AR1" s="186"/>
      <c r="AS1" s="187" t="s">
        <v>8</v>
      </c>
      <c r="AT1" s="188"/>
      <c r="AU1" s="189"/>
      <c r="AV1" s="174"/>
      <c r="AW1" s="175"/>
      <c r="AX1" s="175"/>
      <c r="AY1" s="175"/>
      <c r="AZ1" s="175"/>
      <c r="BA1" s="175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6" t="s">
        <v>64</v>
      </c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7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8" si="0">D3+G3</f>
        <v>0</v>
      </c>
      <c r="N3" s="16">
        <f t="shared" ref="N3:N18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6"/>
      <c r="AB3" s="60">
        <f>IFERROR($N$19+0.44*$K$19-(1.07*($Q$19/($Q$19+$AT$19))*($N$19-$M$19))+U19,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8" si="2">AF3+AI3</f>
        <v>0</v>
      </c>
      <c r="AP3" s="16">
        <f t="shared" ref="AP3:AP18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IFERROR($AP$19+0.44*$AM$19-(1.07*($AS$19/($AS$19+$R$19))*($AP$19-$AO$19))+AW19, 0)</f>
        <v>0</v>
      </c>
      <c r="BF3" s="67">
        <v>0</v>
      </c>
      <c r="BG3" s="68" t="s">
        <v>17</v>
      </c>
      <c r="BH3" s="81">
        <f t="shared" ref="BH3:BH19" si="4">IFERROR(((D3+(1.5*G3))/N3), 0)</f>
        <v>0</v>
      </c>
      <c r="BI3" s="113">
        <f t="shared" ref="BI3:BI19" si="5">IFERROR(P3/(2*(N3+(0.44*K3))), 0)</f>
        <v>0</v>
      </c>
      <c r="BJ3" s="114">
        <f t="shared" ref="BJ3:BJ18" si="6">IFERROR((N3+(0.44*K3)+U3)/(($N$19+(0.44*$K$19)+$U$19)*((5*AA3)/160)), 0)</f>
        <v>0</v>
      </c>
      <c r="BK3" s="81">
        <f t="shared" ref="BK3:BK18" si="7">IFERROR(T3/(($M$19*((5*AA3)/$AA$19))-M3), 0)</f>
        <v>0</v>
      </c>
      <c r="BL3" s="113">
        <f t="shared" ref="BL3:BL18" si="8">IFERROR(T3/(N3+(0.44*K3)+T3+U3), 0)</f>
        <v>0</v>
      </c>
      <c r="BM3" s="115">
        <f t="shared" ref="BM3:BM18" si="9">IFERROR(U3/(N3+(0.44*K3)+T3+U3), 0)</f>
        <v>0</v>
      </c>
      <c r="BN3" s="82">
        <f t="shared" ref="BN3:BN19" si="10">IFERROR(T3/U3, 0)</f>
        <v>0</v>
      </c>
      <c r="BO3" s="81">
        <f t="shared" ref="BO3:BO18" si="11">IFERROR(Q3/(($Q$19+$AT$19)*((5*AA3)/$AA$19)), 0)</f>
        <v>0</v>
      </c>
      <c r="BP3" s="113">
        <f t="shared" ref="BP3:BP18" si="12">IFERROR(R3/(($R$19+$AS$19)*((5*AA3)/$AA$19)), 0)</f>
        <v>0</v>
      </c>
      <c r="BQ3" s="116">
        <f t="shared" ref="BQ3:BQ18" si="13">IFERROR(S3/(($S$19+$AU$19)*((5*AA3)/$AA$19)), 0)</f>
        <v>0</v>
      </c>
      <c r="BR3" s="83">
        <f t="shared" ref="BR3:BR18" si="14">IFERROR($BR$19+0.2*(100*($AR$19/CI5)*(1-CH5)-$BR$19), 0)</f>
        <v>0</v>
      </c>
      <c r="BS3" s="84">
        <f t="shared" ref="BS3:BS18" si="15">IFERROR((CS5/CZ5)*100, 0)</f>
        <v>0</v>
      </c>
      <c r="BT3" s="85">
        <f>BS3-BR3</f>
        <v>0</v>
      </c>
      <c r="BU3" s="108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0</v>
      </c>
      <c r="BV3" s="85">
        <f>IFERROR((D3*2)-(E3*((#REF!)*2))+(G3*3)-(H3*((#REF!)*3))+(J3)-(K3*(#REF!))+S3+T3+V3+W3-U3, 0)</f>
        <v>0</v>
      </c>
      <c r="BX3" s="54"/>
      <c r="BY3" s="57"/>
      <c r="BZ3" s="168" t="s">
        <v>75</v>
      </c>
      <c r="CA3" s="169"/>
      <c r="CB3" s="169"/>
      <c r="CC3" s="169"/>
      <c r="CD3" s="169"/>
      <c r="CE3" s="169"/>
      <c r="CF3" s="169"/>
      <c r="CG3" s="169"/>
      <c r="CH3" s="169"/>
      <c r="CI3" s="170"/>
      <c r="CJ3" s="171" t="s">
        <v>92</v>
      </c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3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9" si="17">IFERROR(D4/E4,0)</f>
        <v>0</v>
      </c>
      <c r="G4" s="18"/>
      <c r="H4" s="19"/>
      <c r="I4" s="134">
        <f t="shared" ref="I4:I19" si="18">IFERROR(G4/H4,0)</f>
        <v>0</v>
      </c>
      <c r="J4" s="34"/>
      <c r="K4" s="34"/>
      <c r="L4" s="32">
        <f t="shared" ref="L4:L19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9" si="20">IFERROR(M4/N4,0)</f>
        <v>0</v>
      </c>
      <c r="P4" s="20">
        <f t="shared" ref="P4:P18" si="21">(D4*2)+(G4*3)+(J4)</f>
        <v>0</v>
      </c>
      <c r="Q4" s="18"/>
      <c r="R4" s="19"/>
      <c r="S4" s="20">
        <f t="shared" ref="S4:S19" si="22">Q4+R4</f>
        <v>0</v>
      </c>
      <c r="T4" s="18"/>
      <c r="U4" s="19"/>
      <c r="V4" s="19"/>
      <c r="W4" s="19"/>
      <c r="X4" s="19"/>
      <c r="Y4" s="19"/>
      <c r="Z4" s="19"/>
      <c r="AA4" s="19"/>
      <c r="AD4" s="11">
        <v>1</v>
      </c>
      <c r="AE4" s="11"/>
      <c r="AF4" s="18"/>
      <c r="AG4" s="19"/>
      <c r="AH4" s="131">
        <f t="shared" ref="AH4:AH19" si="23">IFERROR(AF4/AG4,0)</f>
        <v>0</v>
      </c>
      <c r="AI4" s="18"/>
      <c r="AJ4" s="19"/>
      <c r="AK4" s="134">
        <f t="shared" ref="AK4:AK19" si="24">IFERROR(AI4/AJ4,0)</f>
        <v>0</v>
      </c>
      <c r="AL4" s="34"/>
      <c r="AM4" s="34"/>
      <c r="AN4" s="32">
        <f t="shared" ref="AN4:AN19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9" si="26">IFERROR(AO4/AP4,0)</f>
        <v>0</v>
      </c>
      <c r="AR4" s="20">
        <f t="shared" ref="AR4:AR18" si="27">(AF4*2)+(AI4*3)+(AL4)</f>
        <v>0</v>
      </c>
      <c r="AS4" s="18"/>
      <c r="AT4" s="19"/>
      <c r="AU4" s="20">
        <f t="shared" ref="AU4:AU19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9" si="29">BS4-BR4</f>
        <v>0</v>
      </c>
      <c r="BU4" s="109">
        <f t="shared" si="16"/>
        <v>0</v>
      </c>
      <c r="BV4" s="90">
        <f>IFERROR((D4*2)-(E4*((#REF!)*2))+(G4*3)-(H4*((#REF!)*3))+(J4)-(K4*(#REF!))+S4+T4+V4+W4-U4,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6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108">
        <f t="shared" si="16"/>
        <v>0</v>
      </c>
      <c r="BV5" s="85">
        <f>IFERROR((D5*2)-(E5*((#REF!)*2))+(G5*3)-(H5*((#REF!)*3))+(J5)-(K5*(#REF!))+S5+T5+V5+W5-U5, 0)</f>
        <v>0</v>
      </c>
      <c r="BX5" s="26">
        <v>0</v>
      </c>
      <c r="BY5" s="25" t="s">
        <v>17</v>
      </c>
      <c r="BZ5" s="47">
        <f t="shared" ref="BZ5:BZ20" si="30">IFERROR(W3+((V3*CB5)*(1-(1.07*CA5)))+(R3*(1-CB5)), 0)</f>
        <v>0</v>
      </c>
      <c r="CA5" s="39">
        <f>IFERROR(($AS$19/($AS$19+$R$19)), 0)</f>
        <v>0</v>
      </c>
      <c r="CB5" s="45">
        <f>IFERROR(($AQ$19*(1-CA5))/($AQ$19*(1-CA5)+(CA5*(1-$AQ$19))), 0)</f>
        <v>0</v>
      </c>
      <c r="CC5" s="45">
        <f t="shared" ref="CC5:CC20" si="31">IFERROR(((($AP$19-$AO$19-$V$19)*CB5*(1-1.07*CA5))/$AA$19)*AA3, 0)</f>
        <v>0</v>
      </c>
      <c r="CD5" s="45">
        <f t="shared" ref="CD5:CD20" si="32">IFERROR((Z3/$Z$19)*0.4*$AM$19*((1-$AN$19)^2), 0)</f>
        <v>0</v>
      </c>
      <c r="CE5" s="36">
        <f t="shared" ref="CE5:CE20" si="33">IFERROR((($AW$19-$W$19)/$AA$19)*AA3,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20" si="34">IFERROR(CG5/($BD$3*(AA3/$BC$19)),0)</f>
        <v>0</v>
      </c>
      <c r="CI5" s="51">
        <f>IFERROR($AO$19+(1-((1-$AN$19)^2))*0.4*$AM$19, 0)</f>
        <v>0</v>
      </c>
      <c r="CJ5" s="47">
        <f t="shared" ref="CJ5:CJ20" si="35">IFERROR(2*(M3+0.5*G3)*(1-(0.5*((P3-J3)/(2*N3)))*CK5), 0)</f>
        <v>0</v>
      </c>
      <c r="CK5" s="45">
        <f t="shared" ref="CK5:CK20" si="36">IFERROR(((5*AA3/$AA$19)*1.14*(($T$19-T3)/$M$19))+((1-(5*AA3/$AA$19))*(((($T$19/$AA$19)*AA3*5)-T3)/((($M$19/$AA$19)*AA3*5)-M3))), 0)</f>
        <v>0</v>
      </c>
      <c r="CL5" s="45">
        <f t="shared" ref="CL5:CL20" si="37">IFERROR(2*((($M$19)+0.5*($H$19-G3))/($M$19-M3))*0.5*((($P$19-$J$19)-(P3-J3))/(2*($N$19-N3)))*T3, 0)</f>
        <v>0</v>
      </c>
      <c r="CM5" s="45">
        <f t="shared" ref="CM5:CM20" si="38">IFERROR(1-($Q$19/CN5)*CO5*CQ5, 0)</f>
        <v>0</v>
      </c>
      <c r="CN5" s="45">
        <f>IFERROR($M$19+(1-(1-($J$19/$K$19))^2)*$K$19*0.4, 0)</f>
        <v>0</v>
      </c>
      <c r="CO5" s="45">
        <f>IFERROR(((1-CP5)*CQ5)/((1-CP5)*CQ5+(1-CQ5)*CP5), 0)</f>
        <v>0</v>
      </c>
      <c r="CP5" s="45">
        <f>IFERROR($Q$19/($Q$19+$AT$19), 0)</f>
        <v>0</v>
      </c>
      <c r="CQ5" s="45">
        <f>IFERROR(CN5/($N$19+0.44*$K$19+$U$19), 0)</f>
        <v>0</v>
      </c>
      <c r="CR5" s="45">
        <f t="shared" ref="CR5:CR20" si="39">IFERROR(Q3*CO5*CQ5*($P$19/($M$19+(1-(1-($J$19/$K$19))^2)*0.4*$K$19)), 0)</f>
        <v>0</v>
      </c>
      <c r="CS5" s="45">
        <f t="shared" ref="CS5:CS20" si="40">IFERROR((CJ5+CL5+J3)*CM5+CR5, 0)</f>
        <v>0</v>
      </c>
      <c r="CT5" s="45">
        <f t="shared" ref="CT5:CT20" si="41">IFERROR(M3*(1-(0.5*((P3-J3)/(2*N3)))*CK5), 0)</f>
        <v>0</v>
      </c>
      <c r="CU5" s="45">
        <f t="shared" ref="CU5:CU20" si="42">IFERROR(0.5*((($P$19-$J$19)-(P3-J3))/(2*($N$19-N3)))*T3, 0)</f>
        <v>0</v>
      </c>
      <c r="CV5" s="45">
        <f t="shared" ref="CV5:CV20" si="43">IFERROR((1-(1-(J3/K3))^2)*0.4*K3, 0)</f>
        <v>0</v>
      </c>
      <c r="CW5" s="45">
        <f t="shared" ref="CW5:CW20" si="44">IFERROR(Q3*CO5*CQ5, 0)</f>
        <v>0</v>
      </c>
      <c r="CX5" s="45">
        <f t="shared" ref="CX5:CX20" si="45">IFERROR((N3-M3)*(1-(1.07*CP5)), 0)</f>
        <v>0</v>
      </c>
      <c r="CY5" s="45">
        <f t="shared" ref="CY5:CY20" si="46">IFERROR(((1-(J3/K3))^2)*0.4*K3, 0)</f>
        <v>0</v>
      </c>
      <c r="CZ5" s="43">
        <f t="shared" ref="CZ5:CZ20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9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109">
        <f t="shared" si="16"/>
        <v>0</v>
      </c>
      <c r="BV6" s="90">
        <f>IFERROR((D6*2)-(E6*((#REF!)*2))+(G6*3)-(H6*((#REF!)*3))+(J6)-(K6*(#REF!))+S6+T6+V6+W6-U6, 0)</f>
        <v>0</v>
      </c>
      <c r="BX6" s="26">
        <v>1</v>
      </c>
      <c r="BY6" s="25" t="s">
        <v>18</v>
      </c>
      <c r="BZ6" s="47">
        <f t="shared" si="30"/>
        <v>0</v>
      </c>
      <c r="CA6" s="39">
        <f t="shared" ref="CA6:CA20" si="48">IFERROR(($AS$19/($AS$19+$R$19)), 0)</f>
        <v>0</v>
      </c>
      <c r="CB6" s="45">
        <f t="shared" ref="CB6:CB20" si="49">IFERROR(($AQ$19*(1-CA6))/($AQ$19*(1-CA6)+(CA6*(1-$AQ$19))), 0)</f>
        <v>0</v>
      </c>
      <c r="CC6" s="45">
        <f t="shared" si="31"/>
        <v>0</v>
      </c>
      <c r="CD6" s="45">
        <f t="shared" si="32"/>
        <v>0</v>
      </c>
      <c r="CE6" s="36">
        <f t="shared" si="33"/>
        <v>0</v>
      </c>
      <c r="CF6" s="45">
        <f t="shared" ref="CF6:CF20" si="50">IFERROR(CC6+CE6+CD6, 0)</f>
        <v>0</v>
      </c>
      <c r="CG6" s="45">
        <f t="shared" ref="CG6:CG20" si="51">IFERROR(BZ6+CF6, 0)</f>
        <v>0</v>
      </c>
      <c r="CH6" s="45">
        <f t="shared" si="34"/>
        <v>0</v>
      </c>
      <c r="CI6" s="51">
        <f t="shared" ref="CI6:CI20" si="52">IFERROR($AO$19+(1-((1-$AN$19)^2))*0.4*$AM$19, 0)</f>
        <v>0</v>
      </c>
      <c r="CJ6" s="47">
        <f t="shared" si="35"/>
        <v>0</v>
      </c>
      <c r="CK6" s="45">
        <f t="shared" si="36"/>
        <v>0</v>
      </c>
      <c r="CL6" s="45">
        <f t="shared" si="37"/>
        <v>0</v>
      </c>
      <c r="CM6" s="36">
        <f t="shared" si="38"/>
        <v>0</v>
      </c>
      <c r="CN6" s="45">
        <f t="shared" ref="CN6:CN20" si="53">IFERROR($M$19+(1-(1-($J$19/$K$19))^2)*$K$19*0.4, 0)</f>
        <v>0</v>
      </c>
      <c r="CO6" s="45">
        <f t="shared" ref="CO6:CO20" si="54">IFERROR(((1-CP6)*CQ6)/((1-CP6)*CQ6+(1-CQ6)*CP6), 0)</f>
        <v>0</v>
      </c>
      <c r="CP6" s="45">
        <f t="shared" ref="CP6:CP20" si="55">IFERROR($Q$19/($Q$19+$AT$19), 0)</f>
        <v>0</v>
      </c>
      <c r="CQ6" s="45">
        <f t="shared" ref="CQ6:CQ20" si="56">IFERROR(CN6/($N$19+0.44*$K$19+$U$19), 0)</f>
        <v>0</v>
      </c>
      <c r="CR6" s="45">
        <f t="shared" si="39"/>
        <v>0</v>
      </c>
      <c r="CS6" s="45">
        <f t="shared" si="40"/>
        <v>0</v>
      </c>
      <c r="CT6" s="45">
        <f t="shared" si="41"/>
        <v>0</v>
      </c>
      <c r="CU6" s="45">
        <f t="shared" si="42"/>
        <v>0</v>
      </c>
      <c r="CV6" s="45">
        <f t="shared" si="43"/>
        <v>0</v>
      </c>
      <c r="CW6" s="45">
        <f t="shared" si="44"/>
        <v>0</v>
      </c>
      <c r="CX6" s="45">
        <f t="shared" si="45"/>
        <v>0</v>
      </c>
      <c r="CY6" s="45">
        <f t="shared" si="46"/>
        <v>0</v>
      </c>
      <c r="CZ6" s="43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6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108">
        <f t="shared" si="16"/>
        <v>0</v>
      </c>
      <c r="BV7" s="85">
        <f>IFERROR((D7*2)-(E7*((#REF!)*2))+(G7*3)-(H7*((#REF!)*3))+(J7)-(K7*(#REF!))+S7+T7+V7+W7-U7, 0)</f>
        <v>0</v>
      </c>
      <c r="BX7" s="26">
        <v>2</v>
      </c>
      <c r="BY7" s="25" t="s">
        <v>19</v>
      </c>
      <c r="BZ7" s="47">
        <f t="shared" si="30"/>
        <v>0</v>
      </c>
      <c r="CA7" s="39">
        <f t="shared" si="48"/>
        <v>0</v>
      </c>
      <c r="CB7" s="45">
        <f t="shared" si="49"/>
        <v>0</v>
      </c>
      <c r="CC7" s="45">
        <f t="shared" si="31"/>
        <v>0</v>
      </c>
      <c r="CD7" s="45">
        <f t="shared" si="32"/>
        <v>0</v>
      </c>
      <c r="CE7" s="36">
        <f t="shared" si="33"/>
        <v>0</v>
      </c>
      <c r="CF7" s="45">
        <f t="shared" si="50"/>
        <v>0</v>
      </c>
      <c r="CG7" s="45">
        <f t="shared" si="51"/>
        <v>0</v>
      </c>
      <c r="CH7" s="45">
        <f t="shared" si="34"/>
        <v>0</v>
      </c>
      <c r="CI7" s="51">
        <f t="shared" si="52"/>
        <v>0</v>
      </c>
      <c r="CJ7" s="47">
        <f t="shared" si="35"/>
        <v>0</v>
      </c>
      <c r="CK7" s="45">
        <f t="shared" si="36"/>
        <v>0</v>
      </c>
      <c r="CL7" s="45">
        <f t="shared" si="37"/>
        <v>0</v>
      </c>
      <c r="CM7" s="36">
        <f t="shared" si="38"/>
        <v>0</v>
      </c>
      <c r="CN7" s="45">
        <f t="shared" si="53"/>
        <v>0</v>
      </c>
      <c r="CO7" s="45">
        <f t="shared" si="54"/>
        <v>0</v>
      </c>
      <c r="CP7" s="45">
        <f t="shared" si="55"/>
        <v>0</v>
      </c>
      <c r="CQ7" s="45">
        <f t="shared" si="56"/>
        <v>0</v>
      </c>
      <c r="CR7" s="45">
        <f t="shared" si="39"/>
        <v>0</v>
      </c>
      <c r="CS7" s="45">
        <f t="shared" si="40"/>
        <v>0</v>
      </c>
      <c r="CT7" s="45">
        <f t="shared" si="41"/>
        <v>0</v>
      </c>
      <c r="CU7" s="45">
        <f t="shared" si="42"/>
        <v>0</v>
      </c>
      <c r="CV7" s="45">
        <f t="shared" si="43"/>
        <v>0</v>
      </c>
      <c r="CW7" s="45">
        <f t="shared" si="44"/>
        <v>0</v>
      </c>
      <c r="CX7" s="45">
        <f t="shared" si="45"/>
        <v>0</v>
      </c>
      <c r="CY7" s="45">
        <f t="shared" si="46"/>
        <v>0</v>
      </c>
      <c r="CZ7" s="43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9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109">
        <f t="shared" si="16"/>
        <v>0</v>
      </c>
      <c r="BV8" s="90">
        <f>IFERROR((D8*2)-(E8*((#REF!)*2))+(G8*3)-(H8*((#REF!)*3))+(J8)-(K8*(#REF!))+S8+T8+V8+W8-U8, 0)</f>
        <v>0</v>
      </c>
      <c r="BX8" s="26">
        <v>3</v>
      </c>
      <c r="BY8" s="25" t="s">
        <v>20</v>
      </c>
      <c r="BZ8" s="47">
        <f t="shared" si="30"/>
        <v>0</v>
      </c>
      <c r="CA8" s="39">
        <f t="shared" si="48"/>
        <v>0</v>
      </c>
      <c r="CB8" s="45">
        <f t="shared" si="49"/>
        <v>0</v>
      </c>
      <c r="CC8" s="45">
        <f t="shared" si="31"/>
        <v>0</v>
      </c>
      <c r="CD8" s="45">
        <f t="shared" si="32"/>
        <v>0</v>
      </c>
      <c r="CE8" s="36">
        <f t="shared" si="33"/>
        <v>0</v>
      </c>
      <c r="CF8" s="45">
        <f t="shared" si="50"/>
        <v>0</v>
      </c>
      <c r="CG8" s="45">
        <f t="shared" si="51"/>
        <v>0</v>
      </c>
      <c r="CH8" s="45">
        <f t="shared" si="34"/>
        <v>0</v>
      </c>
      <c r="CI8" s="51">
        <f t="shared" si="52"/>
        <v>0</v>
      </c>
      <c r="CJ8" s="47">
        <f t="shared" si="35"/>
        <v>0</v>
      </c>
      <c r="CK8" s="45">
        <f t="shared" si="36"/>
        <v>0</v>
      </c>
      <c r="CL8" s="45">
        <f t="shared" si="37"/>
        <v>0</v>
      </c>
      <c r="CM8" s="36">
        <f t="shared" si="38"/>
        <v>0</v>
      </c>
      <c r="CN8" s="45">
        <f t="shared" si="53"/>
        <v>0</v>
      </c>
      <c r="CO8" s="45">
        <f t="shared" si="54"/>
        <v>0</v>
      </c>
      <c r="CP8" s="45">
        <f t="shared" si="55"/>
        <v>0</v>
      </c>
      <c r="CQ8" s="45">
        <f t="shared" si="56"/>
        <v>0</v>
      </c>
      <c r="CR8" s="45">
        <f t="shared" si="39"/>
        <v>0</v>
      </c>
      <c r="CS8" s="45">
        <f t="shared" si="40"/>
        <v>0</v>
      </c>
      <c r="CT8" s="45">
        <f t="shared" si="41"/>
        <v>0</v>
      </c>
      <c r="CU8" s="45">
        <f t="shared" si="42"/>
        <v>0</v>
      </c>
      <c r="CV8" s="45">
        <f t="shared" si="43"/>
        <v>0</v>
      </c>
      <c r="CW8" s="45">
        <f t="shared" si="44"/>
        <v>0</v>
      </c>
      <c r="CX8" s="45">
        <f t="shared" si="45"/>
        <v>0</v>
      </c>
      <c r="CY8" s="45">
        <f t="shared" si="46"/>
        <v>0</v>
      </c>
      <c r="CZ8" s="43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6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108">
        <f t="shared" si="16"/>
        <v>0</v>
      </c>
      <c r="BV9" s="85">
        <f>IFERROR((D9*2)-(E9*((#REF!)*2))+(G9*3)-(H9*((#REF!)*3))+(J9)-(K9*(#REF!))+S9+T9+V9+W9-U9, 0)</f>
        <v>0</v>
      </c>
      <c r="BX9" s="26">
        <v>4</v>
      </c>
      <c r="BY9" s="25" t="s">
        <v>21</v>
      </c>
      <c r="BZ9" s="47">
        <f t="shared" si="30"/>
        <v>0</v>
      </c>
      <c r="CA9" s="39">
        <f t="shared" si="48"/>
        <v>0</v>
      </c>
      <c r="CB9" s="45">
        <f t="shared" si="49"/>
        <v>0</v>
      </c>
      <c r="CC9" s="45">
        <f t="shared" si="31"/>
        <v>0</v>
      </c>
      <c r="CD9" s="45">
        <f t="shared" si="32"/>
        <v>0</v>
      </c>
      <c r="CE9" s="36">
        <f t="shared" si="33"/>
        <v>0</v>
      </c>
      <c r="CF9" s="45">
        <f t="shared" si="50"/>
        <v>0</v>
      </c>
      <c r="CG9" s="45">
        <f t="shared" si="51"/>
        <v>0</v>
      </c>
      <c r="CH9" s="45">
        <f t="shared" si="34"/>
        <v>0</v>
      </c>
      <c r="CI9" s="51">
        <f t="shared" si="52"/>
        <v>0</v>
      </c>
      <c r="CJ9" s="47">
        <f t="shared" si="35"/>
        <v>0</v>
      </c>
      <c r="CK9" s="45">
        <f t="shared" si="36"/>
        <v>0</v>
      </c>
      <c r="CL9" s="45">
        <f t="shared" si="37"/>
        <v>0</v>
      </c>
      <c r="CM9" s="36">
        <f t="shared" si="38"/>
        <v>0</v>
      </c>
      <c r="CN9" s="45">
        <f t="shared" si="53"/>
        <v>0</v>
      </c>
      <c r="CO9" s="45">
        <f t="shared" si="54"/>
        <v>0</v>
      </c>
      <c r="CP9" s="45">
        <f t="shared" si="55"/>
        <v>0</v>
      </c>
      <c r="CQ9" s="45">
        <f t="shared" si="56"/>
        <v>0</v>
      </c>
      <c r="CR9" s="45">
        <f t="shared" si="39"/>
        <v>0</v>
      </c>
      <c r="CS9" s="45">
        <f t="shared" si="40"/>
        <v>0</v>
      </c>
      <c r="CT9" s="45">
        <f t="shared" si="41"/>
        <v>0</v>
      </c>
      <c r="CU9" s="45">
        <f t="shared" si="42"/>
        <v>0</v>
      </c>
      <c r="CV9" s="45">
        <f t="shared" si="43"/>
        <v>0</v>
      </c>
      <c r="CW9" s="45">
        <f t="shared" si="44"/>
        <v>0</v>
      </c>
      <c r="CX9" s="45">
        <f t="shared" si="45"/>
        <v>0</v>
      </c>
      <c r="CY9" s="45">
        <f t="shared" si="46"/>
        <v>0</v>
      </c>
      <c r="CZ9" s="43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9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109">
        <f t="shared" si="16"/>
        <v>0</v>
      </c>
      <c r="BV10" s="90">
        <f>IFERROR((D10*2)-(E10*((#REF!)*2))+(G10*3)-(H10*((#REF!)*3))+(J10)-(K10*(#REF!))+S10+T10+V10+W10-U10, 0)</f>
        <v>0</v>
      </c>
      <c r="BX10" s="26">
        <v>5</v>
      </c>
      <c r="BY10" s="25" t="s">
        <v>22</v>
      </c>
      <c r="BZ10" s="47">
        <f t="shared" si="30"/>
        <v>0</v>
      </c>
      <c r="CA10" s="39">
        <f t="shared" si="48"/>
        <v>0</v>
      </c>
      <c r="CB10" s="45">
        <f t="shared" si="49"/>
        <v>0</v>
      </c>
      <c r="CC10" s="45">
        <f t="shared" si="31"/>
        <v>0</v>
      </c>
      <c r="CD10" s="45">
        <f t="shared" si="32"/>
        <v>0</v>
      </c>
      <c r="CE10" s="36">
        <f t="shared" si="33"/>
        <v>0</v>
      </c>
      <c r="CF10" s="45">
        <f t="shared" si="50"/>
        <v>0</v>
      </c>
      <c r="CG10" s="45">
        <f t="shared" si="51"/>
        <v>0</v>
      </c>
      <c r="CH10" s="45">
        <f t="shared" si="34"/>
        <v>0</v>
      </c>
      <c r="CI10" s="51">
        <f t="shared" si="52"/>
        <v>0</v>
      </c>
      <c r="CJ10" s="47">
        <f t="shared" si="35"/>
        <v>0</v>
      </c>
      <c r="CK10" s="45">
        <f t="shared" si="36"/>
        <v>0</v>
      </c>
      <c r="CL10" s="45">
        <f t="shared" si="37"/>
        <v>0</v>
      </c>
      <c r="CM10" s="36">
        <f t="shared" si="38"/>
        <v>0</v>
      </c>
      <c r="CN10" s="45">
        <f t="shared" si="53"/>
        <v>0</v>
      </c>
      <c r="CO10" s="45">
        <f t="shared" si="54"/>
        <v>0</v>
      </c>
      <c r="CP10" s="45">
        <f t="shared" si="55"/>
        <v>0</v>
      </c>
      <c r="CQ10" s="45">
        <f t="shared" si="56"/>
        <v>0</v>
      </c>
      <c r="CR10" s="45">
        <f t="shared" si="39"/>
        <v>0</v>
      </c>
      <c r="CS10" s="45">
        <f t="shared" si="40"/>
        <v>0</v>
      </c>
      <c r="CT10" s="45">
        <f t="shared" si="41"/>
        <v>0</v>
      </c>
      <c r="CU10" s="45">
        <f t="shared" si="42"/>
        <v>0</v>
      </c>
      <c r="CV10" s="45">
        <f t="shared" si="43"/>
        <v>0</v>
      </c>
      <c r="CW10" s="45">
        <f t="shared" si="44"/>
        <v>0</v>
      </c>
      <c r="CX10" s="45">
        <f t="shared" si="45"/>
        <v>0</v>
      </c>
      <c r="CY10" s="45">
        <f t="shared" si="46"/>
        <v>0</v>
      </c>
      <c r="CZ10" s="43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6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108">
        <f t="shared" si="16"/>
        <v>0</v>
      </c>
      <c r="BV11" s="85">
        <f>IFERROR((D11*2)-(E11*((#REF!)*2))+(G11*3)-(H11*((#REF!)*3))+(J11)-(K11*(#REF!))+S11+T11+V11+W11-U11, 0)</f>
        <v>0</v>
      </c>
      <c r="BX11" s="26">
        <v>10</v>
      </c>
      <c r="BY11" s="25" t="s">
        <v>23</v>
      </c>
      <c r="BZ11" s="47">
        <f t="shared" si="30"/>
        <v>0</v>
      </c>
      <c r="CA11" s="39">
        <f t="shared" si="48"/>
        <v>0</v>
      </c>
      <c r="CB11" s="45">
        <f t="shared" si="49"/>
        <v>0</v>
      </c>
      <c r="CC11" s="45">
        <f t="shared" si="31"/>
        <v>0</v>
      </c>
      <c r="CD11" s="45">
        <f t="shared" si="32"/>
        <v>0</v>
      </c>
      <c r="CE11" s="36">
        <f t="shared" si="33"/>
        <v>0</v>
      </c>
      <c r="CF11" s="45">
        <f t="shared" si="50"/>
        <v>0</v>
      </c>
      <c r="CG11" s="45">
        <f t="shared" si="51"/>
        <v>0</v>
      </c>
      <c r="CH11" s="45">
        <f t="shared" si="34"/>
        <v>0</v>
      </c>
      <c r="CI11" s="51">
        <f t="shared" si="52"/>
        <v>0</v>
      </c>
      <c r="CJ11" s="47">
        <f t="shared" si="35"/>
        <v>0</v>
      </c>
      <c r="CK11" s="45">
        <f t="shared" si="36"/>
        <v>0</v>
      </c>
      <c r="CL11" s="45">
        <f t="shared" si="37"/>
        <v>0</v>
      </c>
      <c r="CM11" s="36">
        <f t="shared" si="38"/>
        <v>0</v>
      </c>
      <c r="CN11" s="45">
        <f t="shared" si="53"/>
        <v>0</v>
      </c>
      <c r="CO11" s="45">
        <f t="shared" si="54"/>
        <v>0</v>
      </c>
      <c r="CP11" s="45">
        <f t="shared" si="55"/>
        <v>0</v>
      </c>
      <c r="CQ11" s="45">
        <f t="shared" si="56"/>
        <v>0</v>
      </c>
      <c r="CR11" s="45">
        <f t="shared" si="39"/>
        <v>0</v>
      </c>
      <c r="CS11" s="45">
        <f t="shared" si="40"/>
        <v>0</v>
      </c>
      <c r="CT11" s="45">
        <f t="shared" si="41"/>
        <v>0</v>
      </c>
      <c r="CU11" s="45">
        <f t="shared" si="42"/>
        <v>0</v>
      </c>
      <c r="CV11" s="45">
        <f t="shared" si="43"/>
        <v>0</v>
      </c>
      <c r="CW11" s="45">
        <f t="shared" si="44"/>
        <v>0</v>
      </c>
      <c r="CX11" s="45">
        <f t="shared" si="45"/>
        <v>0</v>
      </c>
      <c r="CY11" s="45">
        <f t="shared" si="46"/>
        <v>0</v>
      </c>
      <c r="CZ11" s="43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9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109">
        <f t="shared" si="16"/>
        <v>0</v>
      </c>
      <c r="BV12" s="90">
        <f>IFERROR((D12*2)-(E12*((#REF!)*2))+(G12*3)-(H12*((#REF!)*3))+(J12)-(K12*(#REF!))+S12+T12+V12+W12-U12, 0)</f>
        <v>0</v>
      </c>
      <c r="BX12" s="26">
        <v>11</v>
      </c>
      <c r="BY12" s="25" t="s">
        <v>24</v>
      </c>
      <c r="BZ12" s="47">
        <f t="shared" si="30"/>
        <v>0</v>
      </c>
      <c r="CA12" s="39">
        <f t="shared" si="48"/>
        <v>0</v>
      </c>
      <c r="CB12" s="45">
        <f t="shared" si="49"/>
        <v>0</v>
      </c>
      <c r="CC12" s="45">
        <f t="shared" si="31"/>
        <v>0</v>
      </c>
      <c r="CD12" s="45">
        <f t="shared" si="32"/>
        <v>0</v>
      </c>
      <c r="CE12" s="36">
        <f t="shared" si="33"/>
        <v>0</v>
      </c>
      <c r="CF12" s="45">
        <f t="shared" si="50"/>
        <v>0</v>
      </c>
      <c r="CG12" s="45">
        <f t="shared" si="51"/>
        <v>0</v>
      </c>
      <c r="CH12" s="45">
        <f t="shared" si="34"/>
        <v>0</v>
      </c>
      <c r="CI12" s="51">
        <f t="shared" si="52"/>
        <v>0</v>
      </c>
      <c r="CJ12" s="47">
        <f t="shared" si="35"/>
        <v>0</v>
      </c>
      <c r="CK12" s="45">
        <f t="shared" si="36"/>
        <v>0</v>
      </c>
      <c r="CL12" s="45">
        <f t="shared" si="37"/>
        <v>0</v>
      </c>
      <c r="CM12" s="36">
        <f t="shared" si="38"/>
        <v>0</v>
      </c>
      <c r="CN12" s="45">
        <f t="shared" si="53"/>
        <v>0</v>
      </c>
      <c r="CO12" s="45">
        <f t="shared" si="54"/>
        <v>0</v>
      </c>
      <c r="CP12" s="45">
        <f t="shared" si="55"/>
        <v>0</v>
      </c>
      <c r="CQ12" s="45">
        <f t="shared" si="56"/>
        <v>0</v>
      </c>
      <c r="CR12" s="45">
        <f t="shared" si="39"/>
        <v>0</v>
      </c>
      <c r="CS12" s="45">
        <f t="shared" si="40"/>
        <v>0</v>
      </c>
      <c r="CT12" s="45">
        <f t="shared" si="41"/>
        <v>0</v>
      </c>
      <c r="CU12" s="45">
        <f t="shared" si="42"/>
        <v>0</v>
      </c>
      <c r="CV12" s="45">
        <f t="shared" si="43"/>
        <v>0</v>
      </c>
      <c r="CW12" s="45">
        <f t="shared" si="44"/>
        <v>0</v>
      </c>
      <c r="CX12" s="45">
        <f t="shared" si="45"/>
        <v>0</v>
      </c>
      <c r="CY12" s="45">
        <f t="shared" si="46"/>
        <v>0</v>
      </c>
      <c r="CZ12" s="43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6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108">
        <f t="shared" si="16"/>
        <v>0</v>
      </c>
      <c r="BV13" s="85">
        <f>IFERROR((D13*2)-(E13*((#REF!)*2))+(G13*3)-(H13*((#REF!)*3))+(J13)-(K13*(#REF!))+S13+T13+V13+W13-U13, 0)</f>
        <v>0</v>
      </c>
      <c r="BX13" s="26">
        <v>12</v>
      </c>
      <c r="BY13" s="25" t="s">
        <v>25</v>
      </c>
      <c r="BZ13" s="47">
        <f t="shared" si="30"/>
        <v>0</v>
      </c>
      <c r="CA13" s="39">
        <f t="shared" si="48"/>
        <v>0</v>
      </c>
      <c r="CB13" s="45">
        <f t="shared" si="49"/>
        <v>0</v>
      </c>
      <c r="CC13" s="45">
        <f t="shared" si="31"/>
        <v>0</v>
      </c>
      <c r="CD13" s="45">
        <f t="shared" si="32"/>
        <v>0</v>
      </c>
      <c r="CE13" s="36">
        <f t="shared" si="33"/>
        <v>0</v>
      </c>
      <c r="CF13" s="45">
        <f t="shared" si="50"/>
        <v>0</v>
      </c>
      <c r="CG13" s="45">
        <f t="shared" si="51"/>
        <v>0</v>
      </c>
      <c r="CH13" s="45">
        <f t="shared" si="34"/>
        <v>0</v>
      </c>
      <c r="CI13" s="51">
        <f t="shared" si="52"/>
        <v>0</v>
      </c>
      <c r="CJ13" s="47">
        <f t="shared" si="35"/>
        <v>0</v>
      </c>
      <c r="CK13" s="45">
        <f t="shared" si="36"/>
        <v>0</v>
      </c>
      <c r="CL13" s="45">
        <f t="shared" si="37"/>
        <v>0</v>
      </c>
      <c r="CM13" s="36">
        <f t="shared" si="38"/>
        <v>0</v>
      </c>
      <c r="CN13" s="45">
        <f t="shared" si="53"/>
        <v>0</v>
      </c>
      <c r="CO13" s="45">
        <f t="shared" si="54"/>
        <v>0</v>
      </c>
      <c r="CP13" s="45">
        <f t="shared" si="55"/>
        <v>0</v>
      </c>
      <c r="CQ13" s="45">
        <f t="shared" si="56"/>
        <v>0</v>
      </c>
      <c r="CR13" s="45">
        <f t="shared" si="39"/>
        <v>0</v>
      </c>
      <c r="CS13" s="45">
        <f t="shared" si="40"/>
        <v>0</v>
      </c>
      <c r="CT13" s="45">
        <f t="shared" si="41"/>
        <v>0</v>
      </c>
      <c r="CU13" s="45">
        <f t="shared" si="42"/>
        <v>0</v>
      </c>
      <c r="CV13" s="45">
        <f t="shared" si="43"/>
        <v>0</v>
      </c>
      <c r="CW13" s="45">
        <f t="shared" si="44"/>
        <v>0</v>
      </c>
      <c r="CX13" s="45">
        <f t="shared" si="45"/>
        <v>0</v>
      </c>
      <c r="CY13" s="45">
        <f t="shared" si="46"/>
        <v>0</v>
      </c>
      <c r="CZ13" s="43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9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109">
        <f t="shared" si="16"/>
        <v>0</v>
      </c>
      <c r="BV14" s="90">
        <f>IFERROR((D14*2)-(E14*((#REF!)*2))+(G14*3)-(H14*((#REF!)*3))+(J14)-(K14*(#REF!))+S14+T14+V14+W14-U14, 0)</f>
        <v>0</v>
      </c>
      <c r="BX14" s="26">
        <v>24</v>
      </c>
      <c r="BY14" s="25" t="s">
        <v>26</v>
      </c>
      <c r="BZ14" s="47">
        <f t="shared" si="30"/>
        <v>0</v>
      </c>
      <c r="CA14" s="39">
        <f t="shared" si="48"/>
        <v>0</v>
      </c>
      <c r="CB14" s="45">
        <f t="shared" si="49"/>
        <v>0</v>
      </c>
      <c r="CC14" s="45">
        <f t="shared" si="31"/>
        <v>0</v>
      </c>
      <c r="CD14" s="45">
        <f t="shared" si="32"/>
        <v>0</v>
      </c>
      <c r="CE14" s="36">
        <f t="shared" si="33"/>
        <v>0</v>
      </c>
      <c r="CF14" s="45">
        <f t="shared" si="50"/>
        <v>0</v>
      </c>
      <c r="CG14" s="45">
        <f t="shared" si="51"/>
        <v>0</v>
      </c>
      <c r="CH14" s="45">
        <f t="shared" si="34"/>
        <v>0</v>
      </c>
      <c r="CI14" s="51">
        <f t="shared" si="52"/>
        <v>0</v>
      </c>
      <c r="CJ14" s="47">
        <f t="shared" si="35"/>
        <v>0</v>
      </c>
      <c r="CK14" s="45">
        <f t="shared" si="36"/>
        <v>0</v>
      </c>
      <c r="CL14" s="45">
        <f t="shared" si="37"/>
        <v>0</v>
      </c>
      <c r="CM14" s="36">
        <f t="shared" si="38"/>
        <v>0</v>
      </c>
      <c r="CN14" s="45">
        <f t="shared" si="53"/>
        <v>0</v>
      </c>
      <c r="CO14" s="45">
        <f t="shared" si="54"/>
        <v>0</v>
      </c>
      <c r="CP14" s="45">
        <f t="shared" si="55"/>
        <v>0</v>
      </c>
      <c r="CQ14" s="45">
        <f t="shared" si="56"/>
        <v>0</v>
      </c>
      <c r="CR14" s="45">
        <f t="shared" si="39"/>
        <v>0</v>
      </c>
      <c r="CS14" s="45">
        <f t="shared" si="40"/>
        <v>0</v>
      </c>
      <c r="CT14" s="45">
        <f t="shared" si="41"/>
        <v>0</v>
      </c>
      <c r="CU14" s="45">
        <f t="shared" si="42"/>
        <v>0</v>
      </c>
      <c r="CV14" s="45">
        <f t="shared" si="43"/>
        <v>0</v>
      </c>
      <c r="CW14" s="45">
        <f t="shared" si="44"/>
        <v>0</v>
      </c>
      <c r="CX14" s="45">
        <f t="shared" si="45"/>
        <v>0</v>
      </c>
      <c r="CY14" s="45">
        <f t="shared" si="46"/>
        <v>0</v>
      </c>
      <c r="CZ14" s="43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6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108">
        <f t="shared" si="16"/>
        <v>0</v>
      </c>
      <c r="BV15" s="85">
        <f>IFERROR((D15*2)-(E15*((#REF!)*2))+(G15*3)-(H15*((#REF!)*3))+(J15)-(K15*(#REF!))+S15+T15+V15+W15-U15, 0)</f>
        <v>0</v>
      </c>
      <c r="BX15" s="26">
        <v>30</v>
      </c>
      <c r="BY15" s="25" t="s">
        <v>27</v>
      </c>
      <c r="BZ15" s="47">
        <f t="shared" si="30"/>
        <v>0</v>
      </c>
      <c r="CA15" s="39">
        <f t="shared" si="48"/>
        <v>0</v>
      </c>
      <c r="CB15" s="45">
        <f t="shared" si="49"/>
        <v>0</v>
      </c>
      <c r="CC15" s="45">
        <f t="shared" si="31"/>
        <v>0</v>
      </c>
      <c r="CD15" s="45">
        <f t="shared" si="32"/>
        <v>0</v>
      </c>
      <c r="CE15" s="36">
        <f t="shared" si="33"/>
        <v>0</v>
      </c>
      <c r="CF15" s="45">
        <f t="shared" si="50"/>
        <v>0</v>
      </c>
      <c r="CG15" s="45">
        <f t="shared" si="51"/>
        <v>0</v>
      </c>
      <c r="CH15" s="45">
        <f t="shared" si="34"/>
        <v>0</v>
      </c>
      <c r="CI15" s="51">
        <f t="shared" si="52"/>
        <v>0</v>
      </c>
      <c r="CJ15" s="47">
        <f t="shared" si="35"/>
        <v>0</v>
      </c>
      <c r="CK15" s="45">
        <f t="shared" si="36"/>
        <v>0</v>
      </c>
      <c r="CL15" s="45">
        <f t="shared" si="37"/>
        <v>0</v>
      </c>
      <c r="CM15" s="36">
        <f t="shared" si="38"/>
        <v>0</v>
      </c>
      <c r="CN15" s="45">
        <f t="shared" si="53"/>
        <v>0</v>
      </c>
      <c r="CO15" s="45">
        <f t="shared" si="54"/>
        <v>0</v>
      </c>
      <c r="CP15" s="45">
        <f t="shared" si="55"/>
        <v>0</v>
      </c>
      <c r="CQ15" s="45">
        <f t="shared" si="56"/>
        <v>0</v>
      </c>
      <c r="CR15" s="45">
        <f t="shared" si="39"/>
        <v>0</v>
      </c>
      <c r="CS15" s="45">
        <f t="shared" si="40"/>
        <v>0</v>
      </c>
      <c r="CT15" s="45">
        <f t="shared" si="41"/>
        <v>0</v>
      </c>
      <c r="CU15" s="45">
        <f t="shared" si="42"/>
        <v>0</v>
      </c>
      <c r="CV15" s="45">
        <f t="shared" si="43"/>
        <v>0</v>
      </c>
      <c r="CW15" s="45">
        <f t="shared" si="44"/>
        <v>0</v>
      </c>
      <c r="CX15" s="45">
        <f t="shared" si="45"/>
        <v>0</v>
      </c>
      <c r="CY15" s="45">
        <f t="shared" si="46"/>
        <v>0</v>
      </c>
      <c r="CZ15" s="43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9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109">
        <f t="shared" si="16"/>
        <v>0</v>
      </c>
      <c r="BV16" s="90">
        <f>IFERROR((D16*2)-(E16*((#REF!)*2))+(G16*3)-(H16*((#REF!)*3))+(J16)-(K16*(#REF!))+S16+T16+V16+W16-U16, 0)</f>
        <v>0</v>
      </c>
      <c r="BX16" s="26">
        <v>32</v>
      </c>
      <c r="BY16" s="25" t="s">
        <v>28</v>
      </c>
      <c r="BZ16" s="47">
        <f t="shared" si="30"/>
        <v>0</v>
      </c>
      <c r="CA16" s="39">
        <f t="shared" si="48"/>
        <v>0</v>
      </c>
      <c r="CB16" s="45">
        <f t="shared" si="49"/>
        <v>0</v>
      </c>
      <c r="CC16" s="45">
        <f t="shared" si="31"/>
        <v>0</v>
      </c>
      <c r="CD16" s="45">
        <f t="shared" si="32"/>
        <v>0</v>
      </c>
      <c r="CE16" s="36">
        <f t="shared" si="33"/>
        <v>0</v>
      </c>
      <c r="CF16" s="45">
        <f t="shared" si="50"/>
        <v>0</v>
      </c>
      <c r="CG16" s="45">
        <f t="shared" si="51"/>
        <v>0</v>
      </c>
      <c r="CH16" s="45">
        <f t="shared" si="34"/>
        <v>0</v>
      </c>
      <c r="CI16" s="51">
        <f t="shared" si="52"/>
        <v>0</v>
      </c>
      <c r="CJ16" s="47">
        <f t="shared" si="35"/>
        <v>0</v>
      </c>
      <c r="CK16" s="45">
        <f t="shared" si="36"/>
        <v>0</v>
      </c>
      <c r="CL16" s="45">
        <f t="shared" si="37"/>
        <v>0</v>
      </c>
      <c r="CM16" s="36">
        <f t="shared" si="38"/>
        <v>0</v>
      </c>
      <c r="CN16" s="45">
        <f t="shared" si="53"/>
        <v>0</v>
      </c>
      <c r="CO16" s="45">
        <f t="shared" si="54"/>
        <v>0</v>
      </c>
      <c r="CP16" s="45">
        <f t="shared" si="55"/>
        <v>0</v>
      </c>
      <c r="CQ16" s="45">
        <f t="shared" si="56"/>
        <v>0</v>
      </c>
      <c r="CR16" s="45">
        <f t="shared" si="39"/>
        <v>0</v>
      </c>
      <c r="CS16" s="45">
        <f t="shared" si="40"/>
        <v>0</v>
      </c>
      <c r="CT16" s="45">
        <f t="shared" si="41"/>
        <v>0</v>
      </c>
      <c r="CU16" s="45">
        <f t="shared" si="42"/>
        <v>0</v>
      </c>
      <c r="CV16" s="45">
        <f t="shared" si="43"/>
        <v>0</v>
      </c>
      <c r="CW16" s="45">
        <f t="shared" si="44"/>
        <v>0</v>
      </c>
      <c r="CX16" s="45">
        <f t="shared" si="45"/>
        <v>0</v>
      </c>
      <c r="CY16" s="45">
        <f t="shared" si="46"/>
        <v>0</v>
      </c>
      <c r="CZ16" s="43">
        <f t="shared" si="47"/>
        <v>0</v>
      </c>
    </row>
    <row r="17" spans="2:104" ht="23.1" x14ac:dyDescent="0.85">
      <c r="B17" s="12">
        <v>50</v>
      </c>
      <c r="C17" s="12" t="s">
        <v>31</v>
      </c>
      <c r="D17" s="15"/>
      <c r="E17" s="16"/>
      <c r="F17" s="130">
        <f t="shared" si="17"/>
        <v>0</v>
      </c>
      <c r="G17" s="15"/>
      <c r="H17" s="16"/>
      <c r="I17" s="133">
        <f t="shared" si="18"/>
        <v>0</v>
      </c>
      <c r="J17" s="33"/>
      <c r="K17" s="33"/>
      <c r="L17" s="31">
        <f t="shared" si="19"/>
        <v>0</v>
      </c>
      <c r="M17" s="21">
        <f t="shared" si="0"/>
        <v>0</v>
      </c>
      <c r="N17" s="16">
        <f t="shared" si="1"/>
        <v>0</v>
      </c>
      <c r="O17" s="136">
        <f t="shared" si="20"/>
        <v>0</v>
      </c>
      <c r="P17" s="17">
        <f t="shared" si="21"/>
        <v>0</v>
      </c>
      <c r="Q17" s="15"/>
      <c r="R17" s="16"/>
      <c r="S17" s="17">
        <f t="shared" si="22"/>
        <v>0</v>
      </c>
      <c r="T17" s="15"/>
      <c r="U17" s="16"/>
      <c r="V17" s="16"/>
      <c r="W17" s="16"/>
      <c r="X17" s="16"/>
      <c r="Y17" s="16"/>
      <c r="Z17" s="16"/>
      <c r="AA17" s="16"/>
      <c r="AD17" s="12">
        <v>50</v>
      </c>
      <c r="AE17" s="12"/>
      <c r="AF17" s="15"/>
      <c r="AG17" s="16"/>
      <c r="AH17" s="130">
        <f t="shared" si="23"/>
        <v>0</v>
      </c>
      <c r="AI17" s="15"/>
      <c r="AJ17" s="16"/>
      <c r="AK17" s="133">
        <f t="shared" si="24"/>
        <v>0</v>
      </c>
      <c r="AL17" s="33"/>
      <c r="AM17" s="33"/>
      <c r="AN17" s="31">
        <f t="shared" si="25"/>
        <v>0</v>
      </c>
      <c r="AO17" s="21">
        <f t="shared" si="2"/>
        <v>0</v>
      </c>
      <c r="AP17" s="16">
        <f t="shared" si="3"/>
        <v>0</v>
      </c>
      <c r="AQ17" s="136">
        <f t="shared" si="26"/>
        <v>0</v>
      </c>
      <c r="AR17" s="17">
        <f t="shared" si="27"/>
        <v>0</v>
      </c>
      <c r="AS17" s="15"/>
      <c r="AT17" s="16"/>
      <c r="AU17" s="17">
        <f t="shared" si="28"/>
        <v>0</v>
      </c>
      <c r="AV17" s="15"/>
      <c r="AW17" s="16"/>
      <c r="AX17" s="16"/>
      <c r="AY17" s="16"/>
      <c r="AZ17" s="16"/>
      <c r="BA17" s="16"/>
      <c r="BB17" s="16"/>
      <c r="BC17" s="16"/>
      <c r="BF17" s="91">
        <v>50</v>
      </c>
      <c r="BG17" s="92" t="s">
        <v>31</v>
      </c>
      <c r="BH17" s="81">
        <f t="shared" si="4"/>
        <v>0</v>
      </c>
      <c r="BI17" s="113">
        <f t="shared" si="5"/>
        <v>0</v>
      </c>
      <c r="BJ17" s="114">
        <f t="shared" si="6"/>
        <v>0</v>
      </c>
      <c r="BK17" s="81">
        <f t="shared" si="7"/>
        <v>0</v>
      </c>
      <c r="BL17" s="113">
        <f t="shared" si="8"/>
        <v>0</v>
      </c>
      <c r="BM17" s="115">
        <f t="shared" si="9"/>
        <v>0</v>
      </c>
      <c r="BN17" s="82">
        <f t="shared" si="10"/>
        <v>0</v>
      </c>
      <c r="BO17" s="81">
        <f t="shared" si="11"/>
        <v>0</v>
      </c>
      <c r="BP17" s="113">
        <f t="shared" si="12"/>
        <v>0</v>
      </c>
      <c r="BQ17" s="116">
        <f t="shared" si="13"/>
        <v>0</v>
      </c>
      <c r="BR17" s="83">
        <f t="shared" si="14"/>
        <v>0</v>
      </c>
      <c r="BS17" s="84">
        <f t="shared" si="15"/>
        <v>0</v>
      </c>
      <c r="BT17" s="85">
        <f t="shared" si="29"/>
        <v>0</v>
      </c>
      <c r="BU17" s="108">
        <f t="shared" si="16"/>
        <v>0</v>
      </c>
      <c r="BV17" s="85">
        <f>IFERROR((D17*2)-(E17*((#REF!)*2))+(G17*3)-(H17*((#REF!)*3))+(J17)-(K17*(#REF!))+S17+T17+V17+W17-U17, 0)</f>
        <v>0</v>
      </c>
      <c r="BX17" s="55">
        <v>33</v>
      </c>
      <c r="BY17" s="58" t="s">
        <v>29</v>
      </c>
      <c r="BZ17" s="47">
        <f t="shared" si="30"/>
        <v>0</v>
      </c>
      <c r="CA17" s="39">
        <f t="shared" si="48"/>
        <v>0</v>
      </c>
      <c r="CB17" s="45">
        <f t="shared" si="49"/>
        <v>0</v>
      </c>
      <c r="CC17" s="45">
        <f t="shared" si="31"/>
        <v>0</v>
      </c>
      <c r="CD17" s="45">
        <f t="shared" si="32"/>
        <v>0</v>
      </c>
      <c r="CE17" s="36">
        <f t="shared" si="33"/>
        <v>0</v>
      </c>
      <c r="CF17" s="45">
        <f t="shared" si="50"/>
        <v>0</v>
      </c>
      <c r="CG17" s="45">
        <f t="shared" si="51"/>
        <v>0</v>
      </c>
      <c r="CH17" s="45">
        <f t="shared" si="34"/>
        <v>0</v>
      </c>
      <c r="CI17" s="51">
        <f t="shared" si="52"/>
        <v>0</v>
      </c>
      <c r="CJ17" s="47">
        <f t="shared" si="35"/>
        <v>0</v>
      </c>
      <c r="CK17" s="45">
        <f t="shared" si="36"/>
        <v>0</v>
      </c>
      <c r="CL17" s="45">
        <f t="shared" si="37"/>
        <v>0</v>
      </c>
      <c r="CM17" s="36">
        <f t="shared" si="38"/>
        <v>0</v>
      </c>
      <c r="CN17" s="45">
        <f t="shared" si="53"/>
        <v>0</v>
      </c>
      <c r="CO17" s="45">
        <f t="shared" si="54"/>
        <v>0</v>
      </c>
      <c r="CP17" s="45">
        <f t="shared" si="55"/>
        <v>0</v>
      </c>
      <c r="CQ17" s="45">
        <f t="shared" si="56"/>
        <v>0</v>
      </c>
      <c r="CR17" s="45">
        <f t="shared" si="39"/>
        <v>0</v>
      </c>
      <c r="CS17" s="45">
        <f t="shared" si="40"/>
        <v>0</v>
      </c>
      <c r="CT17" s="45">
        <f t="shared" si="41"/>
        <v>0</v>
      </c>
      <c r="CU17" s="45">
        <f t="shared" si="42"/>
        <v>0</v>
      </c>
      <c r="CV17" s="45">
        <f t="shared" si="43"/>
        <v>0</v>
      </c>
      <c r="CW17" s="45">
        <f t="shared" si="44"/>
        <v>0</v>
      </c>
      <c r="CX17" s="45">
        <f t="shared" si="45"/>
        <v>0</v>
      </c>
      <c r="CY17" s="45">
        <f t="shared" si="46"/>
        <v>0</v>
      </c>
      <c r="CZ17" s="43">
        <f t="shared" si="47"/>
        <v>0</v>
      </c>
    </row>
    <row r="18" spans="2:104" ht="23.4" thickBot="1" x14ac:dyDescent="0.9">
      <c r="B18" s="12">
        <v>55</v>
      </c>
      <c r="C18" s="12" t="s">
        <v>32</v>
      </c>
      <c r="D18" s="18"/>
      <c r="E18" s="19"/>
      <c r="F18" s="131">
        <f t="shared" si="17"/>
        <v>0</v>
      </c>
      <c r="G18" s="18"/>
      <c r="H18" s="19"/>
      <c r="I18" s="134">
        <f t="shared" si="18"/>
        <v>0</v>
      </c>
      <c r="J18" s="34"/>
      <c r="K18" s="34"/>
      <c r="L18" s="32">
        <f t="shared" si="19"/>
        <v>0</v>
      </c>
      <c r="M18" s="22">
        <f t="shared" si="0"/>
        <v>0</v>
      </c>
      <c r="N18" s="19">
        <f t="shared" si="1"/>
        <v>0</v>
      </c>
      <c r="O18" s="137">
        <f t="shared" si="20"/>
        <v>0</v>
      </c>
      <c r="P18" s="20">
        <f t="shared" si="21"/>
        <v>0</v>
      </c>
      <c r="Q18" s="18"/>
      <c r="R18" s="19"/>
      <c r="S18" s="20">
        <f t="shared" si="22"/>
        <v>0</v>
      </c>
      <c r="T18" s="18"/>
      <c r="U18" s="19"/>
      <c r="V18" s="19"/>
      <c r="W18" s="19"/>
      <c r="X18" s="19"/>
      <c r="Y18" s="19"/>
      <c r="Z18" s="19"/>
      <c r="AA18" s="19"/>
      <c r="AD18" s="12">
        <v>55</v>
      </c>
      <c r="AE18" s="12"/>
      <c r="AF18" s="18"/>
      <c r="AG18" s="19"/>
      <c r="AH18" s="131">
        <f t="shared" si="23"/>
        <v>0</v>
      </c>
      <c r="AI18" s="18"/>
      <c r="AJ18" s="19"/>
      <c r="AK18" s="134">
        <f t="shared" si="24"/>
        <v>0</v>
      </c>
      <c r="AL18" s="34"/>
      <c r="AM18" s="34"/>
      <c r="AN18" s="32">
        <f t="shared" si="25"/>
        <v>0</v>
      </c>
      <c r="AO18" s="22">
        <f t="shared" si="2"/>
        <v>0</v>
      </c>
      <c r="AP18" s="19">
        <f t="shared" si="3"/>
        <v>0</v>
      </c>
      <c r="AQ18" s="137">
        <f t="shared" si="26"/>
        <v>0</v>
      </c>
      <c r="AR18" s="20">
        <f t="shared" si="27"/>
        <v>0</v>
      </c>
      <c r="AS18" s="18"/>
      <c r="AT18" s="19"/>
      <c r="AU18" s="20">
        <f t="shared" si="28"/>
        <v>0</v>
      </c>
      <c r="AV18" s="18"/>
      <c r="AW18" s="19"/>
      <c r="AX18" s="19"/>
      <c r="AY18" s="19"/>
      <c r="AZ18" s="19"/>
      <c r="BA18" s="19"/>
      <c r="BB18" s="19"/>
      <c r="BC18" s="19"/>
      <c r="BF18" s="93">
        <v>55</v>
      </c>
      <c r="BG18" s="94" t="s">
        <v>32</v>
      </c>
      <c r="BH18" s="95">
        <f t="shared" si="4"/>
        <v>0</v>
      </c>
      <c r="BI18" s="121">
        <f t="shared" si="5"/>
        <v>0</v>
      </c>
      <c r="BJ18" s="122">
        <f t="shared" si="6"/>
        <v>0</v>
      </c>
      <c r="BK18" s="95">
        <f t="shared" si="7"/>
        <v>0</v>
      </c>
      <c r="BL18" s="121">
        <f t="shared" si="8"/>
        <v>0</v>
      </c>
      <c r="BM18" s="123">
        <f t="shared" si="9"/>
        <v>0</v>
      </c>
      <c r="BN18" s="96">
        <f t="shared" si="10"/>
        <v>0</v>
      </c>
      <c r="BO18" s="95">
        <f t="shared" si="11"/>
        <v>0</v>
      </c>
      <c r="BP18" s="121">
        <f t="shared" si="12"/>
        <v>0</v>
      </c>
      <c r="BQ18" s="124">
        <f t="shared" si="13"/>
        <v>0</v>
      </c>
      <c r="BR18" s="97">
        <f t="shared" si="14"/>
        <v>0</v>
      </c>
      <c r="BS18" s="98">
        <f t="shared" si="15"/>
        <v>0</v>
      </c>
      <c r="BT18" s="99">
        <f t="shared" si="29"/>
        <v>0</v>
      </c>
      <c r="BU18" s="110">
        <f t="shared" si="16"/>
        <v>0</v>
      </c>
      <c r="BV18" s="99">
        <f>IFERROR((D18*2)-(E18*((#REF!)*2))+(G18*3)-(H18*((#REF!)*3))+(J18)-(K18*(#REF!))+S18+T18+V18+W18-U18, 0)</f>
        <v>0</v>
      </c>
      <c r="BX18" s="55">
        <v>34</v>
      </c>
      <c r="BY18" s="58" t="s">
        <v>30</v>
      </c>
      <c r="BZ18" s="47">
        <f t="shared" si="30"/>
        <v>0</v>
      </c>
      <c r="CA18" s="39">
        <f t="shared" si="48"/>
        <v>0</v>
      </c>
      <c r="CB18" s="45">
        <f t="shared" si="49"/>
        <v>0</v>
      </c>
      <c r="CC18" s="45">
        <f t="shared" si="31"/>
        <v>0</v>
      </c>
      <c r="CD18" s="45">
        <f t="shared" si="32"/>
        <v>0</v>
      </c>
      <c r="CE18" s="36">
        <f t="shared" si="33"/>
        <v>0</v>
      </c>
      <c r="CF18" s="45">
        <f t="shared" si="50"/>
        <v>0</v>
      </c>
      <c r="CG18" s="45">
        <f t="shared" si="51"/>
        <v>0</v>
      </c>
      <c r="CH18" s="45">
        <f t="shared" si="34"/>
        <v>0</v>
      </c>
      <c r="CI18" s="51">
        <f t="shared" si="52"/>
        <v>0</v>
      </c>
      <c r="CJ18" s="47">
        <f t="shared" si="35"/>
        <v>0</v>
      </c>
      <c r="CK18" s="45">
        <f t="shared" si="36"/>
        <v>0</v>
      </c>
      <c r="CL18" s="45">
        <f t="shared" si="37"/>
        <v>0</v>
      </c>
      <c r="CM18" s="36">
        <f t="shared" si="38"/>
        <v>0</v>
      </c>
      <c r="CN18" s="45">
        <f t="shared" si="53"/>
        <v>0</v>
      </c>
      <c r="CO18" s="45">
        <f t="shared" si="54"/>
        <v>0</v>
      </c>
      <c r="CP18" s="45">
        <f t="shared" si="55"/>
        <v>0</v>
      </c>
      <c r="CQ18" s="45">
        <f t="shared" si="56"/>
        <v>0</v>
      </c>
      <c r="CR18" s="45">
        <f t="shared" si="39"/>
        <v>0</v>
      </c>
      <c r="CS18" s="45">
        <f t="shared" si="40"/>
        <v>0</v>
      </c>
      <c r="CT18" s="45">
        <f t="shared" si="41"/>
        <v>0</v>
      </c>
      <c r="CU18" s="45">
        <f t="shared" si="42"/>
        <v>0</v>
      </c>
      <c r="CV18" s="45">
        <f t="shared" si="43"/>
        <v>0</v>
      </c>
      <c r="CW18" s="45">
        <f t="shared" si="44"/>
        <v>0</v>
      </c>
      <c r="CX18" s="45">
        <f t="shared" si="45"/>
        <v>0</v>
      </c>
      <c r="CY18" s="45">
        <f t="shared" si="46"/>
        <v>0</v>
      </c>
      <c r="CZ18" s="43">
        <f t="shared" si="47"/>
        <v>0</v>
      </c>
    </row>
    <row r="19" spans="2:104" ht="23.4" thickBot="1" x14ac:dyDescent="0.9">
      <c r="B19" s="11"/>
      <c r="C19" s="11" t="s">
        <v>43</v>
      </c>
      <c r="D19" s="8">
        <f>SUM(D3:D18)</f>
        <v>0</v>
      </c>
      <c r="E19" s="6">
        <f>SUM(E3:E18)</f>
        <v>0</v>
      </c>
      <c r="F19" s="132">
        <f t="shared" si="17"/>
        <v>0</v>
      </c>
      <c r="G19" s="8">
        <f>SUM(G3:G18)</f>
        <v>0</v>
      </c>
      <c r="H19" s="6">
        <f>SUM(H3:H18)</f>
        <v>0</v>
      </c>
      <c r="I19" s="135">
        <f t="shared" si="18"/>
        <v>0</v>
      </c>
      <c r="J19" s="35">
        <f>SUM(J3:J18)</f>
        <v>0</v>
      </c>
      <c r="K19" s="35">
        <f>SUM(K3:K18)</f>
        <v>0</v>
      </c>
      <c r="L19" s="31">
        <f t="shared" si="19"/>
        <v>0</v>
      </c>
      <c r="M19" s="30">
        <f>SUM(M3:M18)</f>
        <v>0</v>
      </c>
      <c r="N19" s="6">
        <f>SUM(N3:N18)</f>
        <v>0</v>
      </c>
      <c r="O19" s="138">
        <f t="shared" si="20"/>
        <v>0</v>
      </c>
      <c r="P19" s="9">
        <f>(D19*2)+(G19*3)+(J19)</f>
        <v>0</v>
      </c>
      <c r="Q19" s="8">
        <f>SUM(Q3:Q18)</f>
        <v>0</v>
      </c>
      <c r="R19" s="6">
        <f>SUM(R3:R18)</f>
        <v>0</v>
      </c>
      <c r="S19" s="9">
        <f t="shared" si="22"/>
        <v>0</v>
      </c>
      <c r="T19" s="8">
        <f t="shared" ref="T19:AA19" si="57">SUM(T3:T18)</f>
        <v>0</v>
      </c>
      <c r="U19" s="6">
        <f t="shared" si="57"/>
        <v>0</v>
      </c>
      <c r="V19" s="6">
        <f t="shared" si="57"/>
        <v>0</v>
      </c>
      <c r="W19" s="6">
        <f t="shared" si="57"/>
        <v>0</v>
      </c>
      <c r="X19" s="6">
        <f t="shared" si="57"/>
        <v>0</v>
      </c>
      <c r="Y19" s="6">
        <f t="shared" si="57"/>
        <v>0</v>
      </c>
      <c r="Z19" s="6">
        <f t="shared" si="57"/>
        <v>0</v>
      </c>
      <c r="AA19" s="6">
        <f t="shared" si="57"/>
        <v>0</v>
      </c>
      <c r="AD19" s="11"/>
      <c r="AE19" s="11" t="s">
        <v>43</v>
      </c>
      <c r="AF19" s="8">
        <f>SUM(AF3:AF18)</f>
        <v>0</v>
      </c>
      <c r="AG19" s="6">
        <f>SUM(AG3:AG18)</f>
        <v>0</v>
      </c>
      <c r="AH19" s="132">
        <f t="shared" si="23"/>
        <v>0</v>
      </c>
      <c r="AI19" s="8">
        <f>SUM(AI3:AI18)</f>
        <v>0</v>
      </c>
      <c r="AJ19" s="6">
        <f>SUM(AJ3:AJ18)</f>
        <v>0</v>
      </c>
      <c r="AK19" s="135">
        <f t="shared" si="24"/>
        <v>0</v>
      </c>
      <c r="AL19" s="35">
        <f>SUM(AL3:AL18)</f>
        <v>0</v>
      </c>
      <c r="AM19" s="35">
        <f>SUM(AM3:AM18)</f>
        <v>0</v>
      </c>
      <c r="AN19" s="31">
        <f t="shared" si="25"/>
        <v>0</v>
      </c>
      <c r="AO19" s="30">
        <f>SUM(AO3:AO18)</f>
        <v>0</v>
      </c>
      <c r="AP19" s="6">
        <f>SUM(AP3:AP18)</f>
        <v>0</v>
      </c>
      <c r="AQ19" s="138">
        <f t="shared" si="26"/>
        <v>0</v>
      </c>
      <c r="AR19" s="9">
        <f>(AF19*2)+(AI19*3)+(AL19)</f>
        <v>0</v>
      </c>
      <c r="AS19" s="8">
        <f>SUM(AS3:AS18)</f>
        <v>0</v>
      </c>
      <c r="AT19" s="6">
        <f>SUM(AT3:AT18)</f>
        <v>0</v>
      </c>
      <c r="AU19" s="9">
        <f t="shared" si="28"/>
        <v>0</v>
      </c>
      <c r="AV19" s="8">
        <f t="shared" ref="AV19:BC19" si="58">SUM(AV3:AV18)</f>
        <v>0</v>
      </c>
      <c r="AW19" s="6">
        <f t="shared" si="58"/>
        <v>0</v>
      </c>
      <c r="AX19" s="6">
        <f t="shared" si="58"/>
        <v>0</v>
      </c>
      <c r="AY19" s="6">
        <f t="shared" si="58"/>
        <v>0</v>
      </c>
      <c r="AZ19" s="6">
        <f t="shared" si="58"/>
        <v>0</v>
      </c>
      <c r="BA19" s="6">
        <f t="shared" si="58"/>
        <v>0</v>
      </c>
      <c r="BB19" s="6">
        <f t="shared" si="58"/>
        <v>0</v>
      </c>
      <c r="BC19" s="6">
        <f t="shared" si="58"/>
        <v>0</v>
      </c>
      <c r="BF19" s="100"/>
      <c r="BG19" s="101" t="s">
        <v>43</v>
      </c>
      <c r="BH19" s="102">
        <f t="shared" si="4"/>
        <v>0</v>
      </c>
      <c r="BI19" s="125">
        <f t="shared" si="5"/>
        <v>0</v>
      </c>
      <c r="BJ19" s="126" t="s">
        <v>42</v>
      </c>
      <c r="BK19" s="102">
        <f>IFERROR(T19/M19, 0)</f>
        <v>0</v>
      </c>
      <c r="BL19" s="125">
        <f>IFERROR(T19/(N19+(0.44*K19)+U19), 0)</f>
        <v>0</v>
      </c>
      <c r="BM19" s="127">
        <f>IFERROR(U19/(N19+(0.44*K19)+U19), 0)</f>
        <v>0</v>
      </c>
      <c r="BN19" s="103">
        <f t="shared" si="10"/>
        <v>0</v>
      </c>
      <c r="BO19" s="105">
        <f>IFERROR(Q19/(Q19+AT19), 0)</f>
        <v>0</v>
      </c>
      <c r="BP19" s="128">
        <f>IFERROR(R19/(R19+AS19), 0)</f>
        <v>0</v>
      </c>
      <c r="BQ19" s="129">
        <f>IFERROR(S19/(S19+AU19), 0)</f>
        <v>0</v>
      </c>
      <c r="BR19" s="111">
        <f>IFERROR(($AR$19/$BD$3)*100, 0)</f>
        <v>0</v>
      </c>
      <c r="BS19" s="112">
        <f>IFERROR(($P$19/$AB$3)*100, 0)</f>
        <v>0</v>
      </c>
      <c r="BT19" s="104">
        <f t="shared" si="29"/>
        <v>0</v>
      </c>
      <c r="BU19" s="111">
        <f>IFERROR(SUM(BU3:BU18), 0)</f>
        <v>0</v>
      </c>
      <c r="BV19" s="104" t="s">
        <v>42</v>
      </c>
      <c r="BX19" s="55">
        <v>50</v>
      </c>
      <c r="BY19" s="58" t="s">
        <v>31</v>
      </c>
      <c r="BZ19" s="47">
        <f t="shared" si="30"/>
        <v>0</v>
      </c>
      <c r="CA19" s="39">
        <f t="shared" si="48"/>
        <v>0</v>
      </c>
      <c r="CB19" s="45">
        <f t="shared" si="49"/>
        <v>0</v>
      </c>
      <c r="CC19" s="45">
        <f t="shared" si="31"/>
        <v>0</v>
      </c>
      <c r="CD19" s="45">
        <f t="shared" si="32"/>
        <v>0</v>
      </c>
      <c r="CE19" s="36">
        <f t="shared" si="33"/>
        <v>0</v>
      </c>
      <c r="CF19" s="45">
        <f t="shared" si="50"/>
        <v>0</v>
      </c>
      <c r="CG19" s="45">
        <f t="shared" si="51"/>
        <v>0</v>
      </c>
      <c r="CH19" s="45">
        <f t="shared" si="34"/>
        <v>0</v>
      </c>
      <c r="CI19" s="51">
        <f t="shared" si="52"/>
        <v>0</v>
      </c>
      <c r="CJ19" s="47">
        <f t="shared" si="35"/>
        <v>0</v>
      </c>
      <c r="CK19" s="45">
        <f t="shared" si="36"/>
        <v>0</v>
      </c>
      <c r="CL19" s="45">
        <f t="shared" si="37"/>
        <v>0</v>
      </c>
      <c r="CM19" s="36">
        <f t="shared" si="38"/>
        <v>0</v>
      </c>
      <c r="CN19" s="45">
        <f t="shared" si="53"/>
        <v>0</v>
      </c>
      <c r="CO19" s="45">
        <f t="shared" si="54"/>
        <v>0</v>
      </c>
      <c r="CP19" s="45">
        <f t="shared" si="55"/>
        <v>0</v>
      </c>
      <c r="CQ19" s="45">
        <f t="shared" si="56"/>
        <v>0</v>
      </c>
      <c r="CR19" s="45">
        <f t="shared" si="39"/>
        <v>0</v>
      </c>
      <c r="CS19" s="45">
        <f t="shared" si="40"/>
        <v>0</v>
      </c>
      <c r="CT19" s="45">
        <f t="shared" si="41"/>
        <v>0</v>
      </c>
      <c r="CU19" s="45">
        <f t="shared" si="42"/>
        <v>0</v>
      </c>
      <c r="CV19" s="45">
        <f t="shared" si="43"/>
        <v>0</v>
      </c>
      <c r="CW19" s="45">
        <f t="shared" si="44"/>
        <v>0</v>
      </c>
      <c r="CX19" s="45">
        <f t="shared" si="45"/>
        <v>0</v>
      </c>
      <c r="CY19" s="45">
        <f t="shared" si="46"/>
        <v>0</v>
      </c>
      <c r="CZ19" s="43">
        <f t="shared" si="47"/>
        <v>0</v>
      </c>
    </row>
    <row r="20" spans="2:104" ht="14.7" thickBot="1" x14ac:dyDescent="0.6">
      <c r="AH20" s="139"/>
      <c r="BX20" s="56">
        <v>55</v>
      </c>
      <c r="BY20" s="59" t="s">
        <v>32</v>
      </c>
      <c r="BZ20" s="48">
        <f t="shared" si="30"/>
        <v>0</v>
      </c>
      <c r="CA20" s="41">
        <f t="shared" si="48"/>
        <v>0</v>
      </c>
      <c r="CB20" s="46">
        <f t="shared" si="49"/>
        <v>0</v>
      </c>
      <c r="CC20" s="46">
        <f t="shared" si="31"/>
        <v>0</v>
      </c>
      <c r="CD20" s="46">
        <f t="shared" si="32"/>
        <v>0</v>
      </c>
      <c r="CE20" s="42">
        <f t="shared" si="33"/>
        <v>0</v>
      </c>
      <c r="CF20" s="46">
        <f t="shared" si="50"/>
        <v>0</v>
      </c>
      <c r="CG20" s="46">
        <f t="shared" si="51"/>
        <v>0</v>
      </c>
      <c r="CH20" s="46">
        <f t="shared" si="34"/>
        <v>0</v>
      </c>
      <c r="CI20" s="52">
        <f t="shared" si="52"/>
        <v>0</v>
      </c>
      <c r="CJ20" s="48">
        <f t="shared" si="35"/>
        <v>0</v>
      </c>
      <c r="CK20" s="46">
        <f t="shared" si="36"/>
        <v>0</v>
      </c>
      <c r="CL20" s="46">
        <f t="shared" si="37"/>
        <v>0</v>
      </c>
      <c r="CM20" s="42">
        <f t="shared" si="38"/>
        <v>0</v>
      </c>
      <c r="CN20" s="46">
        <f t="shared" si="53"/>
        <v>0</v>
      </c>
      <c r="CO20" s="46">
        <f t="shared" si="54"/>
        <v>0</v>
      </c>
      <c r="CP20" s="46">
        <f t="shared" si="55"/>
        <v>0</v>
      </c>
      <c r="CQ20" s="46">
        <f t="shared" si="56"/>
        <v>0</v>
      </c>
      <c r="CR20" s="46">
        <f t="shared" si="39"/>
        <v>0</v>
      </c>
      <c r="CS20" s="46">
        <f t="shared" si="40"/>
        <v>0</v>
      </c>
      <c r="CT20" s="46">
        <f t="shared" si="41"/>
        <v>0</v>
      </c>
      <c r="CU20" s="46">
        <f t="shared" si="42"/>
        <v>0</v>
      </c>
      <c r="CV20" s="46">
        <f t="shared" si="43"/>
        <v>0</v>
      </c>
      <c r="CW20" s="46">
        <f t="shared" si="44"/>
        <v>0</v>
      </c>
      <c r="CX20" s="46">
        <f t="shared" si="45"/>
        <v>0</v>
      </c>
      <c r="CY20" s="46">
        <f t="shared" si="46"/>
        <v>0</v>
      </c>
      <c r="CZ20" s="44">
        <f t="shared" si="47"/>
        <v>0</v>
      </c>
    </row>
  </sheetData>
  <mergeCells count="15">
    <mergeCell ref="J1:L1"/>
    <mergeCell ref="M1:P1"/>
    <mergeCell ref="Q1:S1"/>
    <mergeCell ref="T1:Y1"/>
    <mergeCell ref="D1:F1"/>
    <mergeCell ref="G1:I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3979-FBAF-4F36-A3BE-E3455B5C7FD6}">
  <dimension ref="A2:D21"/>
  <sheetViews>
    <sheetView workbookViewId="0">
      <selection activeCell="F17" sqref="F17"/>
    </sheetView>
  </sheetViews>
  <sheetFormatPr defaultRowHeight="14.4" x14ac:dyDescent="0.55000000000000004"/>
  <sheetData>
    <row r="2" spans="1:4" x14ac:dyDescent="0.55000000000000004">
      <c r="A2" s="158"/>
      <c r="B2" s="158"/>
      <c r="C2" s="158"/>
      <c r="D2" s="158"/>
    </row>
    <row r="3" spans="1:4" x14ac:dyDescent="0.55000000000000004">
      <c r="A3" t="s">
        <v>114</v>
      </c>
      <c r="B3" t="s">
        <v>134</v>
      </c>
      <c r="C3" t="s">
        <v>135</v>
      </c>
      <c r="D3" t="s">
        <v>112</v>
      </c>
    </row>
    <row r="4" spans="1:4" x14ac:dyDescent="0.55000000000000004">
      <c r="A4" t="s">
        <v>131</v>
      </c>
      <c r="B4" s="151">
        <f>averageadvanced!H4</f>
        <v>58.302476465201458</v>
      </c>
      <c r="C4" s="151">
        <f>averageadvanced!J4</f>
        <v>52.778790209359599</v>
      </c>
      <c r="D4" t="s">
        <v>122</v>
      </c>
    </row>
    <row r="5" spans="1:4" x14ac:dyDescent="0.55000000000000004">
      <c r="A5" t="s">
        <v>98</v>
      </c>
      <c r="B5" s="151">
        <f>averageadvanced!H7</f>
        <v>72.87809558150181</v>
      </c>
      <c r="C5" s="151">
        <f>averageadvanced!J7</f>
        <v>65.973487761699502</v>
      </c>
      <c r="D5" t="s">
        <v>122</v>
      </c>
    </row>
    <row r="6" spans="1:4" x14ac:dyDescent="0.55000000000000004">
      <c r="A6" t="s">
        <v>113</v>
      </c>
      <c r="B6" s="151">
        <f>averageadvanced!H10</f>
        <v>1.084001981248973</v>
      </c>
      <c r="C6" s="151">
        <f>averageadvanced!J10</f>
        <v>0.83366821834042726</v>
      </c>
      <c r="D6" t="s">
        <v>122</v>
      </c>
    </row>
    <row r="7" spans="1:4" x14ac:dyDescent="0.55000000000000004">
      <c r="A7" t="s">
        <v>131</v>
      </c>
      <c r="B7" s="151">
        <f>'6-6-24 vs Brentwood Academy'!AB3</f>
        <v>47.99</v>
      </c>
      <c r="C7" s="151">
        <f>'6-6-24 vs Brentwood Academy'!BD3</f>
        <v>38.989047619047618</v>
      </c>
      <c r="D7" t="s">
        <v>127</v>
      </c>
    </row>
    <row r="8" spans="1:4" x14ac:dyDescent="0.55000000000000004">
      <c r="A8" t="s">
        <v>98</v>
      </c>
      <c r="B8" s="151">
        <f>'6-6-24 vs Brentwood Academy'!AB6</f>
        <v>59.987500000000004</v>
      </c>
      <c r="C8" s="151">
        <f>'6-6-24 vs Brentwood Academy'!BD6</f>
        <v>48.736309523809524</v>
      </c>
      <c r="D8" t="s">
        <v>127</v>
      </c>
    </row>
    <row r="9" spans="1:4" x14ac:dyDescent="0.55000000000000004">
      <c r="A9" t="s">
        <v>113</v>
      </c>
      <c r="B9" s="151">
        <f>('6-6-24 vs Brentwood Academy'!P18)/'6-6-24 vs Brentwood Academy'!AB3</f>
        <v>1.1669097728693478</v>
      </c>
      <c r="C9" s="151">
        <f>('6-6-24 vs Brentwood Academy'!AR18)/'6-6-24 vs Brentwood Academy'!AB3</f>
        <v>0.75015628255886635</v>
      </c>
      <c r="D9" t="s">
        <v>127</v>
      </c>
    </row>
    <row r="10" spans="1:4" x14ac:dyDescent="0.55000000000000004">
      <c r="A10" t="s">
        <v>131</v>
      </c>
      <c r="B10" s="151">
        <f>'6-6-24 vs Ensworth'!AB3</f>
        <v>69.084102564102551</v>
      </c>
      <c r="C10" s="151">
        <f>'6-6-24 vs Ensworth'!BD3</f>
        <v>68.037666666666667</v>
      </c>
      <c r="D10" t="s">
        <v>132</v>
      </c>
    </row>
    <row r="11" spans="1:4" x14ac:dyDescent="0.55000000000000004">
      <c r="A11" t="s">
        <v>98</v>
      </c>
      <c r="B11" s="151">
        <f>'6-6-24 vs Ensworth'!AB6</f>
        <v>86.355128205128182</v>
      </c>
      <c r="C11" s="151">
        <f>'6-6-24 vs Ensworth'!BD6</f>
        <v>85.047083333333333</v>
      </c>
      <c r="D11" t="s">
        <v>132</v>
      </c>
    </row>
    <row r="12" spans="1:4" x14ac:dyDescent="0.55000000000000004">
      <c r="A12" t="s">
        <v>113</v>
      </c>
      <c r="B12" s="151">
        <f>('6-6-24 vs Ensworth'!P18)/'6-6-24 vs Ensworth'!BD3</f>
        <v>1.0288418670050414</v>
      </c>
      <c r="C12" s="151">
        <f>('6-6-24 vs Ensworth'!AR18)/'6-6-24 vs Ensworth'!BD3</f>
        <v>0.76428252977517352</v>
      </c>
      <c r="D12" t="s">
        <v>132</v>
      </c>
    </row>
    <row r="13" spans="1:4" x14ac:dyDescent="0.55000000000000004">
      <c r="A13" t="s">
        <v>131</v>
      </c>
      <c r="B13" s="151">
        <f>'6-7-24 vs Chrsistian Brothers'!AB3</f>
        <v>56.693333333333328</v>
      </c>
      <c r="C13" s="151">
        <f>'6-7-24 vs Chrsistian Brothers'!BD3</f>
        <v>46.052187500000002</v>
      </c>
      <c r="D13" t="s">
        <v>133</v>
      </c>
    </row>
    <row r="14" spans="1:4" x14ac:dyDescent="0.55000000000000004">
      <c r="A14" t="s">
        <v>98</v>
      </c>
      <c r="B14" s="151">
        <f>'6-7-24 vs Chrsistian Brothers'!AB6</f>
        <v>70.86666666666666</v>
      </c>
      <c r="C14" s="151">
        <f>'6-7-24 vs Chrsistian Brothers'!BD6</f>
        <v>57.565234375000003</v>
      </c>
      <c r="D14" t="s">
        <v>133</v>
      </c>
    </row>
    <row r="15" spans="1:4" x14ac:dyDescent="0.55000000000000004">
      <c r="A15" t="s">
        <v>113</v>
      </c>
      <c r="B15" s="151">
        <f>('6-7-24 vs Chrsistian Brothers'!P18)/'6-7-24 vs Chrsistian Brothers'!AB3</f>
        <v>1.1641580432737537</v>
      </c>
      <c r="C15" s="151">
        <f>('6-7-24 vs Chrsistian Brothers'!AR18)/'6-7-24 vs Chrsistian Brothers'!BD3</f>
        <v>1.2377262209314162</v>
      </c>
      <c r="D15" t="s">
        <v>133</v>
      </c>
    </row>
    <row r="16" spans="1:4" x14ac:dyDescent="0.55000000000000004">
      <c r="A16" t="s">
        <v>131</v>
      </c>
      <c r="B16" s="151">
        <f>'6-7-24 vs Sparkman'!AB3</f>
        <v>60.240571428571428</v>
      </c>
      <c r="C16" s="151">
        <f>'6-7-24 vs Sparkman'!BD3</f>
        <v>51.856428571428566</v>
      </c>
      <c r="D16" t="s">
        <v>136</v>
      </c>
    </row>
    <row r="17" spans="1:4" x14ac:dyDescent="0.55000000000000004">
      <c r="A17" t="s">
        <v>98</v>
      </c>
      <c r="B17" s="151">
        <f>'6-7-24 vs Sparkman'!AB6</f>
        <v>75.300714285714292</v>
      </c>
      <c r="C17" s="151">
        <f>'6-7-24 vs Sparkman'!BD6</f>
        <v>64.820535714285711</v>
      </c>
      <c r="D17" t="s">
        <v>136</v>
      </c>
    </row>
    <row r="18" spans="1:4" x14ac:dyDescent="0.55000000000000004">
      <c r="A18" t="s">
        <v>113</v>
      </c>
      <c r="B18" s="151">
        <f>('6-7-24 vs Sparkman'!P18)/'6-7-24 vs Sparkman'!AB3</f>
        <v>0.97940638013299064</v>
      </c>
      <c r="C18" s="151">
        <f>('6-7-24 vs Sparkman'!AR18)/'6-7-24 vs Sparkman'!BD3</f>
        <v>0.6942244383531454</v>
      </c>
      <c r="D18" t="s">
        <v>136</v>
      </c>
    </row>
    <row r="19" spans="1:4" x14ac:dyDescent="0.55000000000000004">
      <c r="A19" t="s">
        <v>131</v>
      </c>
      <c r="B19" s="151">
        <f>'6-7-24 vs MBA'!AB3</f>
        <v>57.504374999999996</v>
      </c>
      <c r="C19" s="151">
        <f>'6-7-24 vs MBA'!BD3</f>
        <v>58.95862068965517</v>
      </c>
      <c r="D19" t="s">
        <v>137</v>
      </c>
    </row>
    <row r="20" spans="1:4" x14ac:dyDescent="0.55000000000000004">
      <c r="A20" t="s">
        <v>98</v>
      </c>
      <c r="B20" s="151">
        <f>'6-7-24 vs MBA'!AB6</f>
        <v>71.880468749999991</v>
      </c>
      <c r="C20" s="151">
        <f>'6-7-24 vs MBA'!BD6</f>
        <v>73.698275862068968</v>
      </c>
      <c r="D20" t="s">
        <v>137</v>
      </c>
    </row>
    <row r="21" spans="1:4" x14ac:dyDescent="0.55000000000000004">
      <c r="A21" t="s">
        <v>113</v>
      </c>
      <c r="B21" s="151">
        <f>('6-7-24 vs MBA'!P18)/'6-7-24 vs MBA'!AB3</f>
        <v>1.130348777810384</v>
      </c>
      <c r="C21" s="151">
        <f>('6-7-24 vs MBA'!AR18)/'6-7-24 vs MBA'!BD3</f>
        <v>0.66148087495613528</v>
      </c>
      <c r="D21" t="s">
        <v>137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9614-FCC9-4575-8E98-5D6DAD6C27AF}">
  <dimension ref="A2:S98"/>
  <sheetViews>
    <sheetView topLeftCell="A24" workbookViewId="0">
      <selection activeCell="C3" sqref="C3"/>
    </sheetView>
  </sheetViews>
  <sheetFormatPr defaultRowHeight="14.4" x14ac:dyDescent="0.55000000000000004"/>
  <cols>
    <col min="3" max="17" width="8.83984375" style="150"/>
  </cols>
  <sheetData>
    <row r="2" spans="1:19" x14ac:dyDescent="0.55000000000000004">
      <c r="A2" t="str">
        <f>averageadvanced!L3</f>
        <v>#</v>
      </c>
      <c r="B2" t="str">
        <f>averageadvanced!M3</f>
        <v>Player</v>
      </c>
      <c r="C2" s="150" t="str">
        <f>averageadvanced!N3</f>
        <v>eFG%</v>
      </c>
      <c r="D2" s="150" t="str">
        <f>averageadvanced!O3</f>
        <v>TS%</v>
      </c>
      <c r="E2" s="150" t="str">
        <f>averageadvanced!P3</f>
        <v>Usage %</v>
      </c>
      <c r="F2" s="150" t="str">
        <f>averageadvanced!Q3</f>
        <v>Ast %</v>
      </c>
      <c r="G2" s="150" t="str">
        <f>averageadvanced!R3</f>
        <v>Ast Ratio</v>
      </c>
      <c r="H2" s="150" t="str">
        <f>averageadvanced!S3</f>
        <v>TO Ratio</v>
      </c>
      <c r="I2" s="150" t="str">
        <f>averageadvanced!T3</f>
        <v>Ast/TO</v>
      </c>
      <c r="J2" s="150" t="str">
        <f>averageadvanced!U3</f>
        <v>Off Reb %</v>
      </c>
      <c r="K2" s="150" t="str">
        <f>averageadvanced!V3</f>
        <v>Def Reb %</v>
      </c>
      <c r="L2" s="150" t="str">
        <f>averageadvanced!W3</f>
        <v>Tot Reb %</v>
      </c>
      <c r="M2" s="150" t="str">
        <f>averageadvanced!X3</f>
        <v>DefRtg</v>
      </c>
      <c r="N2" s="150" t="str">
        <f>averageadvanced!Y3</f>
        <v>OffRtg</v>
      </c>
      <c r="O2" s="150" t="str">
        <f>averageadvanced!Z3</f>
        <v>NetRtg</v>
      </c>
      <c r="P2" s="150" t="str">
        <f>averageadvanced!AA3</f>
        <v>PIE</v>
      </c>
      <c r="Q2" s="150" t="str">
        <f>averageadvanced!AB3</f>
        <v>PER</v>
      </c>
      <c r="R2" t="s">
        <v>34</v>
      </c>
      <c r="S2" t="s">
        <v>112</v>
      </c>
    </row>
    <row r="3" spans="1:19" x14ac:dyDescent="0.55000000000000004">
      <c r="A3">
        <f>averageadvanced!L4</f>
        <v>0</v>
      </c>
      <c r="B3" t="str">
        <f>averageadvanced!M4</f>
        <v>Lewis</v>
      </c>
      <c r="C3" s="150">
        <f>(averageadvanced!N4)*100</f>
        <v>10</v>
      </c>
      <c r="D3" s="150">
        <f>(averageadvanced!O4)*100</f>
        <v>10</v>
      </c>
      <c r="E3" s="150">
        <f>(averageadvanced!P4)*100</f>
        <v>12.201628384812036</v>
      </c>
      <c r="F3" s="150">
        <f>(averageadvanced!Q4)*100</f>
        <v>10.092864960282435</v>
      </c>
      <c r="G3" s="150">
        <f>(averageadvanced!R4)</f>
        <v>0.15714285714285714</v>
      </c>
      <c r="H3" s="150">
        <f>(averageadvanced!S4)</f>
        <v>0.19523809523809521</v>
      </c>
      <c r="I3" s="150">
        <f>(averageadvanced!T4)</f>
        <v>0.6</v>
      </c>
      <c r="J3" s="150">
        <f>(averageadvanced!U4)*100</f>
        <v>9.7965714285714274</v>
      </c>
      <c r="K3" s="150">
        <f>(averageadvanced!V4)*100</f>
        <v>14.913755485893414</v>
      </c>
      <c r="L3" s="150">
        <f>(averageadvanced!W4)*100</f>
        <v>11.919851788573913</v>
      </c>
      <c r="M3" s="150">
        <f>(averageadvanced!X4)</f>
        <v>65.96210221393342</v>
      </c>
      <c r="N3" s="150">
        <f>(averageadvanced!Y4)</f>
        <v>44.252704032845067</v>
      </c>
      <c r="O3" s="150">
        <f>(averageadvanced!Z4)</f>
        <v>-21.709398181088364</v>
      </c>
      <c r="P3" s="150">
        <f>(averageadvanced!AA4)*100</f>
        <v>2.1480833440505851</v>
      </c>
      <c r="Q3" s="150">
        <f>(averageadvanced!AB4)</f>
        <v>2.62</v>
      </c>
      <c r="R3" s="150">
        <f>averageadvanced!D4</f>
        <v>6.5659999999999998</v>
      </c>
      <c r="S3" t="s">
        <v>122</v>
      </c>
    </row>
    <row r="4" spans="1:19" x14ac:dyDescent="0.55000000000000004">
      <c r="A4">
        <f>averageadvanced!L5</f>
        <v>1</v>
      </c>
      <c r="B4" t="str">
        <f>averageadvanced!M5</f>
        <v>Walker</v>
      </c>
      <c r="C4" s="150">
        <f>(averageadvanced!N5)*100</f>
        <v>41.666666666666671</v>
      </c>
      <c r="D4" s="150">
        <f>(averageadvanced!O5)*100</f>
        <v>45.129383829583688</v>
      </c>
      <c r="E4" s="150">
        <f>(averageadvanced!P5)*100</f>
        <v>22.78627134051807</v>
      </c>
      <c r="F4" s="150">
        <f>(averageadvanced!Q5)*100</f>
        <v>7.7980167369719524</v>
      </c>
      <c r="G4" s="150">
        <f>(averageadvanced!R5)</f>
        <v>6.9615587151132169E-2</v>
      </c>
      <c r="H4" s="150">
        <f>(averageadvanced!S5)</f>
        <v>0.18426297241463113</v>
      </c>
      <c r="I4" s="150">
        <f>(averageadvanced!T5)</f>
        <v>0.33333333333333331</v>
      </c>
      <c r="J4" s="150">
        <f>(averageadvanced!U5)*100</f>
        <v>1.5454106280193234</v>
      </c>
      <c r="K4" s="150">
        <f>(averageadvanced!V5)*100</f>
        <v>16.439707212747944</v>
      </c>
      <c r="L4" s="150">
        <f>(averageadvanced!W5)*100</f>
        <v>9.0567259083997467</v>
      </c>
      <c r="M4" s="150">
        <f>(averageadvanced!X5)</f>
        <v>89.241320927130531</v>
      </c>
      <c r="N4" s="150">
        <f>(averageadvanced!Y5)</f>
        <v>87.638349953370223</v>
      </c>
      <c r="O4" s="150">
        <f>(averageadvanced!Z5)</f>
        <v>-1.6029709737603099</v>
      </c>
      <c r="P4" s="150">
        <f>(averageadvanced!AA5)*100</f>
        <v>6.1438118722275536</v>
      </c>
      <c r="Q4" s="150">
        <f>(averageadvanced!AB5)</f>
        <v>4.1659999999999995</v>
      </c>
      <c r="R4" s="150">
        <f>averageadvanced!D5</f>
        <v>15.465999999999999</v>
      </c>
      <c r="S4" t="s">
        <v>122</v>
      </c>
    </row>
    <row r="5" spans="1:19" x14ac:dyDescent="0.55000000000000004">
      <c r="A5">
        <f>averageadvanced!L6</f>
        <v>2</v>
      </c>
      <c r="B5" t="str">
        <f>averageadvanced!M6</f>
        <v>Rivers</v>
      </c>
      <c r="C5" s="150">
        <f>(averageadvanced!N6)*100</f>
        <v>54.404761904761912</v>
      </c>
      <c r="D5" s="150">
        <f>(averageadvanced!O6)*100</f>
        <v>54.222823875736111</v>
      </c>
      <c r="E5" s="150">
        <f>(averageadvanced!P6)*100</f>
        <v>21.431901075881086</v>
      </c>
      <c r="F5" s="150">
        <f>(averageadvanced!Q6)*100</f>
        <v>8.5076362349786816</v>
      </c>
      <c r="G5" s="150">
        <f>(averageadvanced!R6)</f>
        <v>7.9661814220637756E-2</v>
      </c>
      <c r="H5" s="150">
        <f>(averageadvanced!S6)</f>
        <v>0.15141834610976368</v>
      </c>
      <c r="I5" s="150">
        <f>(averageadvanced!T6)</f>
        <v>0.2</v>
      </c>
      <c r="J5" s="150">
        <f>(averageadvanced!U6)*100</f>
        <v>4.9078827860811343</v>
      </c>
      <c r="K5" s="150">
        <f>(averageadvanced!V6)*100</f>
        <v>14.579279816864203</v>
      </c>
      <c r="L5" s="150">
        <f>(averageadvanced!W6)*100</f>
        <v>9.9552334313218722</v>
      </c>
      <c r="M5" s="150">
        <f>(averageadvanced!X6)</f>
        <v>86.806594179901481</v>
      </c>
      <c r="N5" s="150">
        <f>(averageadvanced!Y6)</f>
        <v>115.20540354550812</v>
      </c>
      <c r="O5" s="150">
        <f>(averageadvanced!Z6)</f>
        <v>28.398809365606621</v>
      </c>
      <c r="P5" s="150">
        <f>(averageadvanced!AA6)*100</f>
        <v>5.9066710384217913</v>
      </c>
      <c r="Q5" s="150">
        <f>(averageadvanced!AB6)</f>
        <v>5.0359999999999996</v>
      </c>
      <c r="R5" s="150">
        <f>averageadvanced!D6</f>
        <v>15.166</v>
      </c>
      <c r="S5" t="s">
        <v>122</v>
      </c>
    </row>
    <row r="6" spans="1:19" x14ac:dyDescent="0.55000000000000004">
      <c r="A6">
        <f>averageadvanced!L7</f>
        <v>3</v>
      </c>
      <c r="B6" t="str">
        <f>averageadvanced!M7</f>
        <v>Gossett</v>
      </c>
      <c r="C6" s="150">
        <f>(averageadvanced!N7)*100</f>
        <v>51.666666666666671</v>
      </c>
      <c r="D6" s="150">
        <f>(averageadvanced!O7)*100</f>
        <v>51.666666666666671</v>
      </c>
      <c r="E6" s="150">
        <f>(averageadvanced!P7)*100</f>
        <v>23.000666102156746</v>
      </c>
      <c r="F6" s="150">
        <f>(averageadvanced!Q7)*100</f>
        <v>16.422151880576635</v>
      </c>
      <c r="G6" s="150">
        <f>(averageadvanced!R7)</f>
        <v>0.18722222222222223</v>
      </c>
      <c r="H6" s="150">
        <f>(averageadvanced!S7)</f>
        <v>0.16722222222222222</v>
      </c>
      <c r="I6" s="150">
        <f>(averageadvanced!T7)</f>
        <v>0.66666666666666674</v>
      </c>
      <c r="J6" s="150">
        <f>(averageadvanced!U7)*100</f>
        <v>0</v>
      </c>
      <c r="K6" s="150">
        <f>(averageadvanced!V7)*100</f>
        <v>7.1595497603465574</v>
      </c>
      <c r="L6" s="150">
        <f>(averageadvanced!W7)*100</f>
        <v>3.9212618332979163</v>
      </c>
      <c r="M6" s="150">
        <f>(averageadvanced!X7)</f>
        <v>88.063103930766289</v>
      </c>
      <c r="N6" s="150">
        <f>(averageadvanced!Y7)</f>
        <v>103.14483544841896</v>
      </c>
      <c r="O6" s="150">
        <f>(averageadvanced!Z7)</f>
        <v>15.081731517652694</v>
      </c>
      <c r="P6" s="150">
        <f>(averageadvanced!AA7)*100</f>
        <v>3.9397589556526502</v>
      </c>
      <c r="Q6" s="150">
        <f>(averageadvanced!AB7)</f>
        <v>2.9899999999999993</v>
      </c>
      <c r="R6" s="150">
        <f>averageadvanced!D7</f>
        <v>11.191999999999998</v>
      </c>
      <c r="S6" t="s">
        <v>122</v>
      </c>
    </row>
    <row r="7" spans="1:19" x14ac:dyDescent="0.55000000000000004">
      <c r="A7">
        <f>averageadvanced!L8</f>
        <v>4</v>
      </c>
      <c r="B7" t="str">
        <f>averageadvanced!M8</f>
        <v>Stapler</v>
      </c>
      <c r="C7" s="150">
        <f>(averageadvanced!N8)*100</f>
        <v>56.25</v>
      </c>
      <c r="D7" s="150">
        <f>(averageadvanced!O8)*100</f>
        <v>56.741803278688522</v>
      </c>
      <c r="E7" s="150">
        <f>(averageadvanced!P8)*100</f>
        <v>16.689166376649638</v>
      </c>
      <c r="F7" s="150">
        <f>(averageadvanced!Q8)*100</f>
        <v>23.512526263016113</v>
      </c>
      <c r="G7" s="150">
        <f>(averageadvanced!R8)</f>
        <v>0.28060606060606064</v>
      </c>
      <c r="H7" s="150">
        <f>(averageadvanced!S8)</f>
        <v>9.5000000000000001E-2</v>
      </c>
      <c r="I7" s="150">
        <f>(averageadvanced!T8)</f>
        <v>0.93333333333333335</v>
      </c>
      <c r="J7" s="150">
        <f>(averageadvanced!U8)*100</f>
        <v>3.7841824729891957</v>
      </c>
      <c r="K7" s="150">
        <f>(averageadvanced!V8)*100</f>
        <v>8.7157292390672207</v>
      </c>
      <c r="L7" s="150">
        <f>(averageadvanced!W8)*100</f>
        <v>6.5659909409858832</v>
      </c>
      <c r="M7" s="150">
        <f>(averageadvanced!X8)</f>
        <v>91.369377769322938</v>
      </c>
      <c r="N7" s="150">
        <f>(averageadvanced!Y8)</f>
        <v>149.54537435525526</v>
      </c>
      <c r="O7" s="150">
        <f>(averageadvanced!Z8)</f>
        <v>58.175996585932332</v>
      </c>
      <c r="P7" s="150">
        <f>(averageadvanced!AA8)*100</f>
        <v>7.6493426450850599</v>
      </c>
      <c r="Q7" s="150">
        <f>(averageadvanced!AB8)</f>
        <v>6.5740000000000007</v>
      </c>
      <c r="R7" s="150">
        <f>averageadvanced!D8</f>
        <v>16.332000000000001</v>
      </c>
      <c r="S7" t="s">
        <v>122</v>
      </c>
    </row>
    <row r="8" spans="1:19" x14ac:dyDescent="0.55000000000000004">
      <c r="A8">
        <f>averageadvanced!L9</f>
        <v>5</v>
      </c>
      <c r="B8" t="str">
        <f>averageadvanced!M9</f>
        <v>JD</v>
      </c>
      <c r="C8" s="150">
        <f>(averageadvanced!N9)*100</f>
        <v>67.767676767676775</v>
      </c>
      <c r="D8" s="150">
        <f>(averageadvanced!O9)*100</f>
        <v>67.461344914271336</v>
      </c>
      <c r="E8" s="150">
        <f>(averageadvanced!P9)*100</f>
        <v>26.179643850773708</v>
      </c>
      <c r="F8" s="150">
        <f>(averageadvanced!Q9)*100</f>
        <v>38.450131990639086</v>
      </c>
      <c r="G8" s="150">
        <f>(averageadvanced!R9)</f>
        <v>0.25446126970275457</v>
      </c>
      <c r="H8" s="150">
        <f>(averageadvanced!S9)</f>
        <v>0.18144324953258617</v>
      </c>
      <c r="I8" s="150">
        <f>(averageadvanced!T9)</f>
        <v>1.9333333333333331</v>
      </c>
      <c r="J8" s="150">
        <f>(averageadvanced!U9)*100</f>
        <v>23.075607450329386</v>
      </c>
      <c r="K8" s="150">
        <f>(averageadvanced!V9)*100</f>
        <v>21.622513276068293</v>
      </c>
      <c r="L8" s="150">
        <f>(averageadvanced!W9)*100</f>
        <v>22.085798253982972</v>
      </c>
      <c r="M8" s="150">
        <f>(averageadvanced!X9)</f>
        <v>73.043368197611571</v>
      </c>
      <c r="N8" s="150">
        <f>(averageadvanced!Y9)</f>
        <v>132.03726725688949</v>
      </c>
      <c r="O8" s="150">
        <f>(averageadvanced!Z9)</f>
        <v>58.993899059277894</v>
      </c>
      <c r="P8" s="150">
        <f>(averageadvanced!AA9)*100</f>
        <v>15.247231829544761</v>
      </c>
      <c r="Q8" s="150">
        <f>(averageadvanced!AB9)</f>
        <v>13.919999999999998</v>
      </c>
      <c r="R8" s="150">
        <f>averageadvanced!D9</f>
        <v>16.666</v>
      </c>
      <c r="S8" t="s">
        <v>122</v>
      </c>
    </row>
    <row r="9" spans="1:19" x14ac:dyDescent="0.55000000000000004">
      <c r="A9">
        <f>averageadvanced!L10</f>
        <v>10</v>
      </c>
      <c r="B9" t="str">
        <f>averageadvanced!M10</f>
        <v>Mason</v>
      </c>
      <c r="C9" s="150">
        <f>(averageadvanced!N10)*100</f>
        <v>55.499999999999993</v>
      </c>
      <c r="D9" s="150">
        <f>(averageadvanced!O10)*100</f>
        <v>57.704081632653057</v>
      </c>
      <c r="E9" s="150">
        <f>(averageadvanced!P10)*100</f>
        <v>20.992725142262753</v>
      </c>
      <c r="F9" s="150">
        <f>(averageadvanced!Q10)*100</f>
        <v>3.4137599999999999</v>
      </c>
      <c r="G9" s="150">
        <f>(averageadvanced!R10)</f>
        <v>0.05</v>
      </c>
      <c r="H9" s="150">
        <f>(averageadvanced!S10)</f>
        <v>0.15</v>
      </c>
      <c r="I9" s="150">
        <f>(averageadvanced!T10)</f>
        <v>0.2</v>
      </c>
      <c r="J9" s="150">
        <f>(averageadvanced!U10)*100</f>
        <v>2.5396825396825391</v>
      </c>
      <c r="K9" s="150">
        <f>(averageadvanced!V10)*100</f>
        <v>19.310718311239672</v>
      </c>
      <c r="L9" s="150">
        <f>(averageadvanced!W10)*100</f>
        <v>10.872802524986705</v>
      </c>
      <c r="M9" s="150">
        <f>(averageadvanced!X10)</f>
        <v>86.676393172214176</v>
      </c>
      <c r="N9" s="150">
        <f>(averageadvanced!Y10)</f>
        <v>93.810940879372623</v>
      </c>
      <c r="O9" s="150">
        <f>(averageadvanced!Z10)</f>
        <v>7.1345477071584495</v>
      </c>
      <c r="P9" s="150">
        <f>(averageadvanced!AA10)*100</f>
        <v>2.5954139848635482</v>
      </c>
      <c r="Q9" s="150">
        <f>(averageadvanced!AB10)</f>
        <v>1.9780000000000002</v>
      </c>
      <c r="R9" s="150">
        <f>averageadvanced!D10</f>
        <v>7.8159999999999998</v>
      </c>
      <c r="S9" t="s">
        <v>122</v>
      </c>
    </row>
    <row r="10" spans="1:19" x14ac:dyDescent="0.55000000000000004">
      <c r="A10">
        <f>averageadvanced!L11</f>
        <v>11</v>
      </c>
      <c r="B10" t="str">
        <f>averageadvanced!M11</f>
        <v>Pannell</v>
      </c>
      <c r="C10" s="150">
        <f>(averageadvanced!N11)*100</f>
        <v>67.333333333333329</v>
      </c>
      <c r="D10" s="150">
        <f>(averageadvanced!O11)*100</f>
        <v>60.45195741526851</v>
      </c>
      <c r="E10" s="150">
        <f>(averageadvanced!P11)*100</f>
        <v>18.394319520990049</v>
      </c>
      <c r="F10" s="150">
        <f>(averageadvanced!Q11)*100</f>
        <v>17.979847096523251</v>
      </c>
      <c r="G10" s="150">
        <f>(averageadvanced!R11)</f>
        <v>0.22685479597244304</v>
      </c>
      <c r="H10" s="150">
        <f>(averageadvanced!S11)</f>
        <v>0.19072025061114245</v>
      </c>
      <c r="I10" s="150">
        <f>(averageadvanced!T11)</f>
        <v>0.48</v>
      </c>
      <c r="J10" s="150">
        <f>(averageadvanced!U11)*100</f>
        <v>10.389236036294861</v>
      </c>
      <c r="K10" s="150">
        <f>(averageadvanced!V11)*100</f>
        <v>19.416387809541774</v>
      </c>
      <c r="L10" s="150">
        <f>(averageadvanced!W11)*100</f>
        <v>14.880872259187775</v>
      </c>
      <c r="M10" s="150">
        <f>(averageadvanced!X11)</f>
        <v>86.826469747275326</v>
      </c>
      <c r="N10" s="150">
        <f>(averageadvanced!Y11)</f>
        <v>120.02173272897608</v>
      </c>
      <c r="O10" s="150">
        <f>(averageadvanced!Z11)</f>
        <v>33.195262981700736</v>
      </c>
      <c r="P10" s="150">
        <f>(averageadvanced!AA11)*100</f>
        <v>3.3174979157102311</v>
      </c>
      <c r="Q10" s="150">
        <f>(averageadvanced!AB11)</f>
        <v>3.2439999999999998</v>
      </c>
      <c r="R10" s="150">
        <f>averageadvanced!D11</f>
        <v>9.418000000000001</v>
      </c>
      <c r="S10" t="s">
        <v>122</v>
      </c>
    </row>
    <row r="11" spans="1:19" x14ac:dyDescent="0.55000000000000004">
      <c r="A11">
        <f>averageadvanced!L12</f>
        <v>12</v>
      </c>
      <c r="B11" t="str">
        <f>averageadvanced!M12</f>
        <v>Chapman</v>
      </c>
      <c r="C11" s="150">
        <f>(averageadvanced!N12)*100</f>
        <v>55.000000000000007</v>
      </c>
      <c r="D11" s="150">
        <f>(averageadvanced!O12)*100</f>
        <v>55.000000000000007</v>
      </c>
      <c r="E11" s="150">
        <f>(averageadvanced!P12)*100</f>
        <v>13.295140770243503</v>
      </c>
      <c r="F11" s="150">
        <f>(averageadvanced!Q12)*100</f>
        <v>7.8119658119658109</v>
      </c>
      <c r="G11" s="150">
        <f>(averageadvanced!R12)</f>
        <v>0.1</v>
      </c>
      <c r="H11" s="150">
        <f>(averageadvanced!S12)</f>
        <v>0.1</v>
      </c>
      <c r="I11" s="150">
        <f>(averageadvanced!T12)</f>
        <v>0.2</v>
      </c>
      <c r="J11" s="150">
        <f>(averageadvanced!U12)*100</f>
        <v>6.095238095238094</v>
      </c>
      <c r="K11" s="150">
        <f>(averageadvanced!V12)*100</f>
        <v>2.2845719997144287</v>
      </c>
      <c r="L11" s="150">
        <f>(averageadvanced!W12)*100</f>
        <v>4.569101197143147</v>
      </c>
      <c r="M11" s="150">
        <f>(averageadvanced!X12)</f>
        <v>74.683903417135767</v>
      </c>
      <c r="N11" s="150">
        <f>(averageadvanced!Y12)</f>
        <v>141.39992784921344</v>
      </c>
      <c r="O11" s="150">
        <f>(averageadvanced!Z12)</f>
        <v>66.71602443207766</v>
      </c>
      <c r="P11" s="150">
        <f>(averageadvanced!AA12)*100</f>
        <v>1.9757682335626179</v>
      </c>
      <c r="Q11" s="150">
        <f>(averageadvanced!AB12)</f>
        <v>1.6239999999999999</v>
      </c>
      <c r="R11" s="150">
        <f>averageadvanced!D12</f>
        <v>5.1520000000000001</v>
      </c>
      <c r="S11" t="s">
        <v>122</v>
      </c>
    </row>
    <row r="12" spans="1:19" x14ac:dyDescent="0.55000000000000004">
      <c r="A12">
        <f>averageadvanced!L13</f>
        <v>24</v>
      </c>
      <c r="B12" t="str">
        <f>averageadvanced!M13</f>
        <v>Carney</v>
      </c>
      <c r="C12" s="150">
        <f>(averageadvanced!N13)*100</f>
        <v>70</v>
      </c>
      <c r="D12" s="150">
        <f>(averageadvanced!O13)*100</f>
        <v>71.276595744680847</v>
      </c>
      <c r="E12" s="150">
        <f>(averageadvanced!P13)*100</f>
        <v>12.828472245411382</v>
      </c>
      <c r="F12" s="150">
        <f>(averageadvanced!Q13)*100</f>
        <v>8.4160299841429982</v>
      </c>
      <c r="G12" s="150">
        <f>(averageadvanced!R13)</f>
        <v>8.4879725085910657E-2</v>
      </c>
      <c r="H12" s="150">
        <f>(averageadvanced!S13)</f>
        <v>0.13487972508591067</v>
      </c>
      <c r="I12" s="150">
        <f>(averageadvanced!T13)</f>
        <v>0.4</v>
      </c>
      <c r="J12" s="150">
        <f>(averageadvanced!U13)*100</f>
        <v>3.5338289810547874</v>
      </c>
      <c r="K12" s="150">
        <f>(averageadvanced!V13)*100</f>
        <v>4.8803630135776963</v>
      </c>
      <c r="L12" s="150">
        <f>(averageadvanced!W13)*100</f>
        <v>4.2553164187008701</v>
      </c>
      <c r="M12" s="150">
        <f>(averageadvanced!X13)</f>
        <v>86.627738257178123</v>
      </c>
      <c r="N12" s="150">
        <f>(averageadvanced!Y13)</f>
        <v>125.09689889245844</v>
      </c>
      <c r="O12" s="150">
        <f>(averageadvanced!Z13)</f>
        <v>38.469160635280311</v>
      </c>
      <c r="P12" s="150">
        <f>(averageadvanced!AA13)*100</f>
        <v>3.8152854315236477</v>
      </c>
      <c r="Q12" s="150">
        <f>(averageadvanced!AB13)</f>
        <v>2.7320000000000002</v>
      </c>
      <c r="R12" s="150">
        <f>averageadvanced!D13</f>
        <v>8.918000000000001</v>
      </c>
      <c r="S12" t="s">
        <v>122</v>
      </c>
    </row>
    <row r="13" spans="1:19" x14ac:dyDescent="0.55000000000000004">
      <c r="A13">
        <f>averageadvanced!L14</f>
        <v>30</v>
      </c>
      <c r="B13" t="str">
        <f>averageadvanced!M14</f>
        <v>Bowman</v>
      </c>
      <c r="C13" s="150">
        <f>(averageadvanced!N14)*100</f>
        <v>47.777777777777771</v>
      </c>
      <c r="D13" s="150">
        <f>(averageadvanced!O14)*100</f>
        <v>46.461120176255179</v>
      </c>
      <c r="E13" s="150">
        <f>(averageadvanced!P14)*100</f>
        <v>22.555622945647517</v>
      </c>
      <c r="F13" s="150">
        <f>(averageadvanced!Q14)*100</f>
        <v>7.3547732604709202</v>
      </c>
      <c r="G13" s="150">
        <f>(averageadvanced!R14)</f>
        <v>5.2827121792639029E-2</v>
      </c>
      <c r="H13" s="150">
        <f>(averageadvanced!S14)</f>
        <v>0.1112162316197424</v>
      </c>
      <c r="I13" s="150">
        <f>(averageadvanced!T14)</f>
        <v>0</v>
      </c>
      <c r="J13" s="150">
        <f>(averageadvanced!U14)*100</f>
        <v>20.740851745206324</v>
      </c>
      <c r="K13" s="150">
        <f>(averageadvanced!V14)*100</f>
        <v>17.750653900461984</v>
      </c>
      <c r="L13" s="150">
        <f>(averageadvanced!W14)*100</f>
        <v>19.111920063947156</v>
      </c>
      <c r="M13" s="150">
        <f>(averageadvanced!X14)</f>
        <v>85.422370984345022</v>
      </c>
      <c r="N13" s="150">
        <f>(averageadvanced!Y14)</f>
        <v>110.67500236104073</v>
      </c>
      <c r="O13" s="150">
        <f>(averageadvanced!Z14)</f>
        <v>25.252631376695696</v>
      </c>
      <c r="P13" s="150">
        <f>(averageadvanced!AA14)*100</f>
        <v>7.5420243171710339</v>
      </c>
      <c r="Q13" s="150">
        <f>(averageadvanced!AB14)</f>
        <v>8.16</v>
      </c>
      <c r="R13" s="150">
        <f>averageadvanced!D14</f>
        <v>16.922000000000001</v>
      </c>
      <c r="S13" t="s">
        <v>122</v>
      </c>
    </row>
    <row r="14" spans="1:19" x14ac:dyDescent="0.55000000000000004">
      <c r="A14">
        <f>averageadvanced!L15</f>
        <v>32</v>
      </c>
      <c r="B14" t="str">
        <f>averageadvanced!M15</f>
        <v>Turner</v>
      </c>
      <c r="C14" s="150">
        <f>(averageadvanced!N15)*100</f>
        <v>16.666666666666668</v>
      </c>
      <c r="D14" s="150">
        <f>(averageadvanced!O15)*100</f>
        <v>16.666666666666668</v>
      </c>
      <c r="E14" s="150">
        <f>(averageadvanced!P15)*100</f>
        <v>9.9368779338663025</v>
      </c>
      <c r="F14" s="150">
        <f>(averageadvanced!Q15)*100</f>
        <v>49.215384615384608</v>
      </c>
      <c r="G14" s="150">
        <f>(averageadvanced!R15)</f>
        <v>0.2</v>
      </c>
      <c r="H14" s="150">
        <f>(averageadvanced!S15)</f>
        <v>0.05</v>
      </c>
      <c r="I14" s="150">
        <f>(averageadvanced!T15)</f>
        <v>0</v>
      </c>
      <c r="J14" s="150">
        <f>(averageadvanced!U15)*100</f>
        <v>10.098239971410701</v>
      </c>
      <c r="K14" s="150">
        <f>(averageadvanced!V15)*100</f>
        <v>0</v>
      </c>
      <c r="L14" s="150">
        <f>(averageadvanced!W15)*100</f>
        <v>5.7455594751156012</v>
      </c>
      <c r="M14" s="150">
        <f>(averageadvanced!X15)</f>
        <v>97.790804622254058</v>
      </c>
      <c r="N14" s="150">
        <f>(averageadvanced!Y15)</f>
        <v>125.98947051680921</v>
      </c>
      <c r="O14" s="150">
        <f>(averageadvanced!Z15)</f>
        <v>28.19866589455512</v>
      </c>
      <c r="P14" s="150">
        <f>(averageadvanced!AA15)*100</f>
        <v>0.5466306223592019</v>
      </c>
      <c r="Q14" s="150">
        <f>(averageadvanced!AB15)</f>
        <v>0.66600000000000004</v>
      </c>
      <c r="R14" s="150">
        <f>averageadvanced!D15</f>
        <v>3.9200000000000004</v>
      </c>
      <c r="S14" t="s">
        <v>122</v>
      </c>
    </row>
    <row r="15" spans="1:19" x14ac:dyDescent="0.55000000000000004">
      <c r="A15">
        <f>averageadvanced!L16</f>
        <v>33</v>
      </c>
      <c r="B15" t="str">
        <f>averageadvanced!M16</f>
        <v>Bellomy</v>
      </c>
      <c r="C15" s="150">
        <f>(averageadvanced!N16)*100</f>
        <v>0</v>
      </c>
      <c r="D15" s="150">
        <f>(averageadvanced!O16)*100</f>
        <v>0</v>
      </c>
      <c r="E15" s="150">
        <f>(averageadvanced!P16)*100</f>
        <v>13.299182392976384</v>
      </c>
      <c r="F15" s="150">
        <f>(averageadvanced!Q16)*100</f>
        <v>7.5908289241622562</v>
      </c>
      <c r="G15" s="150">
        <f>(averageadvanced!R16)</f>
        <v>0.13333333333333333</v>
      </c>
      <c r="H15" s="150">
        <f>(averageadvanced!S16)</f>
        <v>0</v>
      </c>
      <c r="I15" s="150">
        <f>(averageadvanced!T16)</f>
        <v>0</v>
      </c>
      <c r="J15" s="150">
        <f>(averageadvanced!U16)*100</f>
        <v>21.29118960875525</v>
      </c>
      <c r="K15" s="150">
        <f>(averageadvanced!V16)*100</f>
        <v>4.1338062397372743</v>
      </c>
      <c r="L15" s="150">
        <f>(averageadvanced!W16)*100</f>
        <v>12.853789895891563</v>
      </c>
      <c r="M15" s="150">
        <f>(averageadvanced!X16)</f>
        <v>96.260863389729707</v>
      </c>
      <c r="N15" s="150">
        <f>(averageadvanced!Y16)</f>
        <v>56.950313214877461</v>
      </c>
      <c r="O15" s="150">
        <f>(averageadvanced!Z16)</f>
        <v>-39.310550174852246</v>
      </c>
      <c r="P15" s="150">
        <f>(averageadvanced!AA16)*100</f>
        <v>-6.8309240626518303E-2</v>
      </c>
      <c r="Q15" s="150">
        <f>(averageadvanced!AB16)</f>
        <v>1.246</v>
      </c>
      <c r="R15" s="150">
        <f>averageadvanced!D16</f>
        <v>0.4</v>
      </c>
      <c r="S15" t="s">
        <v>122</v>
      </c>
    </row>
    <row r="16" spans="1:19" x14ac:dyDescent="0.55000000000000004">
      <c r="A16">
        <f>averageadvanced!L17</f>
        <v>34</v>
      </c>
      <c r="B16" t="str">
        <f>averageadvanced!M17</f>
        <v>Toms</v>
      </c>
      <c r="C16" s="150">
        <f>(averageadvanced!N17)*100</f>
        <v>71.904761904761898</v>
      </c>
      <c r="D16" s="150">
        <f>(averageadvanced!O17)*100</f>
        <v>68.894850896186483</v>
      </c>
      <c r="E16" s="150">
        <f>(averageadvanced!P17)*100</f>
        <v>19.44610230122565</v>
      </c>
      <c r="F16" s="150">
        <f>(averageadvanced!Q17)*100</f>
        <v>7.0797256967644637</v>
      </c>
      <c r="G16" s="150">
        <f>(averageadvanced!R17)</f>
        <v>6.0491803278688527E-2</v>
      </c>
      <c r="H16" s="150">
        <f>(averageadvanced!S17)</f>
        <v>0.11192676547515257</v>
      </c>
      <c r="I16" s="150">
        <f>(averageadvanced!T17)</f>
        <v>0.2</v>
      </c>
      <c r="J16" s="150">
        <f>(averageadvanced!U17)*100</f>
        <v>16.054280223185245</v>
      </c>
      <c r="K16" s="150">
        <f>(averageadvanced!V17)*100</f>
        <v>28.252382599043045</v>
      </c>
      <c r="L16" s="150">
        <f>(averageadvanced!W17)*100</f>
        <v>22.1423642242565</v>
      </c>
      <c r="M16" s="150">
        <f>(averageadvanced!X17)</f>
        <v>80.028307785235626</v>
      </c>
      <c r="N16" s="150">
        <f>(averageadvanced!Y17)</f>
        <v>136.66276617851236</v>
      </c>
      <c r="O16" s="150">
        <f>(averageadvanced!Z17)</f>
        <v>56.634458393276738</v>
      </c>
      <c r="P16" s="150">
        <f>(averageadvanced!AA17)*100</f>
        <v>7.1814491429670362</v>
      </c>
      <c r="Q16" s="150">
        <f>(averageadvanced!AB17)</f>
        <v>6.7239999999999993</v>
      </c>
      <c r="R16" s="150">
        <f>averageadvanced!D17</f>
        <v>0.6</v>
      </c>
      <c r="S16" t="s">
        <v>122</v>
      </c>
    </row>
    <row r="17" spans="1:19" x14ac:dyDescent="0.55000000000000004">
      <c r="A17">
        <f>averageadvanced!L18</f>
        <v>55</v>
      </c>
      <c r="B17" t="str">
        <f>averageadvanced!M18</f>
        <v>Baker</v>
      </c>
      <c r="C17" s="150">
        <f>(averageadvanced!N18)*100</f>
        <v>20</v>
      </c>
      <c r="D17" s="150">
        <f>(averageadvanced!O18)*100</f>
        <v>22.789898505554227</v>
      </c>
      <c r="E17" s="150">
        <f>(averageadvanced!P18)*100</f>
        <v>18.936024066658756</v>
      </c>
      <c r="F17" s="150">
        <f>(averageadvanced!Q18)*100</f>
        <v>7.7954786240877567</v>
      </c>
      <c r="G17" s="150">
        <f>(averageadvanced!R18)</f>
        <v>0.12857142857142856</v>
      </c>
      <c r="H17" s="150">
        <f>(averageadvanced!S18)</f>
        <v>0.11042805100182149</v>
      </c>
      <c r="I17" s="150">
        <f>(averageadvanced!T18)</f>
        <v>0</v>
      </c>
      <c r="J17" s="150">
        <f>(averageadvanced!U18)*100</f>
        <v>2.2859999999999996</v>
      </c>
      <c r="K17" s="150">
        <f>(averageadvanced!V18)*100</f>
        <v>21.882725056835795</v>
      </c>
      <c r="L17" s="150">
        <f>(averageadvanced!W18)*100</f>
        <v>10.842409467690217</v>
      </c>
      <c r="M17" s="150">
        <f>(averageadvanced!X18)</f>
        <v>89.349319829912815</v>
      </c>
      <c r="N17" s="150">
        <f>(averageadvanced!Y18)</f>
        <v>78.719627830618762</v>
      </c>
      <c r="O17" s="150">
        <f>(averageadvanced!Z18)</f>
        <v>-10.629691999294042</v>
      </c>
      <c r="P17" s="150">
        <f>(averageadvanced!AA18)*100</f>
        <v>0.89427507296962594</v>
      </c>
      <c r="Q17" s="150">
        <f>(averageadvanced!AB18)</f>
        <v>1.032</v>
      </c>
      <c r="R17" s="150">
        <f>averageadvanced!D18</f>
        <v>0.8</v>
      </c>
      <c r="S17" t="s">
        <v>122</v>
      </c>
    </row>
    <row r="18" spans="1:19" x14ac:dyDescent="0.55000000000000004">
      <c r="A18">
        <f>averageadvanced!L19</f>
        <v>99</v>
      </c>
      <c r="B18" t="str">
        <f>averageadvanced!M19</f>
        <v>Team</v>
      </c>
      <c r="C18" s="150">
        <f>(averageadvanced!N19)*100</f>
        <v>50.778616415862508</v>
      </c>
      <c r="D18" s="150">
        <f>(averageadvanced!O19)*100</f>
        <v>51.958494481055396</v>
      </c>
      <c r="E18" s="150">
        <f>(averageadvanced!P19)*100</f>
        <v>0</v>
      </c>
      <c r="F18" s="150">
        <f>(averageadvanced!Q19)*100</f>
        <v>53.901424501424501</v>
      </c>
      <c r="G18" s="150">
        <f>(averageadvanced!R19)</f>
        <v>0.18445138418665891</v>
      </c>
      <c r="H18" s="150">
        <f>(averageadvanced!S19)</f>
        <v>0.17561421820246031</v>
      </c>
      <c r="I18" s="150">
        <f>(averageadvanced!T19)</f>
        <v>1.099071598336304</v>
      </c>
      <c r="J18" s="150">
        <f>(averageadvanced!U19)*100</f>
        <v>49.066239316239312</v>
      </c>
      <c r="K18" s="150">
        <f>(averageadvanced!V19)*100</f>
        <v>75.007594417077172</v>
      </c>
      <c r="L18" s="150">
        <f>(averageadvanced!W19)*100</f>
        <v>61.928923399853041</v>
      </c>
      <c r="M18" s="150">
        <f>(averageadvanced!X19)</f>
        <v>85.621005757276762</v>
      </c>
      <c r="N18" s="150">
        <f>(averageadvanced!Y19)</f>
        <v>109.08161380867402</v>
      </c>
      <c r="O18" s="150">
        <f>(averageadvanced!Z19)</f>
        <v>23.460608051397269</v>
      </c>
      <c r="P18" s="150">
        <v>0</v>
      </c>
      <c r="Q18" s="150">
        <f>(averageadvanced!AB19)</f>
        <v>62.711999999999989</v>
      </c>
      <c r="R18" s="150">
        <f>averageadvanced!D19</f>
        <v>12.4</v>
      </c>
      <c r="S18" t="s">
        <v>122</v>
      </c>
    </row>
    <row r="19" spans="1:19" x14ac:dyDescent="0.55000000000000004">
      <c r="A19">
        <f>'6-6-24 vs Brentwood Academy'!BF3</f>
        <v>0</v>
      </c>
      <c r="B19" t="str">
        <f>'6-6-24 vs Brentwood Academy'!BG3</f>
        <v>Lewis</v>
      </c>
      <c r="C19" s="150">
        <f>('6-6-24 vs Brentwood Academy'!BH3)*100</f>
        <v>0</v>
      </c>
      <c r="D19" s="150">
        <f>('6-6-24 vs Brentwood Academy'!BI3)*100</f>
        <v>0</v>
      </c>
      <c r="E19" s="150">
        <f>('6-6-24 vs Brentwood Academy'!BJ3)*100</f>
        <v>14.391005621486574</v>
      </c>
      <c r="F19" s="150">
        <f>('6-6-24 vs Brentwood Academy'!BK3)*100</f>
        <v>0</v>
      </c>
      <c r="G19" s="150">
        <f>'6-6-24 vs Brentwood Academy'!BL3</f>
        <v>0</v>
      </c>
      <c r="H19" s="150">
        <f>'6-6-24 vs Brentwood Academy'!BM3</f>
        <v>0</v>
      </c>
      <c r="I19" s="150">
        <f>'6-6-24 vs Brentwood Academy'!BN3</f>
        <v>0</v>
      </c>
      <c r="J19" s="150">
        <f>('6-6-24 vs Brentwood Academy'!BO3)*100</f>
        <v>22.857142857142854</v>
      </c>
      <c r="K19" s="150">
        <f>('6-6-24 vs Brentwood Academy'!BP3)*100</f>
        <v>0</v>
      </c>
      <c r="L19" s="150">
        <f>('6-6-24 vs Brentwood Academy'!BQ3)*100</f>
        <v>13.061224489795913</v>
      </c>
      <c r="M19" s="150">
        <f>'6-6-24 vs Brentwood Academy'!BR3</f>
        <v>36.065376527345705</v>
      </c>
      <c r="N19" s="150">
        <f>'6-6-24 vs Brentwood Academy'!BS3</f>
        <v>32.790379675049259</v>
      </c>
      <c r="O19" s="150">
        <f>'6-6-24 vs Brentwood Academy'!BT3</f>
        <v>-3.2749968522964465</v>
      </c>
      <c r="P19" s="150">
        <f>('6-6-24 vs Brentwood Academy'!BU3)*100</f>
        <v>0.51282051282051277</v>
      </c>
      <c r="Q19" s="150">
        <f>'6-6-24 vs Brentwood Academy'!BV3</f>
        <v>1.6</v>
      </c>
      <c r="R19" s="150">
        <v>5</v>
      </c>
      <c r="S19" t="s">
        <v>127</v>
      </c>
    </row>
    <row r="20" spans="1:19" x14ac:dyDescent="0.55000000000000004">
      <c r="A20">
        <f>'6-6-24 vs Brentwood Academy'!BF4</f>
        <v>1</v>
      </c>
      <c r="B20" t="str">
        <f>'6-6-24 vs Brentwood Academy'!BG4</f>
        <v>Walker</v>
      </c>
      <c r="C20" s="150">
        <f>('6-6-24 vs Brentwood Academy'!BH4)*100</f>
        <v>20</v>
      </c>
      <c r="D20" s="150">
        <f>('6-6-24 vs Brentwood Academy'!BI4)*100</f>
        <v>31.645569620253163</v>
      </c>
      <c r="E20" s="150">
        <f>('6-6-24 vs Brentwood Academy'!BJ4)*100</f>
        <v>23.392786915585173</v>
      </c>
      <c r="F20" s="150">
        <f>('6-6-24 vs Brentwood Academy'!BK4)*100</f>
        <v>0</v>
      </c>
      <c r="G20" s="150">
        <f>'6-6-24 vs Brentwood Academy'!BL4</f>
        <v>0</v>
      </c>
      <c r="H20" s="150">
        <f>'6-6-24 vs Brentwood Academy'!BM4</f>
        <v>0</v>
      </c>
      <c r="I20" s="150">
        <f>'6-6-24 vs Brentwood Academy'!BN4</f>
        <v>0</v>
      </c>
      <c r="J20" s="150">
        <f>('6-6-24 vs Brentwood Academy'!BO4)*100</f>
        <v>0</v>
      </c>
      <c r="K20" s="150">
        <f>('6-6-24 vs Brentwood Academy'!BP4)*100</f>
        <v>22.574955908289237</v>
      </c>
      <c r="L20" s="150">
        <f>('6-6-24 vs Brentwood Academy'!BQ4)*100</f>
        <v>9.6749811035525308</v>
      </c>
      <c r="M20" s="150">
        <f>'6-6-24 vs Brentwood Academy'!BR4</f>
        <v>105.89822297579292</v>
      </c>
      <c r="N20" s="150">
        <f>'6-6-24 vs Brentwood Academy'!BS4</f>
        <v>96.184607650444846</v>
      </c>
      <c r="O20" s="150">
        <f>'6-6-24 vs Brentwood Academy'!BT4</f>
        <v>-9.7136153253480728</v>
      </c>
      <c r="P20" s="150">
        <f>('6-6-24 vs Brentwood Academy'!BU4)*100</f>
        <v>1.0256410256410255</v>
      </c>
      <c r="Q20" s="150">
        <f>'6-6-24 vs Brentwood Academy'!BV4</f>
        <v>0.11999999999999966</v>
      </c>
      <c r="R20" s="150">
        <v>13.5</v>
      </c>
      <c r="S20" t="s">
        <v>127</v>
      </c>
    </row>
    <row r="21" spans="1:19" x14ac:dyDescent="0.55000000000000004">
      <c r="A21">
        <f>'6-6-24 vs Brentwood Academy'!BF5</f>
        <v>2</v>
      </c>
      <c r="B21" t="str">
        <f>'6-6-24 vs Brentwood Academy'!BG5</f>
        <v>Rivers</v>
      </c>
      <c r="C21" s="150">
        <f>('6-6-24 vs Brentwood Academy'!BH5)*100</f>
        <v>50</v>
      </c>
      <c r="D21" s="150">
        <f>('6-6-24 vs Brentwood Academy'!BI5)*100</f>
        <v>56.306306306306297</v>
      </c>
      <c r="E21" s="150">
        <f>('6-6-24 vs Brentwood Academy'!BJ5)*100</f>
        <v>33.97876327295441</v>
      </c>
      <c r="F21" s="150">
        <f>('6-6-24 vs Brentwood Academy'!BK5)*100</f>
        <v>14.285714285714283</v>
      </c>
      <c r="G21" s="150">
        <f>'6-6-24 vs Brentwood Academy'!BL5</f>
        <v>8.4175084175084167E-2</v>
      </c>
      <c r="H21" s="150">
        <f>'6-6-24 vs Brentwood Academy'!BM5</f>
        <v>0.16835016835016833</v>
      </c>
      <c r="I21" s="150">
        <f>'6-6-24 vs Brentwood Academy'!BN5</f>
        <v>0.5</v>
      </c>
      <c r="J21" s="150">
        <f>('6-6-24 vs Brentwood Academy'!BO5)*100</f>
        <v>0</v>
      </c>
      <c r="K21" s="150">
        <f>('6-6-24 vs Brentwood Academy'!BP5)*100</f>
        <v>19.047619047619044</v>
      </c>
      <c r="L21" s="150">
        <f>('6-6-24 vs Brentwood Academy'!BQ5)*100</f>
        <v>8.1632653061224474</v>
      </c>
      <c r="M21" s="150">
        <f>'6-6-24 vs Brentwood Academy'!BR5</f>
        <v>76.274249728469357</v>
      </c>
      <c r="N21" s="150">
        <f>'6-6-24 vs Brentwood Academy'!BS5</f>
        <v>117.19166623117883</v>
      </c>
      <c r="O21" s="150">
        <f>'6-6-24 vs Brentwood Academy'!BT5</f>
        <v>40.917416502709472</v>
      </c>
      <c r="P21" s="150">
        <f>('6-6-24 vs Brentwood Academy'!BU5)*100</f>
        <v>8.7179487179487172</v>
      </c>
      <c r="Q21" s="150">
        <f>'6-6-24 vs Brentwood Academy'!BV5</f>
        <v>6.16</v>
      </c>
      <c r="R21" s="150">
        <v>16</v>
      </c>
      <c r="S21" t="s">
        <v>127</v>
      </c>
    </row>
    <row r="22" spans="1:19" x14ac:dyDescent="0.55000000000000004">
      <c r="A22">
        <f>'6-6-24 vs Brentwood Academy'!BF6</f>
        <v>3</v>
      </c>
      <c r="B22" t="str">
        <f>'6-6-24 vs Brentwood Academy'!BG6</f>
        <v>Gossett</v>
      </c>
      <c r="C22" s="150">
        <f>('6-6-24 vs Brentwood Academy'!BH6)*100</f>
        <v>75</v>
      </c>
      <c r="D22" s="150">
        <f>('6-6-24 vs Brentwood Academy'!BI6)*100</f>
        <v>75</v>
      </c>
      <c r="E22" s="150">
        <f>('6-6-24 vs Brentwood Academy'!BJ6)*100</f>
        <v>21.198871917172983</v>
      </c>
      <c r="F22" s="150">
        <f>('6-6-24 vs Brentwood Academy'!BK6)*100</f>
        <v>12.030075187969922</v>
      </c>
      <c r="G22" s="150">
        <f>'6-6-24 vs Brentwood Academy'!BL6</f>
        <v>0.125</v>
      </c>
      <c r="H22" s="150">
        <f>'6-6-24 vs Brentwood Academy'!BM6</f>
        <v>0.375</v>
      </c>
      <c r="I22" s="150">
        <f>'6-6-24 vs Brentwood Academy'!BN6</f>
        <v>0.33333333333333331</v>
      </c>
      <c r="J22" s="150">
        <f>('6-6-24 vs Brentwood Academy'!BO6)*100</f>
        <v>0</v>
      </c>
      <c r="K22" s="150">
        <f>('6-6-24 vs Brentwood Academy'!BP6)*100</f>
        <v>9.2352092352092345</v>
      </c>
      <c r="L22" s="150">
        <f>('6-6-24 vs Brentwood Academy'!BQ6)*100</f>
        <v>3.9579468150896711</v>
      </c>
      <c r="M22" s="150">
        <f>'6-6-24 vs Brentwood Academy'!BR6</f>
        <v>98.798272073278</v>
      </c>
      <c r="N22" s="150">
        <f>'6-6-24 vs Brentwood Academy'!BS6</f>
        <v>88.225952104912082</v>
      </c>
      <c r="O22" s="150">
        <f>'6-6-24 vs Brentwood Academy'!BT6</f>
        <v>-10.572319968365917</v>
      </c>
      <c r="P22" s="150">
        <f>('6-6-24 vs Brentwood Academy'!BU6)*100</f>
        <v>4.1025641025641022</v>
      </c>
      <c r="Q22" s="150">
        <f>'6-6-24 vs Brentwood Academy'!BV6</f>
        <v>2.6399999999999997</v>
      </c>
      <c r="R22" s="150">
        <v>16.5</v>
      </c>
      <c r="S22" t="s">
        <v>127</v>
      </c>
    </row>
    <row r="23" spans="1:19" x14ac:dyDescent="0.55000000000000004">
      <c r="A23">
        <f>'6-6-24 vs Brentwood Academy'!BF7</f>
        <v>4</v>
      </c>
      <c r="B23" t="str">
        <f>'6-6-24 vs Brentwood Academy'!BG7</f>
        <v>Stapler</v>
      </c>
      <c r="C23" s="150">
        <f>('6-6-24 vs Brentwood Academy'!BH7)*100</f>
        <v>100</v>
      </c>
      <c r="D23" s="150">
        <f>('6-6-24 vs Brentwood Academy'!BI7)*100</f>
        <v>102.45901639344261</v>
      </c>
      <c r="E23" s="150">
        <f>('6-6-24 vs Brentwood Academy'!BJ7)*100</f>
        <v>17.417685375211921</v>
      </c>
      <c r="F23" s="150">
        <f>('6-6-24 vs Brentwood Academy'!BK7)*100</f>
        <v>0</v>
      </c>
      <c r="G23" s="150">
        <f>'6-6-24 vs Brentwood Academy'!BL7</f>
        <v>0</v>
      </c>
      <c r="H23" s="150">
        <f>'6-6-24 vs Brentwood Academy'!BM7</f>
        <v>0</v>
      </c>
      <c r="I23" s="150">
        <f>'6-6-24 vs Brentwood Academy'!BN7</f>
        <v>0</v>
      </c>
      <c r="J23" s="150">
        <f>('6-6-24 vs Brentwood Academy'!BO7)*100</f>
        <v>8.1632653061224492</v>
      </c>
      <c r="K23" s="150">
        <f>('6-6-24 vs Brentwood Academy'!BP7)*100</f>
        <v>0</v>
      </c>
      <c r="L23" s="150">
        <f>('6-6-24 vs Brentwood Academy'!BQ7)*100</f>
        <v>4.6647230320699702</v>
      </c>
      <c r="M23" s="150">
        <f>'6-6-24 vs Brentwood Academy'!BR7</f>
        <v>99.935250658182525</v>
      </c>
      <c r="N23" s="150">
        <f>'6-6-24 vs Brentwood Academy'!BS7</f>
        <v>219.88458379737378</v>
      </c>
      <c r="O23" s="150">
        <f>'6-6-24 vs Brentwood Academy'!BT7</f>
        <v>119.94933313919125</v>
      </c>
      <c r="P23" s="150">
        <f>('6-6-24 vs Brentwood Academy'!BU7)*100</f>
        <v>10.76923076923077</v>
      </c>
      <c r="Q23" s="150">
        <f>'6-6-24 vs Brentwood Academy'!BV7</f>
        <v>7.43</v>
      </c>
      <c r="R23" s="150">
        <v>14</v>
      </c>
      <c r="S23" t="s">
        <v>127</v>
      </c>
    </row>
    <row r="24" spans="1:19" x14ac:dyDescent="0.55000000000000004">
      <c r="A24">
        <f>'6-6-24 vs Brentwood Academy'!BF8</f>
        <v>5</v>
      </c>
      <c r="B24" t="str">
        <f>'6-6-24 vs Brentwood Academy'!BG8</f>
        <v>JD</v>
      </c>
      <c r="C24" s="150">
        <f>('6-6-24 vs Brentwood Academy'!BH8)*100</f>
        <v>66.666666666666657</v>
      </c>
      <c r="D24" s="150">
        <f>('6-6-24 vs Brentwood Academy'!BI8)*100</f>
        <v>58.139534883720934</v>
      </c>
      <c r="E24" s="150">
        <f>('6-6-24 vs Brentwood Academy'!BJ8)*100</f>
        <v>16.434173086265531</v>
      </c>
      <c r="F24" s="150">
        <f>('6-6-24 vs Brentwood Academy'!BK8)*100</f>
        <v>77.669902912621339</v>
      </c>
      <c r="G24" s="150">
        <f>'6-6-24 vs Brentwood Academy'!BL8</f>
        <v>0.52966101694915257</v>
      </c>
      <c r="H24" s="150">
        <f>'6-6-24 vs Brentwood Academy'!BM8</f>
        <v>0.10593220338983052</v>
      </c>
      <c r="I24" s="150">
        <f>'6-6-24 vs Brentwood Academy'!BN8</f>
        <v>5</v>
      </c>
      <c r="J24" s="150">
        <f>('6-6-24 vs Brentwood Academy'!BO8)*100</f>
        <v>25.396825396825395</v>
      </c>
      <c r="K24" s="150">
        <f>('6-6-24 vs Brentwood Academy'!BP8)*100</f>
        <v>11.287477954144618</v>
      </c>
      <c r="L24" s="150">
        <f>('6-6-24 vs Brentwood Academy'!BQ8)*100</f>
        <v>19.349962207105062</v>
      </c>
      <c r="M24" s="150">
        <f>'6-6-24 vs Brentwood Academy'!BR8</f>
        <v>81.061103559656289</v>
      </c>
      <c r="N24" s="150">
        <f>'6-6-24 vs Brentwood Academy'!BS8</f>
        <v>160.76317780692625</v>
      </c>
      <c r="O24" s="150">
        <f>'6-6-24 vs Brentwood Academy'!BT8</f>
        <v>79.702074247269962</v>
      </c>
      <c r="P24" s="150">
        <f>('6-6-24 vs Brentwood Academy'!BU8)*100</f>
        <v>10.76923076923077</v>
      </c>
      <c r="Q24" s="150">
        <f>'6-6-24 vs Brentwood Academy'!BV8</f>
        <v>11.1</v>
      </c>
      <c r="R24" s="150">
        <v>13.5</v>
      </c>
      <c r="S24" t="s">
        <v>127</v>
      </c>
    </row>
    <row r="25" spans="1:19" x14ac:dyDescent="0.55000000000000004">
      <c r="A25">
        <f>'6-6-24 vs Brentwood Academy'!BF9</f>
        <v>10</v>
      </c>
      <c r="B25" t="str">
        <f>'6-6-24 vs Brentwood Academy'!BG9</f>
        <v>Mason</v>
      </c>
      <c r="C25" s="150">
        <f>('6-6-24 vs Brentwood Academy'!BH9)*100</f>
        <v>40</v>
      </c>
      <c r="D25" s="150">
        <f>('6-6-24 vs Brentwood Academy'!BI9)*100</f>
        <v>51.020408163265309</v>
      </c>
      <c r="E25" s="150">
        <f>('6-6-24 vs Brentwood Academy'!BJ9)*100</f>
        <v>32.64626275244639</v>
      </c>
      <c r="F25" s="150">
        <f>('6-6-24 vs Brentwood Academy'!BK9)*100</f>
        <v>0</v>
      </c>
      <c r="G25" s="150">
        <f>'6-6-24 vs Brentwood Academy'!BL9</f>
        <v>0</v>
      </c>
      <c r="H25" s="150">
        <f>'6-6-24 vs Brentwood Academy'!BM9</f>
        <v>0</v>
      </c>
      <c r="I25" s="150">
        <f>'6-6-24 vs Brentwood Academy'!BN9</f>
        <v>0</v>
      </c>
      <c r="J25" s="150">
        <f>('6-6-24 vs Brentwood Academy'!BO9)*100</f>
        <v>12.698412698412694</v>
      </c>
      <c r="K25" s="150">
        <f>('6-6-24 vs Brentwood Academy'!BP9)*100</f>
        <v>50.793650793650791</v>
      </c>
      <c r="L25" s="150">
        <f>('6-6-24 vs Brentwood Academy'!BQ9)*100</f>
        <v>29.024943310657591</v>
      </c>
      <c r="M25" s="150">
        <f>'6-6-24 vs Brentwood Academy'!BR9</f>
        <v>74.397486155326945</v>
      </c>
      <c r="N25" s="150">
        <f>'6-6-24 vs Brentwood Academy'!BS9</f>
        <v>140.56478560193523</v>
      </c>
      <c r="O25" s="150">
        <f>'6-6-24 vs Brentwood Academy'!BT9</f>
        <v>66.167299446608283</v>
      </c>
      <c r="P25" s="150">
        <f>('6-6-24 vs Brentwood Academy'!BU9)*100</f>
        <v>7.6923076923076925</v>
      </c>
      <c r="Q25" s="150">
        <f>'6-6-24 vs Brentwood Academy'!BV9</f>
        <v>5.77</v>
      </c>
      <c r="R25" s="150">
        <v>9</v>
      </c>
      <c r="S25" t="s">
        <v>127</v>
      </c>
    </row>
    <row r="26" spans="1:19" x14ac:dyDescent="0.55000000000000004">
      <c r="A26">
        <f>'6-6-24 vs Brentwood Academy'!BF10</f>
        <v>11</v>
      </c>
      <c r="B26" t="str">
        <f>'6-6-24 vs Brentwood Academy'!BG10</f>
        <v>Pannell</v>
      </c>
      <c r="C26" s="150">
        <f>('6-6-24 vs Brentwood Academy'!BH10)*100</f>
        <v>100</v>
      </c>
      <c r="D26" s="150">
        <f>('6-6-24 vs Brentwood Academy'!BI10)*100</f>
        <v>69.444444444444443</v>
      </c>
      <c r="E26" s="150">
        <f>('6-6-24 vs Brentwood Academy'!BJ10)*100</f>
        <v>9.7539038101186772</v>
      </c>
      <c r="F26" s="150">
        <f>('6-6-24 vs Brentwood Academy'!BK10)*100</f>
        <v>29.357798165137609</v>
      </c>
      <c r="G26" s="150">
        <f>'6-6-24 vs Brentwood Academy'!BL10</f>
        <v>0.45045045045045051</v>
      </c>
      <c r="H26" s="150">
        <f>'6-6-24 vs Brentwood Academy'!BM10</f>
        <v>0.22522522522522526</v>
      </c>
      <c r="I26" s="150">
        <f>'6-6-24 vs Brentwood Academy'!BN10</f>
        <v>2</v>
      </c>
      <c r="J26" s="150">
        <f>('6-6-24 vs Brentwood Academy'!BO10)*100</f>
        <v>18.285714285714285</v>
      </c>
      <c r="K26" s="150">
        <f>('6-6-24 vs Brentwood Academy'!BP10)*100</f>
        <v>12.190476190476188</v>
      </c>
      <c r="L26" s="150">
        <f>('6-6-24 vs Brentwood Academy'!BQ10)*100</f>
        <v>15.673469387755098</v>
      </c>
      <c r="M26" s="150">
        <f>'6-6-24 vs Brentwood Academy'!BR10</f>
        <v>85.590126655891098</v>
      </c>
      <c r="N26" s="150">
        <f>'6-6-24 vs Brentwood Academy'!BS10</f>
        <v>122.01412296696041</v>
      </c>
      <c r="O26" s="150">
        <f>'6-6-24 vs Brentwood Academy'!BT10</f>
        <v>36.423996311069317</v>
      </c>
      <c r="P26" s="150">
        <f>('6-6-24 vs Brentwood Academy'!BU10)*100</f>
        <v>5.6410256410256414</v>
      </c>
      <c r="Q26" s="150">
        <f>'6-6-24 vs Brentwood Academy'!BV10</f>
        <v>6.6</v>
      </c>
      <c r="R26" s="150">
        <v>12.5</v>
      </c>
      <c r="S26" t="s">
        <v>127</v>
      </c>
    </row>
    <row r="27" spans="1:19" x14ac:dyDescent="0.55000000000000004">
      <c r="A27">
        <f>'6-6-24 vs Brentwood Academy'!BF11</f>
        <v>12</v>
      </c>
      <c r="B27" t="str">
        <f>'6-6-24 vs Brentwood Academy'!BG11</f>
        <v>Chapman</v>
      </c>
      <c r="C27" s="150">
        <f>('6-6-24 vs Brentwood Academy'!BH11)*100</f>
        <v>0</v>
      </c>
      <c r="D27" s="150">
        <f>('6-6-24 vs Brentwood Academy'!BI11)*100</f>
        <v>0</v>
      </c>
      <c r="E27" s="150">
        <f>('6-6-24 vs Brentwood Academy'!BJ11)*100</f>
        <v>13.32500520508016</v>
      </c>
      <c r="F27" s="150">
        <f>('6-6-24 vs Brentwood Academy'!BK11)*100</f>
        <v>0</v>
      </c>
      <c r="G27" s="150">
        <f>'6-6-24 vs Brentwood Academy'!BL11</f>
        <v>0</v>
      </c>
      <c r="H27" s="150">
        <f>'6-6-24 vs Brentwood Academy'!BM11</f>
        <v>0</v>
      </c>
      <c r="I27" s="150">
        <f>'6-6-24 vs Brentwood Academy'!BN11</f>
        <v>0</v>
      </c>
      <c r="J27" s="150">
        <f>('6-6-24 vs Brentwood Academy'!BO11)*100</f>
        <v>30.476190476190467</v>
      </c>
      <c r="K27" s="150">
        <f>('6-6-24 vs Brentwood Academy'!BP11)*100</f>
        <v>0</v>
      </c>
      <c r="L27" s="150">
        <f>('6-6-24 vs Brentwood Academy'!BQ11)*100</f>
        <v>17.414965986394552</v>
      </c>
      <c r="M27" s="150">
        <f>'6-6-24 vs Brentwood Academy'!BR11</f>
        <v>61.983586319569319</v>
      </c>
      <c r="N27" s="150">
        <f>'6-6-24 vs Brentwood Academy'!BS11</f>
        <v>55.724566901657404</v>
      </c>
      <c r="O27" s="150">
        <f>'6-6-24 vs Brentwood Academy'!BT11</f>
        <v>-6.2590194179119152</v>
      </c>
      <c r="P27" s="150">
        <f>('6-6-24 vs Brentwood Academy'!BU11)*100</f>
        <v>0.51282051282051277</v>
      </c>
      <c r="Q27" s="150">
        <f>'6-6-24 vs Brentwood Academy'!BV11</f>
        <v>1.1599999999999999</v>
      </c>
      <c r="R27" s="150">
        <v>3.75</v>
      </c>
      <c r="S27" t="s">
        <v>127</v>
      </c>
    </row>
    <row r="28" spans="1:19" x14ac:dyDescent="0.55000000000000004">
      <c r="A28">
        <f>'6-6-24 vs Brentwood Academy'!BF12</f>
        <v>24</v>
      </c>
      <c r="B28" t="str">
        <f>'6-6-24 vs Brentwood Academy'!BG12</f>
        <v>Carney</v>
      </c>
      <c r="C28" s="150">
        <f>('6-6-24 vs Brentwood Academy'!BH12)*100</f>
        <v>100</v>
      </c>
      <c r="D28" s="150">
        <f>('6-6-24 vs Brentwood Academy'!BI12)*100</f>
        <v>106.38297872340425</v>
      </c>
      <c r="E28" s="150">
        <f>('6-6-24 vs Brentwood Academy'!BJ12)*100</f>
        <v>16.733727466844854</v>
      </c>
      <c r="F28" s="150">
        <f>('6-6-24 vs Brentwood Academy'!BK12)*100</f>
        <v>22.857142857142854</v>
      </c>
      <c r="G28" s="150">
        <f>'6-6-24 vs Brentwood Academy'!BL12</f>
        <v>0.25773195876288663</v>
      </c>
      <c r="H28" s="150">
        <f>'6-6-24 vs Brentwood Academy'!BM12</f>
        <v>0.25773195876288663</v>
      </c>
      <c r="I28" s="150">
        <f>'6-6-24 vs Brentwood Academy'!BN12</f>
        <v>1</v>
      </c>
      <c r="J28" s="150">
        <f>('6-6-24 vs Brentwood Academy'!BO12)*100</f>
        <v>0</v>
      </c>
      <c r="K28" s="150">
        <f>('6-6-24 vs Brentwood Academy'!BP12)*100</f>
        <v>0</v>
      </c>
      <c r="L28" s="150">
        <f>('6-6-24 vs Brentwood Academy'!BQ12)*100</f>
        <v>0</v>
      </c>
      <c r="M28" s="150">
        <f>'6-6-24 vs Brentwood Academy'!BR12</f>
        <v>91.216915968937855</v>
      </c>
      <c r="N28" s="150">
        <f>'6-6-24 vs Brentwood Academy'!BS12</f>
        <v>147.69429867077045</v>
      </c>
      <c r="O28" s="150">
        <f>'6-6-24 vs Brentwood Academy'!BT12</f>
        <v>56.477382701832596</v>
      </c>
      <c r="P28" s="150">
        <f>('6-6-24 vs Brentwood Academy'!BU12)*100</f>
        <v>5.1282051282051277</v>
      </c>
      <c r="Q28" s="150">
        <f>'6-6-24 vs Brentwood Academy'!BV12</f>
        <v>2.95</v>
      </c>
      <c r="R28" s="150">
        <v>8.6</v>
      </c>
      <c r="S28" t="s">
        <v>127</v>
      </c>
    </row>
    <row r="29" spans="1:19" x14ac:dyDescent="0.55000000000000004">
      <c r="A29">
        <f>'6-6-24 vs Brentwood Academy'!BF13</f>
        <v>30</v>
      </c>
      <c r="B29" t="str">
        <f>'6-6-24 vs Brentwood Academy'!BG13</f>
        <v>Bowman</v>
      </c>
      <c r="C29" s="150">
        <f>('6-6-24 vs Brentwood Academy'!BH13)*100</f>
        <v>44.444444444444443</v>
      </c>
      <c r="D29" s="150">
        <f>('6-6-24 vs Brentwood Academy'!BI13)*100</f>
        <v>42.372881355932208</v>
      </c>
      <c r="E29" s="150">
        <f>('6-6-24 vs Brentwood Academy'!BJ13)*100</f>
        <v>27.424720015106839</v>
      </c>
      <c r="F29" s="150">
        <f>('6-6-24 vs Brentwood Academy'!BK13)*100</f>
        <v>14.814814814814811</v>
      </c>
      <c r="G29" s="150">
        <f>'6-6-24 vs Brentwood Academy'!BL13</f>
        <v>9.5785440613026823E-2</v>
      </c>
      <c r="H29" s="150">
        <f>'6-6-24 vs Brentwood Academy'!BM13</f>
        <v>0</v>
      </c>
      <c r="I29" s="150">
        <f>'6-6-24 vs Brentwood Academy'!BN13</f>
        <v>0</v>
      </c>
      <c r="J29" s="150">
        <f>('6-6-24 vs Brentwood Academy'!BO13)*100</f>
        <v>19.933554817275745</v>
      </c>
      <c r="K29" s="150">
        <f>('6-6-24 vs Brentwood Academy'!BP13)*100</f>
        <v>17.718715393133998</v>
      </c>
      <c r="L29" s="150">
        <f>('6-6-24 vs Brentwood Academy'!BQ13)*100</f>
        <v>18.984337921214994</v>
      </c>
      <c r="M29" s="150">
        <f>'6-6-24 vs Brentwood Academy'!BR13</f>
        <v>96.300782475371435</v>
      </c>
      <c r="N29" s="150">
        <f>'6-6-24 vs Brentwood Academy'!BS13</f>
        <v>126.8141813488723</v>
      </c>
      <c r="O29" s="150">
        <f>'6-6-24 vs Brentwood Academy'!BT13</f>
        <v>30.513398873500861</v>
      </c>
      <c r="P29" s="150">
        <f>('6-6-24 vs Brentwood Academy'!BU13)*100</f>
        <v>7.6923076923076925</v>
      </c>
      <c r="Q29" s="150">
        <f>'6-6-24 vs Brentwood Academy'!BV13</f>
        <v>7.3299999999999992</v>
      </c>
      <c r="R29" s="150">
        <v>17.2</v>
      </c>
      <c r="S29" t="s">
        <v>127</v>
      </c>
    </row>
    <row r="30" spans="1:19" x14ac:dyDescent="0.55000000000000004">
      <c r="A30">
        <f>'6-6-24 vs Brentwood Academy'!BF14</f>
        <v>32</v>
      </c>
      <c r="B30" t="str">
        <f>'6-6-24 vs Brentwood Academy'!BG14</f>
        <v>Turner</v>
      </c>
      <c r="C30" s="150">
        <f>('6-6-24 vs Brentwood Academy'!BH14)*100</f>
        <v>0</v>
      </c>
      <c r="D30" s="150">
        <f>('6-6-24 vs Brentwood Academy'!BI14)*100</f>
        <v>0</v>
      </c>
      <c r="E30" s="150">
        <f>('6-6-24 vs Brentwood Academy'!BJ14)*100</f>
        <v>0</v>
      </c>
      <c r="F30" s="150">
        <f>('6-6-24 vs Brentwood Academy'!BK14)*100</f>
        <v>0</v>
      </c>
      <c r="G30" s="150">
        <f>'6-6-24 vs Brentwood Academy'!BL14</f>
        <v>0</v>
      </c>
      <c r="H30" s="150">
        <f>'6-6-24 vs Brentwood Academy'!BM14</f>
        <v>0</v>
      </c>
      <c r="I30" s="150">
        <f>'6-6-24 vs Brentwood Academy'!BN14</f>
        <v>0</v>
      </c>
      <c r="J30" s="150">
        <f>('6-6-24 vs Brentwood Academy'!BO14)*100</f>
        <v>30.476190476190467</v>
      </c>
      <c r="K30" s="150">
        <f>('6-6-24 vs Brentwood Academy'!BP14)*100</f>
        <v>0</v>
      </c>
      <c r="L30" s="150">
        <f>('6-6-24 vs Brentwood Academy'!BQ14)*100</f>
        <v>17.414965986394552</v>
      </c>
      <c r="M30" s="150">
        <f>'6-6-24 vs Brentwood Academy'!BR14</f>
        <v>113.82000590401663</v>
      </c>
      <c r="N30" s="150">
        <f>'6-6-24 vs Brentwood Academy'!BS14</f>
        <v>219.60784313725492</v>
      </c>
      <c r="O30" s="150">
        <f>'6-6-24 vs Brentwood Academy'!BT14</f>
        <v>105.78783723323829</v>
      </c>
      <c r="P30" s="150">
        <f>('6-6-24 vs Brentwood Academy'!BU14)*100</f>
        <v>0.51282051282051277</v>
      </c>
      <c r="Q30" s="150">
        <f>'6-6-24 vs Brentwood Academy'!BV14</f>
        <v>1</v>
      </c>
      <c r="R30" s="150">
        <v>3.75</v>
      </c>
      <c r="S30" t="s">
        <v>127</v>
      </c>
    </row>
    <row r="31" spans="1:19" x14ac:dyDescent="0.55000000000000004">
      <c r="A31">
        <f>'6-6-24 vs Brentwood Academy'!BF15</f>
        <v>33</v>
      </c>
      <c r="B31" t="str">
        <f>'6-6-24 vs Brentwood Academy'!BG15</f>
        <v>Bellomy</v>
      </c>
      <c r="C31" s="150">
        <f>('6-6-24 vs Brentwood Academy'!BH15)*100</f>
        <v>0</v>
      </c>
      <c r="D31" s="150">
        <f>('6-6-24 vs Brentwood Academy'!BI15)*100</f>
        <v>0</v>
      </c>
      <c r="E31" s="150">
        <f>('6-6-24 vs Brentwood Academy'!BJ15)*100</f>
        <v>16.6562565063502</v>
      </c>
      <c r="F31" s="150">
        <f>('6-6-24 vs Brentwood Academy'!BK15)*100</f>
        <v>26.666666666666661</v>
      </c>
      <c r="G31" s="150">
        <f>'6-6-24 vs Brentwood Academy'!BL15</f>
        <v>0.33333333333333331</v>
      </c>
      <c r="H31" s="150">
        <f>'6-6-24 vs Brentwood Academy'!BM15</f>
        <v>0</v>
      </c>
      <c r="I31" s="150">
        <f>'6-6-24 vs Brentwood Academy'!BN15</f>
        <v>0</v>
      </c>
      <c r="J31" s="150">
        <f>('6-6-24 vs Brentwood Academy'!BO15)*100</f>
        <v>19.047619047619044</v>
      </c>
      <c r="K31" s="150">
        <f>('6-6-24 vs Brentwood Academy'!BP15)*100</f>
        <v>0</v>
      </c>
      <c r="L31" s="150">
        <f>('6-6-24 vs Brentwood Academy'!BQ15)*100</f>
        <v>10.884353741496597</v>
      </c>
      <c r="M31" s="150">
        <f>'6-6-24 vs Brentwood Academy'!BR15</f>
        <v>113.82000590401663</v>
      </c>
      <c r="N31" s="150">
        <f>'6-6-24 vs Brentwood Academy'!BS15</f>
        <v>84.651336774010019</v>
      </c>
      <c r="O31" s="150">
        <f>'6-6-24 vs Brentwood Academy'!BT15</f>
        <v>-29.168669130006606</v>
      </c>
      <c r="P31" s="150">
        <f>('6-6-24 vs Brentwood Academy'!BU15)*100</f>
        <v>-0.51282051282051277</v>
      </c>
      <c r="Q31" s="150">
        <f>'6-6-24 vs Brentwood Academy'!BV15</f>
        <v>0.40999999999999992</v>
      </c>
      <c r="R31" s="150">
        <v>6</v>
      </c>
      <c r="S31" t="s">
        <v>127</v>
      </c>
    </row>
    <row r="32" spans="1:19" x14ac:dyDescent="0.55000000000000004">
      <c r="A32">
        <f>'6-6-24 vs Brentwood Academy'!BF16</f>
        <v>34</v>
      </c>
      <c r="B32" t="str">
        <f>'6-6-24 vs Brentwood Academy'!BG16</f>
        <v>Toms</v>
      </c>
      <c r="C32" s="150">
        <f>('6-6-24 vs Brentwood Academy'!BH16)*100</f>
        <v>33.333333333333329</v>
      </c>
      <c r="D32" s="150">
        <f>('6-6-24 vs Brentwood Academy'!BI16)*100</f>
        <v>29.069767441860467</v>
      </c>
      <c r="E32" s="150">
        <f>('6-6-24 vs Brentwood Academy'!BJ16)*100</f>
        <v>15.847238333184615</v>
      </c>
      <c r="F32" s="150">
        <f>('6-6-24 vs Brentwood Academy'!BK16)*100</f>
        <v>0</v>
      </c>
      <c r="G32" s="150">
        <f>'6-6-24 vs Brentwood Academy'!BL16</f>
        <v>0</v>
      </c>
      <c r="H32" s="150">
        <f>'6-6-24 vs Brentwood Academy'!BM16</f>
        <v>0.22522522522522526</v>
      </c>
      <c r="I32" s="150">
        <f>'6-6-24 vs Brentwood Academy'!BN16</f>
        <v>0</v>
      </c>
      <c r="J32" s="150">
        <f>('6-6-24 vs Brentwood Academy'!BO16)*100</f>
        <v>8.1632653061224492</v>
      </c>
      <c r="K32" s="150">
        <f>('6-6-24 vs Brentwood Academy'!BP16)*100</f>
        <v>10.884353741496597</v>
      </c>
      <c r="L32" s="150">
        <f>('6-6-24 vs Brentwood Academy'!BQ16)*100</f>
        <v>9.3294460641399404</v>
      </c>
      <c r="M32" s="150">
        <f>'6-6-24 vs Brentwood Academy'!BR16</f>
        <v>110.00057484933734</v>
      </c>
      <c r="N32" s="150">
        <f>'6-6-24 vs Brentwood Academy'!BS16</f>
        <v>60.083826482633604</v>
      </c>
      <c r="O32" s="150">
        <f>'6-6-24 vs Brentwood Academy'!BT16</f>
        <v>-49.916748366703736</v>
      </c>
      <c r="P32" s="150">
        <f>('6-6-24 vs Brentwood Academy'!BU16)*100</f>
        <v>-0.51282051282051277</v>
      </c>
      <c r="Q32" s="150">
        <f>'6-6-24 vs Brentwood Academy'!BV16</f>
        <v>9.9999999999997868E-3</v>
      </c>
      <c r="R32" s="150">
        <v>14</v>
      </c>
      <c r="S32" t="s">
        <v>127</v>
      </c>
    </row>
    <row r="33" spans="1:19" x14ac:dyDescent="0.55000000000000004">
      <c r="A33">
        <f>'6-6-24 vs Brentwood Academy'!BF17</f>
        <v>55</v>
      </c>
      <c r="B33" t="str">
        <f>'6-6-24 vs Brentwood Academy'!BG17</f>
        <v>Baker</v>
      </c>
      <c r="C33" s="150">
        <f>('6-6-24 vs Brentwood Academy'!BH17)*100</f>
        <v>0</v>
      </c>
      <c r="D33" s="150">
        <f>('6-6-24 vs Brentwood Academy'!BI17)*100</f>
        <v>0</v>
      </c>
      <c r="E33" s="150">
        <f>('6-6-24 vs Brentwood Academy'!BJ17)*100</f>
        <v>7.4580253013508351</v>
      </c>
      <c r="F33" s="150">
        <f>('6-6-24 vs Brentwood Academy'!BK17)*100</f>
        <v>23.880597014925367</v>
      </c>
      <c r="G33" s="150">
        <f>'6-6-24 vs Brentwood Academy'!BL17</f>
        <v>0.5</v>
      </c>
      <c r="H33" s="150">
        <f>'6-6-24 vs Brentwood Academy'!BM17</f>
        <v>0</v>
      </c>
      <c r="I33" s="150">
        <f>'6-6-24 vs Brentwood Academy'!BN17</f>
        <v>0</v>
      </c>
      <c r="J33" s="150">
        <f>('6-6-24 vs Brentwood Academy'!BO17)*100</f>
        <v>0</v>
      </c>
      <c r="K33" s="150">
        <f>('6-6-24 vs Brentwood Academy'!BP17)*100</f>
        <v>68.230277185501052</v>
      </c>
      <c r="L33" s="150">
        <f>('6-6-24 vs Brentwood Academy'!BQ17)*100</f>
        <v>29.241547365214736</v>
      </c>
      <c r="M33" s="150">
        <f>'6-6-24 vs Brentwood Academy'!BR17</f>
        <v>89.877303770206211</v>
      </c>
      <c r="N33" s="150">
        <f>'6-6-24 vs Brentwood Academy'!BS17</f>
        <v>108.35737444711764</v>
      </c>
      <c r="O33" s="150">
        <f>'6-6-24 vs Brentwood Academy'!BT17</f>
        <v>18.480070676911424</v>
      </c>
      <c r="P33" s="150">
        <f>('6-6-24 vs Brentwood Academy'!BU17)*100</f>
        <v>3.0769230769230771</v>
      </c>
      <c r="Q33" s="150">
        <f>'6-6-24 vs Brentwood Academy'!BV17</f>
        <v>3.25</v>
      </c>
      <c r="R33" s="150">
        <v>6.7</v>
      </c>
      <c r="S33" t="s">
        <v>127</v>
      </c>
    </row>
    <row r="34" spans="1:19" x14ac:dyDescent="0.55000000000000004">
      <c r="A34">
        <f>'6-6-24 vs Brentwood Academy'!BF18</f>
        <v>99</v>
      </c>
      <c r="B34" t="str">
        <f>'6-6-24 vs Brentwood Academy'!BG18</f>
        <v>Team</v>
      </c>
      <c r="C34" s="150">
        <f>('6-6-24 vs Brentwood Academy'!BH18)*100</f>
        <v>47.916666666666671</v>
      </c>
      <c r="D34" s="150">
        <f>('6-6-24 vs Brentwood Academy'!BI18)*100</f>
        <v>50.872093023255815</v>
      </c>
      <c r="E34" s="150">
        <f>('6-6-24 vs Brentwood Academy'!BJ18)*100</f>
        <v>0</v>
      </c>
      <c r="F34" s="150">
        <f>('6-6-24 vs Brentwood Academy'!BK18)*100</f>
        <v>65</v>
      </c>
      <c r="G34" s="150">
        <f>'6-6-24 vs Brentwood Academy'!BL18</f>
        <v>0.20299812617114307</v>
      </c>
      <c r="H34" s="150">
        <f>'6-6-24 vs Brentwood Academy'!BM18</f>
        <v>0.14053716427232982</v>
      </c>
      <c r="I34" s="150">
        <f>'6-6-24 vs Brentwood Academy'!BN18</f>
        <v>1.4444444444444444</v>
      </c>
      <c r="J34" s="150">
        <f>('6-6-24 vs Brentwood Academy'!BO18)*100</f>
        <v>53.571428571428569</v>
      </c>
      <c r="K34" s="150">
        <f>('6-6-24 vs Brentwood Academy'!BP18)*100</f>
        <v>76.19047619047619</v>
      </c>
      <c r="L34" s="150">
        <f>('6-6-24 vs Brentwood Academy'!BQ18)*100</f>
        <v>63.265306122448983</v>
      </c>
      <c r="M34" s="150">
        <f>'6-6-24 vs Brentwood Academy'!BR18</f>
        <v>92.333622384796712</v>
      </c>
      <c r="N34" s="150">
        <f>'6-6-24 vs Brentwood Academy'!BS18</f>
        <v>116.69097728693478</v>
      </c>
      <c r="O34" s="150">
        <f>'6-6-24 vs Brentwood Academy'!BT18</f>
        <v>24.35735490213807</v>
      </c>
      <c r="P34" s="150">
        <v>0</v>
      </c>
      <c r="Q34" s="150">
        <f>'6-6-24 vs Brentwood Academy'!BV18</f>
        <v>57.53</v>
      </c>
      <c r="R34" s="150">
        <v>159.99999999999997</v>
      </c>
      <c r="S34" t="s">
        <v>127</v>
      </c>
    </row>
    <row r="35" spans="1:19" x14ac:dyDescent="0.55000000000000004">
      <c r="A35">
        <f>'6-7-24 vs Chrsistian Brothers'!BF3</f>
        <v>0</v>
      </c>
      <c r="B35" t="str">
        <f>'6-7-24 vs Chrsistian Brothers'!BG3</f>
        <v>Lewis</v>
      </c>
      <c r="C35" s="150">
        <f>('6-7-24 vs Chrsistian Brothers'!BH3)*100</f>
        <v>0</v>
      </c>
      <c r="D35" s="150">
        <f>('6-7-24 vs Chrsistian Brothers'!BI3)*100</f>
        <v>0</v>
      </c>
      <c r="E35" s="150">
        <f>('6-7-24 vs Chrsistian Brothers'!BJ3)*100</f>
        <v>0</v>
      </c>
      <c r="F35" s="150">
        <f>('6-7-24 vs Chrsistian Brothers'!BK3)*100</f>
        <v>0</v>
      </c>
      <c r="G35" s="150">
        <f>'6-7-24 vs Chrsistian Brothers'!BL3</f>
        <v>0</v>
      </c>
      <c r="H35" s="150">
        <f>'6-7-24 vs Chrsistian Brothers'!BM3</f>
        <v>0</v>
      </c>
      <c r="I35" s="150">
        <f>'6-7-24 vs Chrsistian Brothers'!BN3</f>
        <v>0</v>
      </c>
      <c r="J35" s="150">
        <f>('6-7-24 vs Chrsistian Brothers'!BO3)*100</f>
        <v>0</v>
      </c>
      <c r="K35" s="150">
        <f>('6-7-24 vs Chrsistian Brothers'!BP3)*100</f>
        <v>0</v>
      </c>
      <c r="L35" s="150">
        <f>('6-7-24 vs Chrsistian Brothers'!BQ3)*100</f>
        <v>0</v>
      </c>
      <c r="M35" s="150">
        <f>'6-7-24 vs Chrsistian Brothers'!BR3</f>
        <v>106.44073181166726</v>
      </c>
      <c r="N35" s="150">
        <f>'6-7-24 vs Chrsistian Brothers'!BS3</f>
        <v>0</v>
      </c>
      <c r="O35" s="150">
        <f>'6-7-24 vs Chrsistian Brothers'!BT3</f>
        <v>-106.44073181166726</v>
      </c>
      <c r="P35" s="150">
        <f>('6-7-24 vs Chrsistian Brothers'!BU3)*100</f>
        <v>0.8771929824561403</v>
      </c>
      <c r="Q35" s="150">
        <f>'6-7-24 vs Chrsistian Brothers'!BV3</f>
        <v>1</v>
      </c>
      <c r="R35">
        <v>5.33</v>
      </c>
      <c r="S35" t="s">
        <v>133</v>
      </c>
    </row>
    <row r="36" spans="1:19" x14ac:dyDescent="0.55000000000000004">
      <c r="A36">
        <f>'6-7-24 vs Chrsistian Brothers'!BF4</f>
        <v>1</v>
      </c>
      <c r="B36" t="str">
        <f>'6-7-24 vs Chrsistian Brothers'!BG4</f>
        <v>Walker</v>
      </c>
      <c r="C36" s="150">
        <f>('6-7-24 vs Chrsistian Brothers'!BH4)*100</f>
        <v>50</v>
      </c>
      <c r="D36" s="150">
        <f>('6-7-24 vs Chrsistian Brothers'!BI4)*100</f>
        <v>55.668016194331983</v>
      </c>
      <c r="E36" s="150">
        <f>('6-7-24 vs Chrsistian Brothers'!BJ4)*100</f>
        <v>25.25366403607666</v>
      </c>
      <c r="F36" s="150">
        <f>('6-7-24 vs Chrsistian Brothers'!BK4)*100</f>
        <v>27.223215045528036</v>
      </c>
      <c r="G36" s="150">
        <f>'6-7-24 vs Chrsistian Brothers'!BL4</f>
        <v>0.23696682464454974</v>
      </c>
      <c r="H36" s="150">
        <f>'6-7-24 vs Chrsistian Brothers'!BM4</f>
        <v>0.1777251184834123</v>
      </c>
      <c r="I36" s="150">
        <f>'6-7-24 vs Chrsistian Brothers'!BN4</f>
        <v>1.3333333333333333</v>
      </c>
      <c r="J36" s="150">
        <f>('6-7-24 vs Chrsistian Brothers'!BO4)*100</f>
        <v>7.7270531400966167</v>
      </c>
      <c r="K36" s="150">
        <f>('6-7-24 vs Chrsistian Brothers'!BP4)*100</f>
        <v>13.039402173913043</v>
      </c>
      <c r="L36" s="150">
        <f>('6-7-24 vs Chrsistian Brothers'!BQ4)*100</f>
        <v>11.12695652173913</v>
      </c>
      <c r="M36" s="150">
        <f>'6-7-24 vs Chrsistian Brothers'!BR4</f>
        <v>131.61192182188321</v>
      </c>
      <c r="N36" s="150">
        <f>'6-7-24 vs Chrsistian Brothers'!BS4</f>
        <v>126.84100581930058</v>
      </c>
      <c r="O36" s="150">
        <f>'6-7-24 vs Chrsistian Brothers'!BT4</f>
        <v>-4.7709160025826378</v>
      </c>
      <c r="P36" s="150">
        <f>('6-7-24 vs Chrsistian Brothers'!BU4)*100</f>
        <v>9.2105263157894726</v>
      </c>
      <c r="Q36" s="150">
        <f>'6-7-24 vs Chrsistian Brothers'!BV4</f>
        <v>7.77</v>
      </c>
      <c r="R36">
        <v>23</v>
      </c>
      <c r="S36" t="s">
        <v>133</v>
      </c>
    </row>
    <row r="37" spans="1:19" x14ac:dyDescent="0.55000000000000004">
      <c r="A37">
        <f>'6-7-24 vs Chrsistian Brothers'!BF5</f>
        <v>2</v>
      </c>
      <c r="B37" t="str">
        <f>'6-7-24 vs Chrsistian Brothers'!BG5</f>
        <v>Rivers</v>
      </c>
      <c r="C37" s="150">
        <f>('6-7-24 vs Chrsistian Brothers'!BH5)*100</f>
        <v>50</v>
      </c>
      <c r="D37" s="150">
        <f>('6-7-24 vs Chrsistian Brothers'!BI5)*100</f>
        <v>50</v>
      </c>
      <c r="E37" s="150">
        <f>('6-7-24 vs Chrsistian Brothers'!BJ5)*100</f>
        <v>19.13156366369444</v>
      </c>
      <c r="F37" s="150">
        <f>('6-7-24 vs Chrsistian Brothers'!BK5)*100</f>
        <v>19.211482449028615</v>
      </c>
      <c r="G37" s="150">
        <f>'6-7-24 vs Chrsistian Brothers'!BL5</f>
        <v>0.22222222222222221</v>
      </c>
      <c r="H37" s="150">
        <f>'6-7-24 vs Chrsistian Brothers'!BM5</f>
        <v>0</v>
      </c>
      <c r="I37" s="150">
        <f>'6-7-24 vs Chrsistian Brothers'!BN5</f>
        <v>0</v>
      </c>
      <c r="J37" s="150">
        <f>('6-7-24 vs Chrsistian Brothers'!BO5)*100</f>
        <v>0</v>
      </c>
      <c r="K37" s="150">
        <f>('6-7-24 vs Chrsistian Brothers'!BP5)*100</f>
        <v>24.234848484848484</v>
      </c>
      <c r="L37" s="150">
        <f>('6-7-24 vs Chrsistian Brothers'!BQ5)*100</f>
        <v>15.51030303030303</v>
      </c>
      <c r="M37" s="150">
        <f>'6-7-24 vs Chrsistian Brothers'!BR5</f>
        <v>115.62814137787853</v>
      </c>
      <c r="N37" s="150">
        <f>'6-7-24 vs Chrsistian Brothers'!BS5</f>
        <v>158.65879902347706</v>
      </c>
      <c r="O37" s="150">
        <f>'6-7-24 vs Chrsistian Brothers'!BT5</f>
        <v>43.030657645598524</v>
      </c>
      <c r="P37" s="150">
        <f>('6-7-24 vs Chrsistian Brothers'!BU5)*100</f>
        <v>8.7719298245614024</v>
      </c>
      <c r="Q37" s="150">
        <f>'6-7-24 vs Chrsistian Brothers'!BV5</f>
        <v>8.48</v>
      </c>
      <c r="R37">
        <v>16.5</v>
      </c>
      <c r="S37" t="s">
        <v>133</v>
      </c>
    </row>
    <row r="38" spans="1:19" x14ac:dyDescent="0.55000000000000004">
      <c r="A38">
        <f>'6-7-24 vs Chrsistian Brothers'!BF6</f>
        <v>3</v>
      </c>
      <c r="B38" t="str">
        <f>'6-7-24 vs Chrsistian Brothers'!BG6</f>
        <v>Gossett</v>
      </c>
      <c r="C38" s="150">
        <f>('6-7-24 vs Chrsistian Brothers'!BH6)*100</f>
        <v>83.333333333333343</v>
      </c>
      <c r="D38" s="150">
        <f>('6-7-24 vs Chrsistian Brothers'!BI6)*100</f>
        <v>83.333333333333343</v>
      </c>
      <c r="E38" s="150">
        <f>('6-7-24 vs Chrsistian Brothers'!BJ6)*100</f>
        <v>22.132922029865611</v>
      </c>
      <c r="F38" s="150">
        <f>('6-7-24 vs Chrsistian Brothers'!BK6)*100</f>
        <v>0</v>
      </c>
      <c r="G38" s="150">
        <f>'6-7-24 vs Chrsistian Brothers'!BL6</f>
        <v>0</v>
      </c>
      <c r="H38" s="150">
        <f>'6-7-24 vs Chrsistian Brothers'!BM6</f>
        <v>0.25</v>
      </c>
      <c r="I38" s="150">
        <f>'6-7-24 vs Chrsistian Brothers'!BN6</f>
        <v>0</v>
      </c>
      <c r="J38" s="150">
        <f>('6-7-24 vs Chrsistian Brothers'!BO6)*100</f>
        <v>0</v>
      </c>
      <c r="K38" s="150">
        <f>('6-7-24 vs Chrsistian Brothers'!BP6)*100</f>
        <v>12.266104294478525</v>
      </c>
      <c r="L38" s="150">
        <f>('6-7-24 vs Chrsistian Brothers'!BQ6)*100</f>
        <v>7.8503067484662568</v>
      </c>
      <c r="M38" s="150">
        <f>'6-7-24 vs Chrsistian Brothers'!BR6</f>
        <v>131.93903829890374</v>
      </c>
      <c r="N38" s="150">
        <f>'6-7-24 vs Chrsistian Brothers'!BS6</f>
        <v>119.06376560101988</v>
      </c>
      <c r="O38" s="150">
        <f>'6-7-24 vs Chrsistian Brothers'!BT6</f>
        <v>-12.875272697883858</v>
      </c>
      <c r="P38" s="150">
        <f>('6-7-24 vs Chrsistian Brothers'!BU6)*100</f>
        <v>3.5087719298245612</v>
      </c>
      <c r="Q38" s="150">
        <f>'6-7-24 vs Chrsistian Brothers'!BV6</f>
        <v>2.57</v>
      </c>
      <c r="R38">
        <v>8.15</v>
      </c>
      <c r="S38" t="s">
        <v>133</v>
      </c>
    </row>
    <row r="39" spans="1:19" x14ac:dyDescent="0.55000000000000004">
      <c r="A39">
        <f>'6-7-24 vs Chrsistian Brothers'!BF7</f>
        <v>4</v>
      </c>
      <c r="B39" t="str">
        <f>'6-7-24 vs Chrsistian Brothers'!BG7</f>
        <v>Stapler</v>
      </c>
      <c r="C39" s="150">
        <f>('6-7-24 vs Chrsistian Brothers'!BH7)*100</f>
        <v>0</v>
      </c>
      <c r="D39" s="150">
        <f>('6-7-24 vs Chrsistian Brothers'!BI7)*100</f>
        <v>0</v>
      </c>
      <c r="E39" s="150">
        <f>('6-7-24 vs Chrsistian Brothers'!BJ7)*100</f>
        <v>14.348672747770831</v>
      </c>
      <c r="F39" s="150">
        <f>('6-7-24 vs Chrsistian Brothers'!BK7)*100</f>
        <v>27.96328671328671</v>
      </c>
      <c r="G39" s="150">
        <f>'6-7-24 vs Chrsistian Brothers'!BL7</f>
        <v>0.41666666666666669</v>
      </c>
      <c r="H39" s="150">
        <f>'6-7-24 vs Chrsistian Brothers'!BM7</f>
        <v>0.25</v>
      </c>
      <c r="I39" s="150">
        <f>'6-7-24 vs Chrsistian Brothers'!BN7</f>
        <v>1.6666666666666667</v>
      </c>
      <c r="J39" s="150">
        <f>('6-7-24 vs Chrsistian Brothers'!BO7)*100</f>
        <v>0</v>
      </c>
      <c r="K39" s="150">
        <f>('6-7-24 vs Chrsistian Brothers'!BP7)*100</f>
        <v>13.632102272727273</v>
      </c>
      <c r="L39" s="150">
        <f>('6-7-24 vs Chrsistian Brothers'!BQ7)*100</f>
        <v>8.7245454545454546</v>
      </c>
      <c r="M39" s="150">
        <f>'6-7-24 vs Chrsistian Brothers'!BR7</f>
        <v>131.29559891767533</v>
      </c>
      <c r="N39" s="150">
        <f>'6-7-24 vs Chrsistian Brothers'!BS7</f>
        <v>63.929306125301608</v>
      </c>
      <c r="O39" s="150">
        <f>'6-7-24 vs Chrsistian Brothers'!BT7</f>
        <v>-67.366292792373727</v>
      </c>
      <c r="P39" s="150">
        <f>('6-7-24 vs Chrsistian Brothers'!BU7)*100</f>
        <v>0.8771929824561403</v>
      </c>
      <c r="Q39" s="150">
        <f>'6-7-24 vs Chrsistian Brothers'!BV7</f>
        <v>1.8200000000000003</v>
      </c>
      <c r="R39">
        <v>22</v>
      </c>
      <c r="S39" t="s">
        <v>133</v>
      </c>
    </row>
    <row r="40" spans="1:19" x14ac:dyDescent="0.55000000000000004">
      <c r="A40">
        <f>'6-7-24 vs Chrsistian Brothers'!BF8</f>
        <v>5</v>
      </c>
      <c r="B40" t="str">
        <f>'6-7-24 vs Chrsistian Brothers'!BG8</f>
        <v>JD</v>
      </c>
      <c r="C40" s="150">
        <f>('6-7-24 vs Chrsistian Brothers'!BH8)*100</f>
        <v>80</v>
      </c>
      <c r="D40" s="150">
        <f>('6-7-24 vs Chrsistian Brothers'!BI8)*100</f>
        <v>80</v>
      </c>
      <c r="E40" s="150">
        <f>('6-7-24 vs Chrsistian Brothers'!BJ8)*100</f>
        <v>33.827156970164971</v>
      </c>
      <c r="F40" s="150">
        <f>('6-7-24 vs Chrsistian Brothers'!BK8)*100</f>
        <v>21.42235317752629</v>
      </c>
      <c r="G40" s="150">
        <f>'6-7-24 vs Chrsistian Brothers'!BL8</f>
        <v>0.1111111111111111</v>
      </c>
      <c r="H40" s="150">
        <f>'6-7-24 vs Chrsistian Brothers'!BM8</f>
        <v>0.33333333333333331</v>
      </c>
      <c r="I40" s="150">
        <f>'6-7-24 vs Chrsistian Brothers'!BN8</f>
        <v>0.33333333333333331</v>
      </c>
      <c r="J40" s="150">
        <f>('6-7-24 vs Chrsistian Brothers'!BO8)*100</f>
        <v>41.66015523258843</v>
      </c>
      <c r="K40" s="150">
        <f>('6-7-24 vs Chrsistian Brothers'!BP8)*100</f>
        <v>28.120604781997187</v>
      </c>
      <c r="L40" s="150">
        <f>('6-7-24 vs Chrsistian Brothers'!BQ8)*100</f>
        <v>32.994842944210035</v>
      </c>
      <c r="M40" s="150">
        <f>'6-7-24 vs Chrsistian Brothers'!BR8</f>
        <v>100.07995727396616</v>
      </c>
      <c r="N40" s="150">
        <f>'6-7-24 vs Chrsistian Brothers'!BS8</f>
        <v>107.88502283701507</v>
      </c>
      <c r="O40" s="150">
        <f>'6-7-24 vs Chrsistian Brothers'!BT8</f>
        <v>7.8050655630489132</v>
      </c>
      <c r="P40" s="150">
        <f>('6-7-24 vs Chrsistian Brothers'!BU8)*100</f>
        <v>18.859649122807017</v>
      </c>
      <c r="Q40" s="150">
        <f>'6-7-24 vs Chrsistian Brothers'!BV8</f>
        <v>18.41</v>
      </c>
      <c r="R40">
        <v>21.33</v>
      </c>
      <c r="S40" t="s">
        <v>133</v>
      </c>
    </row>
    <row r="41" spans="1:19" x14ac:dyDescent="0.55000000000000004">
      <c r="A41">
        <f>'6-7-24 vs Chrsistian Brothers'!BF9</f>
        <v>10</v>
      </c>
      <c r="B41" t="str">
        <f>'6-7-24 vs Chrsistian Brothers'!BG9</f>
        <v>Mason</v>
      </c>
      <c r="C41" s="150">
        <f>('6-7-24 vs Chrsistian Brothers'!BH9)*100</f>
        <v>150</v>
      </c>
      <c r="D41" s="150">
        <f>('6-7-24 vs Chrsistian Brothers'!BI9)*100</f>
        <v>150</v>
      </c>
      <c r="E41" s="150">
        <f>('6-7-24 vs Chrsistian Brothers'!BJ9)*100</f>
        <v>18.987717320358392</v>
      </c>
      <c r="F41" s="150">
        <f>('6-7-24 vs Chrsistian Brothers'!BK9)*100</f>
        <v>0</v>
      </c>
      <c r="G41" s="150">
        <f>'6-7-24 vs Chrsistian Brothers'!BL9</f>
        <v>0</v>
      </c>
      <c r="H41" s="150">
        <f>'6-7-24 vs Chrsistian Brothers'!BM9</f>
        <v>0.5</v>
      </c>
      <c r="I41" s="150">
        <f>'6-7-24 vs Chrsistian Brothers'!BN9</f>
        <v>0</v>
      </c>
      <c r="J41" s="150">
        <f>('6-7-24 vs Chrsistian Brothers'!BO9)*100</f>
        <v>0</v>
      </c>
      <c r="K41" s="150">
        <f>('6-7-24 vs Chrsistian Brothers'!BP9)*100</f>
        <v>21.046052631578945</v>
      </c>
      <c r="L41" s="150">
        <f>('6-7-24 vs Chrsistian Brothers'!BQ9)*100</f>
        <v>13.469473684210525</v>
      </c>
      <c r="M41" s="150">
        <f>'6-7-24 vs Chrsistian Brothers'!BR9</f>
        <v>127.49247471550684</v>
      </c>
      <c r="N41" s="150">
        <f>'6-7-24 vs Chrsistian Brothers'!BS9</f>
        <v>86.857792050802459</v>
      </c>
      <c r="O41" s="150">
        <f>'6-7-24 vs Chrsistian Brothers'!BT9</f>
        <v>-40.634682664704386</v>
      </c>
      <c r="P41" s="150">
        <f>('6-7-24 vs Chrsistian Brothers'!BU9)*100</f>
        <v>2.6315789473684208</v>
      </c>
      <c r="Q41" s="150">
        <f>'6-7-24 vs Chrsistian Brothers'!BV9</f>
        <v>2.16</v>
      </c>
      <c r="R41">
        <v>4.75</v>
      </c>
      <c r="S41" t="s">
        <v>133</v>
      </c>
    </row>
    <row r="42" spans="1:19" x14ac:dyDescent="0.55000000000000004">
      <c r="A42">
        <f>'6-7-24 vs Chrsistian Brothers'!BF10</f>
        <v>11</v>
      </c>
      <c r="B42" t="str">
        <f>'6-7-24 vs Chrsistian Brothers'!BG10</f>
        <v>Pannell</v>
      </c>
      <c r="C42" s="150">
        <f>('6-7-24 vs Chrsistian Brothers'!BH10)*100</f>
        <v>100</v>
      </c>
      <c r="D42" s="150">
        <f>('6-7-24 vs Chrsistian Brothers'!BI10)*100</f>
        <v>100</v>
      </c>
      <c r="E42" s="150">
        <f>('6-7-24 vs Chrsistian Brothers'!BJ10)*100</f>
        <v>7.124143544368275</v>
      </c>
      <c r="F42" s="150">
        <f>('6-7-24 vs Chrsistian Brothers'!BK10)*100</f>
        <v>0</v>
      </c>
      <c r="G42" s="150">
        <f>'6-7-24 vs Chrsistian Brothers'!BL10</f>
        <v>0</v>
      </c>
      <c r="H42" s="150">
        <f>'6-7-24 vs Chrsistian Brothers'!BM10</f>
        <v>0</v>
      </c>
      <c r="I42" s="150">
        <f>'6-7-24 vs Chrsistian Brothers'!BN10</f>
        <v>0</v>
      </c>
      <c r="J42" s="150">
        <f>('6-7-24 vs Chrsistian Brothers'!BO10)*100</f>
        <v>0</v>
      </c>
      <c r="K42" s="150">
        <f>('6-7-24 vs Chrsistian Brothers'!BP10)*100</f>
        <v>0</v>
      </c>
      <c r="L42" s="150">
        <f>('6-7-24 vs Chrsistian Brothers'!BQ10)*100</f>
        <v>0</v>
      </c>
      <c r="M42" s="150">
        <f>'6-7-24 vs Chrsistian Brothers'!BR10</f>
        <v>138.24657567087829</v>
      </c>
      <c r="N42" s="150">
        <f>'6-7-24 vs Chrsistian Brothers'!BS10</f>
        <v>200</v>
      </c>
      <c r="O42" s="150">
        <f>'6-7-24 vs Chrsistian Brothers'!BT10</f>
        <v>61.753424329121714</v>
      </c>
      <c r="P42" s="150">
        <f>('6-7-24 vs Chrsistian Brothers'!BU10)*100</f>
        <v>1.7543859649122806</v>
      </c>
      <c r="Q42" s="150">
        <f>'6-7-24 vs Chrsistian Brothers'!BV10</f>
        <v>1.25</v>
      </c>
      <c r="R42">
        <v>6.33</v>
      </c>
      <c r="S42" t="s">
        <v>133</v>
      </c>
    </row>
    <row r="43" spans="1:19" x14ac:dyDescent="0.55000000000000004">
      <c r="A43">
        <f>'6-7-24 vs Chrsistian Brothers'!BF11</f>
        <v>12</v>
      </c>
      <c r="B43" t="str">
        <f>'6-7-24 vs Chrsistian Brothers'!BG11</f>
        <v>Chapman</v>
      </c>
      <c r="C43" s="150">
        <f>('6-7-24 vs Chrsistian Brothers'!BH11)*100</f>
        <v>0</v>
      </c>
      <c r="D43" s="150">
        <f>('6-7-24 vs Chrsistian Brothers'!BI11)*100</f>
        <v>0</v>
      </c>
      <c r="E43" s="150">
        <f>('6-7-24 vs Chrsistian Brothers'!BJ11)*100</f>
        <v>14.316136074873389</v>
      </c>
      <c r="F43" s="150">
        <f>('6-7-24 vs Chrsistian Brothers'!BK11)*100</f>
        <v>39.059829059829056</v>
      </c>
      <c r="G43" s="150">
        <f>'6-7-24 vs Chrsistian Brothers'!BL11</f>
        <v>0.5</v>
      </c>
      <c r="H43" s="150">
        <f>'6-7-24 vs Chrsistian Brothers'!BM11</f>
        <v>0.5</v>
      </c>
      <c r="I43" s="150">
        <f>'6-7-24 vs Chrsistian Brothers'!BN11</f>
        <v>1</v>
      </c>
      <c r="J43" s="150">
        <f>('6-7-24 vs Chrsistian Brothers'!BO11)*100</f>
        <v>0</v>
      </c>
      <c r="K43" s="150">
        <f>('6-7-24 vs Chrsistian Brothers'!BP11)*100</f>
        <v>0</v>
      </c>
      <c r="L43" s="150">
        <f>('6-7-24 vs Chrsistian Brothers'!BQ11)*100</f>
        <v>0</v>
      </c>
      <c r="M43" s="150">
        <f>'6-7-24 vs Chrsistian Brothers'!BR11</f>
        <v>84.223068414766828</v>
      </c>
      <c r="N43" s="150">
        <f>'6-7-24 vs Chrsistian Brothers'!BS11</f>
        <v>56.433576746182709</v>
      </c>
      <c r="O43" s="150">
        <f>'6-7-24 vs Chrsistian Brothers'!BT11</f>
        <v>-27.78949166858412</v>
      </c>
      <c r="P43" s="150">
        <f>('6-7-24 vs Chrsistian Brothers'!BU11)*100</f>
        <v>0.8771929824561403</v>
      </c>
      <c r="Q43" s="150">
        <f>'6-7-24 vs Chrsistian Brothers'!BV11</f>
        <v>1</v>
      </c>
      <c r="R43">
        <v>3.15</v>
      </c>
      <c r="S43" t="s">
        <v>133</v>
      </c>
    </row>
    <row r="44" spans="1:19" x14ac:dyDescent="0.55000000000000004">
      <c r="A44">
        <f>'6-7-24 vs Chrsistian Brothers'!BF12</f>
        <v>24</v>
      </c>
      <c r="B44" t="str">
        <f>'6-7-24 vs Chrsistian Brothers'!BG12</f>
        <v>Carney</v>
      </c>
      <c r="C44" s="150">
        <f>('6-7-24 vs Chrsistian Brothers'!BH12)*100</f>
        <v>0</v>
      </c>
      <c r="D44" s="150">
        <f>('6-7-24 vs Chrsistian Brothers'!BI12)*100</f>
        <v>0</v>
      </c>
      <c r="E44" s="150">
        <f>('6-7-24 vs Chrsistian Brothers'!BJ12)*100</f>
        <v>5.0106476262056869</v>
      </c>
      <c r="F44" s="150">
        <f>('6-7-24 vs Chrsistian Brothers'!BK12)*100</f>
        <v>0</v>
      </c>
      <c r="G44" s="150">
        <f>'6-7-24 vs Chrsistian Brothers'!BL12</f>
        <v>0</v>
      </c>
      <c r="H44" s="150">
        <f>'6-7-24 vs Chrsistian Brothers'!BM12</f>
        <v>0</v>
      </c>
      <c r="I44" s="150">
        <f>'6-7-24 vs Chrsistian Brothers'!BN12</f>
        <v>0</v>
      </c>
      <c r="J44" s="150">
        <f>('6-7-24 vs Chrsistian Brothers'!BO12)*100</f>
        <v>0</v>
      </c>
      <c r="K44" s="150">
        <f>('6-7-24 vs Chrsistian Brothers'!BP12)*100</f>
        <v>0</v>
      </c>
      <c r="L44" s="150">
        <f>('6-7-24 vs Chrsistian Brothers'!BQ12)*100</f>
        <v>0</v>
      </c>
      <c r="M44" s="150">
        <f>'6-7-24 vs Chrsistian Brothers'!BR12</f>
        <v>138.24657567087829</v>
      </c>
      <c r="N44" s="150">
        <f>'6-7-24 vs Chrsistian Brothers'!BS12</f>
        <v>0</v>
      </c>
      <c r="O44" s="150">
        <f>'6-7-24 vs Chrsistian Brothers'!BT12</f>
        <v>-138.24657567087829</v>
      </c>
      <c r="P44" s="150">
        <f>('6-7-24 vs Chrsistian Brothers'!BU12)*100</f>
        <v>-0.8771929824561403</v>
      </c>
      <c r="Q44" s="150">
        <f>'6-7-24 vs Chrsistian Brothers'!BV12</f>
        <v>-0.84000000000000008</v>
      </c>
      <c r="R44">
        <v>9</v>
      </c>
      <c r="S44" t="s">
        <v>133</v>
      </c>
    </row>
    <row r="45" spans="1:19" x14ac:dyDescent="0.55000000000000004">
      <c r="A45">
        <f>'6-7-24 vs Chrsistian Brothers'!BF13</f>
        <v>30</v>
      </c>
      <c r="B45" t="str">
        <f>'6-7-24 vs Chrsistian Brothers'!BG13</f>
        <v>Bowman</v>
      </c>
      <c r="C45" s="150">
        <f>('6-7-24 vs Chrsistian Brothers'!BH13)*100</f>
        <v>61.111111111111114</v>
      </c>
      <c r="D45" s="150">
        <f>('6-7-24 vs Chrsistian Brothers'!BI13)*100</f>
        <v>62.984496124031011</v>
      </c>
      <c r="E45" s="150">
        <f>('6-7-24 vs Chrsistian Brothers'!BJ13)*100</f>
        <v>24.601676152184837</v>
      </c>
      <c r="F45" s="150">
        <f>('6-7-24 vs Chrsistian Brothers'!BK13)*100</f>
        <v>0</v>
      </c>
      <c r="G45" s="150">
        <f>'6-7-24 vs Chrsistian Brothers'!BL13</f>
        <v>0</v>
      </c>
      <c r="H45" s="150">
        <f>'6-7-24 vs Chrsistian Brothers'!BM13</f>
        <v>8.8339222614840993E-2</v>
      </c>
      <c r="I45" s="150">
        <f>'6-7-24 vs Chrsistian Brothers'!BN13</f>
        <v>0</v>
      </c>
      <c r="J45" s="150">
        <f>('6-7-24 vs Chrsistian Brothers'!BO13)*100</f>
        <v>25.69477911646586</v>
      </c>
      <c r="K45" s="150">
        <f>('6-7-24 vs Chrsistian Brothers'!BP13)*100</f>
        <v>24.088855421686748</v>
      </c>
      <c r="L45" s="150">
        <f>('6-7-24 vs Chrsistian Brothers'!BQ13)*100</f>
        <v>24.666987951807233</v>
      </c>
      <c r="M45" s="150">
        <f>'6-7-24 vs Chrsistian Brothers'!BR13</f>
        <v>121.58490963591228</v>
      </c>
      <c r="N45" s="150">
        <f>'6-7-24 vs Chrsistian Brothers'!BS13</f>
        <v>139.59132521646725</v>
      </c>
      <c r="O45" s="150">
        <f>'6-7-24 vs Chrsistian Brothers'!BT13</f>
        <v>18.006415580554972</v>
      </c>
      <c r="P45" s="150">
        <f>('6-7-24 vs Chrsistian Brothers'!BU13)*100</f>
        <v>12.280701754385964</v>
      </c>
      <c r="Q45" s="150">
        <f>'6-7-24 vs Chrsistian Brothers'!BV13</f>
        <v>12.120000000000001</v>
      </c>
      <c r="R45">
        <v>20.75</v>
      </c>
      <c r="S45" t="s">
        <v>133</v>
      </c>
    </row>
    <row r="46" spans="1:19" x14ac:dyDescent="0.55000000000000004">
      <c r="A46">
        <f>'6-7-24 vs Chrsistian Brothers'!BF14</f>
        <v>32</v>
      </c>
      <c r="B46" t="str">
        <f>'6-7-24 vs Chrsistian Brothers'!BG14</f>
        <v>Turner</v>
      </c>
      <c r="C46" s="150">
        <f>('6-7-24 vs Chrsistian Brothers'!BH14)*100</f>
        <v>0</v>
      </c>
      <c r="D46" s="150">
        <f>('6-7-24 vs Chrsistian Brothers'!BI14)*100</f>
        <v>0</v>
      </c>
      <c r="E46" s="150">
        <f>('6-7-24 vs Chrsistian Brothers'!BJ14)*100</f>
        <v>0</v>
      </c>
      <c r="F46" s="150">
        <f>('6-7-24 vs Chrsistian Brothers'!BK14)*100</f>
        <v>246.07692307692304</v>
      </c>
      <c r="G46" s="150">
        <f>'6-7-24 vs Chrsistian Brothers'!BL14</f>
        <v>1</v>
      </c>
      <c r="H46" s="150">
        <f>'6-7-24 vs Chrsistian Brothers'!BM14</f>
        <v>0</v>
      </c>
      <c r="I46" s="150">
        <f>'6-7-24 vs Chrsistian Brothers'!BN14</f>
        <v>0</v>
      </c>
      <c r="J46" s="150">
        <f>('6-7-24 vs Chrsistian Brothers'!BO14)*100</f>
        <v>0</v>
      </c>
      <c r="K46" s="150">
        <f>('6-7-24 vs Chrsistian Brothers'!BP14)*100</f>
        <v>0</v>
      </c>
      <c r="L46" s="150">
        <f>('6-7-24 vs Chrsistian Brothers'!BQ14)*100</f>
        <v>0</v>
      </c>
      <c r="M46" s="150">
        <f>'6-7-24 vs Chrsistian Brothers'!BR14</f>
        <v>138.24657567087829</v>
      </c>
      <c r="N46" s="150">
        <f>'6-7-24 vs Chrsistian Brothers'!BS14</f>
        <v>261.53846153846149</v>
      </c>
      <c r="O46" s="150">
        <f>'6-7-24 vs Chrsistian Brothers'!BT14</f>
        <v>123.2918858675832</v>
      </c>
      <c r="P46" s="150">
        <f>('6-7-24 vs Chrsistian Brothers'!BU14)*100</f>
        <v>0.8771929824561403</v>
      </c>
      <c r="Q46" s="150">
        <f>'6-7-24 vs Chrsistian Brothers'!BV14</f>
        <v>1</v>
      </c>
      <c r="R46">
        <v>0.5</v>
      </c>
      <c r="S46" t="s">
        <v>133</v>
      </c>
    </row>
    <row r="47" spans="1:19" x14ac:dyDescent="0.55000000000000004">
      <c r="A47">
        <f>'6-7-24 vs Chrsistian Brothers'!BF15</f>
        <v>33</v>
      </c>
      <c r="B47" t="str">
        <f>'6-7-24 vs Chrsistian Brothers'!BG15</f>
        <v>Bellomy</v>
      </c>
      <c r="C47" s="150">
        <f>('6-7-24 vs Chrsistian Brothers'!BH15)*100</f>
        <v>0</v>
      </c>
      <c r="D47" s="150">
        <f>('6-7-24 vs Chrsistian Brothers'!BI15)*100</f>
        <v>0</v>
      </c>
      <c r="E47" s="150">
        <f>('6-7-24 vs Chrsistian Brothers'!BJ15)*100</f>
        <v>15.031942878617061</v>
      </c>
      <c r="F47" s="150">
        <f>('6-7-24 vs Chrsistian Brothers'!BK15)*100</f>
        <v>0</v>
      </c>
      <c r="G47" s="150">
        <f>'6-7-24 vs Chrsistian Brothers'!BL15</f>
        <v>0</v>
      </c>
      <c r="H47" s="150">
        <f>'6-7-24 vs Chrsistian Brothers'!BM15</f>
        <v>0</v>
      </c>
      <c r="I47" s="150">
        <f>'6-7-24 vs Chrsistian Brothers'!BN15</f>
        <v>0</v>
      </c>
      <c r="J47" s="150">
        <f>('6-7-24 vs Chrsistian Brothers'!BO15)*100</f>
        <v>0</v>
      </c>
      <c r="K47" s="150">
        <f>('6-7-24 vs Chrsistian Brothers'!BP15)*100</f>
        <v>0</v>
      </c>
      <c r="L47" s="150">
        <f>('6-7-24 vs Chrsistian Brothers'!BQ15)*100</f>
        <v>0</v>
      </c>
      <c r="M47" s="150">
        <f>'6-7-24 vs Chrsistian Brothers'!BR15</f>
        <v>138.13842565635224</v>
      </c>
      <c r="N47" s="150">
        <f>'6-7-24 vs Chrsistian Brothers'!BS15</f>
        <v>0</v>
      </c>
      <c r="O47" s="150">
        <f>'6-7-24 vs Chrsistian Brothers'!BT15</f>
        <v>-138.13842565635224</v>
      </c>
      <c r="P47" s="150">
        <f>('6-7-24 vs Chrsistian Brothers'!BU15)*100</f>
        <v>-0.8771929824561403</v>
      </c>
      <c r="Q47" s="150">
        <f>'6-7-24 vs Chrsistian Brothers'!BV15</f>
        <v>-0.84000000000000008</v>
      </c>
      <c r="R47">
        <v>3</v>
      </c>
      <c r="S47" t="s">
        <v>133</v>
      </c>
    </row>
    <row r="48" spans="1:19" x14ac:dyDescent="0.55000000000000004">
      <c r="A48">
        <f>'6-7-24 vs Chrsistian Brothers'!BF16</f>
        <v>34</v>
      </c>
      <c r="B48" t="str">
        <f>'6-7-24 vs Chrsistian Brothers'!BG16</f>
        <v>Toms</v>
      </c>
      <c r="C48" s="150">
        <f>('6-7-24 vs Chrsistian Brothers'!BH16)*100</f>
        <v>150</v>
      </c>
      <c r="D48" s="150">
        <f>('6-7-24 vs Chrsistian Brothers'!BI16)*100</f>
        <v>132.97872340425531</v>
      </c>
      <c r="E48" s="150">
        <f>('6-7-24 vs Chrsistian Brothers'!BJ16)*100</f>
        <v>15.414574151890948</v>
      </c>
      <c r="F48" s="150">
        <f>('6-7-24 vs Chrsistian Brothers'!BK16)*100</f>
        <v>0</v>
      </c>
      <c r="G48" s="150">
        <f>'6-7-24 vs Chrsistian Brothers'!BL16</f>
        <v>0</v>
      </c>
      <c r="H48" s="150">
        <f>'6-7-24 vs Chrsistian Brothers'!BM16</f>
        <v>0</v>
      </c>
      <c r="I48" s="150">
        <f>'6-7-24 vs Chrsistian Brothers'!BN16</f>
        <v>0</v>
      </c>
      <c r="J48" s="150">
        <f>('6-7-24 vs Chrsistian Brothers'!BO16)*100</f>
        <v>32.313131313131308</v>
      </c>
      <c r="K48" s="150">
        <f>('6-7-24 vs Chrsistian Brothers'!BP16)*100</f>
        <v>36.352272727272727</v>
      </c>
      <c r="L48" s="150">
        <f>('6-7-24 vs Chrsistian Brothers'!BQ16)*100</f>
        <v>34.898181818181818</v>
      </c>
      <c r="M48" s="150">
        <f>'6-7-24 vs Chrsistian Brothers'!BR16</f>
        <v>119.78929221835604</v>
      </c>
      <c r="N48" s="150">
        <f>'6-7-24 vs Chrsistian Brothers'!BS16</f>
        <v>263.03615573347861</v>
      </c>
      <c r="O48" s="150">
        <f>'6-7-24 vs Chrsistian Brothers'!BT16</f>
        <v>143.24686351512258</v>
      </c>
      <c r="P48" s="150">
        <f>('6-7-24 vs Chrsistian Brothers'!BU16)*100</f>
        <v>6.5789473684210522</v>
      </c>
      <c r="Q48" s="150">
        <f>'6-7-24 vs Chrsistian Brothers'!BV16</f>
        <v>5.86</v>
      </c>
      <c r="R48">
        <v>5.5</v>
      </c>
      <c r="S48" t="s">
        <v>133</v>
      </c>
    </row>
    <row r="49" spans="1:19" x14ac:dyDescent="0.55000000000000004">
      <c r="A49">
        <f>'6-7-24 vs Chrsistian Brothers'!BF17</f>
        <v>55</v>
      </c>
      <c r="B49" t="str">
        <f>'6-7-24 vs Chrsistian Brothers'!BG17</f>
        <v>Baker</v>
      </c>
      <c r="C49" s="150">
        <f>('6-7-24 vs Chrsistian Brothers'!BH17)*100</f>
        <v>33.333333333333329</v>
      </c>
      <c r="D49" s="150">
        <f>('6-7-24 vs Chrsistian Brothers'!BI17)*100</f>
        <v>51.546391752577328</v>
      </c>
      <c r="E49" s="150">
        <f>('6-7-24 vs Chrsistian Brothers'!BJ17)*100</f>
        <v>20.644244253560391</v>
      </c>
      <c r="F49" s="150">
        <f>('6-7-24 vs Chrsistian Brothers'!BK17)*100</f>
        <v>0</v>
      </c>
      <c r="G49" s="150">
        <f>'6-7-24 vs Chrsistian Brothers'!BL17</f>
        <v>0</v>
      </c>
      <c r="H49" s="150">
        <f>'6-7-24 vs Chrsistian Brothers'!BM17</f>
        <v>0.20491803278688525</v>
      </c>
      <c r="I49" s="150">
        <f>'6-7-24 vs Chrsistian Brothers'!BN17</f>
        <v>0</v>
      </c>
      <c r="J49" s="150">
        <f>('6-7-24 vs Chrsistian Brothers'!BO17)*100</f>
        <v>0</v>
      </c>
      <c r="K49" s="150">
        <f>('6-7-24 vs Chrsistian Brothers'!BP17)*100</f>
        <v>0</v>
      </c>
      <c r="L49" s="150">
        <f>('6-7-24 vs Chrsistian Brothers'!BQ17)*100</f>
        <v>0</v>
      </c>
      <c r="M49" s="150">
        <f>'6-7-24 vs Chrsistian Brothers'!BR17</f>
        <v>138.18570324243962</v>
      </c>
      <c r="N49" s="150">
        <f>'6-7-24 vs Chrsistian Brothers'!BS17</f>
        <v>105.05855229047935</v>
      </c>
      <c r="O49" s="150">
        <f>'6-7-24 vs Chrsistian Brothers'!BT17</f>
        <v>-33.12715095196026</v>
      </c>
      <c r="P49" s="150">
        <f>('6-7-24 vs Chrsistian Brothers'!BU17)*100</f>
        <v>0.8771929824561403</v>
      </c>
      <c r="Q49" s="150">
        <f>'6-7-24 vs Chrsistian Brothers'!BV17</f>
        <v>-0.55000000000000004</v>
      </c>
      <c r="R49">
        <v>10.66</v>
      </c>
      <c r="S49" t="s">
        <v>133</v>
      </c>
    </row>
    <row r="50" spans="1:19" x14ac:dyDescent="0.55000000000000004">
      <c r="A50">
        <v>99</v>
      </c>
      <c r="B50" t="str">
        <f>'6-7-24 vs Chrsistian Brothers'!BG18</f>
        <v>Team</v>
      </c>
      <c r="C50" s="150">
        <f>('6-7-24 vs Chrsistian Brothers'!BH18)*100</f>
        <v>57.999999999999993</v>
      </c>
      <c r="D50" s="150">
        <f>('6-7-24 vs Chrsistian Brothers'!BI18)*100</f>
        <v>61.156412157153447</v>
      </c>
      <c r="E50" s="150">
        <f>('6-7-24 vs Chrsistian Brothers'!BJ18)*100</f>
        <v>0</v>
      </c>
      <c r="F50" s="150">
        <f>('6-7-24 vs Chrsistian Brothers'!BK18)*100</f>
        <v>57.692307692307686</v>
      </c>
      <c r="G50" s="150">
        <f>'6-7-24 vs Chrsistian Brothers'!BL18</f>
        <v>0.21138669673055241</v>
      </c>
      <c r="H50" s="150">
        <f>'6-7-24 vs Chrsistian Brothers'!BM18</f>
        <v>0.23957158962795938</v>
      </c>
      <c r="I50" s="150">
        <f>'6-7-24 vs Chrsistian Brothers'!BN18</f>
        <v>0.88235294117647056</v>
      </c>
      <c r="J50" s="150">
        <f>('6-7-24 vs Chrsistian Brothers'!BO18)*100</f>
        <v>55.555555555555557</v>
      </c>
      <c r="K50" s="150">
        <f>('6-7-24 vs Chrsistian Brothers'!BP18)*100</f>
        <v>78.125</v>
      </c>
      <c r="L50" s="150">
        <f>('6-7-24 vs Chrsistian Brothers'!BQ18)*100</f>
        <v>70</v>
      </c>
      <c r="M50" s="150">
        <f>'6-7-24 vs Chrsistian Brothers'!BR18</f>
        <v>123.77262209314162</v>
      </c>
      <c r="N50" s="150">
        <f>'6-7-24 vs Chrsistian Brothers'!BS18</f>
        <v>116.41580432737537</v>
      </c>
      <c r="O50" s="150">
        <f>'6-7-24 vs Chrsistian Brothers'!BT18</f>
        <v>-7.3568177657662517</v>
      </c>
      <c r="P50" s="150">
        <v>0</v>
      </c>
      <c r="Q50" s="150">
        <f>'6-7-24 vs Chrsistian Brothers'!BV18</f>
        <v>61.209999999999994</v>
      </c>
      <c r="R50">
        <v>160</v>
      </c>
      <c r="S50" t="s">
        <v>133</v>
      </c>
    </row>
    <row r="51" spans="1:19" x14ac:dyDescent="0.55000000000000004">
      <c r="A51">
        <f>'6-6-24 vs Ensworth'!BF3</f>
        <v>0</v>
      </c>
      <c r="B51" t="str">
        <f>'6-6-24 vs Ensworth'!BG3</f>
        <v>Lewis</v>
      </c>
      <c r="C51" s="150">
        <f>'6-6-24 vs Ensworth'!BH3</f>
        <v>0</v>
      </c>
      <c r="D51" s="150">
        <f>'6-6-24 vs Ensworth'!BI3</f>
        <v>0</v>
      </c>
      <c r="E51" s="150">
        <f>'6-6-24 vs Ensworth'!BJ3</f>
        <v>6.6145768737856048E-2</v>
      </c>
      <c r="F51" s="150">
        <f>'6-6-24 vs Ensworth'!BK3</f>
        <v>0.19396363636363634</v>
      </c>
      <c r="G51" s="150">
        <f>'6-6-24 vs Ensworth'!BL3</f>
        <v>0.5</v>
      </c>
      <c r="H51" s="150">
        <f>'6-6-24 vs Ensworth'!BM3</f>
        <v>0.5</v>
      </c>
      <c r="I51" s="150">
        <f>'6-6-24 vs Ensworth'!BN3</f>
        <v>1</v>
      </c>
      <c r="J51" s="150">
        <f>('6-6-24 vs Ensworth'!BO3)*100</f>
        <v>0</v>
      </c>
      <c r="K51" s="150">
        <f>('6-6-24 vs Ensworth'!BP3)*100</f>
        <v>19.396363636363635</v>
      </c>
      <c r="L51" s="150">
        <f>('6-6-24 vs Ensworth'!BQ3)*100</f>
        <v>8.4332015810276655</v>
      </c>
      <c r="M51" s="150">
        <f>'6-6-24 vs Ensworth'!BR3</f>
        <v>49.161068514841645</v>
      </c>
      <c r="N51" s="150">
        <f>'6-6-24 vs Ensworth'!BS3</f>
        <v>50.92591064856844</v>
      </c>
      <c r="O51" s="150">
        <f>'6-6-24 vs Ensworth'!BT3</f>
        <v>1.7648421337267948</v>
      </c>
      <c r="P51" s="150">
        <f>('6-6-24 vs Ensworth'!BU3)*100</f>
        <v>2.6200873362445414</v>
      </c>
      <c r="Q51" s="150">
        <f>'6-6-24 vs Ensworth'!BV3</f>
        <v>3</v>
      </c>
      <c r="R51">
        <v>5.5</v>
      </c>
      <c r="S51" t="s">
        <v>132</v>
      </c>
    </row>
    <row r="52" spans="1:19" x14ac:dyDescent="0.55000000000000004">
      <c r="A52">
        <f>'6-6-24 vs Ensworth'!BF4</f>
        <v>1</v>
      </c>
      <c r="B52" t="str">
        <f>'6-6-24 vs Ensworth'!BG4</f>
        <v>Walker</v>
      </c>
      <c r="C52" s="150">
        <f>('6-6-24 vs Ensworth'!BH4)*100</f>
        <v>58.333333333333336</v>
      </c>
      <c r="D52" s="150">
        <f>('6-6-24 vs Ensworth'!BI4)*100</f>
        <v>58.333333333333336</v>
      </c>
      <c r="E52" s="150">
        <f>('6-6-24 vs Ensworth'!BJ4)*100</f>
        <v>28.663166453070954</v>
      </c>
      <c r="F52" s="150">
        <f>('6-6-24 vs Ensworth'!BK4)*100</f>
        <v>0</v>
      </c>
      <c r="G52" s="150">
        <f>'6-6-24 vs Ensworth'!BL4</f>
        <v>0</v>
      </c>
      <c r="H52" s="150">
        <f>'6-6-24 vs Ensworth'!BM4</f>
        <v>7.6923076923076927E-2</v>
      </c>
      <c r="I52" s="150">
        <f>'6-6-24 vs Ensworth'!BN4</f>
        <v>0</v>
      </c>
      <c r="J52" s="150">
        <f>('6-6-24 vs Ensworth'!BO4)*100</f>
        <v>0</v>
      </c>
      <c r="K52" s="150">
        <f>('6-6-24 vs Ensworth'!BP4)*100</f>
        <v>0</v>
      </c>
      <c r="L52" s="150">
        <f>('6-6-24 vs Ensworth'!BQ4)*100</f>
        <v>0</v>
      </c>
      <c r="M52" s="150">
        <f>'6-6-24 vs Ensworth'!BR4</f>
        <v>88.768888914588871</v>
      </c>
      <c r="N52" s="150">
        <f>'6-6-24 vs Ensworth'!BS4</f>
        <v>118.0171960052481</v>
      </c>
      <c r="O52" s="150">
        <f>'6-6-24 vs Ensworth'!BT4</f>
        <v>29.248307090659225</v>
      </c>
      <c r="P52" s="150">
        <f>('6-6-24 vs Ensworth'!BU4)*100</f>
        <v>6.9868995633187767</v>
      </c>
      <c r="Q52" s="150">
        <f>'6-6-24 vs Ensworth'!BV4</f>
        <v>4.3699999999999992</v>
      </c>
      <c r="R52">
        <v>16.5</v>
      </c>
      <c r="S52" t="s">
        <v>132</v>
      </c>
    </row>
    <row r="53" spans="1:19" x14ac:dyDescent="0.55000000000000004">
      <c r="A53">
        <f>'6-6-24 vs Ensworth'!BF5</f>
        <v>2</v>
      </c>
      <c r="B53" t="str">
        <f>'6-6-24 vs Ensworth'!BG5</f>
        <v>Rivers</v>
      </c>
      <c r="C53" s="150">
        <f>('6-6-24 vs Ensworth'!BH5)*100</f>
        <v>42.857142857142854</v>
      </c>
      <c r="D53" s="150">
        <f>('6-6-24 vs Ensworth'!BI5)*100</f>
        <v>50.761421319796952</v>
      </c>
      <c r="E53" s="150">
        <f>('6-6-24 vs Ensworth'!BJ5)*100</f>
        <v>23.96240715476732</v>
      </c>
      <c r="F53" s="150">
        <f>('6-6-24 vs Ensworth'!BK5)*100</f>
        <v>9.0409844401505133</v>
      </c>
      <c r="G53" s="150">
        <f>'6-6-24 vs Ensworth'!BL5</f>
        <v>9.1911764705882359E-2</v>
      </c>
      <c r="H53" s="150">
        <f>'6-6-24 vs Ensworth'!BM5</f>
        <v>0.18382352941176472</v>
      </c>
      <c r="I53" s="150">
        <f>'6-6-24 vs Ensworth'!BN5</f>
        <v>0.5</v>
      </c>
      <c r="J53" s="150">
        <f>('6-6-24 vs Ensworth'!BO5)*100</f>
        <v>10.94153846153846</v>
      </c>
      <c r="K53" s="150">
        <f>('6-6-24 vs Ensworth'!BP5)*100</f>
        <v>21.335999999999995</v>
      </c>
      <c r="L53" s="150">
        <f>('6-6-24 vs Ensworth'!BQ5)*100</f>
        <v>15.460869565217386</v>
      </c>
      <c r="M53" s="150">
        <f>'6-6-24 vs Ensworth'!BR5</f>
        <v>79.204728441334552</v>
      </c>
      <c r="N53" s="150">
        <f>'6-6-24 vs Ensworth'!BS5</f>
        <v>102.26944099316806</v>
      </c>
      <c r="O53" s="150">
        <f>'6-6-24 vs Ensworth'!BT5</f>
        <v>23.064712551833509</v>
      </c>
      <c r="P53" s="150">
        <f>('6-6-24 vs Ensworth'!BU5)*100</f>
        <v>6.9868995633187767</v>
      </c>
      <c r="Q53" s="150">
        <f>'6-6-24 vs Ensworth'!BV5</f>
        <v>6.3599999999999994</v>
      </c>
      <c r="R53">
        <v>15</v>
      </c>
      <c r="S53" t="s">
        <v>132</v>
      </c>
    </row>
    <row r="54" spans="1:19" x14ac:dyDescent="0.55000000000000004">
      <c r="A54">
        <f>'6-6-24 vs Ensworth'!BF6</f>
        <v>3</v>
      </c>
      <c r="B54" t="str">
        <f>'6-6-24 vs Ensworth'!BG6</f>
        <v>Gossett</v>
      </c>
      <c r="C54" s="150">
        <f>('6-6-24 vs Ensworth'!BH6)*100</f>
        <v>21.428571428571427</v>
      </c>
      <c r="D54" s="150">
        <f>('6-6-24 vs Ensworth'!BI6)*100</f>
        <v>21.428571428571427</v>
      </c>
      <c r="E54" s="150">
        <f>('6-6-24 vs Ensworth'!BJ6)*100</f>
        <v>26.102366138705531</v>
      </c>
      <c r="F54" s="150">
        <f>('6-6-24 vs Ensworth'!BK6)*100</f>
        <v>21.159949222469052</v>
      </c>
      <c r="G54" s="150">
        <f>'6-6-24 vs Ensworth'!BL6</f>
        <v>0.2</v>
      </c>
      <c r="H54" s="150">
        <f>'6-6-24 vs Ensworth'!BM6</f>
        <v>0.1</v>
      </c>
      <c r="I54" s="150">
        <f>'6-6-24 vs Ensworth'!BN6</f>
        <v>2</v>
      </c>
      <c r="J54" s="150">
        <f>('6-6-24 vs Ensworth'!BO6)*100</f>
        <v>0</v>
      </c>
      <c r="K54" s="150">
        <f>('6-6-24 vs Ensworth'!BP6)*100</f>
        <v>0</v>
      </c>
      <c r="L54" s="150">
        <f>('6-6-24 vs Ensworth'!BQ6)*100</f>
        <v>0</v>
      </c>
      <c r="M54" s="150">
        <f>'6-6-24 vs Ensworth'!BR6</f>
        <v>76.302674778609529</v>
      </c>
      <c r="N54" s="150">
        <f>'6-6-24 vs Ensworth'!BS6</f>
        <v>69.881958891051781</v>
      </c>
      <c r="O54" s="150">
        <f>'6-6-24 vs Ensworth'!BT6</f>
        <v>-6.4207158875577477</v>
      </c>
      <c r="P54" s="150">
        <f>('6-6-24 vs Ensworth'!BU6)*100</f>
        <v>0</v>
      </c>
      <c r="Q54" s="150">
        <f>'6-6-24 vs Ensworth'!BV6</f>
        <v>0.20999999999999908</v>
      </c>
      <c r="R54">
        <v>11.15</v>
      </c>
      <c r="S54" t="s">
        <v>132</v>
      </c>
    </row>
    <row r="55" spans="1:19" x14ac:dyDescent="0.55000000000000004">
      <c r="A55">
        <f>'6-6-24 vs Ensworth'!BF7</f>
        <v>4</v>
      </c>
      <c r="B55" t="str">
        <f>'6-6-24 vs Ensworth'!BG7</f>
        <v>Stapler</v>
      </c>
      <c r="C55" s="150">
        <f>('6-6-24 vs Ensworth'!BH7)*100</f>
        <v>37.5</v>
      </c>
      <c r="D55" s="150">
        <f>('6-6-24 vs Ensworth'!BI7)*100</f>
        <v>37.5</v>
      </c>
      <c r="E55" s="150">
        <f>('6-6-24 vs Ensworth'!BJ7)*100</f>
        <v>9.2925090180896124</v>
      </c>
      <c r="F55" s="150">
        <f>('6-6-24 vs Ensworth'!BK7)*100</f>
        <v>51.171778636625277</v>
      </c>
      <c r="G55" s="150">
        <f>'6-6-24 vs Ensworth'!BL7</f>
        <v>0.63636363636363635</v>
      </c>
      <c r="H55" s="150">
        <f>'6-6-24 vs Ensworth'!BM7</f>
        <v>0</v>
      </c>
      <c r="I55" s="150">
        <f>'6-6-24 vs Ensworth'!BN7</f>
        <v>0</v>
      </c>
      <c r="J55" s="150">
        <f>('6-6-24 vs Ensworth'!BO7)*100</f>
        <v>0</v>
      </c>
      <c r="K55" s="150">
        <f>('6-6-24 vs Ensworth'!BP7)*100</f>
        <v>0</v>
      </c>
      <c r="L55" s="150">
        <f>('6-6-24 vs Ensworth'!BQ7)*100</f>
        <v>0</v>
      </c>
      <c r="M55" s="150">
        <f>'6-6-24 vs Ensworth'!BR7</f>
        <v>88.952222682819496</v>
      </c>
      <c r="N55" s="150">
        <f>'6-6-24 vs Ensworth'!BS7</f>
        <v>176.37626350567254</v>
      </c>
      <c r="O55" s="150">
        <f>'6-6-24 vs Ensworth'!BT7</f>
        <v>87.424040822853044</v>
      </c>
      <c r="P55" s="150">
        <f>('6-6-24 vs Ensworth'!BU7)*100</f>
        <v>6.9868995633187767</v>
      </c>
      <c r="Q55" s="150">
        <f>'6-6-24 vs Ensworth'!BV7</f>
        <v>7.82</v>
      </c>
      <c r="R55">
        <v>15.66</v>
      </c>
      <c r="S55" t="s">
        <v>132</v>
      </c>
    </row>
    <row r="56" spans="1:19" x14ac:dyDescent="0.55000000000000004">
      <c r="A56">
        <f>'6-6-24 vs Ensworth'!BF8</f>
        <v>5</v>
      </c>
      <c r="B56" t="str">
        <f>'6-6-24 vs Ensworth'!BG8</f>
        <v>JD</v>
      </c>
      <c r="C56" s="150">
        <f>('6-6-24 vs Ensworth'!BH8)*100</f>
        <v>72.727272727272734</v>
      </c>
      <c r="D56" s="150">
        <f>('6-6-24 vs Ensworth'!BI8)*100</f>
        <v>73.051948051948045</v>
      </c>
      <c r="E56" s="150">
        <f>('6-6-24 vs Ensworth'!BJ8)*100</f>
        <v>28.160220247532664</v>
      </c>
      <c r="F56" s="150">
        <f>('6-6-24 vs Ensworth'!BK8)*100</f>
        <v>21.409649193224691</v>
      </c>
      <c r="G56" s="150">
        <f>'6-6-24 vs Ensworth'!BL8</f>
        <v>0.12254901960784313</v>
      </c>
      <c r="H56" s="150">
        <f>'6-6-24 vs Ensworth'!BM8</f>
        <v>0.12254901960784313</v>
      </c>
      <c r="I56" s="150">
        <f>'6-6-24 vs Ensworth'!BN8</f>
        <v>1</v>
      </c>
      <c r="J56" s="150">
        <f>('6-6-24 vs Ensworth'!BO8)*100</f>
        <v>22.178794178794178</v>
      </c>
      <c r="K56" s="150">
        <f>('6-6-24 vs Ensworth'!BP8)*100</f>
        <v>17.29945945945946</v>
      </c>
      <c r="L56" s="150">
        <f>('6-6-24 vs Ensworth'!BQ8)*100</f>
        <v>20.057344300822564</v>
      </c>
      <c r="M56" s="150">
        <f>'6-6-24 vs Ensworth'!BR8</f>
        <v>70.292852663081121</v>
      </c>
      <c r="N56" s="150">
        <f>'6-6-24 vs Ensworth'!BS8</f>
        <v>142.31169422141514</v>
      </c>
      <c r="O56" s="150">
        <f>'6-6-24 vs Ensworth'!BT8</f>
        <v>72.018841558334017</v>
      </c>
      <c r="P56" s="150">
        <f>('6-6-24 vs Ensworth'!BU8)*100</f>
        <v>19.650655021834059</v>
      </c>
      <c r="Q56" s="150">
        <f>'6-6-24 vs Ensworth'!BV8</f>
        <v>18.62</v>
      </c>
      <c r="R56">
        <v>18.5</v>
      </c>
      <c r="S56" t="s">
        <v>132</v>
      </c>
    </row>
    <row r="57" spans="1:19" x14ac:dyDescent="0.55000000000000004">
      <c r="A57">
        <f>'6-6-24 vs Ensworth'!BF9</f>
        <v>10</v>
      </c>
      <c r="B57" t="str">
        <f>'6-6-24 vs Ensworth'!BG9</f>
        <v>Mason</v>
      </c>
      <c r="C57" s="150">
        <f>('6-6-24 vs Ensworth'!BH9)*100</f>
        <v>25</v>
      </c>
      <c r="D57" s="150">
        <f>('6-6-24 vs Ensworth'!BI9)*100</f>
        <v>25</v>
      </c>
      <c r="E57" s="150">
        <f>('6-6-24 vs Ensworth'!BJ9)*100</f>
        <v>19.852754600720779</v>
      </c>
      <c r="F57" s="150">
        <f>('6-6-24 vs Ensworth'!BK9)*100</f>
        <v>0</v>
      </c>
      <c r="G57" s="150">
        <f>'6-6-24 vs Ensworth'!BL9</f>
        <v>0</v>
      </c>
      <c r="H57" s="150">
        <f>'6-6-24 vs Ensworth'!BM9</f>
        <v>0</v>
      </c>
      <c r="I57" s="150">
        <f>'6-6-24 vs Ensworth'!BN9</f>
        <v>0</v>
      </c>
      <c r="J57" s="150">
        <f>('6-6-24 vs Ensworth'!BO9)*100</f>
        <v>0</v>
      </c>
      <c r="K57" s="150">
        <f>('6-6-24 vs Ensworth'!BP9)*100</f>
        <v>14.55388813096862</v>
      </c>
      <c r="L57" s="150">
        <f>('6-6-24 vs Ensworth'!BQ9)*100</f>
        <v>6.3277774482472262</v>
      </c>
      <c r="M57" s="150">
        <f>'6-6-24 vs Ensworth'!BR9</f>
        <v>75.173407363305586</v>
      </c>
      <c r="N57" s="150">
        <f>'6-6-24 vs Ensworth'!BS9</f>
        <v>67.354682214291998</v>
      </c>
      <c r="O57" s="150">
        <f>'6-6-24 vs Ensworth'!BT9</f>
        <v>-7.8187251490135878</v>
      </c>
      <c r="P57" s="150">
        <f>('6-6-24 vs Ensworth'!BU9)*100</f>
        <v>0.87336244541484709</v>
      </c>
      <c r="Q57" s="150">
        <f>'6-6-24 vs Ensworth'!BV9</f>
        <v>0.81999999999999984</v>
      </c>
      <c r="R57">
        <v>7.33</v>
      </c>
      <c r="S57" t="s">
        <v>132</v>
      </c>
    </row>
    <row r="58" spans="1:19" x14ac:dyDescent="0.55000000000000004">
      <c r="A58">
        <f>'6-6-24 vs Ensworth'!BF10</f>
        <v>11</v>
      </c>
      <c r="B58" t="str">
        <f>'6-6-24 vs Ensworth'!BG10</f>
        <v>Pannell</v>
      </c>
      <c r="C58" s="150">
        <f>('6-6-24 vs Ensworth'!BH10)*100</f>
        <v>20</v>
      </c>
      <c r="D58" s="150">
        <f>('6-6-24 vs Ensworth'!BI10)*100</f>
        <v>18.382352941176467</v>
      </c>
      <c r="E58" s="150">
        <f>('6-6-24 vs Ensworth'!BJ10)*100</f>
        <v>33.41586242905025</v>
      </c>
      <c r="F58" s="150">
        <f>('6-6-24 vs Ensworth'!BK10)*100</f>
        <v>0</v>
      </c>
      <c r="G58" s="150">
        <f>'6-6-24 vs Ensworth'!BL10</f>
        <v>0</v>
      </c>
      <c r="H58" s="150">
        <f>'6-6-24 vs Ensworth'!BM10</f>
        <v>0.26881720430107525</v>
      </c>
      <c r="I58" s="150">
        <f>'6-6-24 vs Ensworth'!BN10</f>
        <v>0</v>
      </c>
      <c r="J58" s="150">
        <f>('6-6-24 vs Ensworth'!BO10)*100</f>
        <v>10.13105413105413</v>
      </c>
      <c r="K58" s="150">
        <f>('6-6-24 vs Ensworth'!BP10)*100</f>
        <v>26.340740740740742</v>
      </c>
      <c r="L58" s="150">
        <f>('6-6-24 vs Ensworth'!BQ10)*100</f>
        <v>17.178743961352655</v>
      </c>
      <c r="M58" s="150">
        <f>'6-6-24 vs Ensworth'!BR10</f>
        <v>70.222310101915539</v>
      </c>
      <c r="N58" s="150">
        <f>'6-6-24 vs Ensworth'!BS10</f>
        <v>36.95306668957717</v>
      </c>
      <c r="O58" s="150">
        <f>'6-6-24 vs Ensworth'!BT10</f>
        <v>-33.269243412338369</v>
      </c>
      <c r="P58" s="150">
        <f>('6-6-24 vs Ensworth'!BU10)*100</f>
        <v>-1.3100436681222707</v>
      </c>
      <c r="Q58" s="150">
        <f>'6-6-24 vs Ensworth'!BV10</f>
        <v>-0.58000000000000007</v>
      </c>
      <c r="R58">
        <v>8.1</v>
      </c>
      <c r="S58" t="s">
        <v>132</v>
      </c>
    </row>
    <row r="59" spans="1:19" x14ac:dyDescent="0.55000000000000004">
      <c r="A59">
        <f>'6-6-24 vs Ensworth'!BF11</f>
        <v>12</v>
      </c>
      <c r="B59" t="str">
        <f>'6-6-24 vs Ensworth'!BG11</f>
        <v>Chapman</v>
      </c>
      <c r="C59" s="150">
        <f>('6-6-24 vs Ensworth'!BH11)*100</f>
        <v>75</v>
      </c>
      <c r="D59" s="150">
        <f>('6-6-24 vs Ensworth'!BI11)*100</f>
        <v>75</v>
      </c>
      <c r="E59" s="150">
        <f>('6-6-24 vs Ensworth'!BJ11)*100</f>
        <v>16.168965691475922</v>
      </c>
      <c r="F59" s="150">
        <f>('6-6-24 vs Ensworth'!BK11)*100</f>
        <v>0</v>
      </c>
      <c r="G59" s="150">
        <f>'6-6-24 vs Ensworth'!BL11</f>
        <v>0</v>
      </c>
      <c r="H59" s="150">
        <f>'6-6-24 vs Ensworth'!BM11</f>
        <v>0</v>
      </c>
      <c r="I59" s="150">
        <f>'6-6-24 vs Ensworth'!BN11</f>
        <v>0</v>
      </c>
      <c r="J59" s="150">
        <f>('6-6-24 vs Ensworth'!BO11)*100</f>
        <v>0</v>
      </c>
      <c r="K59" s="150">
        <f>('6-6-24 vs Ensworth'!BP11)*100</f>
        <v>0</v>
      </c>
      <c r="L59" s="150">
        <f>('6-6-24 vs Ensworth'!BQ11)*100</f>
        <v>0</v>
      </c>
      <c r="M59" s="150">
        <f>'6-6-24 vs Ensworth'!BR11</f>
        <v>95.944907815786323</v>
      </c>
      <c r="N59" s="150">
        <f>'6-6-24 vs Ensworth'!BS11</f>
        <v>167.62289168304045</v>
      </c>
      <c r="O59" s="150">
        <f>'6-6-24 vs Ensworth'!BT11</f>
        <v>71.677983867254127</v>
      </c>
      <c r="P59" s="150">
        <f>('6-6-24 vs Ensworth'!BU11)*100</f>
        <v>1.7467248908296942</v>
      </c>
      <c r="Q59" s="150">
        <f>'6-6-24 vs Ensworth'!BV11</f>
        <v>1.3199999999999998</v>
      </c>
      <c r="R59">
        <v>4.5</v>
      </c>
      <c r="S59" t="s">
        <v>132</v>
      </c>
    </row>
    <row r="60" spans="1:19" x14ac:dyDescent="0.55000000000000004">
      <c r="A60">
        <f>'6-6-24 vs Ensworth'!BF12</f>
        <v>24</v>
      </c>
      <c r="B60" t="str">
        <f>'6-6-24 vs Ensworth'!BG12</f>
        <v>Carney</v>
      </c>
      <c r="C60" s="150">
        <f>('6-6-24 vs Ensworth'!BH12)*100</f>
        <v>150</v>
      </c>
      <c r="D60" s="150">
        <f>('6-6-24 vs Ensworth'!BI12)*100</f>
        <v>150</v>
      </c>
      <c r="E60" s="150">
        <f>('6-6-24 vs Ensworth'!BJ12)*100</f>
        <v>6.8255483688219192</v>
      </c>
      <c r="F60" s="150">
        <f>('6-6-24 vs Ensworth'!BK12)*100</f>
        <v>0</v>
      </c>
      <c r="G60" s="150">
        <f>'6-6-24 vs Ensworth'!BL12</f>
        <v>0</v>
      </c>
      <c r="H60" s="150">
        <f>'6-6-24 vs Ensworth'!BM12</f>
        <v>0</v>
      </c>
      <c r="I60" s="150">
        <f>'6-6-24 vs Ensworth'!BN12</f>
        <v>0</v>
      </c>
      <c r="J60" s="150">
        <f>('6-6-24 vs Ensworth'!BO12)*100</f>
        <v>0</v>
      </c>
      <c r="K60" s="150">
        <f>('6-6-24 vs Ensworth'!BP12)*100</f>
        <v>0</v>
      </c>
      <c r="L60" s="150">
        <f>('6-6-24 vs Ensworth'!BQ12)*100</f>
        <v>0</v>
      </c>
      <c r="M60" s="150">
        <f>'6-6-24 vs Ensworth'!BR12</f>
        <v>95.944907815786323</v>
      </c>
      <c r="N60" s="150">
        <f>'6-6-24 vs Ensworth'!BS12</f>
        <v>300</v>
      </c>
      <c r="O60" s="150">
        <f>'6-6-24 vs Ensworth'!BT12</f>
        <v>204.05509218421366</v>
      </c>
      <c r="P60" s="150">
        <f>('6-6-24 vs Ensworth'!BU12)*100</f>
        <v>2.6200873362445414</v>
      </c>
      <c r="Q60" s="150">
        <f>'6-6-24 vs Ensworth'!BV12</f>
        <v>2.16</v>
      </c>
      <c r="R60">
        <v>5.33</v>
      </c>
      <c r="S60" t="s">
        <v>132</v>
      </c>
    </row>
    <row r="61" spans="1:19" x14ac:dyDescent="0.55000000000000004">
      <c r="A61">
        <f>'6-6-24 vs Ensworth'!BF13</f>
        <v>30</v>
      </c>
      <c r="B61" t="str">
        <f>'6-6-24 vs Ensworth'!BG13</f>
        <v>Bowman</v>
      </c>
      <c r="C61" s="150">
        <f>('6-6-24 vs Ensworth'!BH13)*100</f>
        <v>50</v>
      </c>
      <c r="D61" s="150">
        <f>('6-6-24 vs Ensworth'!BI13)*100</f>
        <v>46.58385093167702</v>
      </c>
      <c r="E61" s="150">
        <f>('6-6-24 vs Ensworth'!BJ13)*100</f>
        <v>16.916780354706688</v>
      </c>
      <c r="F61" s="150">
        <f>('6-6-24 vs Ensworth'!BK13)*100</f>
        <v>0</v>
      </c>
      <c r="G61" s="150">
        <f>'6-6-24 vs Ensworth'!BL13</f>
        <v>0</v>
      </c>
      <c r="H61" s="150">
        <f>'6-6-24 vs Ensworth'!BM13</f>
        <v>0.13440860215053763</v>
      </c>
      <c r="I61" s="150">
        <f>'6-6-24 vs Ensworth'!BN13</f>
        <v>0</v>
      </c>
      <c r="J61" s="150">
        <f>('6-6-24 vs Ensworth'!BO13)*100</f>
        <v>15.386538461538457</v>
      </c>
      <c r="K61" s="150">
        <f>('6-6-24 vs Ensworth'!BP13)*100</f>
        <v>20.002499999999998</v>
      </c>
      <c r="L61" s="150">
        <f>('6-6-24 vs Ensworth'!BQ13)*100</f>
        <v>17.393478260869561</v>
      </c>
      <c r="M61" s="150">
        <f>'6-6-24 vs Ensworth'!BR13</f>
        <v>69.012182544684023</v>
      </c>
      <c r="N61" s="150">
        <f>'6-6-24 vs Ensworth'!BS13</f>
        <v>97.797297712151192</v>
      </c>
      <c r="O61" s="150">
        <f>'6-6-24 vs Ensworth'!BT13</f>
        <v>28.785115167467168</v>
      </c>
      <c r="P61" s="150">
        <f>('6-6-24 vs Ensworth'!BU13)*100</f>
        <v>7.4235807860262017</v>
      </c>
      <c r="Q61" s="150">
        <f>'6-6-24 vs Ensworth'!BV13</f>
        <v>9.67</v>
      </c>
      <c r="R61">
        <v>16</v>
      </c>
      <c r="S61" t="s">
        <v>132</v>
      </c>
    </row>
    <row r="62" spans="1:19" x14ac:dyDescent="0.55000000000000004">
      <c r="A62">
        <f>'6-6-24 vs Ensworth'!BF14</f>
        <v>32</v>
      </c>
      <c r="B62" t="str">
        <f>'6-6-24 vs Ensworth'!BG14</f>
        <v>Turner</v>
      </c>
      <c r="C62" s="150">
        <f>('6-6-24 vs Ensworth'!BH14)*100</f>
        <v>0</v>
      </c>
      <c r="D62" s="150">
        <f>('6-6-24 vs Ensworth'!BI14)*100</f>
        <v>0</v>
      </c>
      <c r="E62" s="150">
        <f>('6-6-24 vs Ensworth'!BJ14)*100</f>
        <v>12.777426546434633</v>
      </c>
      <c r="F62" s="150">
        <f>('6-6-24 vs Ensworth'!BK14)*100</f>
        <v>0</v>
      </c>
      <c r="G62" s="150">
        <f>'6-6-24 vs Ensworth'!BL14</f>
        <v>0</v>
      </c>
      <c r="H62" s="150">
        <f>'6-6-24 vs Ensworth'!BM14</f>
        <v>0</v>
      </c>
      <c r="I62" s="150">
        <f>'6-6-24 vs Ensworth'!BN14</f>
        <v>0</v>
      </c>
      <c r="J62" s="150">
        <f>('6-6-24 vs Ensworth'!BO14)*100</f>
        <v>20.015009380863034</v>
      </c>
      <c r="K62" s="150">
        <f>('6-6-24 vs Ensworth'!BP14)*100</f>
        <v>0</v>
      </c>
      <c r="L62" s="150">
        <f>('6-6-24 vs Ensworth'!BQ14)*100</f>
        <v>11.312831389183456</v>
      </c>
      <c r="M62" s="150">
        <f>'6-6-24 vs Ensworth'!BR14</f>
        <v>70.321488830783437</v>
      </c>
      <c r="N62" s="150">
        <f>'6-6-24 vs Ensworth'!BS14</f>
        <v>32.195281770841795</v>
      </c>
      <c r="O62" s="150">
        <f>'6-6-24 vs Ensworth'!BT14</f>
        <v>-38.126207059941642</v>
      </c>
      <c r="P62" s="150">
        <f>('6-6-24 vs Ensworth'!BU14)*100</f>
        <v>-0.43668122270742354</v>
      </c>
      <c r="Q62" s="150">
        <f>'6-6-24 vs Ensworth'!BV14</f>
        <v>0.50999999999999979</v>
      </c>
      <c r="R62">
        <v>4.0999999999999996</v>
      </c>
      <c r="S62" t="s">
        <v>132</v>
      </c>
    </row>
    <row r="63" spans="1:19" x14ac:dyDescent="0.55000000000000004">
      <c r="A63">
        <f>'6-6-24 vs Ensworth'!BF15</f>
        <v>33</v>
      </c>
      <c r="B63" t="str">
        <f>'6-6-24 vs Ensworth'!BG15</f>
        <v>Bellomy</v>
      </c>
      <c r="C63" s="150">
        <f>('6-6-24 vs Ensworth'!BH15)*100</f>
        <v>0</v>
      </c>
      <c r="D63" s="150">
        <f>('6-6-24 vs Ensworth'!BI15)*100</f>
        <v>0</v>
      </c>
      <c r="E63" s="150">
        <f>('6-6-24 vs Ensworth'!BJ15)*100</f>
        <v>4.4638248841497949</v>
      </c>
      <c r="F63" s="150">
        <f>('6-6-24 vs Ensworth'!BK15)*100</f>
        <v>0</v>
      </c>
      <c r="G63" s="150">
        <f>'6-6-24 vs Ensworth'!BL15</f>
        <v>0</v>
      </c>
      <c r="H63" s="150">
        <f>'6-6-24 vs Ensworth'!BM15</f>
        <v>0</v>
      </c>
      <c r="I63" s="150">
        <f>'6-6-24 vs Ensworth'!BN15</f>
        <v>0</v>
      </c>
      <c r="J63" s="150">
        <f>('6-6-24 vs Ensworth'!BO15)*100</f>
        <v>10.068900424728644</v>
      </c>
      <c r="K63" s="150">
        <f>('6-6-24 vs Ensworth'!BP15)*100</f>
        <v>0</v>
      </c>
      <c r="L63" s="150">
        <f>('6-6-24 vs Ensworth'!BQ15)*100</f>
        <v>5.6911176313683631</v>
      </c>
      <c r="M63" s="150">
        <f>'6-6-24 vs Ensworth'!BR15</f>
        <v>95.944907815786323</v>
      </c>
      <c r="N63" s="150">
        <f>'6-6-24 vs Ensworth'!BS15</f>
        <v>49.839994964859436</v>
      </c>
      <c r="O63" s="150">
        <f>'6-6-24 vs Ensworth'!BT15</f>
        <v>-46.104912850926887</v>
      </c>
      <c r="P63" s="150">
        <f>('6-6-24 vs Ensworth'!BU15)*100</f>
        <v>-0.43668122270742354</v>
      </c>
      <c r="Q63" s="150">
        <f>'6-6-24 vs Ensworth'!BV15</f>
        <v>0.25</v>
      </c>
      <c r="R63">
        <v>8.15</v>
      </c>
      <c r="S63" t="s">
        <v>132</v>
      </c>
    </row>
    <row r="64" spans="1:19" x14ac:dyDescent="0.55000000000000004">
      <c r="A64">
        <f>'6-6-24 vs Ensworth'!BF16</f>
        <v>34</v>
      </c>
      <c r="B64" t="str">
        <f>'6-6-24 vs Ensworth'!BG16</f>
        <v>Toms</v>
      </c>
      <c r="C64" s="150">
        <f>('6-6-24 vs Ensworth'!BH16)*100</f>
        <v>33.333333333333329</v>
      </c>
      <c r="D64" s="150">
        <f>('6-6-24 vs Ensworth'!BI16)*100</f>
        <v>31.05590062111801</v>
      </c>
      <c r="E64" s="150">
        <f>('6-6-24 vs Ensworth'!BJ16)*100</f>
        <v>18.044565711687135</v>
      </c>
      <c r="F64" s="150">
        <f>('6-6-24 vs Ensworth'!BK16)*100</f>
        <v>0</v>
      </c>
      <c r="G64" s="150">
        <f>'6-6-24 vs Ensworth'!BL16</f>
        <v>0</v>
      </c>
      <c r="H64" s="150">
        <f>'6-6-24 vs Ensworth'!BM16</f>
        <v>0.13440860215053763</v>
      </c>
      <c r="I64" s="150">
        <f>'6-6-24 vs Ensworth'!BN16</f>
        <v>0</v>
      </c>
      <c r="J64" s="150">
        <f>('6-6-24 vs Ensworth'!BO16)*100</f>
        <v>16.412307692307689</v>
      </c>
      <c r="K64" s="150">
        <f>('6-6-24 vs Ensworth'!BP16)*100</f>
        <v>35.559999999999995</v>
      </c>
      <c r="L64" s="150">
        <f>('6-6-24 vs Ensworth'!BQ16)*100</f>
        <v>24.73739130434782</v>
      </c>
      <c r="M64" s="150">
        <f>'6-6-24 vs Ensworth'!BR16</f>
        <v>61.22008555243751</v>
      </c>
      <c r="N64" s="150">
        <f>'6-6-24 vs Ensworth'!BS16</f>
        <v>76.113261227069771</v>
      </c>
      <c r="O64" s="150">
        <f>'6-6-24 vs Ensworth'!BT16</f>
        <v>14.893175674632261</v>
      </c>
      <c r="P64" s="150">
        <f>('6-6-24 vs Ensworth'!BU16)*100</f>
        <v>6.5502183406113534</v>
      </c>
      <c r="Q64" s="150">
        <f>'6-6-24 vs Ensworth'!BV16</f>
        <v>9.85</v>
      </c>
      <c r="R64">
        <v>15</v>
      </c>
      <c r="S64" t="s">
        <v>132</v>
      </c>
    </row>
    <row r="65" spans="1:19" x14ac:dyDescent="0.55000000000000004">
      <c r="A65">
        <f>'6-6-24 vs Ensworth'!BF17</f>
        <v>55</v>
      </c>
      <c r="B65" t="str">
        <f>'6-6-24 vs Ensworth'!BG17</f>
        <v>Baker</v>
      </c>
      <c r="C65" s="150">
        <f>('6-6-24 vs Ensworth'!BH17)*100</f>
        <v>33.333333333333329</v>
      </c>
      <c r="D65" s="150">
        <f>('6-6-24 vs Ensworth'!BI17)*100</f>
        <v>33.333333333333329</v>
      </c>
      <c r="E65" s="150">
        <f>('6-6-24 vs Ensworth'!BJ17)*100</f>
        <v>23.72619965597011</v>
      </c>
      <c r="F65" s="150">
        <f>('6-6-24 vs Ensworth'!BK17)*100</f>
        <v>15.096796105513416</v>
      </c>
      <c r="G65" s="150">
        <f>'6-6-24 vs Ensworth'!BL17</f>
        <v>0.14285714285714285</v>
      </c>
      <c r="H65" s="150">
        <f>'6-6-24 vs Ensworth'!BM17</f>
        <v>0</v>
      </c>
      <c r="I65" s="150">
        <f>'6-6-24 vs Ensworth'!BN17</f>
        <v>0</v>
      </c>
      <c r="J65" s="150">
        <f>('6-6-24 vs Ensworth'!BO17)*100</f>
        <v>0</v>
      </c>
      <c r="K65" s="150">
        <f>('6-6-24 vs Ensworth'!BP17)*100</f>
        <v>11.595652173913043</v>
      </c>
      <c r="L65" s="150">
        <f>('6-6-24 vs Ensworth'!BQ17)*100</f>
        <v>5.0415879017013232</v>
      </c>
      <c r="M65" s="150">
        <f>'6-6-24 vs Ensworth'!BR17</f>
        <v>67.492674391988004</v>
      </c>
      <c r="N65" s="150">
        <f>'6-6-24 vs Ensworth'!BS17</f>
        <v>97.80251189924256</v>
      </c>
      <c r="O65" s="150">
        <f>'6-6-24 vs Ensworth'!BT17</f>
        <v>30.309837507254556</v>
      </c>
      <c r="P65" s="150">
        <f>('6-6-24 vs Ensworth'!BU17)*100</f>
        <v>3.4934497816593884</v>
      </c>
      <c r="Q65" s="150">
        <f>'6-6-24 vs Ensworth'!BV17</f>
        <v>3.41</v>
      </c>
      <c r="R65">
        <v>9.1999999999999993</v>
      </c>
      <c r="S65" t="s">
        <v>132</v>
      </c>
    </row>
    <row r="66" spans="1:19" x14ac:dyDescent="0.55000000000000004">
      <c r="A66">
        <v>99</v>
      </c>
      <c r="B66" t="str">
        <f>'6-6-24 vs Ensworth'!BG18</f>
        <v>Team</v>
      </c>
      <c r="C66" s="150">
        <f>('6-6-24 vs Ensworth'!BH18)*100</f>
        <v>45.205479452054789</v>
      </c>
      <c r="D66" s="150">
        <f>('6-6-24 vs Ensworth'!BI18)*100</f>
        <v>45.478170478170483</v>
      </c>
      <c r="E66" s="150">
        <f>('6-6-24 vs Ensworth'!BJ18)*100</f>
        <v>0</v>
      </c>
      <c r="F66" s="150">
        <f>('6-6-24 vs Ensworth'!BK18)*100</f>
        <v>46.666666666666664</v>
      </c>
      <c r="G66" s="150">
        <f>'6-6-24 vs Ensworth'!BL18</f>
        <v>0.15916325602546613</v>
      </c>
      <c r="H66" s="150">
        <f>'6-6-24 vs Ensworth'!BM18</f>
        <v>0.12505684402000911</v>
      </c>
      <c r="I66" s="150">
        <f>'6-6-24 vs Ensworth'!BN18</f>
        <v>1.2727272727272727</v>
      </c>
      <c r="J66" s="150">
        <f>('6-6-24 vs Ensworth'!BO18)*100</f>
        <v>41.025641025641022</v>
      </c>
      <c r="K66" s="150">
        <f>('6-6-24 vs Ensworth'!BP18)*100</f>
        <v>63.333333333333329</v>
      </c>
      <c r="L66" s="150">
        <f>('6-6-24 vs Ensworth'!BQ18)*100</f>
        <v>50.724637681159422</v>
      </c>
      <c r="M66" s="150">
        <f>'6-6-24 vs Ensworth'!BR18</f>
        <v>76.428252977517346</v>
      </c>
      <c r="N66" s="150">
        <f>'6-6-24 vs Ensworth'!BS18</f>
        <v>101.32577163472247</v>
      </c>
      <c r="O66" s="150">
        <f>'6-6-24 vs Ensworth'!BT18</f>
        <v>24.897518657205126</v>
      </c>
      <c r="P66" s="150">
        <f>('6-6-24 vs Ensworth'!BU18)*100</f>
        <v>63.755458515283848</v>
      </c>
      <c r="Q66" s="150">
        <f>'6-6-24 vs Ensworth'!BV18</f>
        <v>67.789999999999992</v>
      </c>
      <c r="R66">
        <v>160</v>
      </c>
      <c r="S66" t="s">
        <v>132</v>
      </c>
    </row>
    <row r="67" spans="1:19" x14ac:dyDescent="0.55000000000000004">
      <c r="A67">
        <f>'6-7-24 vs Sparkman'!BF3</f>
        <v>0</v>
      </c>
      <c r="B67" t="str">
        <f>'6-7-24 vs Sparkman'!BG3</f>
        <v>Lewis</v>
      </c>
      <c r="C67" s="150">
        <f>('6-7-24 vs Sparkman'!BH3)*100</f>
        <v>0</v>
      </c>
      <c r="D67" s="150">
        <f>('6-7-24 vs Sparkman'!BI3)*100</f>
        <v>0</v>
      </c>
      <c r="E67" s="150">
        <f>('6-7-24 vs Sparkman'!BJ3)*100</f>
        <v>17.492711370262391</v>
      </c>
      <c r="F67" s="150">
        <f>('6-7-24 vs Sparkman'!BK3)*100</f>
        <v>0</v>
      </c>
      <c r="G67" s="150">
        <f>'6-7-24 vs Sparkman'!BL3</f>
        <v>0</v>
      </c>
      <c r="H67" s="150">
        <f>'6-7-24 vs Sparkman'!BM3</f>
        <v>0.33333333333333331</v>
      </c>
      <c r="I67" s="150">
        <f>'6-7-24 vs Sparkman'!BN3</f>
        <v>0</v>
      </c>
      <c r="J67" s="150">
        <f>('6-7-24 vs Sparkman'!BO3)*100</f>
        <v>26.125714285714281</v>
      </c>
      <c r="K67" s="150">
        <f>('6-7-24 vs Sparkman'!BP3)*100</f>
        <v>0</v>
      </c>
      <c r="L67" s="150">
        <f>('6-7-24 vs Sparkman'!BQ3)*100</f>
        <v>11.875324675324672</v>
      </c>
      <c r="M67" s="150">
        <f>'6-7-24 vs Sparkman'!BR3</f>
        <v>72.504950731196388</v>
      </c>
      <c r="N67" s="150">
        <f>'6-7-24 vs Sparkman'!BS3</f>
        <v>23.843272449977306</v>
      </c>
      <c r="O67" s="150">
        <f>'6-7-24 vs Sparkman'!BT3</f>
        <v>-48.661678281219082</v>
      </c>
      <c r="P67" s="150">
        <f>('6-7-24 vs Sparkman'!BU3)*100</f>
        <v>-1.1904761904761905</v>
      </c>
      <c r="Q67" s="150">
        <f>'6-7-24 vs Sparkman'!BV3</f>
        <v>0.5</v>
      </c>
      <c r="R67" s="150">
        <v>7</v>
      </c>
      <c r="S67" t="s">
        <v>136</v>
      </c>
    </row>
    <row r="68" spans="1:19" x14ac:dyDescent="0.55000000000000004">
      <c r="A68">
        <f>'6-7-24 vs Sparkman'!BF4</f>
        <v>1</v>
      </c>
      <c r="B68" t="str">
        <f>'6-7-24 vs Sparkman'!BG4</f>
        <v>Walker</v>
      </c>
      <c r="C68" s="150">
        <f>('6-7-24 vs Sparkman'!BH4)*100</f>
        <v>80</v>
      </c>
      <c r="D68" s="150">
        <f>('6-7-24 vs Sparkman'!BI4)*100</f>
        <v>80</v>
      </c>
      <c r="E68" s="150">
        <f>('6-7-24 vs Sparkman'!BJ4)*100</f>
        <v>20.408163265306118</v>
      </c>
      <c r="F68" s="150">
        <f>('6-7-24 vs Sparkman'!BK4)*100</f>
        <v>11.766868639331722</v>
      </c>
      <c r="G68" s="150">
        <f>'6-7-24 vs Sparkman'!BL4</f>
        <v>0.1111111111111111</v>
      </c>
      <c r="H68" s="150">
        <f>'6-7-24 vs Sparkman'!BM4</f>
        <v>0.33333333333333331</v>
      </c>
      <c r="I68" s="150">
        <f>'6-7-24 vs Sparkman'!BN4</f>
        <v>0.33333333333333331</v>
      </c>
      <c r="J68" s="150">
        <f>('6-7-24 vs Sparkman'!BO4)*100</f>
        <v>0</v>
      </c>
      <c r="K68" s="150">
        <f>('6-7-24 vs Sparkman'!BP4)*100</f>
        <v>33.337499999999991</v>
      </c>
      <c r="L68" s="150">
        <f>('6-7-24 vs Sparkman'!BQ4)*100</f>
        <v>18.184090909090905</v>
      </c>
      <c r="M68" s="150">
        <f>'6-7-24 vs Sparkman'!BR4</f>
        <v>47.458296819253</v>
      </c>
      <c r="N68" s="150">
        <f>'6-7-24 vs Sparkman'!BS4</f>
        <v>97.148940291857556</v>
      </c>
      <c r="O68" s="150">
        <f>'6-7-24 vs Sparkman'!BT4</f>
        <v>49.690643472604556</v>
      </c>
      <c r="P68" s="150">
        <f>('6-7-24 vs Sparkman'!BU4)*100</f>
        <v>15.476190476190476</v>
      </c>
      <c r="Q68" s="150">
        <f>'6-7-24 vs Sparkman'!BV4</f>
        <v>10.16</v>
      </c>
      <c r="R68" s="150">
        <v>16</v>
      </c>
      <c r="S68" t="s">
        <v>136</v>
      </c>
    </row>
    <row r="69" spans="1:19" x14ac:dyDescent="0.55000000000000004">
      <c r="A69">
        <f>'6-7-24 vs Sparkman'!BF5</f>
        <v>2</v>
      </c>
      <c r="B69" t="str">
        <f>'6-7-24 vs Sparkman'!BG5</f>
        <v>Rivers</v>
      </c>
      <c r="C69" s="150">
        <f>('6-7-24 vs Sparkman'!BH5)*100</f>
        <v>62.5</v>
      </c>
      <c r="D69" s="150">
        <f>('6-7-24 vs Sparkman'!BI5)*100</f>
        <v>62.5</v>
      </c>
      <c r="E69" s="150">
        <f>('6-7-24 vs Sparkman'!BJ5)*100</f>
        <v>13.605442176870749</v>
      </c>
      <c r="F69" s="150">
        <f>('6-7-24 vs Sparkman'!BK5)*100</f>
        <v>0</v>
      </c>
      <c r="G69" s="150">
        <f>'6-7-24 vs Sparkman'!BL5</f>
        <v>0</v>
      </c>
      <c r="H69" s="150">
        <f>'6-7-24 vs Sparkman'!BM5</f>
        <v>0.2</v>
      </c>
      <c r="I69" s="150">
        <f>'6-7-24 vs Sparkman'!BN5</f>
        <v>0</v>
      </c>
      <c r="J69" s="150">
        <f>('6-7-24 vs Sparkman'!BO5)*100</f>
        <v>6.0959999999999983</v>
      </c>
      <c r="K69" s="150">
        <f>('6-7-24 vs Sparkman'!BP5)*100</f>
        <v>0</v>
      </c>
      <c r="L69" s="150">
        <f>('6-7-24 vs Sparkman'!BQ5)*100</f>
        <v>2.7709090909090901</v>
      </c>
      <c r="M69" s="150">
        <f>'6-7-24 vs Sparkman'!BR5</f>
        <v>89.910587976985994</v>
      </c>
      <c r="N69" s="150">
        <f>'6-7-24 vs Sparkman'!BS5</f>
        <v>113.52588921111146</v>
      </c>
      <c r="O69" s="150">
        <f>'6-7-24 vs Sparkman'!BT5</f>
        <v>23.615301234125468</v>
      </c>
      <c r="P69" s="150">
        <f>('6-7-24 vs Sparkman'!BU5)*100</f>
        <v>3.5714285714285712</v>
      </c>
      <c r="Q69" s="150">
        <f>'6-7-24 vs Sparkman'!BV5</f>
        <v>2.82</v>
      </c>
      <c r="R69" s="150">
        <v>15</v>
      </c>
      <c r="S69" t="s">
        <v>136</v>
      </c>
    </row>
    <row r="70" spans="1:19" x14ac:dyDescent="0.55000000000000004">
      <c r="A70">
        <f>'6-7-24 vs Sparkman'!BF6</f>
        <v>3</v>
      </c>
      <c r="B70" t="str">
        <f>'6-7-24 vs Sparkman'!BG6</f>
        <v>Gossett</v>
      </c>
      <c r="C70" s="150">
        <f>('6-7-24 vs Sparkman'!BH6)*100</f>
        <v>0</v>
      </c>
      <c r="D70" s="150">
        <f>('6-7-24 vs Sparkman'!BI6)*100</f>
        <v>0</v>
      </c>
      <c r="E70" s="150">
        <f>('6-7-24 vs Sparkman'!BJ6)*100</f>
        <v>7.6578473791017343</v>
      </c>
      <c r="F70" s="150">
        <f>('6-7-24 vs Sparkman'!BK6)*100</f>
        <v>24.018011257035646</v>
      </c>
      <c r="G70" s="150">
        <f>'6-7-24 vs Sparkman'!BL6</f>
        <v>0.5</v>
      </c>
      <c r="H70" s="150">
        <f>'6-7-24 vs Sparkman'!BM6</f>
        <v>0</v>
      </c>
      <c r="I70" s="150">
        <f>'6-7-24 vs Sparkman'!BN6</f>
        <v>0</v>
      </c>
      <c r="J70" s="150">
        <f>('6-7-24 vs Sparkman'!BO6)*100</f>
        <v>0</v>
      </c>
      <c r="K70" s="150">
        <f>('6-7-24 vs Sparkman'!BP6)*100</f>
        <v>14.296435272045024</v>
      </c>
      <c r="L70" s="150">
        <f>('6-7-24 vs Sparkman'!BQ6)*100</f>
        <v>7.7980556029336512</v>
      </c>
      <c r="M70" s="150">
        <f>'6-7-24 vs Sparkman'!BR6</f>
        <v>59.017817900368826</v>
      </c>
      <c r="N70" s="150">
        <f>'6-7-24 vs Sparkman'!BS6</f>
        <v>91.093041822704961</v>
      </c>
      <c r="O70" s="150">
        <f>'6-7-24 vs Sparkman'!BT6</f>
        <v>32.075223922336136</v>
      </c>
      <c r="P70" s="150">
        <f>('6-7-24 vs Sparkman'!BU6)*100</f>
        <v>4.1666666666666661</v>
      </c>
      <c r="Q70" s="150">
        <f>'6-7-24 vs Sparkman'!BV6</f>
        <v>4.32</v>
      </c>
      <c r="R70" s="150">
        <v>10.66</v>
      </c>
      <c r="S70" t="s">
        <v>136</v>
      </c>
    </row>
    <row r="71" spans="1:19" x14ac:dyDescent="0.55000000000000004">
      <c r="A71">
        <f>'6-7-24 vs Sparkman'!BF7</f>
        <v>4</v>
      </c>
      <c r="B71" t="str">
        <f>'6-7-24 vs Sparkman'!BG7</f>
        <v>Stapler</v>
      </c>
      <c r="C71" s="150">
        <f>('6-7-24 vs Sparkman'!BH7)*100</f>
        <v>43.75</v>
      </c>
      <c r="D71" s="150">
        <f>('6-7-24 vs Sparkman'!BI7)*100</f>
        <v>43.75</v>
      </c>
      <c r="E71" s="150">
        <f>('6-7-24 vs Sparkman'!BJ7)*100</f>
        <v>21.60864345738295</v>
      </c>
      <c r="F71" s="150">
        <f>('6-7-24 vs Sparkman'!BK7)*100</f>
        <v>9.7280143956618481</v>
      </c>
      <c r="G71" s="150">
        <f>'6-7-24 vs Sparkman'!BL7</f>
        <v>0.1</v>
      </c>
      <c r="H71" s="150">
        <f>'6-7-24 vs Sparkman'!BM7</f>
        <v>0.1</v>
      </c>
      <c r="I71" s="150">
        <f>'6-7-24 vs Sparkman'!BN7</f>
        <v>1</v>
      </c>
      <c r="J71" s="150">
        <f>('6-7-24 vs Sparkman'!BO7)*100</f>
        <v>10.75764705882353</v>
      </c>
      <c r="K71" s="150">
        <f>('6-7-24 vs Sparkman'!BP7)*100</f>
        <v>4.4823529411764707</v>
      </c>
      <c r="L71" s="150">
        <f>('6-7-24 vs Sparkman'!BQ7)*100</f>
        <v>7.3347593582887702</v>
      </c>
      <c r="M71" s="150">
        <f>'6-7-24 vs Sparkman'!BR7</f>
        <v>86.453925958794414</v>
      </c>
      <c r="N71" s="150">
        <f>'6-7-24 vs Sparkman'!BS7</f>
        <v>111.6184310887574</v>
      </c>
      <c r="O71" s="150">
        <f>'6-7-24 vs Sparkman'!BT7</f>
        <v>25.16450512996299</v>
      </c>
      <c r="P71" s="150">
        <f>('6-7-24 vs Sparkman'!BU7)*100</f>
        <v>4.7619047619047619</v>
      </c>
      <c r="Q71" s="150">
        <f>'6-7-24 vs Sparkman'!BV7</f>
        <v>3.7299999999999995</v>
      </c>
      <c r="R71" s="150">
        <v>17</v>
      </c>
      <c r="S71" t="s">
        <v>136</v>
      </c>
    </row>
    <row r="72" spans="1:19" x14ac:dyDescent="0.55000000000000004">
      <c r="A72">
        <f>'6-7-24 vs Sparkman'!BF8</f>
        <v>5</v>
      </c>
      <c r="B72" t="str">
        <f>'6-7-24 vs Sparkman'!BG8</f>
        <v>JD</v>
      </c>
      <c r="C72" s="150">
        <f>('6-7-24 vs Sparkman'!BH8)*100</f>
        <v>44.444444444444443</v>
      </c>
      <c r="D72" s="150">
        <f>('6-7-24 vs Sparkman'!BI8)*100</f>
        <v>51.115241635687738</v>
      </c>
      <c r="E72" s="150">
        <f>('6-7-24 vs Sparkman'!BJ8)*100</f>
        <v>28.235294117647054</v>
      </c>
      <c r="F72" s="150">
        <f>('6-7-24 vs Sparkman'!BK8)*100</f>
        <v>21.552676238450555</v>
      </c>
      <c r="G72" s="150">
        <f>'6-7-24 vs Sparkman'!BL8</f>
        <v>0.14534883720930233</v>
      </c>
      <c r="H72" s="150">
        <f>'6-7-24 vs Sparkman'!BM8</f>
        <v>7.2674418604651167E-2</v>
      </c>
      <c r="I72" s="150">
        <f>'6-7-24 vs Sparkman'!BN8</f>
        <v>2</v>
      </c>
      <c r="J72" s="150">
        <f>('6-7-24 vs Sparkman'!BO8)*100</f>
        <v>10.75764705882353</v>
      </c>
      <c r="K72" s="150">
        <f>('6-7-24 vs Sparkman'!BP8)*100</f>
        <v>8.9647058823529413</v>
      </c>
      <c r="L72" s="150">
        <f>('6-7-24 vs Sparkman'!BQ8)*100</f>
        <v>9.7796791443850264</v>
      </c>
      <c r="M72" s="150">
        <f>'6-7-24 vs Sparkman'!BR8</f>
        <v>66.609179863350093</v>
      </c>
      <c r="N72" s="150">
        <f>'6-7-24 vs Sparkman'!BS8</f>
        <v>129.53719701843792</v>
      </c>
      <c r="O72" s="150">
        <f>'6-7-24 vs Sparkman'!BT8</f>
        <v>62.928017155087829</v>
      </c>
      <c r="P72" s="150">
        <f>('6-7-24 vs Sparkman'!BU8)*100</f>
        <v>13.095238095238097</v>
      </c>
      <c r="Q72" s="150">
        <f>'6-7-24 vs Sparkman'!BV8</f>
        <v>8.4700000000000006</v>
      </c>
      <c r="R72" s="150">
        <v>17</v>
      </c>
      <c r="S72" t="s">
        <v>136</v>
      </c>
    </row>
    <row r="73" spans="1:19" x14ac:dyDescent="0.55000000000000004">
      <c r="A73">
        <f>'6-7-24 vs Sparkman'!BF9</f>
        <v>10</v>
      </c>
      <c r="B73" t="str">
        <f>'6-7-24 vs Sparkman'!BG9</f>
        <v>Mason</v>
      </c>
      <c r="C73" s="150">
        <f>('6-7-24 vs Sparkman'!BH9)*100</f>
        <v>0</v>
      </c>
      <c r="D73" s="150">
        <f>('6-7-24 vs Sparkman'!BI9)*100</f>
        <v>0</v>
      </c>
      <c r="E73" s="150">
        <f>('6-7-24 vs Sparkman'!BJ9)*100</f>
        <v>16.326530612244898</v>
      </c>
      <c r="F73" s="150">
        <f>('6-7-24 vs Sparkman'!BK9)*100</f>
        <v>17.0688</v>
      </c>
      <c r="G73" s="150">
        <f>'6-7-24 vs Sparkman'!BL9</f>
        <v>0.25</v>
      </c>
      <c r="H73" s="150">
        <f>'6-7-24 vs Sparkman'!BM9</f>
        <v>0.25</v>
      </c>
      <c r="I73" s="150">
        <f>'6-7-24 vs Sparkman'!BN9</f>
        <v>1</v>
      </c>
      <c r="J73" s="150">
        <f>('6-7-24 vs Sparkman'!BO9)*100</f>
        <v>0</v>
      </c>
      <c r="K73" s="150">
        <f>('6-7-24 vs Sparkman'!BP9)*100</f>
        <v>10.159999999999998</v>
      </c>
      <c r="L73" s="150">
        <f>('6-7-24 vs Sparkman'!BQ9)*100</f>
        <v>5.5418181818181802</v>
      </c>
      <c r="M73" s="150">
        <f>'6-7-24 vs Sparkman'!BR9</f>
        <v>81.691064243328185</v>
      </c>
      <c r="N73" s="150">
        <f>'6-7-24 vs Sparkman'!BS9</f>
        <v>28.973280739198092</v>
      </c>
      <c r="O73" s="150">
        <f>'6-7-24 vs Sparkman'!BT9</f>
        <v>-52.717783504130097</v>
      </c>
      <c r="P73" s="150">
        <f>('6-7-24 vs Sparkman'!BU9)*100</f>
        <v>-1.1904761904761905</v>
      </c>
      <c r="Q73" s="150">
        <f>'6-7-24 vs Sparkman'!BV9</f>
        <v>-0.59000000000000008</v>
      </c>
      <c r="R73" s="150">
        <v>7.5</v>
      </c>
      <c r="S73" t="s">
        <v>136</v>
      </c>
    </row>
    <row r="74" spans="1:19" x14ac:dyDescent="0.55000000000000004">
      <c r="A74">
        <f>'6-7-24 vs Sparkman'!BF10</f>
        <v>11</v>
      </c>
      <c r="B74" t="str">
        <f>'6-7-24 vs Sparkman'!BG10</f>
        <v>Pannell</v>
      </c>
      <c r="C74" s="150">
        <f>('6-7-24 vs Sparkman'!BH10)*100</f>
        <v>66.666666666666657</v>
      </c>
      <c r="D74" s="150">
        <f>('6-7-24 vs Sparkman'!BI10)*100</f>
        <v>64.432989690721655</v>
      </c>
      <c r="E74" s="150">
        <f>('6-7-24 vs Sparkman'!BJ10)*100</f>
        <v>31.084818146812747</v>
      </c>
      <c r="F74" s="150">
        <f>('6-7-24 vs Sparkman'!BK10)*100</f>
        <v>28.136374026339389</v>
      </c>
      <c r="G74" s="150">
        <f>'6-7-24 vs Sparkman'!BL10</f>
        <v>0.18382352941176472</v>
      </c>
      <c r="H74" s="150">
        <f>'6-7-24 vs Sparkman'!BM10</f>
        <v>0.4595588235294118</v>
      </c>
      <c r="I74" s="150">
        <f>'6-7-24 vs Sparkman'!BN10</f>
        <v>0.4</v>
      </c>
      <c r="J74" s="150">
        <f>('6-7-24 vs Sparkman'!BO10)*100</f>
        <v>0</v>
      </c>
      <c r="K74" s="150">
        <f>('6-7-24 vs Sparkman'!BP10)*100</f>
        <v>19.605488850771867</v>
      </c>
      <c r="L74" s="150">
        <f>('6-7-24 vs Sparkman'!BQ10)*100</f>
        <v>10.693903009511928</v>
      </c>
      <c r="M74" s="150">
        <f>'6-7-24 vs Sparkman'!BR10</f>
        <v>71.791085205726404</v>
      </c>
      <c r="N74" s="150">
        <f>'6-7-24 vs Sparkman'!BS10</f>
        <v>65.143838981182626</v>
      </c>
      <c r="O74" s="150">
        <f>'6-7-24 vs Sparkman'!BT10</f>
        <v>-6.6472462245437782</v>
      </c>
      <c r="P74" s="150">
        <f>('6-7-24 vs Sparkman'!BU10)*100</f>
        <v>3.5714285714285712</v>
      </c>
      <c r="Q74" s="150">
        <f>'6-7-24 vs Sparkman'!BV10</f>
        <v>1.4500000000000002</v>
      </c>
      <c r="R74" s="150">
        <v>11.66</v>
      </c>
      <c r="S74" t="s">
        <v>136</v>
      </c>
    </row>
    <row r="75" spans="1:19" x14ac:dyDescent="0.55000000000000004">
      <c r="A75">
        <f>'6-7-24 vs Sparkman'!BF11</f>
        <v>12</v>
      </c>
      <c r="B75" t="str">
        <f>'6-7-24 vs Sparkman'!BG11</f>
        <v>Chapman</v>
      </c>
      <c r="C75" s="150">
        <f>('6-7-24 vs Sparkman'!BH11)*100</f>
        <v>150</v>
      </c>
      <c r="D75" s="150">
        <f>('6-7-24 vs Sparkman'!BI11)*100</f>
        <v>150</v>
      </c>
      <c r="E75" s="150">
        <f>('6-7-24 vs Sparkman'!BJ11)*100</f>
        <v>8.6843247937472867</v>
      </c>
      <c r="F75" s="150">
        <f>('6-7-24 vs Sparkman'!BK11)*100</f>
        <v>0</v>
      </c>
      <c r="G75" s="150">
        <f>'6-7-24 vs Sparkman'!BL11</f>
        <v>0</v>
      </c>
      <c r="H75" s="150">
        <f>'6-7-24 vs Sparkman'!BM11</f>
        <v>0</v>
      </c>
      <c r="I75" s="150">
        <f>'6-7-24 vs Sparkman'!BN11</f>
        <v>0</v>
      </c>
      <c r="J75" s="150">
        <f>('6-7-24 vs Sparkman'!BO11)*100</f>
        <v>0</v>
      </c>
      <c r="K75" s="150">
        <f>('6-7-24 vs Sparkman'!BP11)*100</f>
        <v>0</v>
      </c>
      <c r="L75" s="150">
        <f>('6-7-24 vs Sparkman'!BQ11)*100</f>
        <v>0</v>
      </c>
      <c r="M75" s="150">
        <f>'6-7-24 vs Sparkman'!BR11</f>
        <v>58.501528791494927</v>
      </c>
      <c r="N75" s="150">
        <f>'6-7-24 vs Sparkman'!BS11</f>
        <v>300</v>
      </c>
      <c r="O75" s="150">
        <f>'6-7-24 vs Sparkman'!BT11</f>
        <v>241.49847120850507</v>
      </c>
      <c r="P75" s="150">
        <f>('6-7-24 vs Sparkman'!BU11)*100</f>
        <v>4.7619047619047619</v>
      </c>
      <c r="Q75" s="150">
        <f>'6-7-24 vs Sparkman'!BV11</f>
        <v>3.16</v>
      </c>
      <c r="R75" s="150">
        <v>4.7</v>
      </c>
      <c r="S75" t="s">
        <v>136</v>
      </c>
    </row>
    <row r="76" spans="1:19" x14ac:dyDescent="0.55000000000000004">
      <c r="A76">
        <f>'6-7-24 vs Sparkman'!BF12</f>
        <v>24</v>
      </c>
      <c r="B76" t="str">
        <f>'6-7-24 vs Sparkman'!BG12</f>
        <v>Carney</v>
      </c>
      <c r="C76" s="150">
        <f>('6-7-24 vs Sparkman'!BH12)*100</f>
        <v>100</v>
      </c>
      <c r="D76" s="150">
        <f>('6-7-24 vs Sparkman'!BI12)*100</f>
        <v>100</v>
      </c>
      <c r="E76" s="150">
        <f>('6-7-24 vs Sparkman'!BJ12)*100</f>
        <v>19.436345966958211</v>
      </c>
      <c r="F76" s="150">
        <f>('6-7-24 vs Sparkman'!BK12)*100</f>
        <v>19.223007063572144</v>
      </c>
      <c r="G76" s="150">
        <f>'6-7-24 vs Sparkman'!BL12</f>
        <v>0.16666666666666666</v>
      </c>
      <c r="H76" s="150">
        <f>'6-7-24 vs Sparkman'!BM12</f>
        <v>0.16666666666666666</v>
      </c>
      <c r="I76" s="150">
        <f>'6-7-24 vs Sparkman'!BN12</f>
        <v>1</v>
      </c>
      <c r="J76" s="150">
        <f>('6-7-24 vs Sparkman'!BO12)*100</f>
        <v>8.7085714285714264</v>
      </c>
      <c r="K76" s="150">
        <f>('6-7-24 vs Sparkman'!BP12)*100</f>
        <v>14.514285714285712</v>
      </c>
      <c r="L76" s="150">
        <f>('6-7-24 vs Sparkman'!BQ12)*100</f>
        <v>11.875324675324674</v>
      </c>
      <c r="M76" s="150">
        <f>'6-7-24 vs Sparkman'!BR12</f>
        <v>46.833832588607791</v>
      </c>
      <c r="N76" s="150">
        <f>'6-7-24 vs Sparkman'!BS12</f>
        <v>162.42356187574885</v>
      </c>
      <c r="O76" s="150">
        <f>'6-7-24 vs Sparkman'!BT12</f>
        <v>115.58972928714105</v>
      </c>
      <c r="P76" s="150">
        <f>('6-7-24 vs Sparkman'!BU12)*100</f>
        <v>13.690476190476192</v>
      </c>
      <c r="Q76" s="150">
        <f>'6-7-24 vs Sparkman'!BV12</f>
        <v>9.82</v>
      </c>
      <c r="R76" s="150">
        <v>10.5</v>
      </c>
      <c r="S76" t="s">
        <v>136</v>
      </c>
    </row>
    <row r="77" spans="1:19" x14ac:dyDescent="0.55000000000000004">
      <c r="A77">
        <f>'6-7-24 vs Sparkman'!BF13</f>
        <v>30</v>
      </c>
      <c r="B77" t="str">
        <f>'6-7-24 vs Sparkman'!BG13</f>
        <v>Bowman</v>
      </c>
      <c r="C77" s="150">
        <f>('6-7-24 vs Sparkman'!BH13)*100</f>
        <v>33.333333333333329</v>
      </c>
      <c r="D77" s="150">
        <f>('6-7-24 vs Sparkman'!BI13)*100</f>
        <v>30.364372469635626</v>
      </c>
      <c r="E77" s="150">
        <f>('6-7-24 vs Sparkman'!BJ13)*100</f>
        <v>26.017116524028967</v>
      </c>
      <c r="F77" s="150">
        <f>('6-7-24 vs Sparkman'!BK13)*100</f>
        <v>21.959051487539792</v>
      </c>
      <c r="G77" s="150">
        <f>'6-7-24 vs Sparkman'!BL13</f>
        <v>0.16835016835016833</v>
      </c>
      <c r="H77" s="150">
        <f>'6-7-24 vs Sparkman'!BM13</f>
        <v>0</v>
      </c>
      <c r="I77" s="150">
        <f>'6-7-24 vs Sparkman'!BN13</f>
        <v>0</v>
      </c>
      <c r="J77" s="150">
        <f>('6-7-24 vs Sparkman'!BO13)*100</f>
        <v>29.496774193548379</v>
      </c>
      <c r="K77" s="150">
        <f>('6-7-24 vs Sparkman'!BP13)*100</f>
        <v>19.664516129032254</v>
      </c>
      <c r="L77" s="150">
        <f>('6-7-24 vs Sparkman'!BQ13)*100</f>
        <v>24.133724340175949</v>
      </c>
      <c r="M77" s="150">
        <f>'6-7-24 vs Sparkman'!BR13</f>
        <v>66.772350562759215</v>
      </c>
      <c r="N77" s="150">
        <f>'6-7-24 vs Sparkman'!BS13</f>
        <v>109.68597334524401</v>
      </c>
      <c r="O77" s="150">
        <f>'6-7-24 vs Sparkman'!BT13</f>
        <v>42.913622782484794</v>
      </c>
      <c r="P77" s="150">
        <f>('6-7-24 vs Sparkman'!BU13)*100</f>
        <v>8.3333333333333321</v>
      </c>
      <c r="Q77" s="150">
        <f>'6-7-24 vs Sparkman'!BV13</f>
        <v>9.77</v>
      </c>
      <c r="R77" s="150">
        <v>15.5</v>
      </c>
      <c r="S77" t="s">
        <v>136</v>
      </c>
    </row>
    <row r="78" spans="1:19" x14ac:dyDescent="0.55000000000000004">
      <c r="A78">
        <f>'6-7-24 vs Sparkman'!BF14</f>
        <v>32</v>
      </c>
      <c r="B78" t="str">
        <f>'6-7-24 vs Sparkman'!BG14</f>
        <v>Turner</v>
      </c>
      <c r="C78" s="150">
        <f>('6-7-24 vs Sparkman'!BH14)*100</f>
        <v>0</v>
      </c>
      <c r="D78" s="150">
        <f>('6-7-24 vs Sparkman'!BI14)*100</f>
        <v>0</v>
      </c>
      <c r="E78" s="150">
        <f>('6-7-24 vs Sparkman'!BJ14)*100</f>
        <v>16.326530612244898</v>
      </c>
      <c r="F78" s="150">
        <f>('6-7-24 vs Sparkman'!BK14)*100</f>
        <v>0</v>
      </c>
      <c r="G78" s="150">
        <f>'6-7-24 vs Sparkman'!BL14</f>
        <v>0</v>
      </c>
      <c r="H78" s="150">
        <f>'6-7-24 vs Sparkman'!BM14</f>
        <v>0</v>
      </c>
      <c r="I78" s="150">
        <f>'6-7-24 vs Sparkman'!BN14</f>
        <v>0</v>
      </c>
      <c r="J78" s="150">
        <f>('6-7-24 vs Sparkman'!BO14)*100</f>
        <v>0</v>
      </c>
      <c r="K78" s="150">
        <f>('6-7-24 vs Sparkman'!BP14)*100</f>
        <v>0</v>
      </c>
      <c r="L78" s="150">
        <f>('6-7-24 vs Sparkman'!BQ14)*100</f>
        <v>0</v>
      </c>
      <c r="M78" s="150">
        <f>'6-7-24 vs Sparkman'!BR14</f>
        <v>92.339934684143401</v>
      </c>
      <c r="N78" s="150">
        <f>'6-7-24 vs Sparkman'!BS14</f>
        <v>0</v>
      </c>
      <c r="O78" s="150">
        <f>'6-7-24 vs Sparkman'!BT14</f>
        <v>-92.339934684143401</v>
      </c>
      <c r="P78" s="150">
        <f>('6-7-24 vs Sparkman'!BU14)*100</f>
        <v>-1.1904761904761905</v>
      </c>
      <c r="Q78" s="150">
        <f>'6-7-24 vs Sparkman'!BV14</f>
        <v>-0.84000000000000008</v>
      </c>
      <c r="R78" s="150">
        <v>2.5</v>
      </c>
      <c r="S78" t="s">
        <v>136</v>
      </c>
    </row>
    <row r="79" spans="1:19" x14ac:dyDescent="0.55000000000000004">
      <c r="A79">
        <f>'6-7-24 vs Sparkman'!BF15</f>
        <v>33</v>
      </c>
      <c r="B79" t="str">
        <f>'6-7-24 vs Sparkman'!BG15</f>
        <v>Bellomy</v>
      </c>
      <c r="C79" s="150">
        <f>('6-7-24 vs Sparkman'!BH15)*100</f>
        <v>0</v>
      </c>
      <c r="D79" s="150">
        <f>('6-7-24 vs Sparkman'!BI15)*100</f>
        <v>0</v>
      </c>
      <c r="E79" s="150">
        <f>('6-7-24 vs Sparkman'!BJ15)*100</f>
        <v>21.768707482993197</v>
      </c>
      <c r="F79" s="150">
        <f>('6-7-24 vs Sparkman'!BK15)*100</f>
        <v>0</v>
      </c>
      <c r="G79" s="150">
        <f>'6-7-24 vs Sparkman'!BL15</f>
        <v>0</v>
      </c>
      <c r="H79" s="150">
        <f>'6-7-24 vs Sparkman'!BM15</f>
        <v>0</v>
      </c>
      <c r="I79" s="150">
        <f>'6-7-24 vs Sparkman'!BN15</f>
        <v>0</v>
      </c>
      <c r="J79" s="150">
        <f>('6-7-24 vs Sparkman'!BO15)*100</f>
        <v>48.767999999999986</v>
      </c>
      <c r="K79" s="150">
        <f>('6-7-24 vs Sparkman'!BP15)*100</f>
        <v>10.159999999999998</v>
      </c>
      <c r="L79" s="150">
        <f>('6-7-24 vs Sparkman'!BQ15)*100</f>
        <v>27.709090909090904</v>
      </c>
      <c r="M79" s="150">
        <f>'6-7-24 vs Sparkman'!BR15</f>
        <v>60.485663217268474</v>
      </c>
      <c r="N79" s="150">
        <f>'6-7-24 vs Sparkman'!BS15</f>
        <v>44.80448306909561</v>
      </c>
      <c r="O79" s="150">
        <f>'6-7-24 vs Sparkman'!BT15</f>
        <v>-15.681180148172864</v>
      </c>
      <c r="P79" s="150">
        <f>('6-7-24 vs Sparkman'!BU15)*100</f>
        <v>0</v>
      </c>
      <c r="Q79" s="150">
        <f>'6-7-24 vs Sparkman'!BV15</f>
        <v>2.91</v>
      </c>
      <c r="R79" s="150">
        <v>7.5</v>
      </c>
      <c r="S79" t="s">
        <v>136</v>
      </c>
    </row>
    <row r="80" spans="1:19" x14ac:dyDescent="0.55000000000000004">
      <c r="A80">
        <f>'6-7-24 vs Sparkman'!BF16</f>
        <v>34</v>
      </c>
      <c r="B80" t="str">
        <f>'6-7-24 vs Sparkman'!BG16</f>
        <v>Toms</v>
      </c>
      <c r="C80" s="150">
        <f>('6-7-24 vs Sparkman'!BH16)*100</f>
        <v>100</v>
      </c>
      <c r="D80" s="150">
        <f>('6-7-24 vs Sparkman'!BI16)*100</f>
        <v>100</v>
      </c>
      <c r="E80" s="150">
        <f>('6-7-24 vs Sparkman'!BJ16)*100</f>
        <v>17.18582169709989</v>
      </c>
      <c r="F80" s="150">
        <f>('6-7-24 vs Sparkman'!BK16)*100</f>
        <v>22.61958611330996</v>
      </c>
      <c r="G80" s="150">
        <f>'6-7-24 vs Sparkman'!BL16</f>
        <v>0.2</v>
      </c>
      <c r="H80" s="150">
        <f>'6-7-24 vs Sparkman'!BM16</f>
        <v>0.2</v>
      </c>
      <c r="I80" s="150">
        <f>'6-7-24 vs Sparkman'!BN16</f>
        <v>1</v>
      </c>
      <c r="J80" s="150">
        <f>('6-7-24 vs Sparkman'!BO16)*100</f>
        <v>0</v>
      </c>
      <c r="K80" s="150">
        <f>('6-7-24 vs Sparkman'!BP16)*100</f>
        <v>24.063157894736843</v>
      </c>
      <c r="L80" s="150">
        <f>('6-7-24 vs Sparkman'!BQ16)*100</f>
        <v>13.12535885167464</v>
      </c>
      <c r="M80" s="150">
        <f>'6-7-24 vs Sparkman'!BR16</f>
        <v>50.377819672165501</v>
      </c>
      <c r="N80" s="150">
        <f>'6-7-24 vs Sparkman'!BS16</f>
        <v>143.05111132416809</v>
      </c>
      <c r="O80" s="150">
        <f>'6-7-24 vs Sparkman'!BT16</f>
        <v>92.67329165200259</v>
      </c>
      <c r="P80" s="150">
        <f>('6-7-24 vs Sparkman'!BU16)*100</f>
        <v>11.904761904761903</v>
      </c>
      <c r="Q80" s="150">
        <f>'6-7-24 vs Sparkman'!BV16</f>
        <v>7.75</v>
      </c>
      <c r="R80" s="150">
        <v>9.5</v>
      </c>
      <c r="S80" t="s">
        <v>136</v>
      </c>
    </row>
    <row r="81" spans="1:19" x14ac:dyDescent="0.55000000000000004">
      <c r="A81">
        <f>'6-7-24 vs Sparkman'!BF17</f>
        <v>55</v>
      </c>
      <c r="B81" t="str">
        <f>'6-7-24 vs Sparkman'!BG17</f>
        <v>Baker</v>
      </c>
      <c r="C81" s="150">
        <f>('6-7-24 vs Sparkman'!BH17)*100</f>
        <v>0</v>
      </c>
      <c r="D81" s="150">
        <f>('6-7-24 vs Sparkman'!BI17)*100</f>
        <v>0</v>
      </c>
      <c r="E81" s="150">
        <f>('6-7-24 vs Sparkman'!BJ17)*100</f>
        <v>14.693877551020407</v>
      </c>
      <c r="F81" s="150">
        <f>('6-7-24 vs Sparkman'!BK17)*100</f>
        <v>0</v>
      </c>
      <c r="G81" s="150">
        <f>'6-7-24 vs Sparkman'!BL17</f>
        <v>0</v>
      </c>
      <c r="H81" s="150">
        <f>'6-7-24 vs Sparkman'!BM17</f>
        <v>0.34722222222222221</v>
      </c>
      <c r="I81" s="150">
        <f>'6-7-24 vs Sparkman'!BN17</f>
        <v>0</v>
      </c>
      <c r="J81" s="150">
        <f>('6-7-24 vs Sparkman'!BO17)*100</f>
        <v>11.429999999999998</v>
      </c>
      <c r="K81" s="150">
        <f>('6-7-24 vs Sparkman'!BP17)*100</f>
        <v>9.5249999999999986</v>
      </c>
      <c r="L81" s="150">
        <f>('6-7-24 vs Sparkman'!BQ17)*100</f>
        <v>10.390909090909089</v>
      </c>
      <c r="M81" s="150">
        <f>'6-7-24 vs Sparkman'!BR17</f>
        <v>79.832166142776799</v>
      </c>
      <c r="N81" s="150">
        <f>'6-7-24 vs Sparkman'!BS17</f>
        <v>10.757768769323281</v>
      </c>
      <c r="O81" s="150">
        <f>'6-7-24 vs Sparkman'!BT17</f>
        <v>-69.074397373453522</v>
      </c>
      <c r="P81" s="150">
        <f>('6-7-24 vs Sparkman'!BU17)*100</f>
        <v>-2.9761904761904758</v>
      </c>
      <c r="Q81" s="150">
        <f>'6-7-24 vs Sparkman'!BV17</f>
        <v>-1.0499999999999998</v>
      </c>
      <c r="R81" s="150">
        <v>8</v>
      </c>
      <c r="S81" t="s">
        <v>136</v>
      </c>
    </row>
    <row r="82" spans="1:19" x14ac:dyDescent="0.55000000000000004">
      <c r="A82">
        <v>99</v>
      </c>
      <c r="B82" t="str">
        <f>'6-7-24 vs Sparkman'!BG18</f>
        <v>Team</v>
      </c>
      <c r="C82" s="150">
        <f>('6-7-24 vs Sparkman'!BH18)*100</f>
        <v>47.413793103448278</v>
      </c>
      <c r="D82" s="150">
        <f>('6-7-24 vs Sparkman'!BI18)*100</f>
        <v>47.275641025641022</v>
      </c>
      <c r="E82" s="150">
        <f>('6-7-24 vs Sparkman'!BJ18)*100</f>
        <v>0</v>
      </c>
      <c r="F82" s="150">
        <f>('6-7-24 vs Sparkman'!BK18)*100</f>
        <v>52</v>
      </c>
      <c r="G82" s="150">
        <f>'6-7-24 vs Sparkman'!BL18</f>
        <v>0.16581632653061223</v>
      </c>
      <c r="H82" s="150">
        <f>'6-7-24 vs Sparkman'!BM18</f>
        <v>0.2040816326530612</v>
      </c>
      <c r="I82" s="150">
        <f>'6-7-24 vs Sparkman'!BN18</f>
        <v>0.8125</v>
      </c>
      <c r="J82" s="150">
        <f>('6-7-24 vs Sparkman'!BO18)*100</f>
        <v>51.428571428571423</v>
      </c>
      <c r="K82" s="150">
        <f>('6-7-24 vs Sparkman'!BP18)*100</f>
        <v>64.285714285714292</v>
      </c>
      <c r="L82" s="150">
        <f>('6-7-24 vs Sparkman'!BQ18)*100</f>
        <v>58.441558441558442</v>
      </c>
      <c r="M82" s="150">
        <f>'6-7-24 vs Sparkman'!BR18</f>
        <v>69.422443835314539</v>
      </c>
      <c r="N82" s="150">
        <f>'6-7-24 vs Sparkman'!BS18</f>
        <v>97.940638013299065</v>
      </c>
      <c r="O82" s="150">
        <f>'6-7-24 vs Sparkman'!BT18</f>
        <v>28.518194177984526</v>
      </c>
      <c r="P82" s="150">
        <v>0</v>
      </c>
      <c r="Q82" s="150">
        <f>'6-7-24 vs Sparkman'!BV18</f>
        <v>62.379999999999995</v>
      </c>
      <c r="R82" s="150">
        <v>160</v>
      </c>
      <c r="S82" t="s">
        <v>136</v>
      </c>
    </row>
    <row r="83" spans="1:19" x14ac:dyDescent="0.55000000000000004">
      <c r="A83">
        <f>'6-7-24 vs MBA'!BF3</f>
        <v>0</v>
      </c>
      <c r="B83" t="str">
        <f>'6-7-24 vs MBA'!BG3</f>
        <v>Lewis</v>
      </c>
      <c r="C83" s="150">
        <f>('6-7-24 vs MBA'!BH3)*100</f>
        <v>50</v>
      </c>
      <c r="D83" s="150">
        <f>('6-7-24 vs MBA'!BI3)*100</f>
        <v>50</v>
      </c>
      <c r="E83" s="150">
        <f>('6-7-24 vs MBA'!BJ3)*100</f>
        <v>22.509848058525606</v>
      </c>
      <c r="F83" s="150">
        <f>('6-7-24 vs MBA'!BK3)*100</f>
        <v>31.067961165048541</v>
      </c>
      <c r="G83" s="150">
        <f>'6-7-24 vs MBA'!BL3</f>
        <v>0.2857142857142857</v>
      </c>
      <c r="H83" s="150">
        <f>'6-7-24 vs MBA'!BM3</f>
        <v>0.14285714285714285</v>
      </c>
      <c r="I83" s="150">
        <f>'6-7-24 vs MBA'!BN3</f>
        <v>2</v>
      </c>
      <c r="J83" s="150">
        <f>('6-7-24 vs MBA'!BO3)*100</f>
        <v>0</v>
      </c>
      <c r="K83" s="150">
        <f>('6-7-24 vs MBA'!BP3)*100</f>
        <v>55.172413793103445</v>
      </c>
      <c r="L83" s="150">
        <f>('6-7-24 vs MBA'!BQ3)*100</f>
        <v>26.229508196721312</v>
      </c>
      <c r="M83" s="150">
        <f>'6-7-24 vs MBA'!BR3</f>
        <v>65.638383484616128</v>
      </c>
      <c r="N83" s="150">
        <f>'6-7-24 vs MBA'!BS3</f>
        <v>113.70395739063031</v>
      </c>
      <c r="O83" s="150">
        <f>'6-7-24 vs MBA'!BT3</f>
        <v>48.06557390601418</v>
      </c>
      <c r="P83" s="150">
        <f>('6-7-24 vs MBA'!BU3)*100</f>
        <v>7.9207920792079207</v>
      </c>
      <c r="Q83" s="150">
        <f>'6-7-24 vs MBA'!BV3</f>
        <v>7</v>
      </c>
      <c r="R83" s="150">
        <v>10</v>
      </c>
      <c r="S83" t="s">
        <v>137</v>
      </c>
    </row>
    <row r="84" spans="1:19" x14ac:dyDescent="0.55000000000000004">
      <c r="A84">
        <f>'6-7-24 vs MBA'!BF4</f>
        <v>1</v>
      </c>
      <c r="B84" t="str">
        <f>'6-7-24 vs MBA'!BG4</f>
        <v>Walker</v>
      </c>
      <c r="C84" s="150">
        <f>('6-7-24 vs MBA'!BH4)*100</f>
        <v>0</v>
      </c>
      <c r="D84" s="150">
        <f>('6-7-24 vs MBA'!BI4)*100</f>
        <v>0</v>
      </c>
      <c r="E84" s="150">
        <f>('6-7-24 vs MBA'!BJ4)*100</f>
        <v>16.213576032551455</v>
      </c>
      <c r="F84" s="150">
        <f>('6-7-24 vs MBA'!BK4)*100</f>
        <v>0</v>
      </c>
      <c r="G84" s="150">
        <f>'6-7-24 vs MBA'!BL4</f>
        <v>0</v>
      </c>
      <c r="H84" s="150">
        <f>'6-7-24 vs MBA'!BM4</f>
        <v>0.33333333333333331</v>
      </c>
      <c r="I84" s="150">
        <f>'6-7-24 vs MBA'!BN4</f>
        <v>0</v>
      </c>
      <c r="J84" s="150">
        <f>('6-7-24 vs MBA'!BO4)*100</f>
        <v>0</v>
      </c>
      <c r="K84" s="150">
        <f>('6-7-24 vs MBA'!BP4)*100</f>
        <v>13.246677981537443</v>
      </c>
      <c r="L84" s="150">
        <f>('6-7-24 vs MBA'!BQ4)*100</f>
        <v>6.2976010076161621</v>
      </c>
      <c r="M84" s="150">
        <f>'6-7-24 vs MBA'!BR4</f>
        <v>72.469274104134612</v>
      </c>
      <c r="N84" s="150">
        <f>'6-7-24 vs MBA'!BS4</f>
        <v>0</v>
      </c>
      <c r="O84" s="150">
        <f>'6-7-24 vs MBA'!BT4</f>
        <v>-72.469274104134612</v>
      </c>
      <c r="P84" s="150">
        <f>('6-7-24 vs MBA'!BU4)*100</f>
        <v>-1.9801980198019802</v>
      </c>
      <c r="Q84" s="150">
        <f>'6-7-24 vs MBA'!BV4</f>
        <v>-1.59</v>
      </c>
      <c r="R84" s="150">
        <v>8.33</v>
      </c>
      <c r="S84" t="s">
        <v>137</v>
      </c>
    </row>
    <row r="85" spans="1:19" x14ac:dyDescent="0.55000000000000004">
      <c r="A85">
        <f>'6-7-24 vs MBA'!BF5</f>
        <v>2</v>
      </c>
      <c r="B85" t="str">
        <f>'6-7-24 vs MBA'!BG5</f>
        <v>Rivers</v>
      </c>
      <c r="C85" s="150">
        <f>('6-7-24 vs MBA'!BH5)*100</f>
        <v>66.666666666666657</v>
      </c>
      <c r="D85" s="150">
        <f>('6-7-24 vs MBA'!BI5)*100</f>
        <v>51.546391752577328</v>
      </c>
      <c r="E85" s="150">
        <f>('6-7-24 vs MBA'!BJ5)*100</f>
        <v>16.481329111118519</v>
      </c>
      <c r="F85" s="150">
        <f>('6-7-24 vs MBA'!BK5)*100</f>
        <v>0</v>
      </c>
      <c r="G85" s="150">
        <f>'6-7-24 vs MBA'!BL5</f>
        <v>0</v>
      </c>
      <c r="H85" s="150">
        <f>'6-7-24 vs MBA'!BM5</f>
        <v>0.20491803278688525</v>
      </c>
      <c r="I85" s="150">
        <f>'6-7-24 vs MBA'!BN5</f>
        <v>0</v>
      </c>
      <c r="J85" s="150">
        <f>('6-7-24 vs MBA'!BO5)*100</f>
        <v>7.5018754688672153</v>
      </c>
      <c r="K85" s="150">
        <f>('6-7-24 vs MBA'!BP5)*100</f>
        <v>8.2779315518534791</v>
      </c>
      <c r="L85" s="150">
        <f>('6-7-24 vs MBA'!BQ5)*100</f>
        <v>7.8708201640574069</v>
      </c>
      <c r="M85" s="150">
        <f>'6-7-24 vs MBA'!BR5</f>
        <v>73.015263374838995</v>
      </c>
      <c r="N85" s="150">
        <f>'6-7-24 vs MBA'!BS5</f>
        <v>84.381222268605143</v>
      </c>
      <c r="O85" s="150">
        <f>'6-7-24 vs MBA'!BT5</f>
        <v>11.365958893766148</v>
      </c>
      <c r="P85" s="150">
        <f>('6-7-24 vs MBA'!BU5)*100</f>
        <v>1.4851485148514851</v>
      </c>
      <c r="Q85" s="150">
        <f>'6-7-24 vs MBA'!BV5</f>
        <v>1.3599999999999999</v>
      </c>
      <c r="R85" s="150">
        <v>13.33</v>
      </c>
      <c r="S85" t="s">
        <v>137</v>
      </c>
    </row>
    <row r="86" spans="1:19" x14ac:dyDescent="0.55000000000000004">
      <c r="A86">
        <f>'6-7-24 vs MBA'!BF6</f>
        <v>3</v>
      </c>
      <c r="B86" t="str">
        <f>'6-7-24 vs MBA'!BG6</f>
        <v>Gossett</v>
      </c>
      <c r="C86" s="150">
        <f>('6-7-24 vs MBA'!BH6)*100</f>
        <v>78.571428571428569</v>
      </c>
      <c r="D86" s="150">
        <f>('6-7-24 vs MBA'!BI6)*100</f>
        <v>78.571428571428569</v>
      </c>
      <c r="E86" s="150">
        <f>('6-7-24 vs MBA'!BJ6)*100</f>
        <v>37.911323045937863</v>
      </c>
      <c r="F86" s="150">
        <f>('6-7-24 vs MBA'!BK6)*100</f>
        <v>24.902723735408561</v>
      </c>
      <c r="G86" s="150">
        <f>'6-7-24 vs MBA'!BL6</f>
        <v>0.1111111111111111</v>
      </c>
      <c r="H86" s="150">
        <f>'6-7-24 vs MBA'!BM6</f>
        <v>0.1111111111111111</v>
      </c>
      <c r="I86" s="150">
        <f>'6-7-24 vs MBA'!BN6</f>
        <v>1</v>
      </c>
      <c r="J86" s="150">
        <f>('6-7-24 vs MBA'!BO6)*100</f>
        <v>0</v>
      </c>
      <c r="K86" s="150">
        <f>('6-7-24 vs MBA'!BP6)*100</f>
        <v>0</v>
      </c>
      <c r="L86" s="150">
        <f>('6-7-24 vs MBA'!BQ6)*100</f>
        <v>0</v>
      </c>
      <c r="M86" s="150">
        <f>'6-7-24 vs MBA'!BR6</f>
        <v>74.257716602671309</v>
      </c>
      <c r="N86" s="150">
        <f>'6-7-24 vs MBA'!BS6</f>
        <v>147.45945882240616</v>
      </c>
      <c r="O86" s="150">
        <f>'6-7-24 vs MBA'!BT6</f>
        <v>73.201742219734854</v>
      </c>
      <c r="P86" s="150">
        <f>('6-7-24 vs MBA'!BU6)*100</f>
        <v>7.9207920792079207</v>
      </c>
      <c r="Q86" s="150">
        <f>'6-7-24 vs MBA'!BV6</f>
        <v>5.2099999999999991</v>
      </c>
      <c r="R86" s="150">
        <v>9.5</v>
      </c>
      <c r="S86" t="s">
        <v>137</v>
      </c>
    </row>
    <row r="87" spans="1:19" x14ac:dyDescent="0.55000000000000004">
      <c r="A87">
        <f>'6-7-24 vs MBA'!BF7</f>
        <v>4</v>
      </c>
      <c r="B87" t="str">
        <f>'6-7-24 vs MBA'!BG7</f>
        <v>Stapler</v>
      </c>
      <c r="C87" s="150">
        <f>('6-7-24 vs MBA'!BH7)*100</f>
        <v>100</v>
      </c>
      <c r="D87" s="150">
        <f>('6-7-24 vs MBA'!BI7)*100</f>
        <v>100</v>
      </c>
      <c r="E87" s="150">
        <f>('6-7-24 vs MBA'!BJ7)*100</f>
        <v>20.778321284792867</v>
      </c>
      <c r="F87" s="150">
        <f>('6-7-24 vs MBA'!BK7)*100</f>
        <v>28.699551569506728</v>
      </c>
      <c r="G87" s="150">
        <f>'6-7-24 vs MBA'!BL7</f>
        <v>0.25</v>
      </c>
      <c r="H87" s="150">
        <f>'6-7-24 vs MBA'!BM7</f>
        <v>0.125</v>
      </c>
      <c r="I87" s="150">
        <f>'6-7-24 vs MBA'!BN7</f>
        <v>2</v>
      </c>
      <c r="J87" s="150">
        <f>('6-7-24 vs MBA'!BO7)*100</f>
        <v>0</v>
      </c>
      <c r="K87" s="150">
        <f>('6-7-24 vs MBA'!BP7)*100</f>
        <v>25.46419098143236</v>
      </c>
      <c r="L87" s="150">
        <f>('6-7-24 vs MBA'!BQ7)*100</f>
        <v>12.105926860025221</v>
      </c>
      <c r="M87" s="150">
        <f>'6-7-24 vs MBA'!BR7</f>
        <v>50.209890629142912</v>
      </c>
      <c r="N87" s="150">
        <f>'6-7-24 vs MBA'!BS7</f>
        <v>175.91828725917097</v>
      </c>
      <c r="O87" s="150">
        <f>'6-7-24 vs MBA'!BT7</f>
        <v>125.70839663002806</v>
      </c>
      <c r="P87" s="150">
        <f>('6-7-24 vs MBA'!BU7)*100</f>
        <v>14.85148514851485</v>
      </c>
      <c r="Q87" s="150">
        <f>'6-7-24 vs MBA'!BV7</f>
        <v>12.07</v>
      </c>
      <c r="R87" s="150">
        <v>13</v>
      </c>
      <c r="S87" t="s">
        <v>137</v>
      </c>
    </row>
    <row r="88" spans="1:19" x14ac:dyDescent="0.55000000000000004">
      <c r="A88">
        <f>'6-7-24 vs MBA'!BF8</f>
        <v>5</v>
      </c>
      <c r="B88" t="str">
        <f>'6-7-24 vs MBA'!BG8</f>
        <v>JD</v>
      </c>
      <c r="C88" s="150">
        <f>('6-7-24 vs MBA'!BH8)*100</f>
        <v>75</v>
      </c>
      <c r="D88" s="150">
        <f>('6-7-24 vs MBA'!BI8)*100</f>
        <v>75</v>
      </c>
      <c r="E88" s="150">
        <f>('6-7-24 vs MBA'!BJ8)*100</f>
        <v>24.241374832258344</v>
      </c>
      <c r="F88" s="150">
        <f>('6-7-24 vs MBA'!BK8)*100</f>
        <v>50.196078431372548</v>
      </c>
      <c r="G88" s="150">
        <f>'6-7-24 vs MBA'!BL8</f>
        <v>0.36363636363636365</v>
      </c>
      <c r="H88" s="150">
        <f>'6-7-24 vs MBA'!BM8</f>
        <v>0.27272727272727271</v>
      </c>
      <c r="I88" s="150">
        <f>'6-7-24 vs MBA'!BN8</f>
        <v>1.3333333333333333</v>
      </c>
      <c r="J88" s="150">
        <f>('6-7-24 vs MBA'!BO8)*100</f>
        <v>15.384615384615385</v>
      </c>
      <c r="K88" s="150">
        <f>('6-7-24 vs MBA'!BP8)*100</f>
        <v>42.440318302387269</v>
      </c>
      <c r="L88" s="150">
        <f>('6-7-24 vs MBA'!BQ8)*100</f>
        <v>28.247162673392186</v>
      </c>
      <c r="M88" s="150">
        <f>'6-7-24 vs MBA'!BR8</f>
        <v>47.173747628004222</v>
      </c>
      <c r="N88" s="150">
        <f>'6-7-24 vs MBA'!BS8</f>
        <v>119.68924440065297</v>
      </c>
      <c r="O88" s="150">
        <f>'6-7-24 vs MBA'!BT8</f>
        <v>72.515496772648746</v>
      </c>
      <c r="P88" s="150">
        <f>('6-7-24 vs MBA'!BU8)*100</f>
        <v>13.861386138613863</v>
      </c>
      <c r="Q88" s="150">
        <f>'6-7-24 vs MBA'!BV8</f>
        <v>13</v>
      </c>
      <c r="R88" s="150">
        <v>13</v>
      </c>
      <c r="S88" t="s">
        <v>137</v>
      </c>
    </row>
    <row r="89" spans="1:19" x14ac:dyDescent="0.55000000000000004">
      <c r="A89">
        <f>'6-7-24 vs MBA'!BF9</f>
        <v>10</v>
      </c>
      <c r="B89" t="str">
        <f>'6-7-24 vs MBA'!BG9</f>
        <v>Mason</v>
      </c>
      <c r="C89" s="150">
        <f>('6-7-24 vs MBA'!BH9)*100</f>
        <v>62.5</v>
      </c>
      <c r="D89" s="150">
        <f>('6-7-24 vs MBA'!BI9)*100</f>
        <v>62.5</v>
      </c>
      <c r="E89" s="150">
        <f>('6-7-24 vs MBA'!BJ9)*100</f>
        <v>17.150360425543319</v>
      </c>
      <c r="F89" s="150">
        <f>('6-7-24 vs MBA'!BK9)*100</f>
        <v>0</v>
      </c>
      <c r="G89" s="150">
        <f>'6-7-24 vs MBA'!BL9</f>
        <v>0</v>
      </c>
      <c r="H89" s="150">
        <f>'6-7-24 vs MBA'!BM9</f>
        <v>0</v>
      </c>
      <c r="I89" s="150">
        <f>'6-7-24 vs MBA'!BN9</f>
        <v>0</v>
      </c>
      <c r="J89" s="150">
        <f>('6-7-24 vs MBA'!BO9)*100</f>
        <v>0</v>
      </c>
      <c r="K89" s="150">
        <f>('6-7-24 vs MBA'!BP9)*100</f>
        <v>0</v>
      </c>
      <c r="L89" s="150">
        <f>('6-7-24 vs MBA'!BQ9)*100</f>
        <v>0</v>
      </c>
      <c r="M89" s="150">
        <f>'6-7-24 vs MBA'!BR9</f>
        <v>74.627533383603321</v>
      </c>
      <c r="N89" s="150">
        <f>'6-7-24 vs MBA'!BS9</f>
        <v>145.30416379063536</v>
      </c>
      <c r="O89" s="150">
        <f>'6-7-24 vs MBA'!BT9</f>
        <v>70.676630407032036</v>
      </c>
      <c r="P89" s="150">
        <f>('6-7-24 vs MBA'!BU9)*100</f>
        <v>2.9702970297029703</v>
      </c>
      <c r="Q89" s="150">
        <f>'6-7-24 vs MBA'!BV9</f>
        <v>1.7299999999999995</v>
      </c>
      <c r="R89" s="150">
        <v>10.5</v>
      </c>
      <c r="S89" t="s">
        <v>137</v>
      </c>
    </row>
    <row r="90" spans="1:19" x14ac:dyDescent="0.55000000000000004">
      <c r="A90">
        <f>'6-7-24 vs MBA'!BF10</f>
        <v>11</v>
      </c>
      <c r="B90" t="str">
        <f>'6-7-24 vs MBA'!BG10</f>
        <v>Pannell</v>
      </c>
      <c r="C90" s="150">
        <f>('6-7-24 vs MBA'!BH10)*100</f>
        <v>50</v>
      </c>
      <c r="D90" s="150">
        <f>('6-7-24 vs MBA'!BI10)*100</f>
        <v>50</v>
      </c>
      <c r="E90" s="150">
        <f>('6-7-24 vs MBA'!BJ10)*100</f>
        <v>10.592869674600285</v>
      </c>
      <c r="F90" s="150">
        <f>('6-7-24 vs MBA'!BK10)*100</f>
        <v>32.405063291139243</v>
      </c>
      <c r="G90" s="150">
        <f>'6-7-24 vs MBA'!BL10</f>
        <v>0.5</v>
      </c>
      <c r="H90" s="150">
        <f>'6-7-24 vs MBA'!BM10</f>
        <v>0</v>
      </c>
      <c r="I90" s="150">
        <f>'6-7-24 vs MBA'!BN10</f>
        <v>0</v>
      </c>
      <c r="J90" s="150">
        <f>('6-7-24 vs MBA'!BO10)*100</f>
        <v>23.52941176470588</v>
      </c>
      <c r="K90" s="150">
        <f>('6-7-24 vs MBA'!BP10)*100</f>
        <v>38.945233265720077</v>
      </c>
      <c r="L90" s="150">
        <f>('6-7-24 vs MBA'!BQ10)*100</f>
        <v>30.858244937319192</v>
      </c>
      <c r="M90" s="150">
        <f>'6-7-24 vs MBA'!BR10</f>
        <v>68.282251101965301</v>
      </c>
      <c r="N90" s="150">
        <f>'6-7-24 vs MBA'!BS10</f>
        <v>175.99763500716011</v>
      </c>
      <c r="O90" s="150">
        <f>'6-7-24 vs MBA'!BT10</f>
        <v>107.71538390519481</v>
      </c>
      <c r="P90" s="150">
        <f>('6-7-24 vs MBA'!BU10)*100</f>
        <v>6.9306930693069315</v>
      </c>
      <c r="Q90" s="150">
        <f>'6-7-24 vs MBA'!BV10</f>
        <v>7.5</v>
      </c>
      <c r="R90" s="150">
        <v>8.5</v>
      </c>
      <c r="S90" t="s">
        <v>137</v>
      </c>
    </row>
    <row r="91" spans="1:19" x14ac:dyDescent="0.55000000000000004">
      <c r="A91">
        <f>'6-7-24 vs MBA'!BF11</f>
        <v>12</v>
      </c>
      <c r="B91" t="str">
        <f>'6-7-24 vs MBA'!BG11</f>
        <v>Chapman</v>
      </c>
      <c r="C91" s="150">
        <f>('6-7-24 vs MBA'!BH11)*100</f>
        <v>50</v>
      </c>
      <c r="D91" s="150">
        <f>('6-7-24 vs MBA'!BI11)*100</f>
        <v>50</v>
      </c>
      <c r="E91" s="150">
        <f>('6-7-24 vs MBA'!BJ11)*100</f>
        <v>13.98127208604075</v>
      </c>
      <c r="F91" s="150">
        <f>('6-7-24 vs MBA'!BK11)*100</f>
        <v>0</v>
      </c>
      <c r="G91" s="150">
        <f>'6-7-24 vs MBA'!BL11</f>
        <v>0</v>
      </c>
      <c r="H91" s="150">
        <f>'6-7-24 vs MBA'!BM11</f>
        <v>0</v>
      </c>
      <c r="I91" s="150">
        <f>'6-7-24 vs MBA'!BN11</f>
        <v>0</v>
      </c>
      <c r="J91" s="150">
        <f>('6-7-24 vs MBA'!BO11)*100</f>
        <v>0</v>
      </c>
      <c r="K91" s="150">
        <f>('6-7-24 vs MBA'!BP11)*100</f>
        <v>11.422859998572143</v>
      </c>
      <c r="L91" s="150">
        <f>('6-7-24 vs MBA'!BQ11)*100</f>
        <v>5.4305399993211818</v>
      </c>
      <c r="M91" s="150">
        <f>'6-7-24 vs MBA'!BR11</f>
        <v>72.766425744061465</v>
      </c>
      <c r="N91" s="150">
        <f>'6-7-24 vs MBA'!BS11</f>
        <v>127.21860391518665</v>
      </c>
      <c r="O91" s="150">
        <f>'6-7-24 vs MBA'!BT11</f>
        <v>54.452178171125183</v>
      </c>
      <c r="P91" s="150">
        <f>('6-7-24 vs MBA'!BU11)*100</f>
        <v>1.9801980198019802</v>
      </c>
      <c r="Q91" s="150">
        <f>'6-7-24 vs MBA'!BV11</f>
        <v>1.4799999999999995</v>
      </c>
      <c r="R91" s="150">
        <v>9.66</v>
      </c>
      <c r="S91" t="s">
        <v>137</v>
      </c>
    </row>
    <row r="92" spans="1:19" x14ac:dyDescent="0.55000000000000004">
      <c r="A92">
        <f>'6-7-24 vs MBA'!BF12</f>
        <v>24</v>
      </c>
      <c r="B92" t="str">
        <f>'6-7-24 vs MBA'!BG12</f>
        <v>Carney</v>
      </c>
      <c r="C92" s="150">
        <f>('6-7-24 vs MBA'!BH12)*100</f>
        <v>0</v>
      </c>
      <c r="D92" s="150">
        <f>('6-7-24 vs MBA'!BI12)*100</f>
        <v>0</v>
      </c>
      <c r="E92" s="150">
        <f>('6-7-24 vs MBA'!BJ12)*100</f>
        <v>16.136091798226239</v>
      </c>
      <c r="F92" s="150">
        <f>('6-7-24 vs MBA'!BK12)*100</f>
        <v>0</v>
      </c>
      <c r="G92" s="150">
        <f>'6-7-24 vs MBA'!BL12</f>
        <v>0</v>
      </c>
      <c r="H92" s="150">
        <f>'6-7-24 vs MBA'!BM12</f>
        <v>0.25</v>
      </c>
      <c r="I92" s="150">
        <f>'6-7-24 vs MBA'!BN12</f>
        <v>0</v>
      </c>
      <c r="J92" s="150">
        <f>('6-7-24 vs MBA'!BO12)*100</f>
        <v>8.9605734767025087</v>
      </c>
      <c r="K92" s="150">
        <f>('6-7-24 vs MBA'!BP12)*100</f>
        <v>9.8875293536027691</v>
      </c>
      <c r="L92" s="150">
        <f>('6-7-24 vs MBA'!BQ12)*100</f>
        <v>9.4012574181796822</v>
      </c>
      <c r="M92" s="150">
        <f>'6-7-24 vs MBA'!BR12</f>
        <v>60.896459241680418</v>
      </c>
      <c r="N92" s="150">
        <f>'6-7-24 vs MBA'!BS12</f>
        <v>15.36663391577294</v>
      </c>
      <c r="O92" s="150">
        <f>'6-7-24 vs MBA'!BT12</f>
        <v>-45.529825325907481</v>
      </c>
      <c r="P92" s="150">
        <f>('6-7-24 vs MBA'!BU12)*100</f>
        <v>-1.4851485148514851</v>
      </c>
      <c r="Q92" s="150">
        <f>'6-7-24 vs MBA'!BV12</f>
        <v>-0.43000000000000016</v>
      </c>
      <c r="R92" s="150">
        <v>11.16</v>
      </c>
      <c r="S92" t="s">
        <v>137</v>
      </c>
    </row>
    <row r="93" spans="1:19" x14ac:dyDescent="0.55000000000000004">
      <c r="A93">
        <f>'6-7-24 vs MBA'!BF13</f>
        <v>30</v>
      </c>
      <c r="B93" t="str">
        <f>'6-7-24 vs MBA'!BG13</f>
        <v>Bowman</v>
      </c>
      <c r="C93" s="150">
        <f>('6-7-24 vs MBA'!BH13)*100</f>
        <v>50</v>
      </c>
      <c r="D93" s="150">
        <f>('6-7-24 vs MBA'!BI13)*100</f>
        <v>50</v>
      </c>
      <c r="E93" s="150">
        <f>('6-7-24 vs MBA'!BJ13)*100</f>
        <v>17.817821682210241</v>
      </c>
      <c r="F93" s="150">
        <f>('6-7-24 vs MBA'!BK13)*100</f>
        <v>0</v>
      </c>
      <c r="G93" s="150">
        <f>'6-7-24 vs MBA'!BL13</f>
        <v>0</v>
      </c>
      <c r="H93" s="150">
        <f>'6-7-24 vs MBA'!BM13</f>
        <v>0.33333333333333331</v>
      </c>
      <c r="I93" s="150">
        <f>'6-7-24 vs MBA'!BN13</f>
        <v>0</v>
      </c>
      <c r="J93" s="150">
        <f>('6-7-24 vs MBA'!BO13)*100</f>
        <v>13.192612137203167</v>
      </c>
      <c r="K93" s="150">
        <f>('6-7-24 vs MBA'!BP13)*100</f>
        <v>7.2786825584569197</v>
      </c>
      <c r="L93" s="150">
        <f>('6-7-24 vs MBA'!BQ13)*100</f>
        <v>10.381071845668064</v>
      </c>
      <c r="M93" s="150">
        <f>'6-7-24 vs MBA'!BR13</f>
        <v>73.441629702998156</v>
      </c>
      <c r="N93" s="150">
        <f>'6-7-24 vs MBA'!BS13</f>
        <v>79.486234182468849</v>
      </c>
      <c r="O93" s="150">
        <f>'6-7-24 vs MBA'!BT13</f>
        <v>6.0446044794706921</v>
      </c>
      <c r="P93" s="150">
        <f>('6-7-24 vs MBA'!BU13)*100</f>
        <v>1.9801980198019802</v>
      </c>
      <c r="Q93" s="150">
        <f>'6-7-24 vs MBA'!BV13</f>
        <v>1.9100000000000001</v>
      </c>
      <c r="R93" s="150">
        <v>15.16</v>
      </c>
      <c r="S93" t="s">
        <v>137</v>
      </c>
    </row>
    <row r="94" spans="1:19" x14ac:dyDescent="0.55000000000000004">
      <c r="A94">
        <f>'6-7-24 vs MBA'!BF14</f>
        <v>32</v>
      </c>
      <c r="B94" t="str">
        <f>'6-7-24 vs MBA'!BG14</f>
        <v>Turner</v>
      </c>
      <c r="C94" s="150">
        <f>('6-7-24 vs MBA'!BH14)*100</f>
        <v>83.333333333333343</v>
      </c>
      <c r="D94" s="150">
        <f>('6-7-24 vs MBA'!BI14)*100</f>
        <v>83.333333333333343</v>
      </c>
      <c r="E94" s="150">
        <f>('6-7-24 vs MBA'!BJ14)*100</f>
        <v>20.580432510651985</v>
      </c>
      <c r="F94" s="150">
        <f>('6-7-24 vs MBA'!BK14)*100</f>
        <v>0</v>
      </c>
      <c r="G94" s="150">
        <f>'6-7-24 vs MBA'!BL14</f>
        <v>0</v>
      </c>
      <c r="H94" s="150">
        <f>'6-7-24 vs MBA'!BM14</f>
        <v>0.25</v>
      </c>
      <c r="I94" s="150">
        <f>'6-7-24 vs MBA'!BN14</f>
        <v>0</v>
      </c>
      <c r="J94" s="150">
        <f>('6-7-24 vs MBA'!BO14)*100</f>
        <v>0</v>
      </c>
      <c r="K94" s="150">
        <f>('6-7-24 vs MBA'!BP14)*100</f>
        <v>0</v>
      </c>
      <c r="L94" s="150">
        <f>('6-7-24 vs MBA'!BQ14)*100</f>
        <v>0</v>
      </c>
      <c r="M94" s="150">
        <f>'6-7-24 vs MBA'!BR14</f>
        <v>74.226018021448567</v>
      </c>
      <c r="N94" s="150">
        <f>'6-7-24 vs MBA'!BS14</f>
        <v>116.60576613748771</v>
      </c>
      <c r="O94" s="150">
        <f>'6-7-24 vs MBA'!BT14</f>
        <v>42.379748116039138</v>
      </c>
      <c r="P94" s="150">
        <f>('6-7-24 vs MBA'!BU14)*100</f>
        <v>2.9702970297029703</v>
      </c>
      <c r="Q94" s="150">
        <f>'6-7-24 vs MBA'!BV14</f>
        <v>1.6600000000000001</v>
      </c>
      <c r="R94" s="150">
        <v>8.75</v>
      </c>
      <c r="S94" t="s">
        <v>137</v>
      </c>
    </row>
    <row r="95" spans="1:19" x14ac:dyDescent="0.55000000000000004">
      <c r="A95">
        <f>'6-7-24 vs MBA'!BF15</f>
        <v>33</v>
      </c>
      <c r="B95" t="str">
        <f>'6-7-24 vs MBA'!BG15</f>
        <v>Bellomy</v>
      </c>
      <c r="C95" s="150">
        <f>('6-7-24 vs MBA'!BH15)*100</f>
        <v>0</v>
      </c>
      <c r="D95" s="150">
        <f>('6-7-24 vs MBA'!BI15)*100</f>
        <v>0</v>
      </c>
      <c r="E95" s="150">
        <f>('6-7-24 vs MBA'!BJ15)*100</f>
        <v>8.5751802127716594</v>
      </c>
      <c r="F95" s="150">
        <f>('6-7-24 vs MBA'!BK15)*100</f>
        <v>11.28747795414462</v>
      </c>
      <c r="G95" s="150">
        <f>'6-7-24 vs MBA'!BL15</f>
        <v>0.33333333333333331</v>
      </c>
      <c r="H95" s="150">
        <f>'6-7-24 vs MBA'!BM15</f>
        <v>0</v>
      </c>
      <c r="I95" s="150">
        <f>'6-7-24 vs MBA'!BN15</f>
        <v>0</v>
      </c>
      <c r="J95" s="150">
        <f>('6-7-24 vs MBA'!BO15)*100</f>
        <v>28.571428571428569</v>
      </c>
      <c r="K95" s="150">
        <f>('6-7-24 vs MBA'!BP15)*100</f>
        <v>10.509031198686371</v>
      </c>
      <c r="L95" s="150">
        <f>('6-7-24 vs MBA'!BQ15)*100</f>
        <v>19.984387197501952</v>
      </c>
      <c r="M95" s="150">
        <f>'6-7-24 vs MBA'!BR15</f>
        <v>72.915314355224808</v>
      </c>
      <c r="N95" s="150">
        <f>'6-7-24 vs MBA'!BS15</f>
        <v>105.45575126642221</v>
      </c>
      <c r="O95" s="150">
        <f>'6-7-24 vs MBA'!BT15</f>
        <v>32.540436911197403</v>
      </c>
      <c r="P95" s="150">
        <f>('6-7-24 vs MBA'!BU15)*100</f>
        <v>1.4851485148514851</v>
      </c>
      <c r="Q95" s="150">
        <f>'6-7-24 vs MBA'!BV15</f>
        <v>3.5</v>
      </c>
      <c r="R95" s="150">
        <v>10.5</v>
      </c>
      <c r="S95" t="s">
        <v>137</v>
      </c>
    </row>
    <row r="96" spans="1:19" x14ac:dyDescent="0.55000000000000004">
      <c r="A96">
        <f>'6-7-24 vs MBA'!BF16</f>
        <v>34</v>
      </c>
      <c r="B96" t="str">
        <f>'6-7-24 vs MBA'!BG16</f>
        <v>Toms</v>
      </c>
      <c r="C96" s="150">
        <f>('6-7-24 vs MBA'!BH16)*100</f>
        <v>42.857142857142854</v>
      </c>
      <c r="D96" s="150">
        <f>('6-7-24 vs MBA'!BI16)*100</f>
        <v>51.369863013698634</v>
      </c>
      <c r="E96" s="150">
        <f>('6-7-24 vs MBA'!BJ16)*100</f>
        <v>30.738311612265669</v>
      </c>
      <c r="F96" s="150">
        <f>('6-7-24 vs MBA'!BK16)*100</f>
        <v>12.779042370512359</v>
      </c>
      <c r="G96" s="150">
        <f>'6-7-24 vs MBA'!BL16</f>
        <v>0.10245901639344263</v>
      </c>
      <c r="H96" s="150">
        <f>'6-7-24 vs MBA'!BM16</f>
        <v>0</v>
      </c>
      <c r="I96" s="150">
        <f>'6-7-24 vs MBA'!BN16</f>
        <v>0</v>
      </c>
      <c r="J96" s="150">
        <f>('6-7-24 vs MBA'!BO16)*100</f>
        <v>23.382696804364766</v>
      </c>
      <c r="K96" s="150">
        <f>('6-7-24 vs MBA'!BP16)*100</f>
        <v>34.402128631709083</v>
      </c>
      <c r="L96" s="150">
        <f>('6-7-24 vs MBA'!BQ16)*100</f>
        <v>28.621443082938292</v>
      </c>
      <c r="M96" s="150">
        <f>'6-7-24 vs MBA'!BR16</f>
        <v>58.753766633881682</v>
      </c>
      <c r="N96" s="150">
        <f>'6-7-24 vs MBA'!BS16</f>
        <v>141.02947612521163</v>
      </c>
      <c r="O96" s="150">
        <f>'6-7-24 vs MBA'!BT16</f>
        <v>82.275709491329948</v>
      </c>
      <c r="P96" s="150">
        <f>('6-7-24 vs MBA'!BU16)*100</f>
        <v>11.386138613861387</v>
      </c>
      <c r="Q96" s="150">
        <f>'6-7-24 vs MBA'!BV16</f>
        <v>10.15</v>
      </c>
      <c r="R96" s="150">
        <v>12.83</v>
      </c>
      <c r="S96" t="s">
        <v>137</v>
      </c>
    </row>
    <row r="97" spans="1:19" x14ac:dyDescent="0.55000000000000004">
      <c r="A97">
        <f>'6-7-24 vs MBA'!BF17</f>
        <v>55</v>
      </c>
      <c r="B97" t="str">
        <f>'6-7-24 vs MBA'!BG17</f>
        <v>Baker</v>
      </c>
      <c r="C97" s="150">
        <f>('6-7-24 vs MBA'!BH17)*100</f>
        <v>33.333333333333329</v>
      </c>
      <c r="D97" s="150">
        <f>('6-7-24 vs MBA'!BI17)*100</f>
        <v>29.069767441860467</v>
      </c>
      <c r="E97" s="150">
        <f>('6-7-24 vs MBA'!BJ17)*100</f>
        <v>28.157773571392031</v>
      </c>
      <c r="F97" s="150">
        <f>('6-7-24 vs MBA'!BK17)*100</f>
        <v>0</v>
      </c>
      <c r="G97" s="150">
        <f>'6-7-24 vs MBA'!BL17</f>
        <v>0</v>
      </c>
      <c r="H97" s="150">
        <f>'6-7-24 vs MBA'!BM17</f>
        <v>0</v>
      </c>
      <c r="I97" s="150">
        <f>'6-7-24 vs MBA'!BN17</f>
        <v>0</v>
      </c>
      <c r="J97" s="150">
        <f>('6-7-24 vs MBA'!BO17)*100</f>
        <v>0</v>
      </c>
      <c r="K97" s="150">
        <f>('6-7-24 vs MBA'!BP17)*100</f>
        <v>20.062695924764888</v>
      </c>
      <c r="L97" s="150">
        <f>('6-7-24 vs MBA'!BQ17)*100</f>
        <v>9.5380029806259312</v>
      </c>
      <c r="M97" s="150">
        <f>'6-7-24 vs MBA'!BR17</f>
        <v>71.358751602153433</v>
      </c>
      <c r="N97" s="150">
        <f>'6-7-24 vs MBA'!BS17</f>
        <v>71.621931746931025</v>
      </c>
      <c r="O97" s="150">
        <f>'6-7-24 vs MBA'!BT17</f>
        <v>0.26318014477759277</v>
      </c>
      <c r="P97" s="150">
        <f>('6-7-24 vs MBA'!BU17)*100</f>
        <v>0</v>
      </c>
      <c r="Q97" s="150">
        <f>'6-7-24 vs MBA'!BV17</f>
        <v>9.9999999999999978E-2</v>
      </c>
      <c r="R97" s="150">
        <v>5.5</v>
      </c>
      <c r="S97" t="s">
        <v>137</v>
      </c>
    </row>
    <row r="98" spans="1:19" x14ac:dyDescent="0.55000000000000004">
      <c r="A98">
        <v>99</v>
      </c>
      <c r="B98" t="str">
        <f>'6-7-24 vs MBA'!BG18</f>
        <v>Team</v>
      </c>
      <c r="C98" s="150">
        <f>('6-7-24 vs MBA'!BH18)*100</f>
        <v>55.357142857142861</v>
      </c>
      <c r="D98" s="150">
        <f>('6-7-24 vs MBA'!BI18)*100</f>
        <v>55.010155721056201</v>
      </c>
      <c r="E98" s="150">
        <f>('6-7-24 vs MBA'!BJ18)*100</f>
        <v>0</v>
      </c>
      <c r="F98" s="150">
        <f>('6-7-24 vs MBA'!BK18)*100</f>
        <v>48.148148148148145</v>
      </c>
      <c r="G98" s="150">
        <f>'6-7-24 vs MBA'!BL18</f>
        <v>0.18289251547552055</v>
      </c>
      <c r="H98" s="150">
        <f>'6-7-24 vs MBA'!BM18</f>
        <v>0.16882386043894204</v>
      </c>
      <c r="I98" s="150">
        <f>'6-7-24 vs MBA'!BN18</f>
        <v>1.0833333333333333</v>
      </c>
      <c r="J98" s="150">
        <f>('6-7-24 vs MBA'!BO18)*100</f>
        <v>43.75</v>
      </c>
      <c r="K98" s="150">
        <f>('6-7-24 vs MBA'!BP18)*100</f>
        <v>93.103448275862064</v>
      </c>
      <c r="L98" s="150">
        <f>('6-7-24 vs MBA'!BQ18)*100</f>
        <v>67.213114754098356</v>
      </c>
      <c r="M98" s="150">
        <f>'6-7-24 vs MBA'!BR18</f>
        <v>66.148087495613524</v>
      </c>
      <c r="N98" s="150">
        <f>'6-7-24 vs MBA'!BS18</f>
        <v>113.0348777810384</v>
      </c>
      <c r="O98" s="150">
        <f>'6-7-24 vs MBA'!BT18</f>
        <v>46.88679028542488</v>
      </c>
      <c r="P98" s="150">
        <f>('6-7-24 vs MBA'!BU18)*100</f>
        <v>72.277227722772281</v>
      </c>
      <c r="Q98" s="150">
        <f>'6-7-24 vs MBA'!BV18</f>
        <v>64.650000000000006</v>
      </c>
      <c r="R98" s="150">
        <v>160</v>
      </c>
      <c r="S98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9DC9-04F9-4330-AAAF-A02FFD53E93A}">
  <dimension ref="A2:AA98"/>
  <sheetViews>
    <sheetView tabSelected="1" topLeftCell="Q1" workbookViewId="0">
      <selection activeCell="AA2" sqref="AA2"/>
    </sheetView>
  </sheetViews>
  <sheetFormatPr defaultRowHeight="14.4" x14ac:dyDescent="0.55000000000000004"/>
  <cols>
    <col min="1" max="1" width="5.15625" bestFit="1" customWidth="1"/>
    <col min="2" max="2" width="8.20703125" bestFit="1" customWidth="1"/>
    <col min="3" max="4" width="6.20703125" bestFit="1" customWidth="1"/>
    <col min="5" max="5" width="7.20703125" bestFit="1" customWidth="1"/>
    <col min="6" max="6" width="5.26171875" bestFit="1" customWidth="1"/>
    <col min="7" max="7" width="6.26171875" bestFit="1" customWidth="1"/>
    <col min="8" max="8" width="6.3125" bestFit="1" customWidth="1"/>
    <col min="9" max="10" width="6.26171875" bestFit="1" customWidth="1"/>
    <col min="11" max="11" width="7.26171875" bestFit="1" customWidth="1"/>
    <col min="12" max="12" width="6.26171875" bestFit="1" customWidth="1"/>
    <col min="13" max="13" width="7.26171875" bestFit="1" customWidth="1"/>
    <col min="14" max="14" width="7.20703125" bestFit="1" customWidth="1"/>
    <col min="15" max="15" width="7.26171875" bestFit="1" customWidth="1"/>
    <col min="16" max="22" width="6.26171875" bestFit="1" customWidth="1"/>
    <col min="23" max="23" width="5.26171875" bestFit="1" customWidth="1"/>
    <col min="24" max="25" width="6.26171875" bestFit="1" customWidth="1"/>
    <col min="26" max="26" width="7.26171875" bestFit="1" customWidth="1"/>
  </cols>
  <sheetData>
    <row r="2" spans="1:27" x14ac:dyDescent="0.55000000000000004">
      <c r="A2" t="s">
        <v>33</v>
      </c>
      <c r="B2" t="s">
        <v>0</v>
      </c>
      <c r="C2" t="s">
        <v>104</v>
      </c>
      <c r="D2" t="s">
        <v>124</v>
      </c>
      <c r="E2" t="s">
        <v>123</v>
      </c>
      <c r="F2" t="s">
        <v>105</v>
      </c>
      <c r="G2" t="s">
        <v>125</v>
      </c>
      <c r="H2" t="s">
        <v>126</v>
      </c>
      <c r="I2" t="s">
        <v>38</v>
      </c>
      <c r="J2" t="s">
        <v>39</v>
      </c>
      <c r="K2" t="s">
        <v>40</v>
      </c>
      <c r="L2" t="s">
        <v>2</v>
      </c>
      <c r="M2" t="s">
        <v>3</v>
      </c>
      <c r="N2" t="s">
        <v>4</v>
      </c>
      <c r="O2" t="s">
        <v>7</v>
      </c>
      <c r="P2" t="s">
        <v>9</v>
      </c>
      <c r="Q2" t="s">
        <v>10</v>
      </c>
      <c r="R2" t="s">
        <v>6</v>
      </c>
      <c r="S2" t="s">
        <v>11</v>
      </c>
      <c r="T2" t="s">
        <v>12</v>
      </c>
      <c r="U2" t="s">
        <v>13</v>
      </c>
      <c r="V2" t="s">
        <v>14</v>
      </c>
      <c r="W2" t="s">
        <v>109</v>
      </c>
      <c r="X2" t="s">
        <v>10</v>
      </c>
      <c r="Y2" t="s">
        <v>62</v>
      </c>
      <c r="Z2" t="s">
        <v>34</v>
      </c>
      <c r="AA2" t="s">
        <v>112</v>
      </c>
    </row>
    <row r="3" spans="1:27" x14ac:dyDescent="0.55000000000000004">
      <c r="A3">
        <v>0</v>
      </c>
      <c r="B3" t="s">
        <v>17</v>
      </c>
      <c r="C3" s="151">
        <f>(SUM(Template:END!D3))/averageadvanced!$F4</f>
        <v>0.4</v>
      </c>
      <c r="D3" s="151">
        <f>(SUM(Template:END!E3))/averageadvanced!$F4</f>
        <v>1.4</v>
      </c>
      <c r="E3" s="151">
        <f>IFERROR((C3/D3)*100, 0)</f>
        <v>28.571428571428577</v>
      </c>
      <c r="F3" s="151">
        <f>(SUM(Template:END!G3))/averageadvanced!$F4</f>
        <v>0</v>
      </c>
      <c r="G3" s="151">
        <f>(SUM(Template:END!H3))/averageadvanced!$F4</f>
        <v>0</v>
      </c>
      <c r="H3" s="151">
        <f>IFERROR((F3/G3)*100, 0)</f>
        <v>0</v>
      </c>
      <c r="I3" s="151">
        <f>(SUM(Template:END!J3))/averageadvanced!$F4</f>
        <v>0</v>
      </c>
      <c r="J3" s="151">
        <f>(SUM(Template:END!K3))/averageadvanced!$F4</f>
        <v>0.2</v>
      </c>
      <c r="K3" s="151">
        <f>IFERROR((I3/J3)*100,0)</f>
        <v>0</v>
      </c>
      <c r="L3" s="151">
        <f>IFERROR(C3+F3, 0)</f>
        <v>0.4</v>
      </c>
      <c r="M3" s="151">
        <f>IFERROR(D3+G3, 0)</f>
        <v>1.4</v>
      </c>
      <c r="N3" s="151">
        <f>IFERROR((L3/M3)*100, 0)</f>
        <v>28.571428571428577</v>
      </c>
      <c r="O3" s="151">
        <f>IFERROR((C3*2)+(F3*3)+I3, 0)</f>
        <v>0.8</v>
      </c>
      <c r="P3" s="151">
        <f>(SUM(Template:END!Q3))/averageadvanced!$F4</f>
        <v>0.6</v>
      </c>
      <c r="Q3" s="151">
        <f>(SUM(Template:END!R3))/averageadvanced!$F4</f>
        <v>1.2</v>
      </c>
      <c r="R3" s="151">
        <f>P3+Q3</f>
        <v>1.7999999999999998</v>
      </c>
      <c r="S3" s="151">
        <f>(SUM(Template:END!T3))/averageadvanced!$F4</f>
        <v>0.6</v>
      </c>
      <c r="T3" s="151">
        <f>(SUM(Template:END!U3))/averageadvanced!$F4</f>
        <v>0.6</v>
      </c>
      <c r="U3" s="151">
        <f>(SUM(Template:END!V3))/averageadvanced!$F4</f>
        <v>0</v>
      </c>
      <c r="V3" s="151">
        <f>(SUM(Template:END!W3))/averageadvanced!$F4</f>
        <v>1.2</v>
      </c>
      <c r="W3" s="151">
        <f>(SUM(Template:END!X3))/averageadvanced!$F4</f>
        <v>0</v>
      </c>
      <c r="X3" s="151">
        <f>(SUM(Template:END!Y3))/averageadvanced!$F4</f>
        <v>0</v>
      </c>
      <c r="Y3" s="151">
        <f>(SUM(Template:END!Z3))/averageadvanced!$F4</f>
        <v>0</v>
      </c>
      <c r="Z3" s="151">
        <f>(SUM(Template:END!AA3))/averageadvanced!$F4</f>
        <v>6.5659999999999998</v>
      </c>
      <c r="AA3" t="s">
        <v>122</v>
      </c>
    </row>
    <row r="4" spans="1:27" x14ac:dyDescent="0.55000000000000004">
      <c r="A4">
        <v>1</v>
      </c>
      <c r="B4" t="s">
        <v>18</v>
      </c>
      <c r="C4" s="151">
        <f>(SUM(Template:END!D4))/averageadvanced!$F5</f>
        <v>2.4</v>
      </c>
      <c r="D4" s="151">
        <f>(SUM(Template:END!E4))/averageadvanced!$F5</f>
        <v>4</v>
      </c>
      <c r="E4" s="151">
        <f t="shared" ref="E4:E18" si="0">IFERROR((C4/D4)*100, 0)</f>
        <v>60</v>
      </c>
      <c r="F4" s="151">
        <f>(SUM(Template:END!G4))/averageadvanced!$F5</f>
        <v>0.6</v>
      </c>
      <c r="G4" s="151">
        <f>(SUM(Template:END!H4))/averageadvanced!$F5</f>
        <v>2.6</v>
      </c>
      <c r="H4" s="151">
        <f t="shared" ref="H4:H18" si="1">IFERROR((F4/G4)*100, 0)</f>
        <v>23.076923076923077</v>
      </c>
      <c r="I4" s="151">
        <f>(SUM(Template:END!J4))/averageadvanced!$F5</f>
        <v>0.8</v>
      </c>
      <c r="J4" s="151">
        <f>(SUM(Template:END!K4))/averageadvanced!$F5</f>
        <v>1</v>
      </c>
      <c r="K4" s="151">
        <f t="shared" ref="K4:K18" si="2">IFERROR((I4/J4)*100,0)</f>
        <v>80</v>
      </c>
      <c r="L4" s="151">
        <f t="shared" ref="L4:M18" si="3">IFERROR(C4+F4, 0)</f>
        <v>3</v>
      </c>
      <c r="M4" s="151">
        <f t="shared" si="3"/>
        <v>6.6</v>
      </c>
      <c r="N4" s="151">
        <f t="shared" ref="N4:N18" si="4">IFERROR((L4/M4)*100, 0)</f>
        <v>45.45454545454546</v>
      </c>
      <c r="O4" s="151">
        <f t="shared" ref="O4:O18" si="5">IFERROR((C4*2)+(F4*3)+I4, 0)</f>
        <v>7.3999999999999995</v>
      </c>
      <c r="P4" s="151">
        <f>(SUM(Template:END!Q4))/averageadvanced!$F5</f>
        <v>0.2</v>
      </c>
      <c r="Q4" s="151">
        <f>(SUM(Template:END!R4))/averageadvanced!$F5</f>
        <v>2.6</v>
      </c>
      <c r="R4" s="151">
        <f t="shared" ref="R4:R18" si="6">P4+Q4</f>
        <v>2.8000000000000003</v>
      </c>
      <c r="S4" s="151">
        <f>(SUM(Template:END!T4))/averageadvanced!$F5</f>
        <v>1</v>
      </c>
      <c r="T4" s="151">
        <f>(SUM(Template:END!U4))/averageadvanced!$F5</f>
        <v>1.6</v>
      </c>
      <c r="U4" s="151">
        <f>(SUM(Template:END!V4))/averageadvanced!$F5</f>
        <v>0</v>
      </c>
      <c r="V4" s="151">
        <f>(SUM(Template:END!W4))/averageadvanced!$F5</f>
        <v>0.4</v>
      </c>
      <c r="W4" s="151">
        <f>(SUM(Template:END!X4))/averageadvanced!$F5</f>
        <v>0</v>
      </c>
      <c r="X4" s="151">
        <f>(SUM(Template:END!Y4))/averageadvanced!$F5</f>
        <v>0.8</v>
      </c>
      <c r="Y4" s="151">
        <f>(SUM(Template:END!Z4))/averageadvanced!$F5</f>
        <v>1</v>
      </c>
      <c r="Z4" s="151">
        <f>(SUM(Template:END!AA4))/averageadvanced!$F5</f>
        <v>15.465999999999999</v>
      </c>
      <c r="AA4" t="s">
        <v>122</v>
      </c>
    </row>
    <row r="5" spans="1:27" x14ac:dyDescent="0.55000000000000004">
      <c r="A5">
        <v>2</v>
      </c>
      <c r="B5" t="s">
        <v>19</v>
      </c>
      <c r="C5" s="151">
        <f>(SUM(Template:END!D5))/averageadvanced!$F6</f>
        <v>1.8</v>
      </c>
      <c r="D5" s="151">
        <f>(SUM(Template:END!E5))/averageadvanced!$F6</f>
        <v>3.2</v>
      </c>
      <c r="E5" s="151">
        <f t="shared" si="0"/>
        <v>56.25</v>
      </c>
      <c r="F5" s="151">
        <f>(SUM(Template:END!G5))/averageadvanced!$F6</f>
        <v>0.8</v>
      </c>
      <c r="G5" s="151">
        <f>(SUM(Template:END!H5))/averageadvanced!$F6</f>
        <v>2.6</v>
      </c>
      <c r="H5" s="151">
        <f t="shared" si="1"/>
        <v>30.76923076923077</v>
      </c>
      <c r="I5" s="151">
        <f>(SUM(Template:END!J5))/averageadvanced!$F6</f>
        <v>0.8</v>
      </c>
      <c r="J5" s="151">
        <f>(SUM(Template:END!K5))/averageadvanced!$F6</f>
        <v>1.2</v>
      </c>
      <c r="K5" s="151">
        <f t="shared" si="2"/>
        <v>66.666666666666671</v>
      </c>
      <c r="L5" s="151">
        <f t="shared" si="3"/>
        <v>2.6</v>
      </c>
      <c r="M5" s="151">
        <f t="shared" si="3"/>
        <v>5.8000000000000007</v>
      </c>
      <c r="N5" s="151">
        <f t="shared" si="4"/>
        <v>44.827586206896548</v>
      </c>
      <c r="O5" s="151">
        <f t="shared" si="5"/>
        <v>6.8</v>
      </c>
      <c r="P5" s="151">
        <f>(SUM(Template:END!Q5))/averageadvanced!$F6</f>
        <v>0.8</v>
      </c>
      <c r="Q5" s="151">
        <f>(SUM(Template:END!R5))/averageadvanced!$F6</f>
        <v>2</v>
      </c>
      <c r="R5" s="151">
        <f t="shared" si="6"/>
        <v>2.8</v>
      </c>
      <c r="S5" s="151">
        <f>(SUM(Template:END!T5))/averageadvanced!$F6</f>
        <v>0.8</v>
      </c>
      <c r="T5" s="151">
        <f>(SUM(Template:END!U5))/averageadvanced!$F6</f>
        <v>1.2</v>
      </c>
      <c r="U5" s="151">
        <f>(SUM(Template:END!V5))/averageadvanced!$F6</f>
        <v>0.4</v>
      </c>
      <c r="V5" s="151">
        <f>(SUM(Template:END!W5))/averageadvanced!$F6</f>
        <v>0.8</v>
      </c>
      <c r="W5" s="151">
        <f>(SUM(Template:END!X5))/averageadvanced!$F6</f>
        <v>0</v>
      </c>
      <c r="X5" s="151">
        <f>(SUM(Template:END!Y5))/averageadvanced!$F6</f>
        <v>0.8</v>
      </c>
      <c r="Y5" s="151">
        <f>(SUM(Template:END!Z5))/averageadvanced!$F6</f>
        <v>1.2</v>
      </c>
      <c r="Z5" s="151">
        <f>(SUM(Template:END!AA5))/averageadvanced!$F6</f>
        <v>15.166</v>
      </c>
      <c r="AA5" t="s">
        <v>122</v>
      </c>
    </row>
    <row r="6" spans="1:27" x14ac:dyDescent="0.55000000000000004">
      <c r="A6">
        <v>3</v>
      </c>
      <c r="B6" t="s">
        <v>20</v>
      </c>
      <c r="C6" s="151">
        <f>(SUM(Template:END!D6))/averageadvanced!$F7</f>
        <v>0.4</v>
      </c>
      <c r="D6" s="151">
        <f>(SUM(Template:END!E6))/averageadvanced!$F7</f>
        <v>0.6</v>
      </c>
      <c r="E6" s="151">
        <f t="shared" si="0"/>
        <v>66.666666666666671</v>
      </c>
      <c r="F6" s="151">
        <f>(SUM(Template:END!G6))/averageadvanced!$F7</f>
        <v>1.4</v>
      </c>
      <c r="G6" s="151">
        <f>(SUM(Template:END!H6))/averageadvanced!$F7</f>
        <v>4</v>
      </c>
      <c r="H6" s="151">
        <f t="shared" si="1"/>
        <v>35</v>
      </c>
      <c r="I6" s="151">
        <f>(SUM(Template:END!J6))/averageadvanced!$F7</f>
        <v>0</v>
      </c>
      <c r="J6" s="151">
        <f>(SUM(Template:END!K6))/averageadvanced!$F7</f>
        <v>0</v>
      </c>
      <c r="K6" s="151">
        <f t="shared" si="2"/>
        <v>0</v>
      </c>
      <c r="L6" s="151">
        <f t="shared" si="3"/>
        <v>1.7999999999999998</v>
      </c>
      <c r="M6" s="151">
        <f t="shared" si="3"/>
        <v>4.5999999999999996</v>
      </c>
      <c r="N6" s="151">
        <f t="shared" si="4"/>
        <v>39.130434782608695</v>
      </c>
      <c r="O6" s="151">
        <f t="shared" si="5"/>
        <v>4.9999999999999991</v>
      </c>
      <c r="P6" s="151">
        <f>(SUM(Template:END!Q6))/averageadvanced!$F7</f>
        <v>0</v>
      </c>
      <c r="Q6" s="151">
        <f>(SUM(Template:END!R6))/averageadvanced!$F7</f>
        <v>0.8</v>
      </c>
      <c r="R6" s="151">
        <f t="shared" si="6"/>
        <v>0.8</v>
      </c>
      <c r="S6" s="151">
        <f>(SUM(Template:END!T6))/averageadvanced!$F7</f>
        <v>1.2</v>
      </c>
      <c r="T6" s="151">
        <f>(SUM(Template:END!U6))/averageadvanced!$F7</f>
        <v>1.2</v>
      </c>
      <c r="U6" s="151">
        <f>(SUM(Template:END!V6))/averageadvanced!$F7</f>
        <v>0.2</v>
      </c>
      <c r="V6" s="151">
        <f>(SUM(Template:END!W6))/averageadvanced!$F7</f>
        <v>0.8</v>
      </c>
      <c r="W6" s="151">
        <f>(SUM(Template:END!X6))/averageadvanced!$F7</f>
        <v>0</v>
      </c>
      <c r="X6" s="151">
        <f>(SUM(Template:END!Y6))/averageadvanced!$F7</f>
        <v>0.6</v>
      </c>
      <c r="Y6" s="151">
        <f>(SUM(Template:END!Z6))/averageadvanced!$F7</f>
        <v>1.2</v>
      </c>
      <c r="Z6" s="151">
        <f>(SUM(Template:END!AA6))/averageadvanced!$F7</f>
        <v>11.191999999999998</v>
      </c>
      <c r="AA6" t="s">
        <v>122</v>
      </c>
    </row>
    <row r="7" spans="1:27" x14ac:dyDescent="0.55000000000000004">
      <c r="A7">
        <v>4</v>
      </c>
      <c r="B7" t="s">
        <v>21</v>
      </c>
      <c r="C7" s="151">
        <f>(SUM(Template:END!D7))/averageadvanced!$F8</f>
        <v>1</v>
      </c>
      <c r="D7" s="151">
        <f>(SUM(Template:END!E7))/averageadvanced!$F8</f>
        <v>2.6</v>
      </c>
      <c r="E7" s="151">
        <f t="shared" si="0"/>
        <v>38.46153846153846</v>
      </c>
      <c r="F7" s="151">
        <f>(SUM(Template:END!G7))/averageadvanced!$F8</f>
        <v>1.2</v>
      </c>
      <c r="G7" s="151">
        <f>(SUM(Template:END!H7))/averageadvanced!$F8</f>
        <v>2.4</v>
      </c>
      <c r="H7" s="151">
        <f t="shared" si="1"/>
        <v>50</v>
      </c>
      <c r="I7" s="151">
        <f>(SUM(Template:END!J7))/averageadvanced!$F8</f>
        <v>0.4</v>
      </c>
      <c r="J7" s="151">
        <f>(SUM(Template:END!K7))/averageadvanced!$F8</f>
        <v>0.4</v>
      </c>
      <c r="K7" s="151">
        <f t="shared" si="2"/>
        <v>100</v>
      </c>
      <c r="L7" s="151">
        <f t="shared" si="3"/>
        <v>2.2000000000000002</v>
      </c>
      <c r="M7" s="151">
        <f t="shared" si="3"/>
        <v>5</v>
      </c>
      <c r="N7" s="151">
        <f t="shared" si="4"/>
        <v>44.000000000000007</v>
      </c>
      <c r="O7" s="151">
        <f t="shared" si="5"/>
        <v>6</v>
      </c>
      <c r="P7" s="151">
        <f>(SUM(Template:END!Q7))/averageadvanced!$F8</f>
        <v>0.6</v>
      </c>
      <c r="Q7" s="151">
        <f>(SUM(Template:END!R7))/averageadvanced!$F8</f>
        <v>1.4</v>
      </c>
      <c r="R7" s="151">
        <f t="shared" si="6"/>
        <v>2</v>
      </c>
      <c r="S7" s="151">
        <f>(SUM(Template:END!T7))/averageadvanced!$F8</f>
        <v>3</v>
      </c>
      <c r="T7" s="151">
        <f>(SUM(Template:END!U7))/averageadvanced!$F8</f>
        <v>1</v>
      </c>
      <c r="U7" s="151">
        <f>(SUM(Template:END!V7))/averageadvanced!$F8</f>
        <v>0</v>
      </c>
      <c r="V7" s="151">
        <f>(SUM(Template:END!W7))/averageadvanced!$F8</f>
        <v>0.8</v>
      </c>
      <c r="W7" s="151">
        <f>(SUM(Template:END!X7))/averageadvanced!$F8</f>
        <v>0</v>
      </c>
      <c r="X7" s="151">
        <f>(SUM(Template:END!Y7))/averageadvanced!$F8</f>
        <v>0.4</v>
      </c>
      <c r="Y7" s="151">
        <f>(SUM(Template:END!Z7))/averageadvanced!$F8</f>
        <v>0.8</v>
      </c>
      <c r="Z7" s="151">
        <f>(SUM(Template:END!AA7))/averageadvanced!$F8</f>
        <v>16.332000000000001</v>
      </c>
      <c r="AA7" t="s">
        <v>122</v>
      </c>
    </row>
    <row r="8" spans="1:27" x14ac:dyDescent="0.55000000000000004">
      <c r="A8">
        <v>5</v>
      </c>
      <c r="B8" t="s">
        <v>22</v>
      </c>
      <c r="C8" s="151">
        <f>(SUM(Template:END!D8))/averageadvanced!$F9</f>
        <v>5</v>
      </c>
      <c r="D8" s="151">
        <f>(SUM(Template:END!E8))/averageadvanced!$F9</f>
        <v>6.4</v>
      </c>
      <c r="E8" s="151">
        <f t="shared" si="0"/>
        <v>78.125</v>
      </c>
      <c r="F8" s="151">
        <f>(SUM(Template:END!G8))/averageadvanced!$F9</f>
        <v>0</v>
      </c>
      <c r="G8" s="151">
        <f>(SUM(Template:END!H8))/averageadvanced!$F9</f>
        <v>1</v>
      </c>
      <c r="H8" s="151">
        <f t="shared" si="1"/>
        <v>0</v>
      </c>
      <c r="I8" s="151">
        <f>(SUM(Template:END!J8))/averageadvanced!$F9</f>
        <v>1</v>
      </c>
      <c r="J8" s="151">
        <f>(SUM(Template:END!K8))/averageadvanced!$F9</f>
        <v>1.6</v>
      </c>
      <c r="K8" s="151">
        <f t="shared" si="2"/>
        <v>62.5</v>
      </c>
      <c r="L8" s="151">
        <f t="shared" si="3"/>
        <v>5</v>
      </c>
      <c r="M8" s="151">
        <f t="shared" si="3"/>
        <v>7.4</v>
      </c>
      <c r="N8" s="151">
        <f t="shared" si="4"/>
        <v>67.567567567567565</v>
      </c>
      <c r="O8" s="151">
        <f t="shared" si="5"/>
        <v>11</v>
      </c>
      <c r="P8" s="151">
        <f>(SUM(Template:END!Q8))/averageadvanced!$F9</f>
        <v>3.4</v>
      </c>
      <c r="Q8" s="151">
        <f>(SUM(Template:END!R8))/averageadvanced!$F9</f>
        <v>3.4</v>
      </c>
      <c r="R8" s="151">
        <f t="shared" si="6"/>
        <v>6.8</v>
      </c>
      <c r="S8" s="151">
        <f>(SUM(Template:END!T8))/averageadvanced!$F9</f>
        <v>3</v>
      </c>
      <c r="T8" s="151">
        <f>(SUM(Template:END!U8))/averageadvanced!$F9</f>
        <v>2.6</v>
      </c>
      <c r="U8" s="151">
        <f>(SUM(Template:END!V8))/averageadvanced!$F9</f>
        <v>0</v>
      </c>
      <c r="V8" s="151">
        <f>(SUM(Template:END!W8))/averageadvanced!$F9</f>
        <v>2.4</v>
      </c>
      <c r="W8" s="151">
        <f>(SUM(Template:END!X8))/averageadvanced!$F9</f>
        <v>0</v>
      </c>
      <c r="X8" s="151">
        <f>(SUM(Template:END!Y8))/averageadvanced!$F9</f>
        <v>1.6</v>
      </c>
      <c r="Y8" s="151">
        <f>(SUM(Template:END!Z8))/averageadvanced!$F9</f>
        <v>2</v>
      </c>
      <c r="Z8" s="151">
        <f>(SUM(Template:END!AA8))/averageadvanced!$F9</f>
        <v>16.666</v>
      </c>
      <c r="AA8" t="s">
        <v>122</v>
      </c>
    </row>
    <row r="9" spans="1:27" x14ac:dyDescent="0.55000000000000004">
      <c r="A9">
        <v>10</v>
      </c>
      <c r="B9" t="s">
        <v>23</v>
      </c>
      <c r="C9" s="151">
        <f>(SUM(Template:END!D9))/averageadvanced!$F10</f>
        <v>0.8</v>
      </c>
      <c r="D9" s="151">
        <f>(SUM(Template:END!E9))/averageadvanced!$F10</f>
        <v>1.4</v>
      </c>
      <c r="E9" s="151">
        <f t="shared" si="0"/>
        <v>57.142857142857153</v>
      </c>
      <c r="F9" s="151">
        <f>(SUM(Template:END!G9))/averageadvanced!$F10</f>
        <v>0.4</v>
      </c>
      <c r="G9" s="151">
        <f>(SUM(Template:END!H9))/averageadvanced!$F10</f>
        <v>1.8</v>
      </c>
      <c r="H9" s="151">
        <f t="shared" si="1"/>
        <v>22.222222222222225</v>
      </c>
      <c r="I9" s="151">
        <f>(SUM(Template:END!J9))/averageadvanced!$F10</f>
        <v>0.4</v>
      </c>
      <c r="J9" s="151">
        <f>(SUM(Template:END!K9))/averageadvanced!$F10</f>
        <v>0.4</v>
      </c>
      <c r="K9" s="151">
        <f t="shared" si="2"/>
        <v>100</v>
      </c>
      <c r="L9" s="151">
        <f t="shared" si="3"/>
        <v>1.2000000000000002</v>
      </c>
      <c r="M9" s="151">
        <f t="shared" si="3"/>
        <v>3.2</v>
      </c>
      <c r="N9" s="151">
        <f t="shared" si="4"/>
        <v>37.500000000000007</v>
      </c>
      <c r="O9" s="151">
        <f t="shared" si="5"/>
        <v>3.2</v>
      </c>
      <c r="P9" s="151">
        <f>(SUM(Template:END!Q9))/averageadvanced!$F10</f>
        <v>0.2</v>
      </c>
      <c r="Q9" s="151">
        <f>(SUM(Template:END!R9))/averageadvanced!$F10</f>
        <v>1.2</v>
      </c>
      <c r="R9" s="151">
        <f t="shared" si="6"/>
        <v>1.4</v>
      </c>
      <c r="S9" s="151">
        <f>(SUM(Template:END!T9))/averageadvanced!$F10</f>
        <v>0.2</v>
      </c>
      <c r="T9" s="151">
        <f>(SUM(Template:END!U9))/averageadvanced!$F10</f>
        <v>0.4</v>
      </c>
      <c r="U9" s="151">
        <f>(SUM(Template:END!V9))/averageadvanced!$F10</f>
        <v>0</v>
      </c>
      <c r="V9" s="151">
        <f>(SUM(Template:END!W9))/averageadvanced!$F10</f>
        <v>0.4</v>
      </c>
      <c r="W9" s="151">
        <f>(SUM(Template:END!X9))/averageadvanced!$F10</f>
        <v>0</v>
      </c>
      <c r="X9" s="151">
        <f>(SUM(Template:END!Y9))/averageadvanced!$F10</f>
        <v>0.2</v>
      </c>
      <c r="Y9" s="151">
        <f>(SUM(Template:END!Z9))/averageadvanced!$F10</f>
        <v>0.4</v>
      </c>
      <c r="Z9" s="151">
        <f>(SUM(Template:END!AA9))/averageadvanced!$F10</f>
        <v>7.8159999999999998</v>
      </c>
      <c r="AA9" t="s">
        <v>122</v>
      </c>
    </row>
    <row r="10" spans="1:27" x14ac:dyDescent="0.55000000000000004">
      <c r="A10">
        <v>11</v>
      </c>
      <c r="B10" t="s">
        <v>24</v>
      </c>
      <c r="C10" s="151">
        <f>(SUM(Template:END!D10))/averageadvanced!$F11</f>
        <v>1.2</v>
      </c>
      <c r="D10" s="151">
        <f>(SUM(Template:END!E10))/averageadvanced!$F11</f>
        <v>2</v>
      </c>
      <c r="E10" s="151">
        <f t="shared" si="0"/>
        <v>60</v>
      </c>
      <c r="F10" s="151">
        <f>(SUM(Template:END!G10))/averageadvanced!$F11</f>
        <v>0</v>
      </c>
      <c r="G10" s="151">
        <f>(SUM(Template:END!H10))/averageadvanced!$F11</f>
        <v>0.4</v>
      </c>
      <c r="H10" s="151">
        <f t="shared" si="1"/>
        <v>0</v>
      </c>
      <c r="I10" s="151">
        <f>(SUM(Template:END!J10))/averageadvanced!$F11</f>
        <v>0.2</v>
      </c>
      <c r="J10" s="151">
        <f>(SUM(Template:END!K10))/averageadvanced!$F11</f>
        <v>0.8</v>
      </c>
      <c r="K10" s="151">
        <f t="shared" si="2"/>
        <v>25</v>
      </c>
      <c r="L10" s="151">
        <f t="shared" si="3"/>
        <v>1.2</v>
      </c>
      <c r="M10" s="151">
        <f t="shared" si="3"/>
        <v>2.4</v>
      </c>
      <c r="N10" s="151">
        <f t="shared" si="4"/>
        <v>50</v>
      </c>
      <c r="O10" s="151">
        <f t="shared" si="5"/>
        <v>2.6</v>
      </c>
      <c r="P10" s="151">
        <f>(SUM(Template:END!Q10))/averageadvanced!$F11</f>
        <v>1</v>
      </c>
      <c r="Q10" s="151">
        <f>(SUM(Template:END!R10))/averageadvanced!$F11</f>
        <v>1.8</v>
      </c>
      <c r="R10" s="151">
        <f t="shared" si="6"/>
        <v>2.8</v>
      </c>
      <c r="S10" s="151">
        <f>(SUM(Template:END!T10))/averageadvanced!$F11</f>
        <v>1.2</v>
      </c>
      <c r="T10" s="151">
        <f>(SUM(Template:END!U10))/averageadvanced!$F11</f>
        <v>1.6</v>
      </c>
      <c r="U10" s="151">
        <f>(SUM(Template:END!V10))/averageadvanced!$F11</f>
        <v>0.2</v>
      </c>
      <c r="V10" s="151">
        <f>(SUM(Template:END!W10))/averageadvanced!$F11</f>
        <v>0.4</v>
      </c>
      <c r="W10" s="151">
        <f>(SUM(Template:END!X10))/averageadvanced!$F11</f>
        <v>0</v>
      </c>
      <c r="X10" s="151">
        <f>(SUM(Template:END!Y10))/averageadvanced!$F11</f>
        <v>1</v>
      </c>
      <c r="Y10" s="151">
        <f>(SUM(Template:END!Z10))/averageadvanced!$F11</f>
        <v>0.8</v>
      </c>
      <c r="Z10" s="151">
        <f>(SUM(Template:END!AA10))/averageadvanced!$F11</f>
        <v>9.418000000000001</v>
      </c>
      <c r="AA10" t="s">
        <v>122</v>
      </c>
    </row>
    <row r="11" spans="1:27" x14ac:dyDescent="0.55000000000000004">
      <c r="A11">
        <v>12</v>
      </c>
      <c r="B11" t="s">
        <v>25</v>
      </c>
      <c r="C11" s="151">
        <f>(SUM(Template:END!D11))/averageadvanced!$F12</f>
        <v>0</v>
      </c>
      <c r="D11" s="151">
        <f>(SUM(Template:END!E11))/averageadvanced!$F12</f>
        <v>0</v>
      </c>
      <c r="E11" s="151">
        <f t="shared" si="0"/>
        <v>0</v>
      </c>
      <c r="F11" s="151">
        <f>(SUM(Template:END!G11))/averageadvanced!$F12</f>
        <v>0.6</v>
      </c>
      <c r="G11" s="151">
        <f>(SUM(Template:END!H11))/averageadvanced!$F12</f>
        <v>1.4</v>
      </c>
      <c r="H11" s="151">
        <f t="shared" si="1"/>
        <v>42.857142857142861</v>
      </c>
      <c r="I11" s="151">
        <f>(SUM(Template:END!J11))/averageadvanced!$F12</f>
        <v>0</v>
      </c>
      <c r="J11" s="151">
        <f>(SUM(Template:END!K11))/averageadvanced!$F12</f>
        <v>0</v>
      </c>
      <c r="K11" s="151">
        <f t="shared" si="2"/>
        <v>0</v>
      </c>
      <c r="L11" s="151">
        <f t="shared" si="3"/>
        <v>0.6</v>
      </c>
      <c r="M11" s="151">
        <f t="shared" si="3"/>
        <v>1.4</v>
      </c>
      <c r="N11" s="151">
        <f t="shared" si="4"/>
        <v>42.857142857142861</v>
      </c>
      <c r="O11" s="151">
        <f t="shared" si="5"/>
        <v>1.7999999999999998</v>
      </c>
      <c r="P11" s="151">
        <f>(SUM(Template:END!Q11))/averageadvanced!$F12</f>
        <v>0.2</v>
      </c>
      <c r="Q11" s="151">
        <f>(SUM(Template:END!R11))/averageadvanced!$F12</f>
        <v>0.2</v>
      </c>
      <c r="R11" s="151">
        <f t="shared" si="6"/>
        <v>0.4</v>
      </c>
      <c r="S11" s="151">
        <f>(SUM(Template:END!T11))/averageadvanced!$F12</f>
        <v>0.2</v>
      </c>
      <c r="T11" s="151">
        <f>(SUM(Template:END!U11))/averageadvanced!$F12</f>
        <v>0.2</v>
      </c>
      <c r="U11" s="151">
        <f>(SUM(Template:END!V11))/averageadvanced!$F12</f>
        <v>0</v>
      </c>
      <c r="V11" s="151">
        <f>(SUM(Template:END!W11))/averageadvanced!$F12</f>
        <v>0.6</v>
      </c>
      <c r="W11" s="151">
        <f>(SUM(Template:END!X11))/averageadvanced!$F12</f>
        <v>0</v>
      </c>
      <c r="X11" s="151">
        <f>(SUM(Template:END!Y11))/averageadvanced!$F12</f>
        <v>0</v>
      </c>
      <c r="Y11" s="151">
        <f>(SUM(Template:END!Z11))/averageadvanced!$F12</f>
        <v>0.6</v>
      </c>
      <c r="Z11" s="151">
        <f>(SUM(Template:END!AA11))/averageadvanced!$F12</f>
        <v>5.1520000000000001</v>
      </c>
      <c r="AA11" t="s">
        <v>122</v>
      </c>
    </row>
    <row r="12" spans="1:27" x14ac:dyDescent="0.55000000000000004">
      <c r="A12">
        <v>24</v>
      </c>
      <c r="B12" t="s">
        <v>26</v>
      </c>
      <c r="C12" s="151">
        <f>(SUM(Template:END!D12))/averageadvanced!$F13</f>
        <v>0.4</v>
      </c>
      <c r="D12" s="151">
        <f>(SUM(Template:END!E12))/averageadvanced!$F13</f>
        <v>0.8</v>
      </c>
      <c r="E12" s="151">
        <f t="shared" si="0"/>
        <v>50</v>
      </c>
      <c r="F12" s="151">
        <f>(SUM(Template:END!G12))/averageadvanced!$F13</f>
        <v>0.6</v>
      </c>
      <c r="G12" s="151">
        <f>(SUM(Template:END!H12))/averageadvanced!$F13</f>
        <v>1.2</v>
      </c>
      <c r="H12" s="151">
        <f t="shared" si="1"/>
        <v>50</v>
      </c>
      <c r="I12" s="151">
        <f>(SUM(Template:END!J12))/averageadvanced!$F13</f>
        <v>0.4</v>
      </c>
      <c r="J12" s="151">
        <f>(SUM(Template:END!K12))/averageadvanced!$F13</f>
        <v>0.4</v>
      </c>
      <c r="K12" s="151">
        <f t="shared" si="2"/>
        <v>100</v>
      </c>
      <c r="L12" s="151">
        <f t="shared" si="3"/>
        <v>1</v>
      </c>
      <c r="M12" s="151">
        <f t="shared" si="3"/>
        <v>2</v>
      </c>
      <c r="N12" s="151">
        <f t="shared" si="4"/>
        <v>50</v>
      </c>
      <c r="O12" s="151">
        <f t="shared" si="5"/>
        <v>2.9999999999999996</v>
      </c>
      <c r="P12" s="151">
        <f>(SUM(Template:END!Q12))/averageadvanced!$F13</f>
        <v>0.4</v>
      </c>
      <c r="Q12" s="151">
        <f>(SUM(Template:END!R12))/averageadvanced!$F13</f>
        <v>0.6</v>
      </c>
      <c r="R12" s="151">
        <f t="shared" si="6"/>
        <v>1</v>
      </c>
      <c r="S12" s="151">
        <f>(SUM(Template:END!T12))/averageadvanced!$F13</f>
        <v>0.4</v>
      </c>
      <c r="T12" s="151">
        <f>(SUM(Template:END!U12))/averageadvanced!$F13</f>
        <v>0.6</v>
      </c>
      <c r="U12" s="151">
        <f>(SUM(Template:END!V12))/averageadvanced!$F13</f>
        <v>0</v>
      </c>
      <c r="V12" s="151">
        <f>(SUM(Template:END!W12))/averageadvanced!$F13</f>
        <v>0.8</v>
      </c>
      <c r="W12" s="151">
        <f>(SUM(Template:END!X12))/averageadvanced!$F13</f>
        <v>0</v>
      </c>
      <c r="X12" s="151">
        <f>(SUM(Template:END!Y12))/averageadvanced!$F13</f>
        <v>0.4</v>
      </c>
      <c r="Y12" s="151">
        <f>(SUM(Template:END!Z12))/averageadvanced!$F13</f>
        <v>0.6</v>
      </c>
      <c r="Z12" s="151">
        <f>(SUM(Template:END!AA12))/averageadvanced!$F13</f>
        <v>8.918000000000001</v>
      </c>
      <c r="AA12" t="s">
        <v>122</v>
      </c>
    </row>
    <row r="13" spans="1:27" x14ac:dyDescent="0.55000000000000004">
      <c r="A13">
        <v>30</v>
      </c>
      <c r="B13" t="s">
        <v>27</v>
      </c>
      <c r="C13" s="151">
        <f>(SUM(Template:END!D13))/averageadvanced!$F14</f>
        <v>3.2</v>
      </c>
      <c r="D13" s="151">
        <f>(SUM(Template:END!E13))/averageadvanced!$F14</f>
        <v>5.4</v>
      </c>
      <c r="E13" s="151">
        <f t="shared" si="0"/>
        <v>59.259259259259252</v>
      </c>
      <c r="F13" s="151">
        <f>(SUM(Template:END!G13))/averageadvanced!$F14</f>
        <v>0.2</v>
      </c>
      <c r="G13" s="151">
        <f>(SUM(Template:END!H13))/averageadvanced!$F14</f>
        <v>2</v>
      </c>
      <c r="H13" s="151">
        <f t="shared" si="1"/>
        <v>10</v>
      </c>
      <c r="I13" s="151">
        <f>(SUM(Template:END!J13))/averageadvanced!$F14</f>
        <v>0.4</v>
      </c>
      <c r="J13" s="151">
        <f>(SUM(Template:END!K13))/averageadvanced!$F14</f>
        <v>1.4</v>
      </c>
      <c r="K13" s="151">
        <f t="shared" si="2"/>
        <v>28.571428571428577</v>
      </c>
      <c r="L13" s="151">
        <f t="shared" si="3"/>
        <v>3.4000000000000004</v>
      </c>
      <c r="M13" s="151">
        <f t="shared" si="3"/>
        <v>7.4</v>
      </c>
      <c r="N13" s="151">
        <f t="shared" si="4"/>
        <v>45.945945945945951</v>
      </c>
      <c r="O13" s="151">
        <f t="shared" si="5"/>
        <v>7.4</v>
      </c>
      <c r="P13" s="151">
        <f>(SUM(Template:END!Q13))/averageadvanced!$F14</f>
        <v>3.2</v>
      </c>
      <c r="Q13" s="151">
        <f>(SUM(Template:END!R13))/averageadvanced!$F14</f>
        <v>3</v>
      </c>
      <c r="R13" s="151">
        <f t="shared" si="6"/>
        <v>6.2</v>
      </c>
      <c r="S13" s="151">
        <f>(SUM(Template:END!T13))/averageadvanced!$F14</f>
        <v>0.6</v>
      </c>
      <c r="T13" s="151">
        <f>(SUM(Template:END!U13))/averageadvanced!$F14</f>
        <v>0.8</v>
      </c>
      <c r="U13" s="151">
        <f>(SUM(Template:END!V13))/averageadvanced!$F14</f>
        <v>0.8</v>
      </c>
      <c r="V13" s="151">
        <f>(SUM(Template:END!W13))/averageadvanced!$F14</f>
        <v>0.6</v>
      </c>
      <c r="W13" s="151">
        <f>(SUM(Template:END!X13))/averageadvanced!$F14</f>
        <v>0.2</v>
      </c>
      <c r="X13" s="151">
        <f>(SUM(Template:END!Y13))/averageadvanced!$F14</f>
        <v>1</v>
      </c>
      <c r="Y13" s="151">
        <f>(SUM(Template:END!Z13))/averageadvanced!$F14</f>
        <v>1.4</v>
      </c>
      <c r="Z13" s="151">
        <f>(SUM(Template:END!AA13))/averageadvanced!$F14</f>
        <v>16.922000000000001</v>
      </c>
      <c r="AA13" t="s">
        <v>122</v>
      </c>
    </row>
    <row r="14" spans="1:27" x14ac:dyDescent="0.55000000000000004">
      <c r="A14">
        <v>32</v>
      </c>
      <c r="B14" t="s">
        <v>28</v>
      </c>
      <c r="C14" s="151">
        <f>(SUM(Template:END!D14))/averageadvanced!$F15</f>
        <v>0.2</v>
      </c>
      <c r="D14" s="151">
        <f>(SUM(Template:END!E14))/averageadvanced!$F15</f>
        <v>0.4</v>
      </c>
      <c r="E14" s="151">
        <f t="shared" si="0"/>
        <v>50</v>
      </c>
      <c r="F14" s="151">
        <f>(SUM(Template:END!G14))/averageadvanced!$F15</f>
        <v>0.2</v>
      </c>
      <c r="G14" s="151">
        <f>(SUM(Template:END!H14))/averageadvanced!$F15</f>
        <v>0.6</v>
      </c>
      <c r="H14" s="151">
        <f t="shared" si="1"/>
        <v>33.333333333333336</v>
      </c>
      <c r="I14" s="151">
        <f>(SUM(Template:END!J14))/averageadvanced!$F15</f>
        <v>0</v>
      </c>
      <c r="J14" s="151">
        <f>(SUM(Template:END!K14))/averageadvanced!$F15</f>
        <v>0.2</v>
      </c>
      <c r="K14" s="151">
        <f t="shared" si="2"/>
        <v>0</v>
      </c>
      <c r="L14" s="151">
        <f t="shared" si="3"/>
        <v>0.4</v>
      </c>
      <c r="M14" s="151">
        <f t="shared" si="3"/>
        <v>1</v>
      </c>
      <c r="N14" s="151">
        <f t="shared" si="4"/>
        <v>40</v>
      </c>
      <c r="O14" s="151">
        <f t="shared" si="5"/>
        <v>1</v>
      </c>
      <c r="P14" s="151">
        <f>(SUM(Template:END!Q14))/averageadvanced!$F15</f>
        <v>0.4</v>
      </c>
      <c r="Q14" s="151">
        <f>(SUM(Template:END!R14))/averageadvanced!$F15</f>
        <v>0</v>
      </c>
      <c r="R14" s="151">
        <f t="shared" si="6"/>
        <v>0.4</v>
      </c>
      <c r="S14" s="151">
        <f>(SUM(Template:END!T14))/averageadvanced!$F15</f>
        <v>0.2</v>
      </c>
      <c r="T14" s="151">
        <f>(SUM(Template:END!U14))/averageadvanced!$F15</f>
        <v>0.2</v>
      </c>
      <c r="U14" s="151">
        <f>(SUM(Template:END!V14))/averageadvanced!$F15</f>
        <v>0</v>
      </c>
      <c r="V14" s="151">
        <f>(SUM(Template:END!W14))/averageadvanced!$F15</f>
        <v>0.2</v>
      </c>
      <c r="W14" s="151">
        <f>(SUM(Template:END!X14))/averageadvanced!$F15</f>
        <v>0</v>
      </c>
      <c r="X14" s="151">
        <f>(SUM(Template:END!Y14))/averageadvanced!$F15</f>
        <v>0</v>
      </c>
      <c r="Y14" s="151">
        <f>(SUM(Template:END!Z14))/averageadvanced!$F15</f>
        <v>0.6</v>
      </c>
      <c r="Z14" s="151">
        <f>(SUM(Template:END!AA14))/averageadvanced!$F15</f>
        <v>3.9200000000000004</v>
      </c>
      <c r="AA14" t="s">
        <v>122</v>
      </c>
    </row>
    <row r="15" spans="1:27" x14ac:dyDescent="0.55000000000000004">
      <c r="A15">
        <v>33</v>
      </c>
      <c r="B15" t="s">
        <v>29</v>
      </c>
      <c r="C15" s="151">
        <f>(SUM(Template:END!D15))/averageadvanced!$F16</f>
        <v>0</v>
      </c>
      <c r="D15" s="151">
        <f>(SUM(Template:END!E15))/averageadvanced!$F16</f>
        <v>1.4</v>
      </c>
      <c r="E15" s="151">
        <f t="shared" si="0"/>
        <v>0</v>
      </c>
      <c r="F15" s="151">
        <f>(SUM(Template:END!G15))/averageadvanced!$F16</f>
        <v>0</v>
      </c>
      <c r="G15" s="151">
        <f>(SUM(Template:END!H15))/averageadvanced!$F16</f>
        <v>0.6</v>
      </c>
      <c r="H15" s="151">
        <f t="shared" si="1"/>
        <v>0</v>
      </c>
      <c r="I15" s="151">
        <f>(SUM(Template:END!J15))/averageadvanced!$F16</f>
        <v>0</v>
      </c>
      <c r="J15" s="151">
        <f>(SUM(Template:END!K15))/averageadvanced!$F16</f>
        <v>0</v>
      </c>
      <c r="K15" s="151">
        <f t="shared" si="2"/>
        <v>0</v>
      </c>
      <c r="L15" s="151">
        <f t="shared" si="3"/>
        <v>0</v>
      </c>
      <c r="M15" s="151">
        <f t="shared" si="3"/>
        <v>2</v>
      </c>
      <c r="N15" s="151">
        <f t="shared" si="4"/>
        <v>0</v>
      </c>
      <c r="O15" s="151">
        <f t="shared" si="5"/>
        <v>0</v>
      </c>
      <c r="P15" s="151">
        <f>(SUM(Template:END!Q15))/averageadvanced!$F16</f>
        <v>1.8</v>
      </c>
      <c r="Q15" s="151">
        <f>(SUM(Template:END!R15))/averageadvanced!$F16</f>
        <v>0.4</v>
      </c>
      <c r="R15" s="151">
        <f t="shared" si="6"/>
        <v>2.2000000000000002</v>
      </c>
      <c r="S15" s="151">
        <f>(SUM(Template:END!T15))/averageadvanced!$F16</f>
        <v>0.4</v>
      </c>
      <c r="T15" s="151">
        <f>(SUM(Template:END!U15))/averageadvanced!$F16</f>
        <v>0</v>
      </c>
      <c r="U15" s="151">
        <f>(SUM(Template:END!V15))/averageadvanced!$F16</f>
        <v>0</v>
      </c>
      <c r="V15" s="151">
        <f>(SUM(Template:END!W15))/averageadvanced!$F16</f>
        <v>0.2</v>
      </c>
      <c r="W15" s="151">
        <f>(SUM(Template:END!X15))/averageadvanced!$F16</f>
        <v>0</v>
      </c>
      <c r="X15" s="151">
        <f>(SUM(Template:END!Y15))/averageadvanced!$F16</f>
        <v>0.6</v>
      </c>
      <c r="Y15" s="151">
        <f>(SUM(Template:END!Z15))/averageadvanced!$F16</f>
        <v>0.4</v>
      </c>
      <c r="Z15" s="151">
        <f>(SUM(Template:END!AA15))/averageadvanced!$F16</f>
        <v>7.0299999999999994</v>
      </c>
      <c r="AA15" t="s">
        <v>122</v>
      </c>
    </row>
    <row r="16" spans="1:27" x14ac:dyDescent="0.55000000000000004">
      <c r="A16">
        <v>34</v>
      </c>
      <c r="B16" t="s">
        <v>30</v>
      </c>
      <c r="C16" s="151">
        <f>(SUM(Template:END!D16))/averageadvanced!$F17</f>
        <v>1.8</v>
      </c>
      <c r="D16" s="151">
        <f>(SUM(Template:END!E16))/averageadvanced!$F17</f>
        <v>3.6</v>
      </c>
      <c r="E16" s="151">
        <f t="shared" si="0"/>
        <v>50</v>
      </c>
      <c r="F16" s="151">
        <f>(SUM(Template:END!G16))/averageadvanced!$F17</f>
        <v>0.2</v>
      </c>
      <c r="G16" s="151">
        <f>(SUM(Template:END!H16))/averageadvanced!$F17</f>
        <v>0.4</v>
      </c>
      <c r="H16" s="151">
        <f t="shared" si="1"/>
        <v>50</v>
      </c>
      <c r="I16" s="151">
        <f>(SUM(Template:END!J16))/averageadvanced!$F17</f>
        <v>1</v>
      </c>
      <c r="J16" s="151">
        <f>(SUM(Template:END!K16))/averageadvanced!$F17</f>
        <v>1.6</v>
      </c>
      <c r="K16" s="151">
        <f t="shared" si="2"/>
        <v>62.5</v>
      </c>
      <c r="L16" s="151">
        <f t="shared" si="3"/>
        <v>2</v>
      </c>
      <c r="M16" s="151">
        <f t="shared" si="3"/>
        <v>4</v>
      </c>
      <c r="N16" s="151">
        <f t="shared" si="4"/>
        <v>50</v>
      </c>
      <c r="O16" s="151">
        <f t="shared" si="5"/>
        <v>5.2</v>
      </c>
      <c r="P16" s="151">
        <f>(SUM(Template:END!Q16))/averageadvanced!$F17</f>
        <v>1.6</v>
      </c>
      <c r="Q16" s="151">
        <f>(SUM(Template:END!R16))/averageadvanced!$F17</f>
        <v>3</v>
      </c>
      <c r="R16" s="151">
        <f t="shared" si="6"/>
        <v>4.5999999999999996</v>
      </c>
      <c r="S16" s="151">
        <f>(SUM(Template:END!T16))/averageadvanced!$F17</f>
        <v>0.4</v>
      </c>
      <c r="T16" s="151">
        <f>(SUM(Template:END!U16))/averageadvanced!$F17</f>
        <v>0.6</v>
      </c>
      <c r="U16" s="151">
        <f>(SUM(Template:END!V16))/averageadvanced!$F17</f>
        <v>0.4</v>
      </c>
      <c r="V16" s="151">
        <f>(SUM(Template:END!W16))/averageadvanced!$F17</f>
        <v>0.8</v>
      </c>
      <c r="W16" s="151">
        <f>(SUM(Template:END!X16))/averageadvanced!$F17</f>
        <v>0</v>
      </c>
      <c r="X16" s="151">
        <f>(SUM(Template:END!Y16))/averageadvanced!$F17</f>
        <v>0.2</v>
      </c>
      <c r="Y16" s="151">
        <f>(SUM(Template:END!Z16))/averageadvanced!$F17</f>
        <v>0.6</v>
      </c>
      <c r="Z16" s="151">
        <f>(SUM(Template:END!AA16))/averageadvanced!$F17</f>
        <v>11.366</v>
      </c>
      <c r="AA16" t="s">
        <v>122</v>
      </c>
    </row>
    <row r="17" spans="1:27" x14ac:dyDescent="0.55000000000000004">
      <c r="A17">
        <v>55</v>
      </c>
      <c r="B17" t="s">
        <v>32</v>
      </c>
      <c r="C17" s="151">
        <f>(SUM(Template:END!D17))/averageadvanced!$F18</f>
        <v>0.8</v>
      </c>
      <c r="D17" s="151">
        <f>(SUM(Template:END!E17))/averageadvanced!$F18</f>
        <v>2.6</v>
      </c>
      <c r="E17" s="151">
        <f t="shared" si="0"/>
        <v>30.76923076923077</v>
      </c>
      <c r="F17" s="151">
        <f>(SUM(Template:END!G17))/averageadvanced!$F18</f>
        <v>0</v>
      </c>
      <c r="G17" s="151">
        <f>(SUM(Template:END!H17))/averageadvanced!$F18</f>
        <v>0.2</v>
      </c>
      <c r="H17" s="151">
        <f t="shared" si="1"/>
        <v>0</v>
      </c>
      <c r="I17" s="151">
        <f>(SUM(Template:END!J17))/averageadvanced!$F18</f>
        <v>0.4</v>
      </c>
      <c r="J17" s="151">
        <f>(SUM(Template:END!K17))/averageadvanced!$F18</f>
        <v>1</v>
      </c>
      <c r="K17" s="151">
        <f t="shared" si="2"/>
        <v>40</v>
      </c>
      <c r="L17" s="151">
        <f t="shared" si="3"/>
        <v>0.8</v>
      </c>
      <c r="M17" s="151">
        <f t="shared" si="3"/>
        <v>2.8000000000000003</v>
      </c>
      <c r="N17" s="151">
        <f t="shared" si="4"/>
        <v>28.571428571428569</v>
      </c>
      <c r="O17" s="151">
        <f t="shared" si="5"/>
        <v>2</v>
      </c>
      <c r="P17" s="151">
        <f>(SUM(Template:END!Q17))/averageadvanced!$F18</f>
        <v>0.2</v>
      </c>
      <c r="Q17" s="151">
        <f>(SUM(Template:END!R17))/averageadvanced!$F18</f>
        <v>1.2</v>
      </c>
      <c r="R17" s="151">
        <f t="shared" si="6"/>
        <v>1.4</v>
      </c>
      <c r="S17" s="151">
        <f>(SUM(Template:END!T17))/averageadvanced!$F18</f>
        <v>0.4</v>
      </c>
      <c r="T17" s="151">
        <f>(SUM(Template:END!U17))/averageadvanced!$F18</f>
        <v>0.4</v>
      </c>
      <c r="U17" s="151">
        <f>(SUM(Template:END!V17))/averageadvanced!$F18</f>
        <v>0</v>
      </c>
      <c r="V17" s="151">
        <f>(SUM(Template:END!W17))/averageadvanced!$F18</f>
        <v>0.4</v>
      </c>
      <c r="W17" s="151">
        <f>(SUM(Template:END!X17))/averageadvanced!$F18</f>
        <v>0</v>
      </c>
      <c r="X17" s="151">
        <f>(SUM(Template:END!Y17))/averageadvanced!$F18</f>
        <v>1</v>
      </c>
      <c r="Y17" s="151">
        <f>(SUM(Template:END!Z17))/averageadvanced!$F18</f>
        <v>0.8</v>
      </c>
      <c r="Z17" s="151">
        <f>(SUM(Template:END!AA17))/averageadvanced!$F18</f>
        <v>8.0120000000000005</v>
      </c>
      <c r="AA17" t="s">
        <v>122</v>
      </c>
    </row>
    <row r="18" spans="1:27" x14ac:dyDescent="0.55000000000000004">
      <c r="A18">
        <v>99</v>
      </c>
      <c r="B18" t="s">
        <v>43</v>
      </c>
      <c r="C18" s="151">
        <f>(SUM(Template:END!D18))/averageadvanced!$F19</f>
        <v>19.399999999999999</v>
      </c>
      <c r="D18" s="151">
        <f>(SUM(Template:END!E18))/averageadvanced!$F19</f>
        <v>35.799999999999997</v>
      </c>
      <c r="E18" s="151">
        <f t="shared" si="0"/>
        <v>54.189944134078218</v>
      </c>
      <c r="F18" s="151">
        <f>(SUM(Template:END!G18))/averageadvanced!$F19</f>
        <v>6.2</v>
      </c>
      <c r="G18" s="151">
        <f>(SUM(Template:END!H18))/averageadvanced!$F19</f>
        <v>21.2</v>
      </c>
      <c r="H18" s="151">
        <f t="shared" si="1"/>
        <v>29.245283018867923</v>
      </c>
      <c r="I18" s="151">
        <f>(SUM(Template:END!J18))/averageadvanced!$F19</f>
        <v>5.8</v>
      </c>
      <c r="J18" s="151">
        <f>(SUM(Template:END!K18))/averageadvanced!$F19</f>
        <v>10.199999999999999</v>
      </c>
      <c r="K18" s="151">
        <f t="shared" si="2"/>
        <v>56.862745098039213</v>
      </c>
      <c r="L18" s="151">
        <f t="shared" si="3"/>
        <v>25.599999999999998</v>
      </c>
      <c r="M18" s="151">
        <f t="shared" si="3"/>
        <v>57</v>
      </c>
      <c r="N18" s="151">
        <f t="shared" si="4"/>
        <v>44.912280701754383</v>
      </c>
      <c r="O18" s="151">
        <f t="shared" si="5"/>
        <v>63.199999999999996</v>
      </c>
      <c r="P18" s="151">
        <f>(SUM(Template:END!Q18))/averageadvanced!$F19</f>
        <v>14.6</v>
      </c>
      <c r="Q18" s="151">
        <f>(SUM(Template:END!R18))/averageadvanced!$F19</f>
        <v>22.8</v>
      </c>
      <c r="R18" s="151">
        <f t="shared" si="6"/>
        <v>37.4</v>
      </c>
      <c r="S18" s="151">
        <f>(SUM(Template:END!T18))/averageadvanced!$F19</f>
        <v>13.6</v>
      </c>
      <c r="T18" s="151">
        <f>(SUM(Template:END!U18))/averageadvanced!$F19</f>
        <v>13</v>
      </c>
      <c r="U18" s="151">
        <f>(SUM(Template:END!V18))/averageadvanced!$F19</f>
        <v>2</v>
      </c>
      <c r="V18" s="151">
        <f>(SUM(Template:END!W18))/averageadvanced!$F19</f>
        <v>10.8</v>
      </c>
      <c r="W18" s="151">
        <f>(SUM(Template:END!X18))/averageadvanced!$F19</f>
        <v>0.2</v>
      </c>
      <c r="X18" s="151">
        <f>(SUM(Template:END!Y18))/averageadvanced!$F19</f>
        <v>8.6</v>
      </c>
      <c r="Y18" s="151">
        <f>(SUM(Template:END!Z18))/averageadvanced!$F19</f>
        <v>12.4</v>
      </c>
      <c r="Z18" s="151">
        <f>(SUM(Template:END!AA18))/averageadvanced!$F19</f>
        <v>159.99799999999999</v>
      </c>
      <c r="AA18" t="s">
        <v>122</v>
      </c>
    </row>
    <row r="19" spans="1:27" x14ac:dyDescent="0.55000000000000004">
      <c r="A19" s="155">
        <f>'6-6-24 vs Brentwood Academy'!B3</f>
        <v>0</v>
      </c>
      <c r="B19" s="151" t="str">
        <f>'6-6-24 vs Brentwood Academy'!C3</f>
        <v>Lewis</v>
      </c>
      <c r="C19" s="151">
        <f>'6-6-24 vs Brentwood Academy'!D3</f>
        <v>0</v>
      </c>
      <c r="D19" s="151">
        <f>'6-6-24 vs Brentwood Academy'!E3</f>
        <v>1</v>
      </c>
      <c r="E19" s="151">
        <f>('6-6-24 vs Brentwood Academy'!F3)*100</f>
        <v>0</v>
      </c>
      <c r="F19" s="151">
        <f>'6-6-24 vs Brentwood Academy'!G3</f>
        <v>0</v>
      </c>
      <c r="G19" s="151">
        <f>'6-6-24 vs Brentwood Academy'!H3</f>
        <v>0</v>
      </c>
      <c r="H19" s="151">
        <f>('6-6-24 vs Brentwood Academy'!I3)*100</f>
        <v>0</v>
      </c>
      <c r="I19" s="151">
        <f>'6-6-24 vs Brentwood Academy'!J3</f>
        <v>0</v>
      </c>
      <c r="J19" s="151">
        <f>'6-6-24 vs Brentwood Academy'!K3</f>
        <v>1</v>
      </c>
      <c r="K19" s="151">
        <f>('6-6-24 vs Brentwood Academy'!L3)*100</f>
        <v>0</v>
      </c>
      <c r="L19" s="151">
        <f>'6-6-24 vs Brentwood Academy'!M3</f>
        <v>0</v>
      </c>
      <c r="M19" s="151">
        <f>'6-6-24 vs Brentwood Academy'!N3</f>
        <v>1</v>
      </c>
      <c r="N19" s="151">
        <f>('6-6-24 vs Brentwood Academy'!O3)*100</f>
        <v>0</v>
      </c>
      <c r="O19" s="151">
        <f>'6-6-24 vs Brentwood Academy'!P3</f>
        <v>0</v>
      </c>
      <c r="P19" s="151">
        <f>'6-6-24 vs Brentwood Academy'!Q3</f>
        <v>1</v>
      </c>
      <c r="Q19" s="151">
        <f>'6-6-24 vs Brentwood Academy'!R3</f>
        <v>0</v>
      </c>
      <c r="R19" s="151">
        <f>'6-6-24 vs Brentwood Academy'!S3</f>
        <v>1</v>
      </c>
      <c r="S19" s="151">
        <f>'6-6-24 vs Brentwood Academy'!T3</f>
        <v>0</v>
      </c>
      <c r="T19" s="151">
        <f>'6-6-24 vs Brentwood Academy'!U3</f>
        <v>0</v>
      </c>
      <c r="U19" s="151">
        <f>'6-6-24 vs Brentwood Academy'!V3</f>
        <v>0</v>
      </c>
      <c r="V19" s="151">
        <f>'6-6-24 vs Brentwood Academy'!W3</f>
        <v>2</v>
      </c>
      <c r="W19" s="151">
        <f>'6-6-24 vs Brentwood Academy'!X3</f>
        <v>0</v>
      </c>
      <c r="X19" s="151">
        <f>'6-6-24 vs Brentwood Academy'!Y3</f>
        <v>0</v>
      </c>
      <c r="Y19" s="151">
        <f>'6-6-24 vs Brentwood Academy'!Z3</f>
        <v>0</v>
      </c>
      <c r="Z19" s="151">
        <f>'6-6-24 vs Brentwood Academy'!AA3</f>
        <v>5</v>
      </c>
      <c r="AA19" t="s">
        <v>127</v>
      </c>
    </row>
    <row r="20" spans="1:27" x14ac:dyDescent="0.55000000000000004">
      <c r="A20" s="155">
        <f>'6-6-24 vs Brentwood Academy'!B4</f>
        <v>1</v>
      </c>
      <c r="B20" s="151" t="str">
        <f>'6-6-24 vs Brentwood Academy'!C4</f>
        <v>Walker</v>
      </c>
      <c r="C20" s="151">
        <f>'6-6-24 vs Brentwood Academy'!D4</f>
        <v>1</v>
      </c>
      <c r="D20" s="151">
        <f>'6-6-24 vs Brentwood Academy'!E4</f>
        <v>3</v>
      </c>
      <c r="E20" s="151">
        <f>('6-6-24 vs Brentwood Academy'!F4)*100</f>
        <v>33.333333333333329</v>
      </c>
      <c r="F20" s="151">
        <f>'6-6-24 vs Brentwood Academy'!G4</f>
        <v>0</v>
      </c>
      <c r="G20" s="151">
        <f>'6-6-24 vs Brentwood Academy'!H4</f>
        <v>2</v>
      </c>
      <c r="H20" s="151">
        <f>('6-6-24 vs Brentwood Academy'!I4)*100</f>
        <v>0</v>
      </c>
      <c r="I20" s="151">
        <f>'6-6-24 vs Brentwood Academy'!J4</f>
        <v>2</v>
      </c>
      <c r="J20" s="151">
        <f>'6-6-24 vs Brentwood Academy'!K4</f>
        <v>3</v>
      </c>
      <c r="K20" s="151">
        <f>('6-6-24 vs Brentwood Academy'!L4)*100</f>
        <v>66.666666666666657</v>
      </c>
      <c r="L20" s="151">
        <f>'6-6-24 vs Brentwood Academy'!M4</f>
        <v>1</v>
      </c>
      <c r="M20" s="151">
        <f>'6-6-24 vs Brentwood Academy'!N4</f>
        <v>5</v>
      </c>
      <c r="N20" s="151">
        <f>('6-6-24 vs Brentwood Academy'!O4)*100</f>
        <v>20</v>
      </c>
      <c r="O20" s="151">
        <f>'6-6-24 vs Brentwood Academy'!P4</f>
        <v>4</v>
      </c>
      <c r="P20" s="151">
        <f>'6-6-24 vs Brentwood Academy'!Q4</f>
        <v>0</v>
      </c>
      <c r="Q20" s="151">
        <f>'6-6-24 vs Brentwood Academy'!R4</f>
        <v>2</v>
      </c>
      <c r="R20" s="151">
        <f>'6-6-24 vs Brentwood Academy'!S4</f>
        <v>2</v>
      </c>
      <c r="S20" s="151">
        <f>'6-6-24 vs Brentwood Academy'!T4</f>
        <v>0</v>
      </c>
      <c r="T20" s="151">
        <f>'6-6-24 vs Brentwood Academy'!U4</f>
        <v>0</v>
      </c>
      <c r="U20" s="151">
        <f>'6-6-24 vs Brentwood Academy'!V4</f>
        <v>0</v>
      </c>
      <c r="V20" s="151">
        <f>'6-6-24 vs Brentwood Academy'!W4</f>
        <v>0</v>
      </c>
      <c r="W20" s="151">
        <f>'6-6-24 vs Brentwood Academy'!X4</f>
        <v>0</v>
      </c>
      <c r="X20" s="151">
        <f>'6-6-24 vs Brentwood Academy'!Y4</f>
        <v>1</v>
      </c>
      <c r="Y20" s="151">
        <f>'6-6-24 vs Brentwood Academy'!Z4</f>
        <v>0</v>
      </c>
      <c r="Z20" s="151">
        <f>'6-6-24 vs Brentwood Academy'!AA4</f>
        <v>13.5</v>
      </c>
      <c r="AA20" t="s">
        <v>127</v>
      </c>
    </row>
    <row r="21" spans="1:27" x14ac:dyDescent="0.55000000000000004">
      <c r="A21" s="155">
        <f>'6-6-24 vs Brentwood Academy'!B5</f>
        <v>2</v>
      </c>
      <c r="B21" s="151" t="str">
        <f>'6-6-24 vs Brentwood Academy'!C5</f>
        <v>Rivers</v>
      </c>
      <c r="C21" s="151">
        <f>'6-6-24 vs Brentwood Academy'!D5</f>
        <v>1</v>
      </c>
      <c r="D21" s="151">
        <f>'6-6-24 vs Brentwood Academy'!E5</f>
        <v>2</v>
      </c>
      <c r="E21" s="151">
        <f>('6-6-24 vs Brentwood Academy'!F5)*100</f>
        <v>50</v>
      </c>
      <c r="F21" s="151">
        <f>'6-6-24 vs Brentwood Academy'!G5</f>
        <v>2</v>
      </c>
      <c r="G21" s="151">
        <f>'6-6-24 vs Brentwood Academy'!H5</f>
        <v>6</v>
      </c>
      <c r="H21" s="151">
        <f>('6-6-24 vs Brentwood Academy'!I5)*100</f>
        <v>33.333333333333329</v>
      </c>
      <c r="I21" s="151">
        <f>'6-6-24 vs Brentwood Academy'!J5</f>
        <v>2</v>
      </c>
      <c r="J21" s="151">
        <f>'6-6-24 vs Brentwood Academy'!K5</f>
        <v>2</v>
      </c>
      <c r="K21" s="151">
        <f>('6-6-24 vs Brentwood Academy'!L5)*100</f>
        <v>100</v>
      </c>
      <c r="L21" s="151">
        <f>'6-6-24 vs Brentwood Academy'!M5</f>
        <v>3</v>
      </c>
      <c r="M21" s="151">
        <f>'6-6-24 vs Brentwood Academy'!N5</f>
        <v>8</v>
      </c>
      <c r="N21" s="151">
        <f>('6-6-24 vs Brentwood Academy'!O5)*100</f>
        <v>37.5</v>
      </c>
      <c r="O21" s="151">
        <f>'6-6-24 vs Brentwood Academy'!P5</f>
        <v>10</v>
      </c>
      <c r="P21" s="151">
        <f>'6-6-24 vs Brentwood Academy'!Q5</f>
        <v>0</v>
      </c>
      <c r="Q21" s="151">
        <f>'6-6-24 vs Brentwood Academy'!R5</f>
        <v>2</v>
      </c>
      <c r="R21" s="151">
        <f>'6-6-24 vs Brentwood Academy'!S5</f>
        <v>2</v>
      </c>
      <c r="S21" s="151">
        <f>'6-6-24 vs Brentwood Academy'!T5</f>
        <v>1</v>
      </c>
      <c r="T21" s="151">
        <f>'6-6-24 vs Brentwood Academy'!U5</f>
        <v>2</v>
      </c>
      <c r="U21" s="151">
        <f>'6-6-24 vs Brentwood Academy'!V5</f>
        <v>1</v>
      </c>
      <c r="V21" s="151">
        <f>'6-6-24 vs Brentwood Academy'!W5</f>
        <v>2</v>
      </c>
      <c r="W21" s="151">
        <f>'6-6-24 vs Brentwood Academy'!X5</f>
        <v>0</v>
      </c>
      <c r="X21" s="151">
        <f>'6-6-24 vs Brentwood Academy'!Y5</f>
        <v>1</v>
      </c>
      <c r="Y21" s="151">
        <f>'6-6-24 vs Brentwood Academy'!Z5</f>
        <v>2</v>
      </c>
      <c r="Z21" s="151">
        <f>'6-6-24 vs Brentwood Academy'!AA5</f>
        <v>16</v>
      </c>
      <c r="AA21" t="s">
        <v>127</v>
      </c>
    </row>
    <row r="22" spans="1:27" x14ac:dyDescent="0.55000000000000004">
      <c r="A22" s="155">
        <f>'6-6-24 vs Brentwood Academy'!B6</f>
        <v>3</v>
      </c>
      <c r="B22" s="151" t="str">
        <f>'6-6-24 vs Brentwood Academy'!C6</f>
        <v>Gossett</v>
      </c>
      <c r="C22" s="151">
        <f>'6-6-24 vs Brentwood Academy'!D6</f>
        <v>0</v>
      </c>
      <c r="D22" s="151">
        <f>'6-6-24 vs Brentwood Academy'!E6</f>
        <v>0</v>
      </c>
      <c r="E22" s="151">
        <f>('6-6-24 vs Brentwood Academy'!F6)*100</f>
        <v>0</v>
      </c>
      <c r="F22" s="151">
        <f>'6-6-24 vs Brentwood Academy'!G6</f>
        <v>2</v>
      </c>
      <c r="G22" s="151">
        <f>'6-6-24 vs Brentwood Academy'!H6</f>
        <v>4</v>
      </c>
      <c r="H22" s="151">
        <f>('6-6-24 vs Brentwood Academy'!I6)*100</f>
        <v>50</v>
      </c>
      <c r="I22" s="151">
        <f>'6-6-24 vs Brentwood Academy'!J6</f>
        <v>0</v>
      </c>
      <c r="J22" s="151">
        <f>'6-6-24 vs Brentwood Academy'!K6</f>
        <v>0</v>
      </c>
      <c r="K22" s="151">
        <f>('6-6-24 vs Brentwood Academy'!L6)*100</f>
        <v>0</v>
      </c>
      <c r="L22" s="151">
        <f>'6-6-24 vs Brentwood Academy'!M6</f>
        <v>2</v>
      </c>
      <c r="M22" s="151">
        <f>'6-6-24 vs Brentwood Academy'!N6</f>
        <v>4</v>
      </c>
      <c r="N22" s="151">
        <f>('6-6-24 vs Brentwood Academy'!O6)*100</f>
        <v>50</v>
      </c>
      <c r="O22" s="151">
        <f>'6-6-24 vs Brentwood Academy'!P6</f>
        <v>6</v>
      </c>
      <c r="P22" s="151">
        <f>'6-6-24 vs Brentwood Academy'!Q6</f>
        <v>0</v>
      </c>
      <c r="Q22" s="151">
        <f>'6-6-24 vs Brentwood Academy'!R6</f>
        <v>1</v>
      </c>
      <c r="R22" s="151">
        <f>'6-6-24 vs Brentwood Academy'!S6</f>
        <v>1</v>
      </c>
      <c r="S22" s="151">
        <f>'6-6-24 vs Brentwood Academy'!T6</f>
        <v>1</v>
      </c>
      <c r="T22" s="151">
        <f>'6-6-24 vs Brentwood Academy'!U6</f>
        <v>3</v>
      </c>
      <c r="U22" s="151">
        <f>'6-6-24 vs Brentwood Academy'!V6</f>
        <v>0</v>
      </c>
      <c r="V22" s="151">
        <f>'6-6-24 vs Brentwood Academy'!W6</f>
        <v>1</v>
      </c>
      <c r="W22" s="151">
        <f>'6-6-24 vs Brentwood Academy'!X6</f>
        <v>0</v>
      </c>
      <c r="X22" s="151">
        <f>'6-6-24 vs Brentwood Academy'!Y6</f>
        <v>1</v>
      </c>
      <c r="Y22" s="151">
        <f>'6-6-24 vs Brentwood Academy'!Z6</f>
        <v>0</v>
      </c>
      <c r="Z22" s="151">
        <f>'6-6-24 vs Brentwood Academy'!AA6</f>
        <v>16.5</v>
      </c>
      <c r="AA22" t="s">
        <v>127</v>
      </c>
    </row>
    <row r="23" spans="1:27" x14ac:dyDescent="0.55000000000000004">
      <c r="A23" s="155">
        <f>'6-6-24 vs Brentwood Academy'!B7</f>
        <v>4</v>
      </c>
      <c r="B23" s="151" t="str">
        <f>'6-6-24 vs Brentwood Academy'!C7</f>
        <v>Stapler</v>
      </c>
      <c r="C23" s="151">
        <f>'6-6-24 vs Brentwood Academy'!D7</f>
        <v>1</v>
      </c>
      <c r="D23" s="151">
        <f>'6-6-24 vs Brentwood Academy'!E7</f>
        <v>1</v>
      </c>
      <c r="E23" s="151">
        <f>('6-6-24 vs Brentwood Academy'!F7)*100</f>
        <v>100</v>
      </c>
      <c r="F23" s="151">
        <f>'6-6-24 vs Brentwood Academy'!G7</f>
        <v>2</v>
      </c>
      <c r="G23" s="151">
        <f>'6-6-24 vs Brentwood Academy'!H7</f>
        <v>3</v>
      </c>
      <c r="H23" s="151">
        <f>('6-6-24 vs Brentwood Academy'!I7)*100</f>
        <v>66.666666666666657</v>
      </c>
      <c r="I23" s="151">
        <f>'6-6-24 vs Brentwood Academy'!J7</f>
        <v>2</v>
      </c>
      <c r="J23" s="151">
        <f>'6-6-24 vs Brentwood Academy'!K7</f>
        <v>2</v>
      </c>
      <c r="K23" s="151">
        <f>('6-6-24 vs Brentwood Academy'!L7)*100</f>
        <v>100</v>
      </c>
      <c r="L23" s="151">
        <f>'6-6-24 vs Brentwood Academy'!M7</f>
        <v>3</v>
      </c>
      <c r="M23" s="151">
        <f>'6-6-24 vs Brentwood Academy'!N7</f>
        <v>4</v>
      </c>
      <c r="N23" s="151">
        <f>('6-6-24 vs Brentwood Academy'!O7)*100</f>
        <v>75</v>
      </c>
      <c r="O23" s="151">
        <f>'6-6-24 vs Brentwood Academy'!P7</f>
        <v>10</v>
      </c>
      <c r="P23" s="151">
        <f>'6-6-24 vs Brentwood Academy'!Q7</f>
        <v>1</v>
      </c>
      <c r="Q23" s="151">
        <f>'6-6-24 vs Brentwood Academy'!R7</f>
        <v>0</v>
      </c>
      <c r="R23" s="151">
        <f>'6-6-24 vs Brentwood Academy'!S7</f>
        <v>1</v>
      </c>
      <c r="S23" s="151">
        <f>'6-6-24 vs Brentwood Academy'!T7</f>
        <v>0</v>
      </c>
      <c r="T23" s="151">
        <f>'6-6-24 vs Brentwood Academy'!U7</f>
        <v>0</v>
      </c>
      <c r="U23" s="151">
        <f>'6-6-24 vs Brentwood Academy'!V7</f>
        <v>0</v>
      </c>
      <c r="V23" s="151">
        <f>'6-6-24 vs Brentwood Academy'!W7</f>
        <v>1</v>
      </c>
      <c r="W23" s="151">
        <f>'6-6-24 vs Brentwood Academy'!X7</f>
        <v>0</v>
      </c>
      <c r="X23" s="151">
        <f>'6-6-24 vs Brentwood Academy'!Y7</f>
        <v>0</v>
      </c>
      <c r="Y23" s="151">
        <f>'6-6-24 vs Brentwood Academy'!Z7</f>
        <v>0</v>
      </c>
      <c r="Z23" s="151">
        <f>'6-6-24 vs Brentwood Academy'!AA7</f>
        <v>14</v>
      </c>
      <c r="AA23" t="s">
        <v>127</v>
      </c>
    </row>
    <row r="24" spans="1:27" x14ac:dyDescent="0.55000000000000004">
      <c r="A24" s="155">
        <f>'6-6-24 vs Brentwood Academy'!B8</f>
        <v>5</v>
      </c>
      <c r="B24" s="151" t="str">
        <f>'6-6-24 vs Brentwood Academy'!C8</f>
        <v>JD</v>
      </c>
      <c r="C24" s="151">
        <f>'6-6-24 vs Brentwood Academy'!D8</f>
        <v>2</v>
      </c>
      <c r="D24" s="151">
        <f>'6-6-24 vs Brentwood Academy'!E8</f>
        <v>3</v>
      </c>
      <c r="E24" s="151">
        <f>('6-6-24 vs Brentwood Academy'!F8)*100</f>
        <v>66.666666666666657</v>
      </c>
      <c r="F24" s="151">
        <f>'6-6-24 vs Brentwood Academy'!G8</f>
        <v>0</v>
      </c>
      <c r="G24" s="151">
        <f>'6-6-24 vs Brentwood Academy'!H8</f>
        <v>0</v>
      </c>
      <c r="H24" s="151">
        <f>('6-6-24 vs Brentwood Academy'!I8)*100</f>
        <v>0</v>
      </c>
      <c r="I24" s="151">
        <f>'6-6-24 vs Brentwood Academy'!J8</f>
        <v>0</v>
      </c>
      <c r="J24" s="151">
        <f>'6-6-24 vs Brentwood Academy'!K8</f>
        <v>1</v>
      </c>
      <c r="K24" s="151">
        <f>('6-6-24 vs Brentwood Academy'!L8)*100</f>
        <v>0</v>
      </c>
      <c r="L24" s="151">
        <f>'6-6-24 vs Brentwood Academy'!M8</f>
        <v>2</v>
      </c>
      <c r="M24" s="151">
        <f>'6-6-24 vs Brentwood Academy'!N8</f>
        <v>3</v>
      </c>
      <c r="N24" s="151">
        <f>('6-6-24 vs Brentwood Academy'!O8)*100</f>
        <v>66.666666666666657</v>
      </c>
      <c r="O24" s="151">
        <f>'6-6-24 vs Brentwood Academy'!P8</f>
        <v>4</v>
      </c>
      <c r="P24" s="151">
        <f>'6-6-24 vs Brentwood Academy'!Q8</f>
        <v>3</v>
      </c>
      <c r="Q24" s="151">
        <f>'6-6-24 vs Brentwood Academy'!R8</f>
        <v>1</v>
      </c>
      <c r="R24" s="151">
        <f>'6-6-24 vs Brentwood Academy'!S8</f>
        <v>4</v>
      </c>
      <c r="S24" s="151">
        <f>'6-6-24 vs Brentwood Academy'!T8</f>
        <v>5</v>
      </c>
      <c r="T24" s="151">
        <f>'6-6-24 vs Brentwood Academy'!U8</f>
        <v>1</v>
      </c>
      <c r="U24" s="151">
        <f>'6-6-24 vs Brentwood Academy'!V8</f>
        <v>0</v>
      </c>
      <c r="V24" s="151">
        <f>'6-6-24 vs Brentwood Academy'!W8</f>
        <v>2</v>
      </c>
      <c r="W24" s="151">
        <f>'6-6-24 vs Brentwood Academy'!X8</f>
        <v>0</v>
      </c>
      <c r="X24" s="151">
        <f>'6-6-24 vs Brentwood Academy'!Y8</f>
        <v>1</v>
      </c>
      <c r="Y24" s="151">
        <f>'6-6-24 vs Brentwood Academy'!Z8</f>
        <v>2</v>
      </c>
      <c r="Z24" s="151">
        <f>'6-6-24 vs Brentwood Academy'!AA8</f>
        <v>13.5</v>
      </c>
      <c r="AA24" t="s">
        <v>127</v>
      </c>
    </row>
    <row r="25" spans="1:27" x14ac:dyDescent="0.55000000000000004">
      <c r="A25" s="155">
        <f>'6-6-24 vs Brentwood Academy'!B9</f>
        <v>10</v>
      </c>
      <c r="B25" s="151" t="str">
        <f>'6-6-24 vs Brentwood Academy'!C9</f>
        <v>Mason</v>
      </c>
      <c r="C25" s="151">
        <f>'6-6-24 vs Brentwood Academy'!D9</f>
        <v>2</v>
      </c>
      <c r="D25" s="151">
        <f>'6-6-24 vs Brentwood Academy'!E9</f>
        <v>3</v>
      </c>
      <c r="E25" s="151">
        <f>('6-6-24 vs Brentwood Academy'!F9)*100</f>
        <v>66.666666666666657</v>
      </c>
      <c r="F25" s="151">
        <f>'6-6-24 vs Brentwood Academy'!G9</f>
        <v>0</v>
      </c>
      <c r="G25" s="151">
        <f>'6-6-24 vs Brentwood Academy'!H9</f>
        <v>2</v>
      </c>
      <c r="H25" s="151">
        <f>('6-6-24 vs Brentwood Academy'!I9)*100</f>
        <v>0</v>
      </c>
      <c r="I25" s="151">
        <f>'6-6-24 vs Brentwood Academy'!J9</f>
        <v>2</v>
      </c>
      <c r="J25" s="151">
        <f>'6-6-24 vs Brentwood Academy'!K9</f>
        <v>2</v>
      </c>
      <c r="K25" s="151">
        <f>('6-6-24 vs Brentwood Academy'!L9)*100</f>
        <v>100</v>
      </c>
      <c r="L25" s="151">
        <f>'6-6-24 vs Brentwood Academy'!M9</f>
        <v>2</v>
      </c>
      <c r="M25" s="151">
        <f>'6-6-24 vs Brentwood Academy'!N9</f>
        <v>5</v>
      </c>
      <c r="N25" s="151">
        <f>('6-6-24 vs Brentwood Academy'!O9)*100</f>
        <v>40</v>
      </c>
      <c r="O25" s="151">
        <f>'6-6-24 vs Brentwood Academy'!P9</f>
        <v>6</v>
      </c>
      <c r="P25" s="151">
        <f>'6-6-24 vs Brentwood Academy'!Q9</f>
        <v>1</v>
      </c>
      <c r="Q25" s="151">
        <f>'6-6-24 vs Brentwood Academy'!R9</f>
        <v>3</v>
      </c>
      <c r="R25" s="151">
        <f>'6-6-24 vs Brentwood Academy'!S9</f>
        <v>4</v>
      </c>
      <c r="S25" s="151">
        <f>'6-6-24 vs Brentwood Academy'!T9</f>
        <v>0</v>
      </c>
      <c r="T25" s="151">
        <f>'6-6-24 vs Brentwood Academy'!U9</f>
        <v>0</v>
      </c>
      <c r="U25" s="151">
        <f>'6-6-24 vs Brentwood Academy'!V9</f>
        <v>0</v>
      </c>
      <c r="V25" s="151">
        <f>'6-6-24 vs Brentwood Academy'!W9</f>
        <v>1</v>
      </c>
      <c r="W25" s="151">
        <f>'6-6-24 vs Brentwood Academy'!X9</f>
        <v>0</v>
      </c>
      <c r="X25" s="151">
        <f>'6-6-24 vs Brentwood Academy'!Y9</f>
        <v>0</v>
      </c>
      <c r="Y25" s="151">
        <f>'6-6-24 vs Brentwood Academy'!Z9</f>
        <v>1</v>
      </c>
      <c r="Z25" s="151">
        <f>'6-6-24 vs Brentwood Academy'!AA9</f>
        <v>9</v>
      </c>
      <c r="AA25" t="s">
        <v>127</v>
      </c>
    </row>
    <row r="26" spans="1:27" x14ac:dyDescent="0.55000000000000004">
      <c r="A26" s="155">
        <f>'6-6-24 vs Brentwood Academy'!B10</f>
        <v>11</v>
      </c>
      <c r="B26" s="151" t="str">
        <f>'6-6-24 vs Brentwood Academy'!C10</f>
        <v>Pannell</v>
      </c>
      <c r="C26" s="151">
        <f>'6-6-24 vs Brentwood Academy'!D10</f>
        <v>1</v>
      </c>
      <c r="D26" s="151">
        <f>'6-6-24 vs Brentwood Academy'!E10</f>
        <v>1</v>
      </c>
      <c r="E26" s="151">
        <f>('6-6-24 vs Brentwood Academy'!F10)*100</f>
        <v>100</v>
      </c>
      <c r="F26" s="151">
        <f>'6-6-24 vs Brentwood Academy'!G10</f>
        <v>0</v>
      </c>
      <c r="G26" s="151">
        <f>'6-6-24 vs Brentwood Academy'!H10</f>
        <v>0</v>
      </c>
      <c r="H26" s="151">
        <f>('6-6-24 vs Brentwood Academy'!I10)*100</f>
        <v>0</v>
      </c>
      <c r="I26" s="151">
        <f>'6-6-24 vs Brentwood Academy'!J10</f>
        <v>0</v>
      </c>
      <c r="J26" s="151">
        <f>'6-6-24 vs Brentwood Academy'!K10</f>
        <v>1</v>
      </c>
      <c r="K26" s="151">
        <f>('6-6-24 vs Brentwood Academy'!L10)*100</f>
        <v>0</v>
      </c>
      <c r="L26" s="151">
        <f>'6-6-24 vs Brentwood Academy'!M10</f>
        <v>1</v>
      </c>
      <c r="M26" s="151">
        <f>'6-6-24 vs Brentwood Academy'!N10</f>
        <v>1</v>
      </c>
      <c r="N26" s="151">
        <f>('6-6-24 vs Brentwood Academy'!O10)*100</f>
        <v>100</v>
      </c>
      <c r="O26" s="151">
        <f>'6-6-24 vs Brentwood Academy'!P10</f>
        <v>2</v>
      </c>
      <c r="P26" s="151">
        <f>'6-6-24 vs Brentwood Academy'!Q10</f>
        <v>2</v>
      </c>
      <c r="Q26" s="151">
        <f>'6-6-24 vs Brentwood Academy'!R10</f>
        <v>1</v>
      </c>
      <c r="R26" s="151">
        <f>'6-6-24 vs Brentwood Academy'!S10</f>
        <v>3</v>
      </c>
      <c r="S26" s="151">
        <f>'6-6-24 vs Brentwood Academy'!T10</f>
        <v>2</v>
      </c>
      <c r="T26" s="151">
        <f>'6-6-24 vs Brentwood Academy'!U10</f>
        <v>1</v>
      </c>
      <c r="U26" s="151">
        <f>'6-6-24 vs Brentwood Academy'!V10</f>
        <v>1</v>
      </c>
      <c r="V26" s="151">
        <f>'6-6-24 vs Brentwood Academy'!W10</f>
        <v>1</v>
      </c>
      <c r="W26" s="151">
        <f>'6-6-24 vs Brentwood Academy'!X10</f>
        <v>0</v>
      </c>
      <c r="X26" s="151">
        <f>'6-6-24 vs Brentwood Academy'!Y10</f>
        <v>2</v>
      </c>
      <c r="Y26" s="151">
        <f>'6-6-24 vs Brentwood Academy'!Z10</f>
        <v>2</v>
      </c>
      <c r="Z26" s="151">
        <f>'6-6-24 vs Brentwood Academy'!AA10</f>
        <v>12.5</v>
      </c>
      <c r="AA26" t="s">
        <v>127</v>
      </c>
    </row>
    <row r="27" spans="1:27" x14ac:dyDescent="0.55000000000000004">
      <c r="A27" s="155">
        <f>'6-6-24 vs Brentwood Academy'!B11</f>
        <v>12</v>
      </c>
      <c r="B27" s="151" t="str">
        <f>'6-6-24 vs Brentwood Academy'!C11</f>
        <v>Chapman</v>
      </c>
      <c r="C27" s="151">
        <f>'6-6-24 vs Brentwood Academy'!D11</f>
        <v>0</v>
      </c>
      <c r="D27" s="151">
        <f>'6-6-24 vs Brentwood Academy'!E11</f>
        <v>0</v>
      </c>
      <c r="E27" s="151">
        <f>('6-6-24 vs Brentwood Academy'!F11)*100</f>
        <v>0</v>
      </c>
      <c r="F27" s="151">
        <f>'6-6-24 vs Brentwood Academy'!G11</f>
        <v>0</v>
      </c>
      <c r="G27" s="151">
        <f>'6-6-24 vs Brentwood Academy'!H11</f>
        <v>1</v>
      </c>
      <c r="H27" s="151">
        <f>('6-6-24 vs Brentwood Academy'!I11)*100</f>
        <v>0</v>
      </c>
      <c r="I27" s="151">
        <f>'6-6-24 vs Brentwood Academy'!J11</f>
        <v>0</v>
      </c>
      <c r="J27" s="151">
        <f>'6-6-24 vs Brentwood Academy'!K11</f>
        <v>0</v>
      </c>
      <c r="K27" s="151">
        <f>('6-6-24 vs Brentwood Academy'!L11)*100</f>
        <v>0</v>
      </c>
      <c r="L27" s="151">
        <f>'6-6-24 vs Brentwood Academy'!M11</f>
        <v>0</v>
      </c>
      <c r="M27" s="151">
        <f>'6-6-24 vs Brentwood Academy'!N11</f>
        <v>1</v>
      </c>
      <c r="N27" s="151">
        <f>('6-6-24 vs Brentwood Academy'!O11)*100</f>
        <v>0</v>
      </c>
      <c r="O27" s="151">
        <f>'6-6-24 vs Brentwood Academy'!P11</f>
        <v>0</v>
      </c>
      <c r="P27" s="151">
        <f>'6-6-24 vs Brentwood Academy'!Q11</f>
        <v>1</v>
      </c>
      <c r="Q27" s="151">
        <f>'6-6-24 vs Brentwood Academy'!R11</f>
        <v>0</v>
      </c>
      <c r="R27" s="151">
        <f>'6-6-24 vs Brentwood Academy'!S11</f>
        <v>1</v>
      </c>
      <c r="S27" s="151">
        <f>'6-6-24 vs Brentwood Academy'!T11</f>
        <v>0</v>
      </c>
      <c r="T27" s="151">
        <f>'6-6-24 vs Brentwood Academy'!U11</f>
        <v>0</v>
      </c>
      <c r="U27" s="151">
        <f>'6-6-24 vs Brentwood Academy'!V11</f>
        <v>0</v>
      </c>
      <c r="V27" s="151">
        <f>'6-6-24 vs Brentwood Academy'!W11</f>
        <v>1</v>
      </c>
      <c r="W27" s="151">
        <f>'6-6-24 vs Brentwood Academy'!X11</f>
        <v>0</v>
      </c>
      <c r="X27" s="151">
        <f>'6-6-24 vs Brentwood Academy'!Y11</f>
        <v>0</v>
      </c>
      <c r="Y27" s="151">
        <f>'6-6-24 vs Brentwood Academy'!Z11</f>
        <v>0</v>
      </c>
      <c r="Z27" s="151">
        <f>'6-6-24 vs Brentwood Academy'!AA11</f>
        <v>3.75</v>
      </c>
      <c r="AA27" t="s">
        <v>127</v>
      </c>
    </row>
    <row r="28" spans="1:27" x14ac:dyDescent="0.55000000000000004">
      <c r="A28" s="155">
        <f>'6-6-24 vs Brentwood Academy'!B12</f>
        <v>24</v>
      </c>
      <c r="B28" s="151" t="str">
        <f>'6-6-24 vs Brentwood Academy'!C12</f>
        <v>Carney</v>
      </c>
      <c r="C28" s="151">
        <f>'6-6-24 vs Brentwood Academy'!D12</f>
        <v>1</v>
      </c>
      <c r="D28" s="151">
        <f>'6-6-24 vs Brentwood Academy'!E12</f>
        <v>1</v>
      </c>
      <c r="E28" s="151">
        <f>('6-6-24 vs Brentwood Academy'!F12)*100</f>
        <v>100</v>
      </c>
      <c r="F28" s="151">
        <f>'6-6-24 vs Brentwood Academy'!G12</f>
        <v>0</v>
      </c>
      <c r="G28" s="151">
        <f>'6-6-24 vs Brentwood Academy'!H12</f>
        <v>0</v>
      </c>
      <c r="H28" s="151">
        <f>('6-6-24 vs Brentwood Academy'!I12)*100</f>
        <v>0</v>
      </c>
      <c r="I28" s="151">
        <f>'6-6-24 vs Brentwood Academy'!J12</f>
        <v>2</v>
      </c>
      <c r="J28" s="151">
        <f>'6-6-24 vs Brentwood Academy'!K12</f>
        <v>2</v>
      </c>
      <c r="K28" s="151">
        <f>('6-6-24 vs Brentwood Academy'!L12)*100</f>
        <v>100</v>
      </c>
      <c r="L28" s="151">
        <f>'6-6-24 vs Brentwood Academy'!M12</f>
        <v>1</v>
      </c>
      <c r="M28" s="151">
        <f>'6-6-24 vs Brentwood Academy'!N12</f>
        <v>1</v>
      </c>
      <c r="N28" s="151">
        <f>('6-6-24 vs Brentwood Academy'!O12)*100</f>
        <v>100</v>
      </c>
      <c r="O28" s="151">
        <f>'6-6-24 vs Brentwood Academy'!P12</f>
        <v>4</v>
      </c>
      <c r="P28" s="151">
        <f>'6-6-24 vs Brentwood Academy'!Q12</f>
        <v>0</v>
      </c>
      <c r="Q28" s="151">
        <f>'6-6-24 vs Brentwood Academy'!R12</f>
        <v>0</v>
      </c>
      <c r="R28" s="151">
        <f>'6-6-24 vs Brentwood Academy'!S12</f>
        <v>0</v>
      </c>
      <c r="S28" s="151">
        <f>'6-6-24 vs Brentwood Academy'!T12</f>
        <v>1</v>
      </c>
      <c r="T28" s="151">
        <f>'6-6-24 vs Brentwood Academy'!U12</f>
        <v>1</v>
      </c>
      <c r="U28" s="151">
        <f>'6-6-24 vs Brentwood Academy'!V12</f>
        <v>0</v>
      </c>
      <c r="V28" s="151">
        <f>'6-6-24 vs Brentwood Academy'!W12</f>
        <v>1</v>
      </c>
      <c r="W28" s="151">
        <f>'6-6-24 vs Brentwood Academy'!X12</f>
        <v>0</v>
      </c>
      <c r="X28" s="151">
        <f>'6-6-24 vs Brentwood Academy'!Y12</f>
        <v>0</v>
      </c>
      <c r="Y28" s="151">
        <f>'6-6-24 vs Brentwood Academy'!Z12</f>
        <v>0</v>
      </c>
      <c r="Z28" s="151">
        <f>'6-6-24 vs Brentwood Academy'!AA12</f>
        <v>8.6</v>
      </c>
      <c r="AA28" t="s">
        <v>127</v>
      </c>
    </row>
    <row r="29" spans="1:27" x14ac:dyDescent="0.55000000000000004">
      <c r="A29" s="155">
        <f>'6-6-24 vs Brentwood Academy'!B13</f>
        <v>30</v>
      </c>
      <c r="B29" s="151" t="str">
        <f>'6-6-24 vs Brentwood Academy'!C13</f>
        <v>Bowman</v>
      </c>
      <c r="C29" s="151">
        <f>'6-6-24 vs Brentwood Academy'!D13</f>
        <v>4</v>
      </c>
      <c r="D29" s="151">
        <f>'6-6-24 vs Brentwood Academy'!E13</f>
        <v>6</v>
      </c>
      <c r="E29" s="151">
        <f>('6-6-24 vs Brentwood Academy'!F13)*100</f>
        <v>66.666666666666657</v>
      </c>
      <c r="F29" s="151">
        <f>'6-6-24 vs Brentwood Academy'!G13</f>
        <v>0</v>
      </c>
      <c r="G29" s="151">
        <f>'6-6-24 vs Brentwood Academy'!H13</f>
        <v>3</v>
      </c>
      <c r="H29" s="151">
        <f>('6-6-24 vs Brentwood Academy'!I13)*100</f>
        <v>0</v>
      </c>
      <c r="I29" s="151">
        <f>'6-6-24 vs Brentwood Academy'!J13</f>
        <v>0</v>
      </c>
      <c r="J29" s="151">
        <f>'6-6-24 vs Brentwood Academy'!K13</f>
        <v>1</v>
      </c>
      <c r="K29" s="151">
        <f>('6-6-24 vs Brentwood Academy'!L13)*100</f>
        <v>0</v>
      </c>
      <c r="L29" s="151">
        <f>'6-6-24 vs Brentwood Academy'!M13</f>
        <v>4</v>
      </c>
      <c r="M29" s="151">
        <f>'6-6-24 vs Brentwood Academy'!N13</f>
        <v>9</v>
      </c>
      <c r="N29" s="151">
        <f>('6-6-24 vs Brentwood Academy'!O13)*100</f>
        <v>44.444444444444443</v>
      </c>
      <c r="O29" s="151">
        <f>'6-6-24 vs Brentwood Academy'!P13</f>
        <v>8</v>
      </c>
      <c r="P29" s="151">
        <f>'6-6-24 vs Brentwood Academy'!Q13</f>
        <v>3</v>
      </c>
      <c r="Q29" s="151">
        <f>'6-6-24 vs Brentwood Academy'!R13</f>
        <v>2</v>
      </c>
      <c r="R29" s="151">
        <f>'6-6-24 vs Brentwood Academy'!S13</f>
        <v>5</v>
      </c>
      <c r="S29" s="151">
        <f>'6-6-24 vs Brentwood Academy'!T13</f>
        <v>1</v>
      </c>
      <c r="T29" s="151">
        <f>'6-6-24 vs Brentwood Academy'!U13</f>
        <v>0</v>
      </c>
      <c r="U29" s="151">
        <f>'6-6-24 vs Brentwood Academy'!V13</f>
        <v>0</v>
      </c>
      <c r="V29" s="151">
        <f>'6-6-24 vs Brentwood Academy'!W13</f>
        <v>1</v>
      </c>
      <c r="W29" s="151">
        <f>'6-6-24 vs Brentwood Academy'!X13</f>
        <v>0</v>
      </c>
      <c r="X29" s="151">
        <f>'6-6-24 vs Brentwood Academy'!Y13</f>
        <v>0</v>
      </c>
      <c r="Y29" s="151">
        <f>'6-6-24 vs Brentwood Academy'!Z13</f>
        <v>0</v>
      </c>
      <c r="Z29" s="151">
        <f>'6-6-24 vs Brentwood Academy'!AA13</f>
        <v>17.2</v>
      </c>
      <c r="AA29" t="s">
        <v>127</v>
      </c>
    </row>
    <row r="30" spans="1:27" x14ac:dyDescent="0.55000000000000004">
      <c r="A30" s="155">
        <f>'6-6-24 vs Brentwood Academy'!B14</f>
        <v>32</v>
      </c>
      <c r="B30" s="151" t="str">
        <f>'6-6-24 vs Brentwood Academy'!C14</f>
        <v>Turner</v>
      </c>
      <c r="C30" s="151">
        <f>'6-6-24 vs Brentwood Academy'!D14</f>
        <v>0</v>
      </c>
      <c r="D30" s="151">
        <f>'6-6-24 vs Brentwood Academy'!E14</f>
        <v>0</v>
      </c>
      <c r="E30" s="151">
        <f>('6-6-24 vs Brentwood Academy'!F14)*100</f>
        <v>0</v>
      </c>
      <c r="F30" s="151">
        <f>'6-6-24 vs Brentwood Academy'!G14</f>
        <v>0</v>
      </c>
      <c r="G30" s="151">
        <f>'6-6-24 vs Brentwood Academy'!H14</f>
        <v>0</v>
      </c>
      <c r="H30" s="151">
        <f>('6-6-24 vs Brentwood Academy'!I14)*100</f>
        <v>0</v>
      </c>
      <c r="I30" s="151">
        <f>'6-6-24 vs Brentwood Academy'!J14</f>
        <v>0</v>
      </c>
      <c r="J30" s="151">
        <f>'6-6-24 vs Brentwood Academy'!K14</f>
        <v>0</v>
      </c>
      <c r="K30" s="151">
        <f>('6-6-24 vs Brentwood Academy'!L14)*100</f>
        <v>0</v>
      </c>
      <c r="L30" s="151">
        <f>'6-6-24 vs Brentwood Academy'!M14</f>
        <v>0</v>
      </c>
      <c r="M30" s="151">
        <f>'6-6-24 vs Brentwood Academy'!N14</f>
        <v>0</v>
      </c>
      <c r="N30" s="151">
        <f>('6-6-24 vs Brentwood Academy'!O14)*100</f>
        <v>0</v>
      </c>
      <c r="O30" s="151">
        <f>'6-6-24 vs Brentwood Academy'!P14</f>
        <v>0</v>
      </c>
      <c r="P30" s="151">
        <f>'6-6-24 vs Brentwood Academy'!Q14</f>
        <v>1</v>
      </c>
      <c r="Q30" s="151">
        <f>'6-6-24 vs Brentwood Academy'!R14</f>
        <v>0</v>
      </c>
      <c r="R30" s="151">
        <f>'6-6-24 vs Brentwood Academy'!S14</f>
        <v>1</v>
      </c>
      <c r="S30" s="151">
        <f>'6-6-24 vs Brentwood Academy'!T14</f>
        <v>0</v>
      </c>
      <c r="T30" s="151">
        <f>'6-6-24 vs Brentwood Academy'!U14</f>
        <v>0</v>
      </c>
      <c r="U30" s="151">
        <f>'6-6-24 vs Brentwood Academy'!V14</f>
        <v>0</v>
      </c>
      <c r="V30" s="151">
        <f>'6-6-24 vs Brentwood Academy'!W14</f>
        <v>0</v>
      </c>
      <c r="W30" s="151">
        <f>'6-6-24 vs Brentwood Academy'!X14</f>
        <v>0</v>
      </c>
      <c r="X30" s="151">
        <f>'6-6-24 vs Brentwood Academy'!Y14</f>
        <v>0</v>
      </c>
      <c r="Y30" s="151">
        <f>'6-6-24 vs Brentwood Academy'!Z14</f>
        <v>2</v>
      </c>
      <c r="Z30" s="151">
        <f>'6-6-24 vs Brentwood Academy'!AA14</f>
        <v>3.75</v>
      </c>
      <c r="AA30" t="s">
        <v>127</v>
      </c>
    </row>
    <row r="31" spans="1:27" x14ac:dyDescent="0.55000000000000004">
      <c r="A31" s="155">
        <f>'6-6-24 vs Brentwood Academy'!B15</f>
        <v>33</v>
      </c>
      <c r="B31" s="151" t="str">
        <f>'6-6-24 vs Brentwood Academy'!C15</f>
        <v>Bellomy</v>
      </c>
      <c r="C31" s="151">
        <f>'6-6-24 vs Brentwood Academy'!D15</f>
        <v>0</v>
      </c>
      <c r="D31" s="151">
        <f>'6-6-24 vs Brentwood Academy'!E15</f>
        <v>1</v>
      </c>
      <c r="E31" s="151">
        <f>('6-6-24 vs Brentwood Academy'!F15)*100</f>
        <v>0</v>
      </c>
      <c r="F31" s="151">
        <f>'6-6-24 vs Brentwood Academy'!G15</f>
        <v>0</v>
      </c>
      <c r="G31" s="151">
        <f>'6-6-24 vs Brentwood Academy'!H15</f>
        <v>1</v>
      </c>
      <c r="H31" s="151">
        <f>('6-6-24 vs Brentwood Academy'!I15)*100</f>
        <v>0</v>
      </c>
      <c r="I31" s="151">
        <f>'6-6-24 vs Brentwood Academy'!J15</f>
        <v>0</v>
      </c>
      <c r="J31" s="151">
        <f>'6-6-24 vs Brentwood Academy'!K15</f>
        <v>0</v>
      </c>
      <c r="K31" s="151">
        <f>('6-6-24 vs Brentwood Academy'!L15)*100</f>
        <v>0</v>
      </c>
      <c r="L31" s="151">
        <f>'6-6-24 vs Brentwood Academy'!M15</f>
        <v>0</v>
      </c>
      <c r="M31" s="151">
        <f>'6-6-24 vs Brentwood Academy'!N15</f>
        <v>2</v>
      </c>
      <c r="N31" s="151">
        <f>('6-6-24 vs Brentwood Academy'!O15)*100</f>
        <v>0</v>
      </c>
      <c r="O31" s="151">
        <f>'6-6-24 vs Brentwood Academy'!P15</f>
        <v>0</v>
      </c>
      <c r="P31" s="151">
        <f>'6-6-24 vs Brentwood Academy'!Q15</f>
        <v>1</v>
      </c>
      <c r="Q31" s="151">
        <f>'6-6-24 vs Brentwood Academy'!R15</f>
        <v>0</v>
      </c>
      <c r="R31" s="151">
        <f>'6-6-24 vs Brentwood Academy'!S15</f>
        <v>1</v>
      </c>
      <c r="S31" s="151">
        <f>'6-6-24 vs Brentwood Academy'!T15</f>
        <v>1</v>
      </c>
      <c r="T31" s="151">
        <f>'6-6-24 vs Brentwood Academy'!U15</f>
        <v>0</v>
      </c>
      <c r="U31" s="151">
        <f>'6-6-24 vs Brentwood Academy'!V15</f>
        <v>0</v>
      </c>
      <c r="V31" s="151">
        <f>'6-6-24 vs Brentwood Academy'!W15</f>
        <v>0</v>
      </c>
      <c r="W31" s="151">
        <f>'6-6-24 vs Brentwood Academy'!X15</f>
        <v>0</v>
      </c>
      <c r="X31" s="151">
        <f>'6-6-24 vs Brentwood Academy'!Y15</f>
        <v>2</v>
      </c>
      <c r="Y31" s="151">
        <f>'6-6-24 vs Brentwood Academy'!Z15</f>
        <v>0</v>
      </c>
      <c r="Z31" s="151">
        <f>'6-6-24 vs Brentwood Academy'!AA15</f>
        <v>6</v>
      </c>
      <c r="AA31" t="s">
        <v>127</v>
      </c>
    </row>
    <row r="32" spans="1:27" x14ac:dyDescent="0.55000000000000004">
      <c r="A32" s="155">
        <f>'6-6-24 vs Brentwood Academy'!B16</f>
        <v>34</v>
      </c>
      <c r="B32" s="151" t="str">
        <f>'6-6-24 vs Brentwood Academy'!C16</f>
        <v>Toms</v>
      </c>
      <c r="C32" s="151">
        <f>'6-6-24 vs Brentwood Academy'!D16</f>
        <v>1</v>
      </c>
      <c r="D32" s="151">
        <f>'6-6-24 vs Brentwood Academy'!E16</f>
        <v>2</v>
      </c>
      <c r="E32" s="151">
        <f>('6-6-24 vs Brentwood Academy'!F16)*100</f>
        <v>50</v>
      </c>
      <c r="F32" s="151">
        <f>'6-6-24 vs Brentwood Academy'!G16</f>
        <v>0</v>
      </c>
      <c r="G32" s="151">
        <f>'6-6-24 vs Brentwood Academy'!H16</f>
        <v>1</v>
      </c>
      <c r="H32" s="151">
        <f>('6-6-24 vs Brentwood Academy'!I16)*100</f>
        <v>0</v>
      </c>
      <c r="I32" s="151">
        <f>'6-6-24 vs Brentwood Academy'!J16</f>
        <v>0</v>
      </c>
      <c r="J32" s="151">
        <f>'6-6-24 vs Brentwood Academy'!K16</f>
        <v>1</v>
      </c>
      <c r="K32" s="151">
        <f>('6-6-24 vs Brentwood Academy'!L16)*100</f>
        <v>0</v>
      </c>
      <c r="L32" s="151">
        <f>'6-6-24 vs Brentwood Academy'!M16</f>
        <v>1</v>
      </c>
      <c r="M32" s="151">
        <f>'6-6-24 vs Brentwood Academy'!N16</f>
        <v>3</v>
      </c>
      <c r="N32" s="151">
        <f>('6-6-24 vs Brentwood Academy'!O16)*100</f>
        <v>33.333333333333329</v>
      </c>
      <c r="O32" s="151">
        <f>'6-6-24 vs Brentwood Academy'!P16</f>
        <v>2</v>
      </c>
      <c r="P32" s="151">
        <f>'6-6-24 vs Brentwood Academy'!Q16</f>
        <v>1</v>
      </c>
      <c r="Q32" s="151">
        <f>'6-6-24 vs Brentwood Academy'!R16</f>
        <v>1</v>
      </c>
      <c r="R32" s="151">
        <f>'6-6-24 vs Brentwood Academy'!S16</f>
        <v>2</v>
      </c>
      <c r="S32" s="151">
        <f>'6-6-24 vs Brentwood Academy'!T16</f>
        <v>0</v>
      </c>
      <c r="T32" s="151">
        <f>'6-6-24 vs Brentwood Academy'!U16</f>
        <v>1</v>
      </c>
      <c r="U32" s="151">
        <f>'6-6-24 vs Brentwood Academy'!V16</f>
        <v>0</v>
      </c>
      <c r="V32" s="151">
        <f>'6-6-24 vs Brentwood Academy'!W16</f>
        <v>0</v>
      </c>
      <c r="W32" s="151">
        <f>'6-6-24 vs Brentwood Academy'!X16</f>
        <v>0</v>
      </c>
      <c r="X32" s="151">
        <f>'6-6-24 vs Brentwood Academy'!Y16</f>
        <v>0</v>
      </c>
      <c r="Y32" s="151">
        <f>'6-6-24 vs Brentwood Academy'!Z16</f>
        <v>1</v>
      </c>
      <c r="Z32" s="151">
        <f>'6-6-24 vs Brentwood Academy'!AA16</f>
        <v>14</v>
      </c>
      <c r="AA32" t="s">
        <v>127</v>
      </c>
    </row>
    <row r="33" spans="1:27" x14ac:dyDescent="0.55000000000000004">
      <c r="A33" s="155">
        <f>'6-6-24 vs Brentwood Academy'!B17</f>
        <v>55</v>
      </c>
      <c r="B33" s="151" t="str">
        <f>'6-6-24 vs Brentwood Academy'!C17</f>
        <v>Baker</v>
      </c>
      <c r="C33" s="151">
        <f>'6-6-24 vs Brentwood Academy'!D17</f>
        <v>0</v>
      </c>
      <c r="D33" s="151">
        <f>'6-6-24 vs Brentwood Academy'!E17</f>
        <v>1</v>
      </c>
      <c r="E33" s="151">
        <f>('6-6-24 vs Brentwood Academy'!F17)*100</f>
        <v>0</v>
      </c>
      <c r="F33" s="151">
        <f>'6-6-24 vs Brentwood Academy'!G17</f>
        <v>0</v>
      </c>
      <c r="G33" s="151">
        <f>'6-6-24 vs Brentwood Academy'!H17</f>
        <v>0</v>
      </c>
      <c r="H33" s="151">
        <f>('6-6-24 vs Brentwood Academy'!I17)*100</f>
        <v>0</v>
      </c>
      <c r="I33" s="151">
        <f>'6-6-24 vs Brentwood Academy'!J17</f>
        <v>0</v>
      </c>
      <c r="J33" s="151">
        <f>'6-6-24 vs Brentwood Academy'!K17</f>
        <v>0</v>
      </c>
      <c r="K33" s="151">
        <f>('6-6-24 vs Brentwood Academy'!L17)*100</f>
        <v>0</v>
      </c>
      <c r="L33" s="151">
        <f>'6-6-24 vs Brentwood Academy'!M17</f>
        <v>0</v>
      </c>
      <c r="M33" s="151">
        <f>'6-6-24 vs Brentwood Academy'!N17</f>
        <v>1</v>
      </c>
      <c r="N33" s="151">
        <f>('6-6-24 vs Brentwood Academy'!O17)*100</f>
        <v>0</v>
      </c>
      <c r="O33" s="151">
        <f>'6-6-24 vs Brentwood Academy'!P17</f>
        <v>0</v>
      </c>
      <c r="P33" s="151">
        <f>'6-6-24 vs Brentwood Academy'!Q17</f>
        <v>0</v>
      </c>
      <c r="Q33" s="151">
        <f>'6-6-24 vs Brentwood Academy'!R17</f>
        <v>3</v>
      </c>
      <c r="R33" s="151">
        <f>'6-6-24 vs Brentwood Academy'!S17</f>
        <v>3</v>
      </c>
      <c r="S33" s="151">
        <f>'6-6-24 vs Brentwood Academy'!T17</f>
        <v>1</v>
      </c>
      <c r="T33" s="151">
        <f>'6-6-24 vs Brentwood Academy'!U17</f>
        <v>0</v>
      </c>
      <c r="U33" s="151">
        <f>'6-6-24 vs Brentwood Academy'!V17</f>
        <v>0</v>
      </c>
      <c r="V33" s="151">
        <f>'6-6-24 vs Brentwood Academy'!W17</f>
        <v>0</v>
      </c>
      <c r="W33" s="151">
        <f>'6-6-24 vs Brentwood Academy'!X17</f>
        <v>0</v>
      </c>
      <c r="X33" s="151">
        <f>'6-6-24 vs Brentwood Academy'!Y17</f>
        <v>1</v>
      </c>
      <c r="Y33" s="151">
        <f>'6-6-24 vs Brentwood Academy'!Z17</f>
        <v>0</v>
      </c>
      <c r="Z33" s="151">
        <f>'6-6-24 vs Brentwood Academy'!AA17</f>
        <v>6.7</v>
      </c>
      <c r="AA33" t="s">
        <v>127</v>
      </c>
    </row>
    <row r="34" spans="1:27" x14ac:dyDescent="0.55000000000000004">
      <c r="A34" s="155">
        <f>'6-6-24 vs Brentwood Academy'!B18</f>
        <v>99</v>
      </c>
      <c r="B34" s="151" t="str">
        <f>'6-6-24 vs Brentwood Academy'!C18</f>
        <v>Team</v>
      </c>
      <c r="C34" s="151">
        <f>'6-6-24 vs Brentwood Academy'!D18</f>
        <v>14</v>
      </c>
      <c r="D34" s="151">
        <f>'6-6-24 vs Brentwood Academy'!E18</f>
        <v>25</v>
      </c>
      <c r="E34" s="151">
        <f>('6-6-24 vs Brentwood Academy'!F18)*100</f>
        <v>56.000000000000007</v>
      </c>
      <c r="F34" s="151">
        <f>'6-6-24 vs Brentwood Academy'!G18</f>
        <v>6</v>
      </c>
      <c r="G34" s="151">
        <f>'6-6-24 vs Brentwood Academy'!H18</f>
        <v>23</v>
      </c>
      <c r="H34" s="151">
        <f>('6-6-24 vs Brentwood Academy'!I18)*100</f>
        <v>26.086956521739129</v>
      </c>
      <c r="I34" s="151">
        <f>'6-6-24 vs Brentwood Academy'!J18</f>
        <v>10</v>
      </c>
      <c r="J34" s="151">
        <f>'6-6-24 vs Brentwood Academy'!K18</f>
        <v>16</v>
      </c>
      <c r="K34" s="151">
        <f>('6-6-24 vs Brentwood Academy'!L18)*100</f>
        <v>62.5</v>
      </c>
      <c r="L34" s="151">
        <f>'6-6-24 vs Brentwood Academy'!M18</f>
        <v>20</v>
      </c>
      <c r="M34" s="151">
        <f>'6-6-24 vs Brentwood Academy'!N18</f>
        <v>48</v>
      </c>
      <c r="N34" s="151">
        <f>('6-6-24 vs Brentwood Academy'!O18)*100</f>
        <v>41.666666666666671</v>
      </c>
      <c r="O34" s="151">
        <f>'6-6-24 vs Brentwood Academy'!P18</f>
        <v>56</v>
      </c>
      <c r="P34" s="151">
        <f>'6-6-24 vs Brentwood Academy'!Q18</f>
        <v>15</v>
      </c>
      <c r="Q34" s="151">
        <f>'6-6-24 vs Brentwood Academy'!R18</f>
        <v>16</v>
      </c>
      <c r="R34" s="151">
        <f>'6-6-24 vs Brentwood Academy'!S18</f>
        <v>31</v>
      </c>
      <c r="S34" s="151">
        <f>'6-6-24 vs Brentwood Academy'!T18</f>
        <v>13</v>
      </c>
      <c r="T34" s="151">
        <f>'6-6-24 vs Brentwood Academy'!U18</f>
        <v>9</v>
      </c>
      <c r="U34" s="151">
        <f>'6-6-24 vs Brentwood Academy'!V18</f>
        <v>2</v>
      </c>
      <c r="V34" s="151">
        <f>'6-6-24 vs Brentwood Academy'!W18</f>
        <v>13</v>
      </c>
      <c r="W34" s="151">
        <f>'6-6-24 vs Brentwood Academy'!X18</f>
        <v>0</v>
      </c>
      <c r="X34" s="151">
        <f>'6-6-24 vs Brentwood Academy'!Y18</f>
        <v>9</v>
      </c>
      <c r="Y34" s="151">
        <f>'6-6-24 vs Brentwood Academy'!Z18</f>
        <v>10</v>
      </c>
      <c r="Z34" s="151">
        <f>'6-6-24 vs Brentwood Academy'!AA18</f>
        <v>159.99999999999997</v>
      </c>
      <c r="AA34" t="s">
        <v>127</v>
      </c>
    </row>
    <row r="35" spans="1:27" x14ac:dyDescent="0.55000000000000004">
      <c r="A35" s="155">
        <f>'6-7-24 vs Chrsistian Brothers'!B3</f>
        <v>0</v>
      </c>
      <c r="B35" s="151" t="str">
        <f>'6-7-24 vs Chrsistian Brothers'!C3</f>
        <v>Lewis</v>
      </c>
      <c r="C35" s="151">
        <f>'6-7-24 vs Chrsistian Brothers'!D3</f>
        <v>0</v>
      </c>
      <c r="D35" s="151">
        <f>'6-7-24 vs Chrsistian Brothers'!E3</f>
        <v>0</v>
      </c>
      <c r="E35" s="151">
        <f>('6-7-24 vs Chrsistian Brothers'!F3)*100</f>
        <v>0</v>
      </c>
      <c r="F35" s="151">
        <f>'6-7-24 vs Chrsistian Brothers'!G3</f>
        <v>0</v>
      </c>
      <c r="G35" s="151">
        <f>'6-7-24 vs Chrsistian Brothers'!H3</f>
        <v>0</v>
      </c>
      <c r="H35" s="151">
        <f>('6-7-24 vs Chrsistian Brothers'!I3)*100</f>
        <v>0</v>
      </c>
      <c r="I35" s="151">
        <f>'6-7-24 vs Chrsistian Brothers'!J3</f>
        <v>0</v>
      </c>
      <c r="J35" s="151">
        <f>'6-7-24 vs Chrsistian Brothers'!K3</f>
        <v>0</v>
      </c>
      <c r="K35" s="151">
        <f>('6-7-24 vs Chrsistian Brothers'!L3)*100</f>
        <v>0</v>
      </c>
      <c r="L35" s="151">
        <f>'6-7-24 vs Chrsistian Brothers'!M3</f>
        <v>0</v>
      </c>
      <c r="M35" s="151">
        <f>'6-7-24 vs Chrsistian Brothers'!N3</f>
        <v>0</v>
      </c>
      <c r="N35" s="151">
        <f>('6-7-24 vs Chrsistian Brothers'!O3)*100</f>
        <v>0</v>
      </c>
      <c r="O35" s="151">
        <f>'6-7-24 vs Chrsistian Brothers'!P3</f>
        <v>0</v>
      </c>
      <c r="P35" s="151">
        <f>'6-7-24 vs Chrsistian Brothers'!Q3</f>
        <v>0</v>
      </c>
      <c r="Q35" s="151">
        <f>'6-7-24 vs Chrsistian Brothers'!R3</f>
        <v>0</v>
      </c>
      <c r="R35" s="151">
        <f>'6-7-24 vs Chrsistian Brothers'!S3</f>
        <v>0</v>
      </c>
      <c r="S35" s="151">
        <f>'6-7-24 vs Chrsistian Brothers'!T3</f>
        <v>0</v>
      </c>
      <c r="T35" s="151">
        <f>'6-7-24 vs Chrsistian Brothers'!U3</f>
        <v>0</v>
      </c>
      <c r="U35" s="151">
        <f>'6-7-24 vs Chrsistian Brothers'!V3</f>
        <v>0</v>
      </c>
      <c r="V35" s="151">
        <f>'6-7-24 vs Chrsistian Brothers'!W3</f>
        <v>1</v>
      </c>
      <c r="W35" s="151">
        <f>'6-7-24 vs Chrsistian Brothers'!X3</f>
        <v>0</v>
      </c>
      <c r="X35" s="151">
        <f>'6-7-24 vs Chrsistian Brothers'!Y3</f>
        <v>0</v>
      </c>
      <c r="Y35" s="151">
        <f>'6-7-24 vs Chrsistian Brothers'!Z3</f>
        <v>0</v>
      </c>
      <c r="Z35" s="151">
        <f>'6-7-24 vs Chrsistian Brothers'!AA3</f>
        <v>5.33</v>
      </c>
      <c r="AA35" t="s">
        <v>133</v>
      </c>
    </row>
    <row r="36" spans="1:27" x14ac:dyDescent="0.55000000000000004">
      <c r="A36" s="155">
        <f>'6-7-24 vs Chrsistian Brothers'!B4</f>
        <v>1</v>
      </c>
      <c r="B36" s="151" t="str">
        <f>'6-7-24 vs Chrsistian Brothers'!C4</f>
        <v>Walker</v>
      </c>
      <c r="C36" s="151">
        <f>'6-7-24 vs Chrsistian Brothers'!D4</f>
        <v>3</v>
      </c>
      <c r="D36" s="151">
        <f>'6-7-24 vs Chrsistian Brothers'!E4</f>
        <v>7</v>
      </c>
      <c r="E36" s="151">
        <f>('6-7-24 vs Chrsistian Brothers'!F4)*100</f>
        <v>42.857142857142854</v>
      </c>
      <c r="F36" s="151">
        <f>'6-7-24 vs Chrsistian Brothers'!G4</f>
        <v>1</v>
      </c>
      <c r="G36" s="151">
        <f>'6-7-24 vs Chrsistian Brothers'!H4</f>
        <v>2</v>
      </c>
      <c r="H36" s="151">
        <f>('6-7-24 vs Chrsistian Brothers'!I4)*100</f>
        <v>50</v>
      </c>
      <c r="I36" s="151">
        <f>'6-7-24 vs Chrsistian Brothers'!J4</f>
        <v>2</v>
      </c>
      <c r="J36" s="151">
        <f>'6-7-24 vs Chrsistian Brothers'!K4</f>
        <v>2</v>
      </c>
      <c r="K36" s="151">
        <f>('6-7-24 vs Chrsistian Brothers'!L4)*100</f>
        <v>100</v>
      </c>
      <c r="L36" s="151">
        <f>'6-7-24 vs Chrsistian Brothers'!M4</f>
        <v>4</v>
      </c>
      <c r="M36" s="151">
        <f>'6-7-24 vs Chrsistian Brothers'!N4</f>
        <v>9</v>
      </c>
      <c r="N36" s="151">
        <f>('6-7-24 vs Chrsistian Brothers'!O4)*100</f>
        <v>44.444444444444443</v>
      </c>
      <c r="O36" s="151">
        <f>'6-7-24 vs Chrsistian Brothers'!P4</f>
        <v>11</v>
      </c>
      <c r="P36" s="151">
        <f>'6-7-24 vs Chrsistian Brothers'!Q4</f>
        <v>1</v>
      </c>
      <c r="Q36" s="151">
        <f>'6-7-24 vs Chrsistian Brothers'!R4</f>
        <v>3</v>
      </c>
      <c r="R36" s="151">
        <f>'6-7-24 vs Chrsistian Brothers'!S4</f>
        <v>4</v>
      </c>
      <c r="S36" s="151">
        <f>'6-7-24 vs Chrsistian Brothers'!T4</f>
        <v>4</v>
      </c>
      <c r="T36" s="151">
        <f>'6-7-24 vs Chrsistian Brothers'!U4</f>
        <v>3</v>
      </c>
      <c r="U36" s="151">
        <f>'6-7-24 vs Chrsistian Brothers'!V4</f>
        <v>0</v>
      </c>
      <c r="V36" s="151">
        <f>'6-7-24 vs Chrsistian Brothers'!W4</f>
        <v>0</v>
      </c>
      <c r="W36" s="151">
        <f>'6-7-24 vs Chrsistian Brothers'!X4</f>
        <v>0</v>
      </c>
      <c r="X36" s="151">
        <f>'6-7-24 vs Chrsistian Brothers'!Y4</f>
        <v>1</v>
      </c>
      <c r="Y36" s="151">
        <f>'6-7-24 vs Chrsistian Brothers'!Z4</f>
        <v>1</v>
      </c>
      <c r="Z36" s="151">
        <f>'6-7-24 vs Chrsistian Brothers'!AA4</f>
        <v>23</v>
      </c>
      <c r="AA36" t="s">
        <v>133</v>
      </c>
    </row>
    <row r="37" spans="1:27" x14ac:dyDescent="0.55000000000000004">
      <c r="A37" s="155">
        <f>'6-7-24 vs Chrsistian Brothers'!B5</f>
        <v>2</v>
      </c>
      <c r="B37" s="151" t="str">
        <f>'6-7-24 vs Chrsistian Brothers'!C5</f>
        <v>Rivers</v>
      </c>
      <c r="C37" s="151">
        <f>'6-7-24 vs Chrsistian Brothers'!D5</f>
        <v>2</v>
      </c>
      <c r="D37" s="151">
        <f>'6-7-24 vs Chrsistian Brothers'!E5</f>
        <v>4</v>
      </c>
      <c r="E37" s="151">
        <f>('6-7-24 vs Chrsistian Brothers'!F5)*100</f>
        <v>50</v>
      </c>
      <c r="F37" s="151">
        <f>'6-7-24 vs Chrsistian Brothers'!G5</f>
        <v>1</v>
      </c>
      <c r="G37" s="151">
        <f>'6-7-24 vs Chrsistian Brothers'!H5</f>
        <v>3</v>
      </c>
      <c r="H37" s="151">
        <f>('6-7-24 vs Chrsistian Brothers'!I5)*100</f>
        <v>33.333333333333329</v>
      </c>
      <c r="I37" s="151">
        <f>'6-7-24 vs Chrsistian Brothers'!J5</f>
        <v>0</v>
      </c>
      <c r="J37" s="151">
        <f>'6-7-24 vs Chrsistian Brothers'!K5</f>
        <v>0</v>
      </c>
      <c r="K37" s="151">
        <f>('6-7-24 vs Chrsistian Brothers'!L5)*100</f>
        <v>0</v>
      </c>
      <c r="L37" s="151">
        <f>'6-7-24 vs Chrsistian Brothers'!M5</f>
        <v>3</v>
      </c>
      <c r="M37" s="151">
        <f>'6-7-24 vs Chrsistian Brothers'!N5</f>
        <v>7</v>
      </c>
      <c r="N37" s="151">
        <f>('6-7-24 vs Chrsistian Brothers'!O5)*100</f>
        <v>42.857142857142854</v>
      </c>
      <c r="O37" s="151">
        <f>'6-7-24 vs Chrsistian Brothers'!P5</f>
        <v>7</v>
      </c>
      <c r="P37" s="151">
        <f>'6-7-24 vs Chrsistian Brothers'!Q5</f>
        <v>0</v>
      </c>
      <c r="Q37" s="151">
        <f>'6-7-24 vs Chrsistian Brothers'!R5</f>
        <v>4</v>
      </c>
      <c r="R37" s="151">
        <f>'6-7-24 vs Chrsistian Brothers'!S5</f>
        <v>4</v>
      </c>
      <c r="S37" s="151">
        <f>'6-7-24 vs Chrsistian Brothers'!T5</f>
        <v>2</v>
      </c>
      <c r="T37" s="151">
        <f>'6-7-24 vs Chrsistian Brothers'!U5</f>
        <v>0</v>
      </c>
      <c r="U37" s="151">
        <f>'6-7-24 vs Chrsistian Brothers'!V5</f>
        <v>0</v>
      </c>
      <c r="V37" s="151">
        <f>'6-7-24 vs Chrsistian Brothers'!W5</f>
        <v>1</v>
      </c>
      <c r="W37" s="151">
        <f>'6-7-24 vs Chrsistian Brothers'!X5</f>
        <v>0</v>
      </c>
      <c r="X37" s="151">
        <f>'6-7-24 vs Chrsistian Brothers'!Y5</f>
        <v>1</v>
      </c>
      <c r="Y37" s="151">
        <f>'6-7-24 vs Chrsistian Brothers'!Z5</f>
        <v>2</v>
      </c>
      <c r="Z37" s="151">
        <f>'6-7-24 vs Chrsistian Brothers'!AA5</f>
        <v>16.5</v>
      </c>
      <c r="AA37" t="s">
        <v>133</v>
      </c>
    </row>
    <row r="38" spans="1:27" x14ac:dyDescent="0.55000000000000004">
      <c r="A38" s="155">
        <f>'6-7-24 vs Chrsistian Brothers'!B6</f>
        <v>3</v>
      </c>
      <c r="B38" s="151" t="str">
        <f>'6-7-24 vs Chrsistian Brothers'!C6</f>
        <v>Gossett</v>
      </c>
      <c r="C38" s="151">
        <f>'6-7-24 vs Chrsistian Brothers'!D6</f>
        <v>1</v>
      </c>
      <c r="D38" s="151">
        <f>'6-7-24 vs Chrsistian Brothers'!E6</f>
        <v>1</v>
      </c>
      <c r="E38" s="151">
        <f>('6-7-24 vs Chrsistian Brothers'!F6)*100</f>
        <v>100</v>
      </c>
      <c r="F38" s="151">
        <f>'6-7-24 vs Chrsistian Brothers'!G6</f>
        <v>1</v>
      </c>
      <c r="G38" s="151">
        <f>'6-7-24 vs Chrsistian Brothers'!H6</f>
        <v>2</v>
      </c>
      <c r="H38" s="151">
        <f>('6-7-24 vs Chrsistian Brothers'!I6)*100</f>
        <v>50</v>
      </c>
      <c r="I38" s="151">
        <f>'6-7-24 vs Chrsistian Brothers'!J6</f>
        <v>0</v>
      </c>
      <c r="J38" s="151">
        <f>'6-7-24 vs Chrsistian Brothers'!K6</f>
        <v>0</v>
      </c>
      <c r="K38" s="151">
        <f>('6-7-24 vs Chrsistian Brothers'!L6)*100</f>
        <v>0</v>
      </c>
      <c r="L38" s="151">
        <f>'6-7-24 vs Chrsistian Brothers'!M6</f>
        <v>2</v>
      </c>
      <c r="M38" s="151">
        <f>'6-7-24 vs Chrsistian Brothers'!N6</f>
        <v>3</v>
      </c>
      <c r="N38" s="151">
        <f>('6-7-24 vs Chrsistian Brothers'!O6)*100</f>
        <v>66.666666666666657</v>
      </c>
      <c r="O38" s="151">
        <f>'6-7-24 vs Chrsistian Brothers'!P6</f>
        <v>5</v>
      </c>
      <c r="P38" s="151">
        <f>'6-7-24 vs Chrsistian Brothers'!Q6</f>
        <v>0</v>
      </c>
      <c r="Q38" s="151">
        <f>'6-7-24 vs Chrsistian Brothers'!R6</f>
        <v>1</v>
      </c>
      <c r="R38" s="151">
        <f>'6-7-24 vs Chrsistian Brothers'!S6</f>
        <v>1</v>
      </c>
      <c r="S38" s="151">
        <f>'6-7-24 vs Chrsistian Brothers'!T6</f>
        <v>0</v>
      </c>
      <c r="T38" s="151">
        <f>'6-7-24 vs Chrsistian Brothers'!U6</f>
        <v>1</v>
      </c>
      <c r="U38" s="151">
        <f>'6-7-24 vs Chrsistian Brothers'!V6</f>
        <v>0</v>
      </c>
      <c r="V38" s="151">
        <f>'6-7-24 vs Chrsistian Brothers'!W6</f>
        <v>0</v>
      </c>
      <c r="W38" s="151">
        <f>'6-7-24 vs Chrsistian Brothers'!X6</f>
        <v>0</v>
      </c>
      <c r="X38" s="151">
        <f>'6-7-24 vs Chrsistian Brothers'!Y6</f>
        <v>1</v>
      </c>
      <c r="Y38" s="151">
        <f>'6-7-24 vs Chrsistian Brothers'!Z6</f>
        <v>2</v>
      </c>
      <c r="Z38" s="151">
        <f>'6-7-24 vs Chrsistian Brothers'!AA6</f>
        <v>8.15</v>
      </c>
      <c r="AA38" t="s">
        <v>133</v>
      </c>
    </row>
    <row r="39" spans="1:27" x14ac:dyDescent="0.55000000000000004">
      <c r="A39" s="155">
        <f>'6-7-24 vs Chrsistian Brothers'!B7</f>
        <v>4</v>
      </c>
      <c r="B39" s="151" t="str">
        <f>'6-7-24 vs Chrsistian Brothers'!C7</f>
        <v>Stapler</v>
      </c>
      <c r="C39" s="151">
        <f>'6-7-24 vs Chrsistian Brothers'!D7</f>
        <v>0</v>
      </c>
      <c r="D39" s="151">
        <f>'6-7-24 vs Chrsistian Brothers'!E7</f>
        <v>2</v>
      </c>
      <c r="E39" s="151">
        <f>('6-7-24 vs Chrsistian Brothers'!F7)*100</f>
        <v>0</v>
      </c>
      <c r="F39" s="151">
        <f>'6-7-24 vs Chrsistian Brothers'!G7</f>
        <v>0</v>
      </c>
      <c r="G39" s="151">
        <f>'6-7-24 vs Chrsistian Brothers'!H7</f>
        <v>2</v>
      </c>
      <c r="H39" s="151">
        <f>('6-7-24 vs Chrsistian Brothers'!I7)*100</f>
        <v>0</v>
      </c>
      <c r="I39" s="151">
        <f>'6-7-24 vs Chrsistian Brothers'!J7</f>
        <v>0</v>
      </c>
      <c r="J39" s="151">
        <f>'6-7-24 vs Chrsistian Brothers'!K7</f>
        <v>0</v>
      </c>
      <c r="K39" s="151">
        <f>('6-7-24 vs Chrsistian Brothers'!L7)*100</f>
        <v>0</v>
      </c>
      <c r="L39" s="151">
        <f>'6-7-24 vs Chrsistian Brothers'!M7</f>
        <v>0</v>
      </c>
      <c r="M39" s="151">
        <f>'6-7-24 vs Chrsistian Brothers'!N7</f>
        <v>4</v>
      </c>
      <c r="N39" s="151">
        <f>('6-7-24 vs Chrsistian Brothers'!O7)*100</f>
        <v>0</v>
      </c>
      <c r="O39" s="151">
        <f>'6-7-24 vs Chrsistian Brothers'!P7</f>
        <v>0</v>
      </c>
      <c r="P39" s="151">
        <f>'6-7-24 vs Chrsistian Brothers'!Q7</f>
        <v>0</v>
      </c>
      <c r="Q39" s="151">
        <f>'6-7-24 vs Chrsistian Brothers'!R7</f>
        <v>3</v>
      </c>
      <c r="R39" s="151">
        <f>'6-7-24 vs Chrsistian Brothers'!S7</f>
        <v>3</v>
      </c>
      <c r="S39" s="151">
        <f>'6-7-24 vs Chrsistian Brothers'!T7</f>
        <v>5</v>
      </c>
      <c r="T39" s="151">
        <f>'6-7-24 vs Chrsistian Brothers'!U7</f>
        <v>3</v>
      </c>
      <c r="U39" s="151">
        <f>'6-7-24 vs Chrsistian Brothers'!V7</f>
        <v>0</v>
      </c>
      <c r="V39" s="151">
        <f>'6-7-24 vs Chrsistian Brothers'!W7</f>
        <v>0</v>
      </c>
      <c r="W39" s="151">
        <f>'6-7-24 vs Chrsistian Brothers'!X7</f>
        <v>0</v>
      </c>
      <c r="X39" s="151">
        <f>'6-7-24 vs Chrsistian Brothers'!Y7</f>
        <v>0</v>
      </c>
      <c r="Y39" s="151">
        <f>'6-7-24 vs Chrsistian Brothers'!Z7</f>
        <v>2</v>
      </c>
      <c r="Z39" s="151">
        <f>'6-7-24 vs Chrsistian Brothers'!AA7</f>
        <v>22</v>
      </c>
      <c r="AA39" t="s">
        <v>133</v>
      </c>
    </row>
    <row r="40" spans="1:27" x14ac:dyDescent="0.55000000000000004">
      <c r="A40" s="155">
        <f>'6-7-24 vs Chrsistian Brothers'!B8</f>
        <v>5</v>
      </c>
      <c r="B40" s="151" t="str">
        <f>'6-7-24 vs Chrsistian Brothers'!C8</f>
        <v>JD</v>
      </c>
      <c r="C40" s="151">
        <f>'6-7-24 vs Chrsistian Brothers'!D8</f>
        <v>8</v>
      </c>
      <c r="D40" s="151">
        <f>'6-7-24 vs Chrsistian Brothers'!E8</f>
        <v>9</v>
      </c>
      <c r="E40" s="151">
        <f>('6-7-24 vs Chrsistian Brothers'!F8)*100</f>
        <v>88.888888888888886</v>
      </c>
      <c r="F40" s="151">
        <f>'6-7-24 vs Chrsistian Brothers'!G8</f>
        <v>0</v>
      </c>
      <c r="G40" s="151">
        <f>'6-7-24 vs Chrsistian Brothers'!H8</f>
        <v>1</v>
      </c>
      <c r="H40" s="151">
        <f>('6-7-24 vs Chrsistian Brothers'!I8)*100</f>
        <v>0</v>
      </c>
      <c r="I40" s="151">
        <f>'6-7-24 vs Chrsistian Brothers'!J8</f>
        <v>0</v>
      </c>
      <c r="J40" s="151">
        <f>'6-7-24 vs Chrsistian Brothers'!K8</f>
        <v>0</v>
      </c>
      <c r="K40" s="151">
        <f>('6-7-24 vs Chrsistian Brothers'!L8)*100</f>
        <v>0</v>
      </c>
      <c r="L40" s="151">
        <f>'6-7-24 vs Chrsistian Brothers'!M8</f>
        <v>8</v>
      </c>
      <c r="M40" s="151">
        <f>'6-7-24 vs Chrsistian Brothers'!N8</f>
        <v>10</v>
      </c>
      <c r="N40" s="151">
        <f>('6-7-24 vs Chrsistian Brothers'!O8)*100</f>
        <v>80</v>
      </c>
      <c r="O40" s="151">
        <f>'6-7-24 vs Chrsistian Brothers'!P8</f>
        <v>16</v>
      </c>
      <c r="P40" s="151">
        <f>'6-7-24 vs Chrsistian Brothers'!Q8</f>
        <v>5</v>
      </c>
      <c r="Q40" s="151">
        <f>'6-7-24 vs Chrsistian Brothers'!R8</f>
        <v>6</v>
      </c>
      <c r="R40" s="151">
        <f>'6-7-24 vs Chrsistian Brothers'!S8</f>
        <v>11</v>
      </c>
      <c r="S40" s="151">
        <f>'6-7-24 vs Chrsistian Brothers'!T8</f>
        <v>2</v>
      </c>
      <c r="T40" s="151">
        <f>'6-7-24 vs Chrsistian Brothers'!U8</f>
        <v>6</v>
      </c>
      <c r="U40" s="151">
        <f>'6-7-24 vs Chrsistian Brothers'!V8</f>
        <v>0</v>
      </c>
      <c r="V40" s="151">
        <f>'6-7-24 vs Chrsistian Brothers'!W8</f>
        <v>3</v>
      </c>
      <c r="W40" s="151">
        <f>'6-7-24 vs Chrsistian Brothers'!X8</f>
        <v>0</v>
      </c>
      <c r="X40" s="151">
        <f>'6-7-24 vs Chrsistian Brothers'!Y8</f>
        <v>0</v>
      </c>
      <c r="Y40" s="151">
        <f>'6-7-24 vs Chrsistian Brothers'!Z8</f>
        <v>3</v>
      </c>
      <c r="Z40" s="151">
        <f>'6-7-24 vs Chrsistian Brothers'!AA8</f>
        <v>21.33</v>
      </c>
      <c r="AA40" t="s">
        <v>133</v>
      </c>
    </row>
    <row r="41" spans="1:27" x14ac:dyDescent="0.55000000000000004">
      <c r="A41" s="155">
        <f>'6-7-24 vs Chrsistian Brothers'!B9</f>
        <v>10</v>
      </c>
      <c r="B41" s="151" t="str">
        <f>'6-7-24 vs Chrsistian Brothers'!C9</f>
        <v>Mason</v>
      </c>
      <c r="C41" s="151">
        <f>'6-7-24 vs Chrsistian Brothers'!D9</f>
        <v>0</v>
      </c>
      <c r="D41" s="151">
        <f>'6-7-24 vs Chrsistian Brothers'!E9</f>
        <v>0</v>
      </c>
      <c r="E41" s="151">
        <f>('6-7-24 vs Chrsistian Brothers'!F9)*100</f>
        <v>0</v>
      </c>
      <c r="F41" s="151">
        <f>'6-7-24 vs Chrsistian Brothers'!G9</f>
        <v>1</v>
      </c>
      <c r="G41" s="151">
        <f>'6-7-24 vs Chrsistian Brothers'!H9</f>
        <v>1</v>
      </c>
      <c r="H41" s="151">
        <f>('6-7-24 vs Chrsistian Brothers'!I9)*100</f>
        <v>100</v>
      </c>
      <c r="I41" s="151">
        <f>'6-7-24 vs Chrsistian Brothers'!J9</f>
        <v>0</v>
      </c>
      <c r="J41" s="151">
        <f>'6-7-24 vs Chrsistian Brothers'!K9</f>
        <v>0</v>
      </c>
      <c r="K41" s="151">
        <f>('6-7-24 vs Chrsistian Brothers'!L9)*100</f>
        <v>0</v>
      </c>
      <c r="L41" s="151">
        <f>'6-7-24 vs Chrsistian Brothers'!M9</f>
        <v>1</v>
      </c>
      <c r="M41" s="151">
        <f>'6-7-24 vs Chrsistian Brothers'!N9</f>
        <v>1</v>
      </c>
      <c r="N41" s="151">
        <f>('6-7-24 vs Chrsistian Brothers'!O9)*100</f>
        <v>100</v>
      </c>
      <c r="O41" s="151">
        <f>'6-7-24 vs Chrsistian Brothers'!P9</f>
        <v>3</v>
      </c>
      <c r="P41" s="151">
        <f>'6-7-24 vs Chrsistian Brothers'!Q9</f>
        <v>0</v>
      </c>
      <c r="Q41" s="151">
        <f>'6-7-24 vs Chrsistian Brothers'!R9</f>
        <v>1</v>
      </c>
      <c r="R41" s="151">
        <f>'6-7-24 vs Chrsistian Brothers'!S9</f>
        <v>1</v>
      </c>
      <c r="S41" s="151">
        <f>'6-7-24 vs Chrsistian Brothers'!T9</f>
        <v>0</v>
      </c>
      <c r="T41" s="151">
        <f>'6-7-24 vs Chrsistian Brothers'!U9</f>
        <v>1</v>
      </c>
      <c r="U41" s="151">
        <f>'6-7-24 vs Chrsistian Brothers'!V9</f>
        <v>0</v>
      </c>
      <c r="V41" s="151">
        <f>'6-7-24 vs Chrsistian Brothers'!W9</f>
        <v>0</v>
      </c>
      <c r="W41" s="151">
        <f>'6-7-24 vs Chrsistian Brothers'!X9</f>
        <v>0</v>
      </c>
      <c r="X41" s="151">
        <f>'6-7-24 vs Chrsistian Brothers'!Y9</f>
        <v>1</v>
      </c>
      <c r="Y41" s="151">
        <f>'6-7-24 vs Chrsistian Brothers'!Z9</f>
        <v>1</v>
      </c>
      <c r="Z41" s="151">
        <f>'6-7-24 vs Chrsistian Brothers'!AA9</f>
        <v>4.75</v>
      </c>
      <c r="AA41" t="s">
        <v>133</v>
      </c>
    </row>
    <row r="42" spans="1:27" x14ac:dyDescent="0.55000000000000004">
      <c r="A42" s="155">
        <f>'6-7-24 vs Chrsistian Brothers'!B10</f>
        <v>11</v>
      </c>
      <c r="B42" s="151" t="str">
        <f>'6-7-24 vs Chrsistian Brothers'!C10</f>
        <v>Pannell</v>
      </c>
      <c r="C42" s="151">
        <f>'6-7-24 vs Chrsistian Brothers'!D10</f>
        <v>1</v>
      </c>
      <c r="D42" s="151">
        <f>'6-7-24 vs Chrsistian Brothers'!E10</f>
        <v>1</v>
      </c>
      <c r="E42" s="151">
        <f>('6-7-24 vs Chrsistian Brothers'!F10)*100</f>
        <v>100</v>
      </c>
      <c r="F42" s="151">
        <f>'6-7-24 vs Chrsistian Brothers'!G10</f>
        <v>0</v>
      </c>
      <c r="G42" s="151">
        <f>'6-7-24 vs Chrsistian Brothers'!H10</f>
        <v>0</v>
      </c>
      <c r="H42" s="151">
        <f>('6-7-24 vs Chrsistian Brothers'!I10)*100</f>
        <v>0</v>
      </c>
      <c r="I42" s="151">
        <f>'6-7-24 vs Chrsistian Brothers'!J10</f>
        <v>0</v>
      </c>
      <c r="J42" s="151">
        <f>'6-7-24 vs Chrsistian Brothers'!K10</f>
        <v>0</v>
      </c>
      <c r="K42" s="151">
        <f>('6-7-24 vs Chrsistian Brothers'!L10)*100</f>
        <v>0</v>
      </c>
      <c r="L42" s="151">
        <f>'6-7-24 vs Chrsistian Brothers'!M10</f>
        <v>1</v>
      </c>
      <c r="M42" s="151">
        <f>'6-7-24 vs Chrsistian Brothers'!N10</f>
        <v>1</v>
      </c>
      <c r="N42" s="151">
        <f>('6-7-24 vs Chrsistian Brothers'!O10)*100</f>
        <v>100</v>
      </c>
      <c r="O42" s="151">
        <f>'6-7-24 vs Chrsistian Brothers'!P10</f>
        <v>2</v>
      </c>
      <c r="P42" s="151">
        <f>'6-7-24 vs Chrsistian Brothers'!Q10</f>
        <v>0</v>
      </c>
      <c r="Q42" s="151">
        <f>'6-7-24 vs Chrsistian Brothers'!R10</f>
        <v>0</v>
      </c>
      <c r="R42" s="151">
        <f>'6-7-24 vs Chrsistian Brothers'!S10</f>
        <v>0</v>
      </c>
      <c r="S42" s="151">
        <f>'6-7-24 vs Chrsistian Brothers'!T10</f>
        <v>0</v>
      </c>
      <c r="T42" s="151">
        <f>'6-7-24 vs Chrsistian Brothers'!U10</f>
        <v>0</v>
      </c>
      <c r="U42" s="151">
        <f>'6-7-24 vs Chrsistian Brothers'!V10</f>
        <v>0</v>
      </c>
      <c r="V42" s="151">
        <f>'6-7-24 vs Chrsistian Brothers'!W10</f>
        <v>0</v>
      </c>
      <c r="W42" s="151">
        <f>'6-7-24 vs Chrsistian Brothers'!X10</f>
        <v>0</v>
      </c>
      <c r="X42" s="151">
        <f>'6-7-24 vs Chrsistian Brothers'!Y10</f>
        <v>0</v>
      </c>
      <c r="Y42" s="151">
        <f>'6-7-24 vs Chrsistian Brothers'!Z10</f>
        <v>0</v>
      </c>
      <c r="Z42" s="151">
        <f>'6-7-24 vs Chrsistian Brothers'!AA10</f>
        <v>6.33</v>
      </c>
      <c r="AA42" t="s">
        <v>133</v>
      </c>
    </row>
    <row r="43" spans="1:27" x14ac:dyDescent="0.55000000000000004">
      <c r="A43" s="155">
        <f>'6-7-24 vs Chrsistian Brothers'!B11</f>
        <v>12</v>
      </c>
      <c r="B43" s="151" t="str">
        <f>'6-7-24 vs Chrsistian Brothers'!C11</f>
        <v>Chapman</v>
      </c>
      <c r="C43" s="151">
        <f>'6-7-24 vs Chrsistian Brothers'!D11</f>
        <v>0</v>
      </c>
      <c r="D43" s="151">
        <f>'6-7-24 vs Chrsistian Brothers'!E11</f>
        <v>0</v>
      </c>
      <c r="E43" s="151">
        <f>('6-7-24 vs Chrsistian Brothers'!F11)*100</f>
        <v>0</v>
      </c>
      <c r="F43" s="151">
        <f>'6-7-24 vs Chrsistian Brothers'!G11</f>
        <v>0</v>
      </c>
      <c r="G43" s="151">
        <f>'6-7-24 vs Chrsistian Brothers'!H11</f>
        <v>0</v>
      </c>
      <c r="H43" s="151">
        <f>('6-7-24 vs Chrsistian Brothers'!I11)*100</f>
        <v>0</v>
      </c>
      <c r="I43" s="151">
        <f>'6-7-24 vs Chrsistian Brothers'!J11</f>
        <v>0</v>
      </c>
      <c r="J43" s="151">
        <f>'6-7-24 vs Chrsistian Brothers'!K11</f>
        <v>0</v>
      </c>
      <c r="K43" s="151">
        <f>('6-7-24 vs Chrsistian Brothers'!L11)*100</f>
        <v>0</v>
      </c>
      <c r="L43" s="151">
        <f>'6-7-24 vs Chrsistian Brothers'!M11</f>
        <v>0</v>
      </c>
      <c r="M43" s="151">
        <f>'6-7-24 vs Chrsistian Brothers'!N11</f>
        <v>0</v>
      </c>
      <c r="N43" s="151">
        <f>('6-7-24 vs Chrsistian Brothers'!O11)*100</f>
        <v>0</v>
      </c>
      <c r="O43" s="151">
        <f>'6-7-24 vs Chrsistian Brothers'!P11</f>
        <v>0</v>
      </c>
      <c r="P43" s="151">
        <f>'6-7-24 vs Chrsistian Brothers'!Q11</f>
        <v>0</v>
      </c>
      <c r="Q43" s="151">
        <f>'6-7-24 vs Chrsistian Brothers'!R11</f>
        <v>0</v>
      </c>
      <c r="R43" s="151">
        <f>'6-7-24 vs Chrsistian Brothers'!S11</f>
        <v>0</v>
      </c>
      <c r="S43" s="151">
        <f>'6-7-24 vs Chrsistian Brothers'!T11</f>
        <v>1</v>
      </c>
      <c r="T43" s="151">
        <f>'6-7-24 vs Chrsistian Brothers'!U11</f>
        <v>1</v>
      </c>
      <c r="U43" s="151">
        <f>'6-7-24 vs Chrsistian Brothers'!V11</f>
        <v>0</v>
      </c>
      <c r="V43" s="151">
        <f>'6-7-24 vs Chrsistian Brothers'!W11</f>
        <v>1</v>
      </c>
      <c r="W43" s="151">
        <f>'6-7-24 vs Chrsistian Brothers'!X11</f>
        <v>0</v>
      </c>
      <c r="X43" s="151">
        <f>'6-7-24 vs Chrsistian Brothers'!Y11</f>
        <v>0</v>
      </c>
      <c r="Y43" s="151">
        <f>'6-7-24 vs Chrsistian Brothers'!Z11</f>
        <v>2</v>
      </c>
      <c r="Z43" s="151">
        <f>'6-7-24 vs Chrsistian Brothers'!AA11</f>
        <v>3.15</v>
      </c>
      <c r="AA43" t="s">
        <v>133</v>
      </c>
    </row>
    <row r="44" spans="1:27" x14ac:dyDescent="0.55000000000000004">
      <c r="A44" s="155">
        <f>'6-7-24 vs Chrsistian Brothers'!B12</f>
        <v>24</v>
      </c>
      <c r="B44" s="151" t="str">
        <f>'6-7-24 vs Chrsistian Brothers'!C12</f>
        <v>Carney</v>
      </c>
      <c r="C44" s="151">
        <f>'6-7-24 vs Chrsistian Brothers'!D12</f>
        <v>0</v>
      </c>
      <c r="D44" s="151">
        <f>'6-7-24 vs Chrsistian Brothers'!E12</f>
        <v>0</v>
      </c>
      <c r="E44" s="151">
        <f>('6-7-24 vs Chrsistian Brothers'!F12)*100</f>
        <v>0</v>
      </c>
      <c r="F44" s="151">
        <f>'6-7-24 vs Chrsistian Brothers'!G12</f>
        <v>0</v>
      </c>
      <c r="G44" s="151">
        <f>'6-7-24 vs Chrsistian Brothers'!H12</f>
        <v>1</v>
      </c>
      <c r="H44" s="151">
        <f>('6-7-24 vs Chrsistian Brothers'!I12)*100</f>
        <v>0</v>
      </c>
      <c r="I44" s="151">
        <f>'6-7-24 vs Chrsistian Brothers'!J12</f>
        <v>0</v>
      </c>
      <c r="J44" s="151">
        <f>'6-7-24 vs Chrsistian Brothers'!K12</f>
        <v>0</v>
      </c>
      <c r="K44" s="151">
        <f>('6-7-24 vs Chrsistian Brothers'!L12)*100</f>
        <v>0</v>
      </c>
      <c r="L44" s="151">
        <f>'6-7-24 vs Chrsistian Brothers'!M12</f>
        <v>0</v>
      </c>
      <c r="M44" s="151">
        <f>'6-7-24 vs Chrsistian Brothers'!N12</f>
        <v>1</v>
      </c>
      <c r="N44" s="151">
        <f>('6-7-24 vs Chrsistian Brothers'!O12)*100</f>
        <v>0</v>
      </c>
      <c r="O44" s="151">
        <f>'6-7-24 vs Chrsistian Brothers'!P12</f>
        <v>0</v>
      </c>
      <c r="P44" s="151">
        <f>'6-7-24 vs Chrsistian Brothers'!Q12</f>
        <v>0</v>
      </c>
      <c r="Q44" s="151">
        <f>'6-7-24 vs Chrsistian Brothers'!R12</f>
        <v>0</v>
      </c>
      <c r="R44" s="151">
        <f>'6-7-24 vs Chrsistian Brothers'!S12</f>
        <v>0</v>
      </c>
      <c r="S44" s="151">
        <f>'6-7-24 vs Chrsistian Brothers'!T12</f>
        <v>0</v>
      </c>
      <c r="T44" s="151">
        <f>'6-7-24 vs Chrsistian Brothers'!U12</f>
        <v>0</v>
      </c>
      <c r="U44" s="151">
        <f>'6-7-24 vs Chrsistian Brothers'!V12</f>
        <v>0</v>
      </c>
      <c r="V44" s="151">
        <f>'6-7-24 vs Chrsistian Brothers'!W12</f>
        <v>0</v>
      </c>
      <c r="W44" s="151">
        <f>'6-7-24 vs Chrsistian Brothers'!X12</f>
        <v>0</v>
      </c>
      <c r="X44" s="151">
        <f>'6-7-24 vs Chrsistian Brothers'!Y12</f>
        <v>0</v>
      </c>
      <c r="Y44" s="151">
        <f>'6-7-24 vs Chrsistian Brothers'!Z12</f>
        <v>0</v>
      </c>
      <c r="Z44" s="151">
        <f>'6-7-24 vs Chrsistian Brothers'!AA12</f>
        <v>9</v>
      </c>
      <c r="AA44" t="s">
        <v>133</v>
      </c>
    </row>
    <row r="45" spans="1:27" x14ac:dyDescent="0.55000000000000004">
      <c r="A45" s="155">
        <f>'6-7-24 vs Chrsistian Brothers'!B13</f>
        <v>30</v>
      </c>
      <c r="B45" s="151" t="str">
        <f>'6-7-24 vs Chrsistian Brothers'!C13</f>
        <v>Bowman</v>
      </c>
      <c r="C45" s="151">
        <f>'6-7-24 vs Chrsistian Brothers'!D13</f>
        <v>4</v>
      </c>
      <c r="D45" s="151">
        <f>'6-7-24 vs Chrsistian Brothers'!E13</f>
        <v>7</v>
      </c>
      <c r="E45" s="151">
        <f>('6-7-24 vs Chrsistian Brothers'!F13)*100</f>
        <v>57.142857142857139</v>
      </c>
      <c r="F45" s="151">
        <f>'6-7-24 vs Chrsistian Brothers'!G13</f>
        <v>1</v>
      </c>
      <c r="G45" s="151">
        <f>'6-7-24 vs Chrsistian Brothers'!H13</f>
        <v>2</v>
      </c>
      <c r="H45" s="151">
        <f>('6-7-24 vs Chrsistian Brothers'!I13)*100</f>
        <v>50</v>
      </c>
      <c r="I45" s="151">
        <f>'6-7-24 vs Chrsistian Brothers'!J13</f>
        <v>2</v>
      </c>
      <c r="J45" s="151">
        <f>'6-7-24 vs Chrsistian Brothers'!K13</f>
        <v>3</v>
      </c>
      <c r="K45" s="151">
        <f>('6-7-24 vs Chrsistian Brothers'!L13)*100</f>
        <v>66.666666666666657</v>
      </c>
      <c r="L45" s="151">
        <f>'6-7-24 vs Chrsistian Brothers'!M13</f>
        <v>5</v>
      </c>
      <c r="M45" s="151">
        <f>'6-7-24 vs Chrsistian Brothers'!N13</f>
        <v>9</v>
      </c>
      <c r="N45" s="151">
        <f>('6-7-24 vs Chrsistian Brothers'!O13)*100</f>
        <v>55.555555555555557</v>
      </c>
      <c r="O45" s="151">
        <f>'6-7-24 vs Chrsistian Brothers'!P13</f>
        <v>13</v>
      </c>
      <c r="P45" s="151">
        <f>'6-7-24 vs Chrsistian Brothers'!Q13</f>
        <v>3</v>
      </c>
      <c r="Q45" s="151">
        <f>'6-7-24 vs Chrsistian Brothers'!R13</f>
        <v>5</v>
      </c>
      <c r="R45" s="151">
        <f>'6-7-24 vs Chrsistian Brothers'!S13</f>
        <v>8</v>
      </c>
      <c r="S45" s="151">
        <f>'6-7-24 vs Chrsistian Brothers'!T13</f>
        <v>0</v>
      </c>
      <c r="T45" s="151">
        <f>'6-7-24 vs Chrsistian Brothers'!U13</f>
        <v>1</v>
      </c>
      <c r="U45" s="151">
        <f>'6-7-24 vs Chrsistian Brothers'!V13</f>
        <v>1</v>
      </c>
      <c r="V45" s="151">
        <f>'6-7-24 vs Chrsistian Brothers'!W13</f>
        <v>0</v>
      </c>
      <c r="W45" s="151">
        <f>'6-7-24 vs Chrsistian Brothers'!X13</f>
        <v>1</v>
      </c>
      <c r="X45" s="151">
        <f>'6-7-24 vs Chrsistian Brothers'!Y13</f>
        <v>1</v>
      </c>
      <c r="Y45" s="151">
        <f>'6-7-24 vs Chrsistian Brothers'!Z13</f>
        <v>3</v>
      </c>
      <c r="Z45" s="151">
        <f>'6-7-24 vs Chrsistian Brothers'!AA13</f>
        <v>20.75</v>
      </c>
      <c r="AA45" t="s">
        <v>133</v>
      </c>
    </row>
    <row r="46" spans="1:27" x14ac:dyDescent="0.55000000000000004">
      <c r="A46" s="155">
        <f>'6-7-24 vs Chrsistian Brothers'!B14</f>
        <v>32</v>
      </c>
      <c r="B46" s="151" t="str">
        <f>'6-7-24 vs Chrsistian Brothers'!C14</f>
        <v>Turner</v>
      </c>
      <c r="C46" s="151">
        <f>'6-7-24 vs Chrsistian Brothers'!D14</f>
        <v>0</v>
      </c>
      <c r="D46" s="151">
        <f>'6-7-24 vs Chrsistian Brothers'!E14</f>
        <v>0</v>
      </c>
      <c r="E46" s="151">
        <f>('6-7-24 vs Chrsistian Brothers'!F14)*100</f>
        <v>0</v>
      </c>
      <c r="F46" s="151">
        <f>'6-7-24 vs Chrsistian Brothers'!G14</f>
        <v>0</v>
      </c>
      <c r="G46" s="151">
        <f>'6-7-24 vs Chrsistian Brothers'!H14</f>
        <v>0</v>
      </c>
      <c r="H46" s="151">
        <f>('6-7-24 vs Chrsistian Brothers'!I14)*100</f>
        <v>0</v>
      </c>
      <c r="I46" s="151">
        <f>'6-7-24 vs Chrsistian Brothers'!J14</f>
        <v>0</v>
      </c>
      <c r="J46" s="151">
        <f>'6-7-24 vs Chrsistian Brothers'!K14</f>
        <v>0</v>
      </c>
      <c r="K46" s="151">
        <f>('6-7-24 vs Chrsistian Brothers'!L14)*100</f>
        <v>0</v>
      </c>
      <c r="L46" s="151">
        <f>'6-7-24 vs Chrsistian Brothers'!M14</f>
        <v>0</v>
      </c>
      <c r="M46" s="151">
        <f>'6-7-24 vs Chrsistian Brothers'!N14</f>
        <v>0</v>
      </c>
      <c r="N46" s="151">
        <f>('6-7-24 vs Chrsistian Brothers'!O14)*100</f>
        <v>0</v>
      </c>
      <c r="O46" s="151">
        <f>'6-7-24 vs Chrsistian Brothers'!P14</f>
        <v>0</v>
      </c>
      <c r="P46" s="151">
        <f>'6-7-24 vs Chrsistian Brothers'!Q14</f>
        <v>0</v>
      </c>
      <c r="Q46" s="151">
        <f>'6-7-24 vs Chrsistian Brothers'!R14</f>
        <v>0</v>
      </c>
      <c r="R46" s="151">
        <f>'6-7-24 vs Chrsistian Brothers'!S14</f>
        <v>0</v>
      </c>
      <c r="S46" s="151">
        <f>'6-7-24 vs Chrsistian Brothers'!T14</f>
        <v>1</v>
      </c>
      <c r="T46" s="151">
        <f>'6-7-24 vs Chrsistian Brothers'!U14</f>
        <v>0</v>
      </c>
      <c r="U46" s="151">
        <f>'6-7-24 vs Chrsistian Brothers'!V14</f>
        <v>0</v>
      </c>
      <c r="V46" s="151">
        <f>'6-7-24 vs Chrsistian Brothers'!W14</f>
        <v>0</v>
      </c>
      <c r="W46" s="151">
        <f>'6-7-24 vs Chrsistian Brothers'!X14</f>
        <v>0</v>
      </c>
      <c r="X46" s="151">
        <f>'6-7-24 vs Chrsistian Brothers'!Y14</f>
        <v>0</v>
      </c>
      <c r="Y46" s="151">
        <f>'6-7-24 vs Chrsistian Brothers'!Z14</f>
        <v>0</v>
      </c>
      <c r="Z46" s="151">
        <f>'6-7-24 vs Chrsistian Brothers'!AA14</f>
        <v>0.5</v>
      </c>
      <c r="AA46" t="s">
        <v>133</v>
      </c>
    </row>
    <row r="47" spans="1:27" x14ac:dyDescent="0.55000000000000004">
      <c r="A47" s="155">
        <f>'6-7-24 vs Chrsistian Brothers'!B15</f>
        <v>33</v>
      </c>
      <c r="B47" s="151" t="str">
        <f>'6-7-24 vs Chrsistian Brothers'!C15</f>
        <v>Bellomy</v>
      </c>
      <c r="C47" s="151">
        <f>'6-7-24 vs Chrsistian Brothers'!D15</f>
        <v>0</v>
      </c>
      <c r="D47" s="151">
        <f>'6-7-24 vs Chrsistian Brothers'!E15</f>
        <v>0</v>
      </c>
      <c r="E47" s="151">
        <f>('6-7-24 vs Chrsistian Brothers'!F15)*100</f>
        <v>0</v>
      </c>
      <c r="F47" s="151">
        <f>'6-7-24 vs Chrsistian Brothers'!G15</f>
        <v>0</v>
      </c>
      <c r="G47" s="151">
        <f>'6-7-24 vs Chrsistian Brothers'!H15</f>
        <v>1</v>
      </c>
      <c r="H47" s="151">
        <f>('6-7-24 vs Chrsistian Brothers'!I15)*100</f>
        <v>0</v>
      </c>
      <c r="I47" s="151">
        <f>'6-7-24 vs Chrsistian Brothers'!J15</f>
        <v>0</v>
      </c>
      <c r="J47" s="151">
        <f>'6-7-24 vs Chrsistian Brothers'!K15</f>
        <v>0</v>
      </c>
      <c r="K47" s="151">
        <f>('6-7-24 vs Chrsistian Brothers'!L15)*100</f>
        <v>0</v>
      </c>
      <c r="L47" s="151">
        <f>'6-7-24 vs Chrsistian Brothers'!M15</f>
        <v>0</v>
      </c>
      <c r="M47" s="151">
        <f>'6-7-24 vs Chrsistian Brothers'!N15</f>
        <v>1</v>
      </c>
      <c r="N47" s="151">
        <f>('6-7-24 vs Chrsistian Brothers'!O15)*100</f>
        <v>0</v>
      </c>
      <c r="O47" s="151">
        <f>'6-7-24 vs Chrsistian Brothers'!P15</f>
        <v>0</v>
      </c>
      <c r="P47" s="151">
        <f>'6-7-24 vs Chrsistian Brothers'!Q15</f>
        <v>0</v>
      </c>
      <c r="Q47" s="151">
        <f>'6-7-24 vs Chrsistian Brothers'!R15</f>
        <v>0</v>
      </c>
      <c r="R47" s="151">
        <f>'6-7-24 vs Chrsistian Brothers'!S15</f>
        <v>0</v>
      </c>
      <c r="S47" s="151">
        <f>'6-7-24 vs Chrsistian Brothers'!T15</f>
        <v>0</v>
      </c>
      <c r="T47" s="151">
        <f>'6-7-24 vs Chrsistian Brothers'!U15</f>
        <v>0</v>
      </c>
      <c r="U47" s="151">
        <f>'6-7-24 vs Chrsistian Brothers'!V15</f>
        <v>0</v>
      </c>
      <c r="V47" s="151">
        <f>'6-7-24 vs Chrsistian Brothers'!W15</f>
        <v>0</v>
      </c>
      <c r="W47" s="151">
        <f>'6-7-24 vs Chrsistian Brothers'!X15</f>
        <v>0</v>
      </c>
      <c r="X47" s="151">
        <f>'6-7-24 vs Chrsistian Brothers'!Y15</f>
        <v>0</v>
      </c>
      <c r="Y47" s="151">
        <f>'6-7-24 vs Chrsistian Brothers'!Z15</f>
        <v>1</v>
      </c>
      <c r="Z47" s="151">
        <f>'6-7-24 vs Chrsistian Brothers'!AA15</f>
        <v>3</v>
      </c>
      <c r="AA47" t="s">
        <v>133</v>
      </c>
    </row>
    <row r="48" spans="1:27" x14ac:dyDescent="0.55000000000000004">
      <c r="A48" s="155">
        <f>'6-7-24 vs Chrsistian Brothers'!B16</f>
        <v>34</v>
      </c>
      <c r="B48" s="151" t="str">
        <f>'6-7-24 vs Chrsistian Brothers'!C16</f>
        <v>Toms</v>
      </c>
      <c r="C48" s="151">
        <f>'6-7-24 vs Chrsistian Brothers'!D16</f>
        <v>0</v>
      </c>
      <c r="D48" s="151">
        <f>'6-7-24 vs Chrsistian Brothers'!E16</f>
        <v>0</v>
      </c>
      <c r="E48" s="151">
        <f>('6-7-24 vs Chrsistian Brothers'!F16)*100</f>
        <v>0</v>
      </c>
      <c r="F48" s="151">
        <f>'6-7-24 vs Chrsistian Brothers'!G16</f>
        <v>1</v>
      </c>
      <c r="G48" s="151">
        <f>'6-7-24 vs Chrsistian Brothers'!H16</f>
        <v>1</v>
      </c>
      <c r="H48" s="151">
        <f>('6-7-24 vs Chrsistian Brothers'!I16)*100</f>
        <v>100</v>
      </c>
      <c r="I48" s="151">
        <f>'6-7-24 vs Chrsistian Brothers'!J16</f>
        <v>2</v>
      </c>
      <c r="J48" s="151">
        <f>'6-7-24 vs Chrsistian Brothers'!K16</f>
        <v>2</v>
      </c>
      <c r="K48" s="151">
        <f>('6-7-24 vs Chrsistian Brothers'!L16)*100</f>
        <v>100</v>
      </c>
      <c r="L48" s="151">
        <f>'6-7-24 vs Chrsistian Brothers'!M16</f>
        <v>1</v>
      </c>
      <c r="M48" s="151">
        <f>'6-7-24 vs Chrsistian Brothers'!N16</f>
        <v>1</v>
      </c>
      <c r="N48" s="151">
        <f>('6-7-24 vs Chrsistian Brothers'!O16)*100</f>
        <v>100</v>
      </c>
      <c r="O48" s="151">
        <f>'6-7-24 vs Chrsistian Brothers'!P16</f>
        <v>5</v>
      </c>
      <c r="P48" s="151">
        <f>'6-7-24 vs Chrsistian Brothers'!Q16</f>
        <v>1</v>
      </c>
      <c r="Q48" s="151">
        <f>'6-7-24 vs Chrsistian Brothers'!R16</f>
        <v>2</v>
      </c>
      <c r="R48" s="151">
        <f>'6-7-24 vs Chrsistian Brothers'!S16</f>
        <v>3</v>
      </c>
      <c r="S48" s="151">
        <f>'6-7-24 vs Chrsistian Brothers'!T16</f>
        <v>0</v>
      </c>
      <c r="T48" s="151">
        <f>'6-7-24 vs Chrsistian Brothers'!U16</f>
        <v>0</v>
      </c>
      <c r="U48" s="151">
        <f>'6-7-24 vs Chrsistian Brothers'!V16</f>
        <v>0</v>
      </c>
      <c r="V48" s="151">
        <f>'6-7-24 vs Chrsistian Brothers'!W16</f>
        <v>0</v>
      </c>
      <c r="W48" s="151">
        <f>'6-7-24 vs Chrsistian Brothers'!X16</f>
        <v>0</v>
      </c>
      <c r="X48" s="151">
        <f>'6-7-24 vs Chrsistian Brothers'!Y16</f>
        <v>0</v>
      </c>
      <c r="Y48" s="151">
        <f>'6-7-24 vs Chrsistian Brothers'!Z16</f>
        <v>0</v>
      </c>
      <c r="Z48" s="151">
        <f>'6-7-24 vs Chrsistian Brothers'!AA16</f>
        <v>5.5</v>
      </c>
      <c r="AA48" t="s">
        <v>133</v>
      </c>
    </row>
    <row r="49" spans="1:27" x14ac:dyDescent="0.55000000000000004">
      <c r="A49" s="155">
        <f>'6-7-24 vs Chrsistian Brothers'!B17</f>
        <v>55</v>
      </c>
      <c r="B49" s="151" t="str">
        <f>'6-7-24 vs Chrsistian Brothers'!C17</f>
        <v>Baker</v>
      </c>
      <c r="C49" s="151">
        <f>'6-7-24 vs Chrsistian Brothers'!D17</f>
        <v>1</v>
      </c>
      <c r="D49" s="151">
        <f>'6-7-24 vs Chrsistian Brothers'!E17</f>
        <v>3</v>
      </c>
      <c r="E49" s="151">
        <f>('6-7-24 vs Chrsistian Brothers'!F17)*100</f>
        <v>33.333333333333329</v>
      </c>
      <c r="F49" s="151">
        <f>'6-7-24 vs Chrsistian Brothers'!G17</f>
        <v>0</v>
      </c>
      <c r="G49" s="151">
        <f>'6-7-24 vs Chrsistian Brothers'!H17</f>
        <v>0</v>
      </c>
      <c r="H49" s="151">
        <f>('6-7-24 vs Chrsistian Brothers'!I17)*100</f>
        <v>0</v>
      </c>
      <c r="I49" s="151">
        <f>'6-7-24 vs Chrsistian Brothers'!J17</f>
        <v>2</v>
      </c>
      <c r="J49" s="151">
        <f>'6-7-24 vs Chrsistian Brothers'!K17</f>
        <v>2</v>
      </c>
      <c r="K49" s="151">
        <f>('6-7-24 vs Chrsistian Brothers'!L17)*100</f>
        <v>100</v>
      </c>
      <c r="L49" s="151">
        <f>'6-7-24 vs Chrsistian Brothers'!M17</f>
        <v>1</v>
      </c>
      <c r="M49" s="151">
        <f>'6-7-24 vs Chrsistian Brothers'!N17</f>
        <v>3</v>
      </c>
      <c r="N49" s="151">
        <f>('6-7-24 vs Chrsistian Brothers'!O17)*100</f>
        <v>33.333333333333329</v>
      </c>
      <c r="O49" s="151">
        <f>'6-7-24 vs Chrsistian Brothers'!P17</f>
        <v>4</v>
      </c>
      <c r="P49" s="151">
        <f>'6-7-24 vs Chrsistian Brothers'!Q17</f>
        <v>0</v>
      </c>
      <c r="Q49" s="151">
        <f>'6-7-24 vs Chrsistian Brothers'!R17</f>
        <v>0</v>
      </c>
      <c r="R49" s="151">
        <f>'6-7-24 vs Chrsistian Brothers'!S17</f>
        <v>0</v>
      </c>
      <c r="S49" s="151">
        <f>'6-7-24 vs Chrsistian Brothers'!T17</f>
        <v>0</v>
      </c>
      <c r="T49" s="151">
        <f>'6-7-24 vs Chrsistian Brothers'!U17</f>
        <v>1</v>
      </c>
      <c r="U49" s="151">
        <f>'6-7-24 vs Chrsistian Brothers'!V17</f>
        <v>0</v>
      </c>
      <c r="V49" s="151">
        <f>'6-7-24 vs Chrsistian Brothers'!W17</f>
        <v>0</v>
      </c>
      <c r="W49" s="151">
        <f>'6-7-24 vs Chrsistian Brothers'!X17</f>
        <v>0</v>
      </c>
      <c r="X49" s="151">
        <f>'6-7-24 vs Chrsistian Brothers'!Y17</f>
        <v>0</v>
      </c>
      <c r="Y49" s="151">
        <f>'6-7-24 vs Chrsistian Brothers'!Z17</f>
        <v>2</v>
      </c>
      <c r="Z49" s="151">
        <f>'6-7-24 vs Chrsistian Brothers'!AA17</f>
        <v>10.66</v>
      </c>
      <c r="AA49" t="s">
        <v>133</v>
      </c>
    </row>
    <row r="50" spans="1:27" x14ac:dyDescent="0.55000000000000004">
      <c r="A50" s="155">
        <f>'6-7-24 vs Chrsistian Brothers'!B18</f>
        <v>99</v>
      </c>
      <c r="B50" s="151" t="str">
        <f>'6-7-24 vs Chrsistian Brothers'!C18</f>
        <v>Team</v>
      </c>
      <c r="C50" s="151">
        <f>'6-7-24 vs Chrsistian Brothers'!D18</f>
        <v>20</v>
      </c>
      <c r="D50" s="151">
        <f>'6-7-24 vs Chrsistian Brothers'!E18</f>
        <v>34</v>
      </c>
      <c r="E50" s="151">
        <f>('6-7-24 vs Chrsistian Brothers'!F18)*100</f>
        <v>58.82352941176471</v>
      </c>
      <c r="F50" s="151">
        <f>'6-7-24 vs Chrsistian Brothers'!G18</f>
        <v>6</v>
      </c>
      <c r="G50" s="151">
        <f>'6-7-24 vs Chrsistian Brothers'!H18</f>
        <v>16</v>
      </c>
      <c r="H50" s="151">
        <f>('6-7-24 vs Chrsistian Brothers'!I18)*100</f>
        <v>37.5</v>
      </c>
      <c r="I50" s="151">
        <f>'6-7-24 vs Chrsistian Brothers'!J18</f>
        <v>8</v>
      </c>
      <c r="J50" s="151">
        <f>'6-7-24 vs Chrsistian Brothers'!K18</f>
        <v>9</v>
      </c>
      <c r="K50" s="151">
        <f>('6-7-24 vs Chrsistian Brothers'!L18)*100</f>
        <v>88.888888888888886</v>
      </c>
      <c r="L50" s="151">
        <f>'6-7-24 vs Chrsistian Brothers'!M18</f>
        <v>26</v>
      </c>
      <c r="M50" s="151">
        <f>'6-7-24 vs Chrsistian Brothers'!N18</f>
        <v>50</v>
      </c>
      <c r="N50" s="151">
        <f>('6-7-24 vs Chrsistian Brothers'!O18)*100</f>
        <v>52</v>
      </c>
      <c r="O50" s="151">
        <f>'6-7-24 vs Chrsistian Brothers'!P18</f>
        <v>66</v>
      </c>
      <c r="P50" s="151">
        <f>'6-7-24 vs Chrsistian Brothers'!Q18</f>
        <v>10</v>
      </c>
      <c r="Q50" s="151">
        <f>'6-7-24 vs Chrsistian Brothers'!R18</f>
        <v>25</v>
      </c>
      <c r="R50" s="151">
        <f>'6-7-24 vs Chrsistian Brothers'!S18</f>
        <v>35</v>
      </c>
      <c r="S50" s="151">
        <f>'6-7-24 vs Chrsistian Brothers'!T18</f>
        <v>15</v>
      </c>
      <c r="T50" s="151">
        <f>'6-7-24 vs Chrsistian Brothers'!U18</f>
        <v>17</v>
      </c>
      <c r="U50" s="151">
        <f>'6-7-24 vs Chrsistian Brothers'!V18</f>
        <v>1</v>
      </c>
      <c r="V50" s="151">
        <f>'6-7-24 vs Chrsistian Brothers'!W18</f>
        <v>6</v>
      </c>
      <c r="W50" s="151">
        <f>'6-7-24 vs Chrsistian Brothers'!X18</f>
        <v>1</v>
      </c>
      <c r="X50" s="151">
        <f>'6-7-24 vs Chrsistian Brothers'!Y18</f>
        <v>5</v>
      </c>
      <c r="Y50" s="151">
        <f>'6-7-24 vs Chrsistian Brothers'!Z18</f>
        <v>19</v>
      </c>
      <c r="Z50" s="151">
        <f>'6-7-24 vs Chrsistian Brothers'!AA18</f>
        <v>159.94999999999999</v>
      </c>
      <c r="AA50" t="s">
        <v>133</v>
      </c>
    </row>
    <row r="51" spans="1:27" x14ac:dyDescent="0.55000000000000004">
      <c r="A51" s="155">
        <f>'6-7-24 vs Sparkman'!B3</f>
        <v>0</v>
      </c>
      <c r="B51" s="151" t="str">
        <f>'6-7-24 vs Sparkman'!C3</f>
        <v>Lewis</v>
      </c>
      <c r="C51" s="151">
        <f>'6-7-24 vs Sparkman'!D3</f>
        <v>0</v>
      </c>
      <c r="D51" s="151">
        <f>'6-7-24 vs Sparkman'!E3</f>
        <v>2</v>
      </c>
      <c r="E51" s="151">
        <f>('6-7-24 vs Sparkman'!F3)*100</f>
        <v>0</v>
      </c>
      <c r="F51" s="151">
        <f>'6-7-24 vs Sparkman'!G3</f>
        <v>0</v>
      </c>
      <c r="G51" s="151">
        <f>'6-7-24 vs Sparkman'!H3</f>
        <v>0</v>
      </c>
      <c r="H51" s="151">
        <f>('6-7-24 vs Sparkman'!I3)*100</f>
        <v>0</v>
      </c>
      <c r="I51" s="151">
        <f>'6-7-24 vs Sparkman'!J3</f>
        <v>0</v>
      </c>
      <c r="J51" s="151">
        <f>'6-7-24 vs Sparkman'!K3</f>
        <v>0</v>
      </c>
      <c r="K51" s="151">
        <f>('6-7-24 vs Sparkman'!L3)*100</f>
        <v>0</v>
      </c>
      <c r="L51" s="151">
        <f>'6-7-24 vs Sparkman'!M3</f>
        <v>0</v>
      </c>
      <c r="M51" s="151">
        <f>'6-7-24 vs Sparkman'!N3</f>
        <v>2</v>
      </c>
      <c r="N51" s="151">
        <f>('6-7-24 vs Sparkman'!O3)*100</f>
        <v>0</v>
      </c>
      <c r="O51" s="151">
        <f>'6-7-24 vs Sparkman'!P3</f>
        <v>0</v>
      </c>
      <c r="P51" s="151">
        <f>'6-7-24 vs Sparkman'!Q3</f>
        <v>2</v>
      </c>
      <c r="Q51" s="151">
        <f>'6-7-24 vs Sparkman'!R3</f>
        <v>0</v>
      </c>
      <c r="R51" s="151">
        <f>'6-7-24 vs Sparkman'!S3</f>
        <v>2</v>
      </c>
      <c r="S51" s="151">
        <f>'6-7-24 vs Sparkman'!T3</f>
        <v>0</v>
      </c>
      <c r="T51" s="151">
        <f>'6-7-24 vs Sparkman'!U3</f>
        <v>1</v>
      </c>
      <c r="U51" s="151">
        <f>'6-7-24 vs Sparkman'!V3</f>
        <v>0</v>
      </c>
      <c r="V51" s="151">
        <f>'6-7-24 vs Sparkman'!W3</f>
        <v>1</v>
      </c>
      <c r="W51" s="151">
        <f>'6-7-24 vs Sparkman'!X3</f>
        <v>0</v>
      </c>
      <c r="X51" s="151">
        <f>'6-7-24 vs Sparkman'!Y3</f>
        <v>0</v>
      </c>
      <c r="Y51" s="151">
        <f>'6-7-24 vs Sparkman'!Z3</f>
        <v>0</v>
      </c>
      <c r="Z51" s="151">
        <f>'6-7-24 vs Sparkman'!AA3</f>
        <v>7</v>
      </c>
      <c r="AA51" t="s">
        <v>136</v>
      </c>
    </row>
    <row r="52" spans="1:27" x14ac:dyDescent="0.55000000000000004">
      <c r="A52" s="155">
        <f>'6-7-24 vs Sparkman'!B4</f>
        <v>1</v>
      </c>
      <c r="B52" s="151" t="str">
        <f>'6-7-24 vs Sparkman'!C4</f>
        <v>Walker</v>
      </c>
      <c r="C52" s="151">
        <f>'6-7-24 vs Sparkman'!D4</f>
        <v>4</v>
      </c>
      <c r="D52" s="151">
        <f>'6-7-24 vs Sparkman'!E4</f>
        <v>4</v>
      </c>
      <c r="E52" s="151">
        <f>('6-7-24 vs Sparkman'!F4)*100</f>
        <v>100</v>
      </c>
      <c r="F52" s="151">
        <f>'6-7-24 vs Sparkman'!G4</f>
        <v>0</v>
      </c>
      <c r="G52" s="151">
        <f>'6-7-24 vs Sparkman'!H4</f>
        <v>1</v>
      </c>
      <c r="H52" s="151">
        <f>('6-7-24 vs Sparkman'!I4)*100</f>
        <v>0</v>
      </c>
      <c r="I52" s="151">
        <f>'6-7-24 vs Sparkman'!J4</f>
        <v>0</v>
      </c>
      <c r="J52" s="151">
        <f>'6-7-24 vs Sparkman'!K4</f>
        <v>0</v>
      </c>
      <c r="K52" s="151">
        <f>('6-7-24 vs Sparkman'!L4)*100</f>
        <v>0</v>
      </c>
      <c r="L52" s="151">
        <f>'6-7-24 vs Sparkman'!M4</f>
        <v>4</v>
      </c>
      <c r="M52" s="151">
        <f>'6-7-24 vs Sparkman'!N4</f>
        <v>5</v>
      </c>
      <c r="N52" s="151">
        <f>('6-7-24 vs Sparkman'!O4)*100</f>
        <v>80</v>
      </c>
      <c r="O52" s="151">
        <f>'6-7-24 vs Sparkman'!P4</f>
        <v>8</v>
      </c>
      <c r="P52" s="151">
        <f>'6-7-24 vs Sparkman'!Q4</f>
        <v>0</v>
      </c>
      <c r="Q52" s="151">
        <f>'6-7-24 vs Sparkman'!R4</f>
        <v>7</v>
      </c>
      <c r="R52" s="151">
        <f>'6-7-24 vs Sparkman'!S4</f>
        <v>7</v>
      </c>
      <c r="S52" s="151">
        <f>'6-7-24 vs Sparkman'!T4</f>
        <v>1</v>
      </c>
      <c r="T52" s="151">
        <f>'6-7-24 vs Sparkman'!U4</f>
        <v>3</v>
      </c>
      <c r="U52" s="151">
        <f>'6-7-24 vs Sparkman'!V4</f>
        <v>0</v>
      </c>
      <c r="V52" s="151">
        <f>'6-7-24 vs Sparkman'!W4</f>
        <v>1</v>
      </c>
      <c r="W52" s="151">
        <f>'6-7-24 vs Sparkman'!X4</f>
        <v>0</v>
      </c>
      <c r="X52" s="151">
        <f>'6-7-24 vs Sparkman'!Y4</f>
        <v>0</v>
      </c>
      <c r="Y52" s="151">
        <f>'6-7-24 vs Sparkman'!Z4</f>
        <v>1</v>
      </c>
      <c r="Z52" s="151">
        <f>'6-7-24 vs Sparkman'!AA4</f>
        <v>16</v>
      </c>
      <c r="AA52" t="s">
        <v>136</v>
      </c>
    </row>
    <row r="53" spans="1:27" x14ac:dyDescent="0.55000000000000004">
      <c r="A53" s="155">
        <f>'6-7-24 vs Sparkman'!B5</f>
        <v>2</v>
      </c>
      <c r="B53" s="151" t="str">
        <f>'6-7-24 vs Sparkman'!C5</f>
        <v>Rivers</v>
      </c>
      <c r="C53" s="151">
        <f>'6-7-24 vs Sparkman'!D5</f>
        <v>1</v>
      </c>
      <c r="D53" s="151">
        <f>'6-7-24 vs Sparkman'!E5</f>
        <v>2</v>
      </c>
      <c r="E53" s="151">
        <f>('6-7-24 vs Sparkman'!F5)*100</f>
        <v>50</v>
      </c>
      <c r="F53" s="151">
        <f>'6-7-24 vs Sparkman'!G5</f>
        <v>1</v>
      </c>
      <c r="G53" s="151">
        <f>'6-7-24 vs Sparkman'!H5</f>
        <v>2</v>
      </c>
      <c r="H53" s="151">
        <f>('6-7-24 vs Sparkman'!I5)*100</f>
        <v>50</v>
      </c>
      <c r="I53" s="151">
        <f>'6-7-24 vs Sparkman'!J5</f>
        <v>0</v>
      </c>
      <c r="J53" s="151">
        <f>'6-7-24 vs Sparkman'!K5</f>
        <v>0</v>
      </c>
      <c r="K53" s="151">
        <f>('6-7-24 vs Sparkman'!L5)*100</f>
        <v>0</v>
      </c>
      <c r="L53" s="151">
        <f>'6-7-24 vs Sparkman'!M5</f>
        <v>2</v>
      </c>
      <c r="M53" s="151">
        <f>'6-7-24 vs Sparkman'!N5</f>
        <v>4</v>
      </c>
      <c r="N53" s="151">
        <f>('6-7-24 vs Sparkman'!O5)*100</f>
        <v>50</v>
      </c>
      <c r="O53" s="151">
        <f>'6-7-24 vs Sparkman'!P5</f>
        <v>5</v>
      </c>
      <c r="P53" s="151">
        <f>'6-7-24 vs Sparkman'!Q5</f>
        <v>1</v>
      </c>
      <c r="Q53" s="151">
        <f>'6-7-24 vs Sparkman'!R5</f>
        <v>0</v>
      </c>
      <c r="R53" s="151">
        <f>'6-7-24 vs Sparkman'!S5</f>
        <v>1</v>
      </c>
      <c r="S53" s="151">
        <f>'6-7-24 vs Sparkman'!T5</f>
        <v>0</v>
      </c>
      <c r="T53" s="151">
        <f>'6-7-24 vs Sparkman'!U5</f>
        <v>1</v>
      </c>
      <c r="U53" s="151">
        <f>'6-7-24 vs Sparkman'!V5</f>
        <v>1</v>
      </c>
      <c r="V53" s="151">
        <f>'6-7-24 vs Sparkman'!W5</f>
        <v>0</v>
      </c>
      <c r="W53" s="151">
        <f>'6-7-24 vs Sparkman'!X5</f>
        <v>0</v>
      </c>
      <c r="X53" s="151">
        <f>'6-7-24 vs Sparkman'!Y5</f>
        <v>0</v>
      </c>
      <c r="Y53" s="151">
        <f>'6-7-24 vs Sparkman'!Z5</f>
        <v>0</v>
      </c>
      <c r="Z53" s="151">
        <f>'6-7-24 vs Sparkman'!AA5</f>
        <v>15</v>
      </c>
      <c r="AA53" t="s">
        <v>136</v>
      </c>
    </row>
    <row r="54" spans="1:27" x14ac:dyDescent="0.55000000000000004">
      <c r="A54" s="155">
        <f>'6-7-24 vs Sparkman'!B6</f>
        <v>3</v>
      </c>
      <c r="B54" s="151" t="str">
        <f>'6-7-24 vs Sparkman'!C6</f>
        <v>Gossett</v>
      </c>
      <c r="C54" s="151">
        <f>'6-7-24 vs Sparkman'!D6</f>
        <v>0</v>
      </c>
      <c r="D54" s="151">
        <f>'6-7-24 vs Sparkman'!E6</f>
        <v>0</v>
      </c>
      <c r="E54" s="151">
        <f>('6-7-24 vs Sparkman'!F6)*100</f>
        <v>0</v>
      </c>
      <c r="F54" s="151">
        <f>'6-7-24 vs Sparkman'!G6</f>
        <v>0</v>
      </c>
      <c r="G54" s="151">
        <f>'6-7-24 vs Sparkman'!H6</f>
        <v>2</v>
      </c>
      <c r="H54" s="151">
        <f>('6-7-24 vs Sparkman'!I6)*100</f>
        <v>0</v>
      </c>
      <c r="I54" s="151">
        <f>'6-7-24 vs Sparkman'!J6</f>
        <v>0</v>
      </c>
      <c r="J54" s="151">
        <f>'6-7-24 vs Sparkman'!K6</f>
        <v>0</v>
      </c>
      <c r="K54" s="151">
        <f>('6-7-24 vs Sparkman'!L6)*100</f>
        <v>0</v>
      </c>
      <c r="L54" s="151">
        <f>'6-7-24 vs Sparkman'!M6</f>
        <v>0</v>
      </c>
      <c r="M54" s="151">
        <f>'6-7-24 vs Sparkman'!N6</f>
        <v>2</v>
      </c>
      <c r="N54" s="151">
        <f>('6-7-24 vs Sparkman'!O6)*100</f>
        <v>0</v>
      </c>
      <c r="O54" s="151">
        <f>'6-7-24 vs Sparkman'!P6</f>
        <v>0</v>
      </c>
      <c r="P54" s="151">
        <f>'6-7-24 vs Sparkman'!Q6</f>
        <v>0</v>
      </c>
      <c r="Q54" s="151">
        <f>'6-7-24 vs Sparkman'!R6</f>
        <v>2</v>
      </c>
      <c r="R54" s="151">
        <f>'6-7-24 vs Sparkman'!S6</f>
        <v>2</v>
      </c>
      <c r="S54" s="151">
        <f>'6-7-24 vs Sparkman'!T6</f>
        <v>2</v>
      </c>
      <c r="T54" s="151">
        <f>'6-7-24 vs Sparkman'!U6</f>
        <v>0</v>
      </c>
      <c r="U54" s="151">
        <f>'6-7-24 vs Sparkman'!V6</f>
        <v>1</v>
      </c>
      <c r="V54" s="151">
        <f>'6-7-24 vs Sparkman'!W6</f>
        <v>1</v>
      </c>
      <c r="W54" s="151">
        <f>'6-7-24 vs Sparkman'!X6</f>
        <v>0</v>
      </c>
      <c r="X54" s="151">
        <f>'6-7-24 vs Sparkman'!Y6</f>
        <v>0</v>
      </c>
      <c r="Y54" s="151">
        <f>'6-7-24 vs Sparkman'!Z6</f>
        <v>1</v>
      </c>
      <c r="Z54" s="151">
        <f>'6-7-24 vs Sparkman'!AA6</f>
        <v>10.66</v>
      </c>
      <c r="AA54" t="s">
        <v>136</v>
      </c>
    </row>
    <row r="55" spans="1:27" x14ac:dyDescent="0.55000000000000004">
      <c r="A55" s="155">
        <f>'6-7-24 vs Sparkman'!B7</f>
        <v>4</v>
      </c>
      <c r="B55" s="151" t="str">
        <f>'6-7-24 vs Sparkman'!C7</f>
        <v>Stapler</v>
      </c>
      <c r="C55" s="151">
        <f>'6-7-24 vs Sparkman'!D7</f>
        <v>2</v>
      </c>
      <c r="D55" s="151">
        <f>'6-7-24 vs Sparkman'!E7</f>
        <v>5</v>
      </c>
      <c r="E55" s="151">
        <f>('6-7-24 vs Sparkman'!F7)*100</f>
        <v>40</v>
      </c>
      <c r="F55" s="151">
        <f>'6-7-24 vs Sparkman'!G7</f>
        <v>1</v>
      </c>
      <c r="G55" s="151">
        <f>'6-7-24 vs Sparkman'!H7</f>
        <v>3</v>
      </c>
      <c r="H55" s="151">
        <f>('6-7-24 vs Sparkman'!I7)*100</f>
        <v>33.333333333333329</v>
      </c>
      <c r="I55" s="151">
        <f>'6-7-24 vs Sparkman'!J7</f>
        <v>0</v>
      </c>
      <c r="J55" s="151">
        <f>'6-7-24 vs Sparkman'!K7</f>
        <v>0</v>
      </c>
      <c r="K55" s="151">
        <f>('6-7-24 vs Sparkman'!L7)*100</f>
        <v>0</v>
      </c>
      <c r="L55" s="151">
        <f>'6-7-24 vs Sparkman'!M7</f>
        <v>3</v>
      </c>
      <c r="M55" s="151">
        <f>'6-7-24 vs Sparkman'!N7</f>
        <v>8</v>
      </c>
      <c r="N55" s="151">
        <f>('6-7-24 vs Sparkman'!O7)*100</f>
        <v>37.5</v>
      </c>
      <c r="O55" s="151">
        <f>'6-7-24 vs Sparkman'!P7</f>
        <v>7</v>
      </c>
      <c r="P55" s="151">
        <f>'6-7-24 vs Sparkman'!Q7</f>
        <v>2</v>
      </c>
      <c r="Q55" s="151">
        <f>'6-7-24 vs Sparkman'!R7</f>
        <v>1</v>
      </c>
      <c r="R55" s="151">
        <f>'6-7-24 vs Sparkman'!S7</f>
        <v>3</v>
      </c>
      <c r="S55" s="151">
        <f>'6-7-24 vs Sparkman'!T7</f>
        <v>1</v>
      </c>
      <c r="T55" s="151">
        <f>'6-7-24 vs Sparkman'!U7</f>
        <v>1</v>
      </c>
      <c r="U55" s="151">
        <f>'6-7-24 vs Sparkman'!V7</f>
        <v>0</v>
      </c>
      <c r="V55" s="151">
        <f>'6-7-24 vs Sparkman'!W7</f>
        <v>0</v>
      </c>
      <c r="W55" s="151">
        <f>'6-7-24 vs Sparkman'!X7</f>
        <v>0</v>
      </c>
      <c r="X55" s="151">
        <f>'6-7-24 vs Sparkman'!Y7</f>
        <v>0</v>
      </c>
      <c r="Y55" s="151">
        <f>'6-7-24 vs Sparkman'!Z7</f>
        <v>1</v>
      </c>
      <c r="Z55" s="151">
        <f>'6-7-24 vs Sparkman'!AA7</f>
        <v>17</v>
      </c>
      <c r="AA55" t="s">
        <v>136</v>
      </c>
    </row>
    <row r="56" spans="1:27" x14ac:dyDescent="0.55000000000000004">
      <c r="A56" s="155">
        <f>'6-7-24 vs Sparkman'!B8</f>
        <v>5</v>
      </c>
      <c r="B56" s="151" t="str">
        <f>'6-7-24 vs Sparkman'!C8</f>
        <v>JD</v>
      </c>
      <c r="C56" s="151">
        <f>'6-7-24 vs Sparkman'!D8</f>
        <v>4</v>
      </c>
      <c r="D56" s="151">
        <f>'6-7-24 vs Sparkman'!E8</f>
        <v>7</v>
      </c>
      <c r="E56" s="151">
        <f>('6-7-24 vs Sparkman'!F8)*100</f>
        <v>57.142857142857139</v>
      </c>
      <c r="F56" s="151">
        <f>'6-7-24 vs Sparkman'!G8</f>
        <v>0</v>
      </c>
      <c r="G56" s="151">
        <f>'6-7-24 vs Sparkman'!H8</f>
        <v>2</v>
      </c>
      <c r="H56" s="151">
        <f>('6-7-24 vs Sparkman'!I8)*100</f>
        <v>0</v>
      </c>
      <c r="I56" s="151">
        <f>'6-7-24 vs Sparkman'!J8</f>
        <v>3</v>
      </c>
      <c r="J56" s="151">
        <f>'6-7-24 vs Sparkman'!K8</f>
        <v>4</v>
      </c>
      <c r="K56" s="151">
        <f>('6-7-24 vs Sparkman'!L8)*100</f>
        <v>75</v>
      </c>
      <c r="L56" s="151">
        <f>'6-7-24 vs Sparkman'!M8</f>
        <v>4</v>
      </c>
      <c r="M56" s="151">
        <f>'6-7-24 vs Sparkman'!N8</f>
        <v>9</v>
      </c>
      <c r="N56" s="151">
        <f>('6-7-24 vs Sparkman'!O8)*100</f>
        <v>44.444444444444443</v>
      </c>
      <c r="O56" s="151">
        <f>'6-7-24 vs Sparkman'!P8</f>
        <v>11</v>
      </c>
      <c r="P56" s="151">
        <f>'6-7-24 vs Sparkman'!Q8</f>
        <v>2</v>
      </c>
      <c r="Q56" s="151">
        <f>'6-7-24 vs Sparkman'!R8</f>
        <v>2</v>
      </c>
      <c r="R56" s="151">
        <f>'6-7-24 vs Sparkman'!S8</f>
        <v>4</v>
      </c>
      <c r="S56" s="151">
        <f>'6-7-24 vs Sparkman'!T8</f>
        <v>2</v>
      </c>
      <c r="T56" s="151">
        <f>'6-7-24 vs Sparkman'!U8</f>
        <v>1</v>
      </c>
      <c r="U56" s="151">
        <f>'6-7-24 vs Sparkman'!V8</f>
        <v>0</v>
      </c>
      <c r="V56" s="151">
        <f>'6-7-24 vs Sparkman'!W8</f>
        <v>2</v>
      </c>
      <c r="W56" s="151">
        <f>'6-7-24 vs Sparkman'!X8</f>
        <v>0</v>
      </c>
      <c r="X56" s="151">
        <f>'6-7-24 vs Sparkman'!Y8</f>
        <v>3</v>
      </c>
      <c r="Y56" s="151">
        <f>'6-7-24 vs Sparkman'!Z8</f>
        <v>0</v>
      </c>
      <c r="Z56" s="151">
        <f>'6-7-24 vs Sparkman'!AA8</f>
        <v>17</v>
      </c>
      <c r="AA56" t="s">
        <v>136</v>
      </c>
    </row>
    <row r="57" spans="1:27" x14ac:dyDescent="0.55000000000000004">
      <c r="A57" s="155">
        <f>'6-7-24 vs Sparkman'!B9</f>
        <v>10</v>
      </c>
      <c r="B57" s="151" t="str">
        <f>'6-7-24 vs Sparkman'!C9</f>
        <v>Mason</v>
      </c>
      <c r="C57" s="151">
        <f>'6-7-24 vs Sparkman'!D9</f>
        <v>0</v>
      </c>
      <c r="D57" s="151">
        <f>'6-7-24 vs Sparkman'!E9</f>
        <v>1</v>
      </c>
      <c r="E57" s="151">
        <f>('6-7-24 vs Sparkman'!F9)*100</f>
        <v>0</v>
      </c>
      <c r="F57" s="151">
        <f>'6-7-24 vs Sparkman'!G9</f>
        <v>0</v>
      </c>
      <c r="G57" s="151">
        <f>'6-7-24 vs Sparkman'!H9</f>
        <v>1</v>
      </c>
      <c r="H57" s="151">
        <f>('6-7-24 vs Sparkman'!I9)*100</f>
        <v>0</v>
      </c>
      <c r="I57" s="151">
        <f>'6-7-24 vs Sparkman'!J9</f>
        <v>0</v>
      </c>
      <c r="J57" s="151">
        <f>'6-7-24 vs Sparkman'!K9</f>
        <v>0</v>
      </c>
      <c r="K57" s="151">
        <f>('6-7-24 vs Sparkman'!L9)*100</f>
        <v>0</v>
      </c>
      <c r="L57" s="151">
        <f>'6-7-24 vs Sparkman'!M9</f>
        <v>0</v>
      </c>
      <c r="M57" s="151">
        <f>'6-7-24 vs Sparkman'!N9</f>
        <v>2</v>
      </c>
      <c r="N57" s="151">
        <f>('6-7-24 vs Sparkman'!O9)*100</f>
        <v>0</v>
      </c>
      <c r="O57" s="151">
        <f>'6-7-24 vs Sparkman'!P9</f>
        <v>0</v>
      </c>
      <c r="P57" s="151">
        <f>'6-7-24 vs Sparkman'!Q9</f>
        <v>0</v>
      </c>
      <c r="Q57" s="151">
        <f>'6-7-24 vs Sparkman'!R9</f>
        <v>1</v>
      </c>
      <c r="R57" s="151">
        <f>'6-7-24 vs Sparkman'!S9</f>
        <v>1</v>
      </c>
      <c r="S57" s="151">
        <f>'6-7-24 vs Sparkman'!T9</f>
        <v>1</v>
      </c>
      <c r="T57" s="151">
        <f>'6-7-24 vs Sparkman'!U9</f>
        <v>1</v>
      </c>
      <c r="U57" s="151">
        <f>'6-7-24 vs Sparkman'!V9</f>
        <v>0</v>
      </c>
      <c r="V57" s="151">
        <f>'6-7-24 vs Sparkman'!W9</f>
        <v>0</v>
      </c>
      <c r="W57" s="151">
        <f>'6-7-24 vs Sparkman'!X9</f>
        <v>0</v>
      </c>
      <c r="X57" s="151">
        <f>'6-7-24 vs Sparkman'!Y9</f>
        <v>0</v>
      </c>
      <c r="Y57" s="151">
        <f>'6-7-24 vs Sparkman'!Z9</f>
        <v>0</v>
      </c>
      <c r="Z57" s="151">
        <f>'6-7-24 vs Sparkman'!AA9</f>
        <v>7.5</v>
      </c>
      <c r="AA57" t="s">
        <v>136</v>
      </c>
    </row>
    <row r="58" spans="1:27" x14ac:dyDescent="0.55000000000000004">
      <c r="A58" s="155">
        <f>'6-7-24 vs Sparkman'!B10</f>
        <v>11</v>
      </c>
      <c r="B58" s="151" t="str">
        <f>'6-7-24 vs Sparkman'!C10</f>
        <v>Pannell</v>
      </c>
      <c r="C58" s="151">
        <f>'6-7-24 vs Sparkman'!D10</f>
        <v>2</v>
      </c>
      <c r="D58" s="151">
        <f>'6-7-24 vs Sparkman'!E10</f>
        <v>3</v>
      </c>
      <c r="E58" s="151">
        <f>('6-7-24 vs Sparkman'!F10)*100</f>
        <v>66.666666666666657</v>
      </c>
      <c r="F58" s="151">
        <f>'6-7-24 vs Sparkman'!G10</f>
        <v>0</v>
      </c>
      <c r="G58" s="151">
        <f>'6-7-24 vs Sparkman'!H10</f>
        <v>0</v>
      </c>
      <c r="H58" s="151">
        <f>('6-7-24 vs Sparkman'!I10)*100</f>
        <v>0</v>
      </c>
      <c r="I58" s="151">
        <f>'6-7-24 vs Sparkman'!J10</f>
        <v>1</v>
      </c>
      <c r="J58" s="151">
        <f>'6-7-24 vs Sparkman'!K10</f>
        <v>2</v>
      </c>
      <c r="K58" s="151">
        <f>('6-7-24 vs Sparkman'!L10)*100</f>
        <v>50</v>
      </c>
      <c r="L58" s="151">
        <f>'6-7-24 vs Sparkman'!M10</f>
        <v>2</v>
      </c>
      <c r="M58" s="151">
        <f>'6-7-24 vs Sparkman'!N10</f>
        <v>3</v>
      </c>
      <c r="N58" s="151">
        <f>('6-7-24 vs Sparkman'!O10)*100</f>
        <v>66.666666666666657</v>
      </c>
      <c r="O58" s="151">
        <f>'6-7-24 vs Sparkman'!P10</f>
        <v>5</v>
      </c>
      <c r="P58" s="151">
        <f>'6-7-24 vs Sparkman'!Q10</f>
        <v>0</v>
      </c>
      <c r="Q58" s="151">
        <f>'6-7-24 vs Sparkman'!R10</f>
        <v>3</v>
      </c>
      <c r="R58" s="151">
        <f>'6-7-24 vs Sparkman'!S10</f>
        <v>3</v>
      </c>
      <c r="S58" s="151">
        <f>'6-7-24 vs Sparkman'!T10</f>
        <v>2</v>
      </c>
      <c r="T58" s="151">
        <f>'6-7-24 vs Sparkman'!U10</f>
        <v>5</v>
      </c>
      <c r="U58" s="151">
        <f>'6-7-24 vs Sparkman'!V10</f>
        <v>0</v>
      </c>
      <c r="V58" s="151">
        <f>'6-7-24 vs Sparkman'!W10</f>
        <v>0</v>
      </c>
      <c r="W58" s="151">
        <f>'6-7-24 vs Sparkman'!X10</f>
        <v>0</v>
      </c>
      <c r="X58" s="151">
        <f>'6-7-24 vs Sparkman'!Y10</f>
        <v>1</v>
      </c>
      <c r="Y58" s="151">
        <f>'6-7-24 vs Sparkman'!Z10</f>
        <v>0</v>
      </c>
      <c r="Z58" s="151">
        <f>'6-7-24 vs Sparkman'!AA10</f>
        <v>11.66</v>
      </c>
      <c r="AA58" t="s">
        <v>136</v>
      </c>
    </row>
    <row r="59" spans="1:27" x14ac:dyDescent="0.55000000000000004">
      <c r="A59" s="155">
        <f>'6-7-24 vs Sparkman'!B11</f>
        <v>12</v>
      </c>
      <c r="B59" s="151" t="str">
        <f>'6-7-24 vs Sparkman'!C11</f>
        <v>Chapman</v>
      </c>
      <c r="C59" s="151">
        <f>'6-7-24 vs Sparkman'!D11</f>
        <v>0</v>
      </c>
      <c r="D59" s="151">
        <f>'6-7-24 vs Sparkman'!E11</f>
        <v>0</v>
      </c>
      <c r="E59" s="151">
        <f>('6-7-24 vs Sparkman'!F11)*100</f>
        <v>0</v>
      </c>
      <c r="F59" s="151">
        <f>'6-7-24 vs Sparkman'!G11</f>
        <v>1</v>
      </c>
      <c r="G59" s="151">
        <f>'6-7-24 vs Sparkman'!H11</f>
        <v>1</v>
      </c>
      <c r="H59" s="151">
        <f>('6-7-24 vs Sparkman'!I11)*100</f>
        <v>100</v>
      </c>
      <c r="I59" s="151">
        <f>'6-7-24 vs Sparkman'!J11</f>
        <v>0</v>
      </c>
      <c r="J59" s="151">
        <f>'6-7-24 vs Sparkman'!K11</f>
        <v>0</v>
      </c>
      <c r="K59" s="151">
        <f>('6-7-24 vs Sparkman'!L11)*100</f>
        <v>0</v>
      </c>
      <c r="L59" s="151">
        <f>'6-7-24 vs Sparkman'!M11</f>
        <v>1</v>
      </c>
      <c r="M59" s="151">
        <f>'6-7-24 vs Sparkman'!N11</f>
        <v>1</v>
      </c>
      <c r="N59" s="151">
        <f>('6-7-24 vs Sparkman'!O11)*100</f>
        <v>100</v>
      </c>
      <c r="O59" s="151">
        <f>'6-7-24 vs Sparkman'!P11</f>
        <v>3</v>
      </c>
      <c r="P59" s="151">
        <f>'6-7-24 vs Sparkman'!Q11</f>
        <v>0</v>
      </c>
      <c r="Q59" s="151">
        <f>'6-7-24 vs Sparkman'!R11</f>
        <v>0</v>
      </c>
      <c r="R59" s="151">
        <f>'6-7-24 vs Sparkman'!S11</f>
        <v>0</v>
      </c>
      <c r="S59" s="151">
        <f>'6-7-24 vs Sparkman'!T11</f>
        <v>0</v>
      </c>
      <c r="T59" s="151">
        <f>'6-7-24 vs Sparkman'!U11</f>
        <v>0</v>
      </c>
      <c r="U59" s="151">
        <f>'6-7-24 vs Sparkman'!V11</f>
        <v>0</v>
      </c>
      <c r="V59" s="151">
        <f>'6-7-24 vs Sparkman'!W11</f>
        <v>1</v>
      </c>
      <c r="W59" s="151">
        <f>'6-7-24 vs Sparkman'!X11</f>
        <v>0</v>
      </c>
      <c r="X59" s="151">
        <f>'6-7-24 vs Sparkman'!Y11</f>
        <v>0</v>
      </c>
      <c r="Y59" s="151">
        <f>'6-7-24 vs Sparkman'!Z11</f>
        <v>1</v>
      </c>
      <c r="Z59" s="151">
        <f>'6-7-24 vs Sparkman'!AA11</f>
        <v>4.7</v>
      </c>
      <c r="AA59" t="s">
        <v>136</v>
      </c>
    </row>
    <row r="60" spans="1:27" x14ac:dyDescent="0.55000000000000004">
      <c r="A60" s="155">
        <f>'6-7-24 vs Sparkman'!B12</f>
        <v>24</v>
      </c>
      <c r="B60" s="151" t="str">
        <f>'6-7-24 vs Sparkman'!C12</f>
        <v>Carney</v>
      </c>
      <c r="C60" s="151">
        <f>'6-7-24 vs Sparkman'!D12</f>
        <v>1</v>
      </c>
      <c r="D60" s="151">
        <f>'6-7-24 vs Sparkman'!E12</f>
        <v>2</v>
      </c>
      <c r="E60" s="151">
        <f>('6-7-24 vs Sparkman'!F12)*100</f>
        <v>50</v>
      </c>
      <c r="F60" s="151">
        <f>'6-7-24 vs Sparkman'!G12</f>
        <v>2</v>
      </c>
      <c r="G60" s="151">
        <f>'6-7-24 vs Sparkman'!H12</f>
        <v>2</v>
      </c>
      <c r="H60" s="151">
        <f>('6-7-24 vs Sparkman'!I12)*100</f>
        <v>100</v>
      </c>
      <c r="I60" s="151">
        <f>'6-7-24 vs Sparkman'!J12</f>
        <v>0</v>
      </c>
      <c r="J60" s="151">
        <f>'6-7-24 vs Sparkman'!K12</f>
        <v>0</v>
      </c>
      <c r="K60" s="151">
        <f>('6-7-24 vs Sparkman'!L12)*100</f>
        <v>0</v>
      </c>
      <c r="L60" s="151">
        <f>'6-7-24 vs Sparkman'!M12</f>
        <v>3</v>
      </c>
      <c r="M60" s="151">
        <f>'6-7-24 vs Sparkman'!N12</f>
        <v>4</v>
      </c>
      <c r="N60" s="151">
        <f>('6-7-24 vs Sparkman'!O12)*100</f>
        <v>75</v>
      </c>
      <c r="O60" s="151">
        <f>'6-7-24 vs Sparkman'!P12</f>
        <v>8</v>
      </c>
      <c r="P60" s="151">
        <f>'6-7-24 vs Sparkman'!Q12</f>
        <v>1</v>
      </c>
      <c r="Q60" s="151">
        <f>'6-7-24 vs Sparkman'!R12</f>
        <v>2</v>
      </c>
      <c r="R60" s="151">
        <f>'6-7-24 vs Sparkman'!S12</f>
        <v>3</v>
      </c>
      <c r="S60" s="151">
        <f>'6-7-24 vs Sparkman'!T12</f>
        <v>1</v>
      </c>
      <c r="T60" s="151">
        <f>'6-7-24 vs Sparkman'!U12</f>
        <v>1</v>
      </c>
      <c r="U60" s="151">
        <f>'6-7-24 vs Sparkman'!V12</f>
        <v>0</v>
      </c>
      <c r="V60" s="151">
        <f>'6-7-24 vs Sparkman'!W12</f>
        <v>2</v>
      </c>
      <c r="W60" s="151">
        <f>'6-7-24 vs Sparkman'!X12</f>
        <v>0</v>
      </c>
      <c r="X60" s="151">
        <f>'6-7-24 vs Sparkman'!Y12</f>
        <v>0</v>
      </c>
      <c r="Y60" s="151">
        <f>'6-7-24 vs Sparkman'!Z12</f>
        <v>2</v>
      </c>
      <c r="Z60" s="151">
        <f>'6-7-24 vs Sparkman'!AA12</f>
        <v>10.5</v>
      </c>
      <c r="AA60" t="s">
        <v>136</v>
      </c>
    </row>
    <row r="61" spans="1:27" x14ac:dyDescent="0.55000000000000004">
      <c r="A61" s="155">
        <f>'6-7-24 vs Sparkman'!B13</f>
        <v>30</v>
      </c>
      <c r="B61" s="151" t="str">
        <f>'6-7-24 vs Sparkman'!C13</f>
        <v>Bowman</v>
      </c>
      <c r="C61" s="151">
        <f>'6-7-24 vs Sparkman'!D13</f>
        <v>3</v>
      </c>
      <c r="D61" s="151">
        <f>'6-7-24 vs Sparkman'!E13</f>
        <v>7</v>
      </c>
      <c r="E61" s="151">
        <f>('6-7-24 vs Sparkman'!F13)*100</f>
        <v>42.857142857142854</v>
      </c>
      <c r="F61" s="151">
        <f>'6-7-24 vs Sparkman'!G13</f>
        <v>0</v>
      </c>
      <c r="G61" s="151">
        <f>'6-7-24 vs Sparkman'!H13</f>
        <v>2</v>
      </c>
      <c r="H61" s="151">
        <f>('6-7-24 vs Sparkman'!I13)*100</f>
        <v>0</v>
      </c>
      <c r="I61" s="151">
        <f>'6-7-24 vs Sparkman'!J13</f>
        <v>0</v>
      </c>
      <c r="J61" s="151">
        <f>'6-7-24 vs Sparkman'!K13</f>
        <v>2</v>
      </c>
      <c r="K61" s="151">
        <f>('6-7-24 vs Sparkman'!L13)*100</f>
        <v>0</v>
      </c>
      <c r="L61" s="151">
        <f>'6-7-24 vs Sparkman'!M13</f>
        <v>3</v>
      </c>
      <c r="M61" s="151">
        <f>'6-7-24 vs Sparkman'!N13</f>
        <v>9</v>
      </c>
      <c r="N61" s="151">
        <f>('6-7-24 vs Sparkman'!O13)*100</f>
        <v>33.333333333333329</v>
      </c>
      <c r="O61" s="151">
        <f>'6-7-24 vs Sparkman'!P13</f>
        <v>6</v>
      </c>
      <c r="P61" s="151">
        <f>'6-7-24 vs Sparkman'!Q13</f>
        <v>5</v>
      </c>
      <c r="Q61" s="151">
        <f>'6-7-24 vs Sparkman'!R13</f>
        <v>4</v>
      </c>
      <c r="R61" s="151">
        <f>'6-7-24 vs Sparkman'!S13</f>
        <v>9</v>
      </c>
      <c r="S61" s="151">
        <f>'6-7-24 vs Sparkman'!T13</f>
        <v>2</v>
      </c>
      <c r="T61" s="151">
        <f>'6-7-24 vs Sparkman'!U13</f>
        <v>0</v>
      </c>
      <c r="U61" s="151">
        <f>'6-7-24 vs Sparkman'!V13</f>
        <v>1</v>
      </c>
      <c r="V61" s="151">
        <f>'6-7-24 vs Sparkman'!W13</f>
        <v>0</v>
      </c>
      <c r="W61" s="151">
        <f>'6-7-24 vs Sparkman'!X13</f>
        <v>0</v>
      </c>
      <c r="X61" s="151">
        <f>'6-7-24 vs Sparkman'!Y13</f>
        <v>1</v>
      </c>
      <c r="Y61" s="151">
        <f>'6-7-24 vs Sparkman'!Z13</f>
        <v>2</v>
      </c>
      <c r="Z61" s="151">
        <f>'6-7-24 vs Sparkman'!AA13</f>
        <v>15.5</v>
      </c>
      <c r="AA61" t="s">
        <v>136</v>
      </c>
    </row>
    <row r="62" spans="1:27" x14ac:dyDescent="0.55000000000000004">
      <c r="A62" s="155">
        <f>'6-7-24 vs Sparkman'!B14</f>
        <v>32</v>
      </c>
      <c r="B62" s="151" t="str">
        <f>'6-7-24 vs Sparkman'!C14</f>
        <v>Turner</v>
      </c>
      <c r="C62" s="151">
        <f>'6-7-24 vs Sparkman'!D14</f>
        <v>0</v>
      </c>
      <c r="D62" s="151">
        <f>'6-7-24 vs Sparkman'!E14</f>
        <v>0</v>
      </c>
      <c r="E62" s="151">
        <f>('6-7-24 vs Sparkman'!F14)*100</f>
        <v>0</v>
      </c>
      <c r="F62" s="151">
        <f>'6-7-24 vs Sparkman'!G14</f>
        <v>0</v>
      </c>
      <c r="G62" s="151">
        <f>'6-7-24 vs Sparkman'!H14</f>
        <v>1</v>
      </c>
      <c r="H62" s="151">
        <f>('6-7-24 vs Sparkman'!I14)*100</f>
        <v>0</v>
      </c>
      <c r="I62" s="151">
        <f>'6-7-24 vs Sparkman'!J14</f>
        <v>0</v>
      </c>
      <c r="J62" s="151">
        <f>'6-7-24 vs Sparkman'!K14</f>
        <v>0</v>
      </c>
      <c r="K62" s="151">
        <f>('6-7-24 vs Sparkman'!L14)*100</f>
        <v>0</v>
      </c>
      <c r="L62" s="151">
        <f>'6-7-24 vs Sparkman'!M14</f>
        <v>0</v>
      </c>
      <c r="M62" s="151">
        <f>'6-7-24 vs Sparkman'!N14</f>
        <v>1</v>
      </c>
      <c r="N62" s="151">
        <f>('6-7-24 vs Sparkman'!O14)*100</f>
        <v>0</v>
      </c>
      <c r="O62" s="151">
        <f>'6-7-24 vs Sparkman'!P14</f>
        <v>0</v>
      </c>
      <c r="P62" s="151">
        <f>'6-7-24 vs Sparkman'!Q14</f>
        <v>0</v>
      </c>
      <c r="Q62" s="151">
        <f>'6-7-24 vs Sparkman'!R14</f>
        <v>0</v>
      </c>
      <c r="R62" s="151">
        <f>'6-7-24 vs Sparkman'!S14</f>
        <v>0</v>
      </c>
      <c r="S62" s="151">
        <f>'6-7-24 vs Sparkman'!T14</f>
        <v>0</v>
      </c>
      <c r="T62" s="151">
        <f>'6-7-24 vs Sparkman'!U14</f>
        <v>0</v>
      </c>
      <c r="U62" s="151">
        <f>'6-7-24 vs Sparkman'!V14</f>
        <v>0</v>
      </c>
      <c r="V62" s="151">
        <f>'6-7-24 vs Sparkman'!W14</f>
        <v>0</v>
      </c>
      <c r="W62" s="151">
        <f>'6-7-24 vs Sparkman'!X14</f>
        <v>0</v>
      </c>
      <c r="X62" s="151">
        <f>'6-7-24 vs Sparkman'!Y14</f>
        <v>0</v>
      </c>
      <c r="Y62" s="151">
        <f>'6-7-24 vs Sparkman'!Z14</f>
        <v>0</v>
      </c>
      <c r="Z62" s="151">
        <f>'6-7-24 vs Sparkman'!AA14</f>
        <v>2.5</v>
      </c>
      <c r="AA62" t="s">
        <v>136</v>
      </c>
    </row>
    <row r="63" spans="1:27" x14ac:dyDescent="0.55000000000000004">
      <c r="A63" s="155">
        <f>'6-7-24 vs Sparkman'!B15</f>
        <v>33</v>
      </c>
      <c r="B63" s="151" t="str">
        <f>'6-7-24 vs Sparkman'!C15</f>
        <v>Bellomy</v>
      </c>
      <c r="C63" s="151">
        <f>'6-7-24 vs Sparkman'!D15</f>
        <v>0</v>
      </c>
      <c r="D63" s="151">
        <f>'6-7-24 vs Sparkman'!E15</f>
        <v>3</v>
      </c>
      <c r="E63" s="151">
        <f>('6-7-24 vs Sparkman'!F15)*100</f>
        <v>0</v>
      </c>
      <c r="F63" s="151">
        <f>'6-7-24 vs Sparkman'!G15</f>
        <v>0</v>
      </c>
      <c r="G63" s="151">
        <f>'6-7-24 vs Sparkman'!H15</f>
        <v>1</v>
      </c>
      <c r="H63" s="151">
        <f>('6-7-24 vs Sparkman'!I15)*100</f>
        <v>0</v>
      </c>
      <c r="I63" s="151">
        <f>'6-7-24 vs Sparkman'!J15</f>
        <v>0</v>
      </c>
      <c r="J63" s="151">
        <f>'6-7-24 vs Sparkman'!K15</f>
        <v>0</v>
      </c>
      <c r="K63" s="151">
        <f>('6-7-24 vs Sparkman'!L15)*100</f>
        <v>0</v>
      </c>
      <c r="L63" s="151">
        <f>'6-7-24 vs Sparkman'!M15</f>
        <v>0</v>
      </c>
      <c r="M63" s="151">
        <f>'6-7-24 vs Sparkman'!N15</f>
        <v>4</v>
      </c>
      <c r="N63" s="151">
        <f>('6-7-24 vs Sparkman'!O15)*100</f>
        <v>0</v>
      </c>
      <c r="O63" s="151">
        <f>'6-7-24 vs Sparkman'!P15</f>
        <v>0</v>
      </c>
      <c r="P63" s="151">
        <f>'6-7-24 vs Sparkman'!Q15</f>
        <v>4</v>
      </c>
      <c r="Q63" s="151">
        <f>'6-7-24 vs Sparkman'!R15</f>
        <v>1</v>
      </c>
      <c r="R63" s="151">
        <f>'6-7-24 vs Sparkman'!S15</f>
        <v>5</v>
      </c>
      <c r="S63" s="151">
        <f>'6-7-24 vs Sparkman'!T15</f>
        <v>0</v>
      </c>
      <c r="T63" s="151">
        <f>'6-7-24 vs Sparkman'!U15</f>
        <v>0</v>
      </c>
      <c r="U63" s="151">
        <f>'6-7-24 vs Sparkman'!V15</f>
        <v>0</v>
      </c>
      <c r="V63" s="151">
        <f>'6-7-24 vs Sparkman'!W15</f>
        <v>1</v>
      </c>
      <c r="W63" s="151">
        <f>'6-7-24 vs Sparkman'!X15</f>
        <v>0</v>
      </c>
      <c r="X63" s="151">
        <f>'6-7-24 vs Sparkman'!Y15</f>
        <v>0</v>
      </c>
      <c r="Y63" s="151">
        <f>'6-7-24 vs Sparkman'!Z15</f>
        <v>1</v>
      </c>
      <c r="Z63" s="151">
        <f>'6-7-24 vs Sparkman'!AA15</f>
        <v>7.5</v>
      </c>
      <c r="AA63" t="s">
        <v>136</v>
      </c>
    </row>
    <row r="64" spans="1:27" x14ac:dyDescent="0.55000000000000004">
      <c r="A64" s="155">
        <f>'6-7-24 vs Sparkman'!B16</f>
        <v>34</v>
      </c>
      <c r="B64" s="151" t="str">
        <f>'6-7-24 vs Sparkman'!C16</f>
        <v>Toms</v>
      </c>
      <c r="C64" s="151">
        <f>'6-7-24 vs Sparkman'!D16</f>
        <v>3</v>
      </c>
      <c r="D64" s="151">
        <f>'6-7-24 vs Sparkman'!E16</f>
        <v>3</v>
      </c>
      <c r="E64" s="151">
        <f>('6-7-24 vs Sparkman'!F16)*100</f>
        <v>100</v>
      </c>
      <c r="F64" s="151">
        <f>'6-7-24 vs Sparkman'!G16</f>
        <v>0</v>
      </c>
      <c r="G64" s="151">
        <f>'6-7-24 vs Sparkman'!H16</f>
        <v>0</v>
      </c>
      <c r="H64" s="151">
        <f>('6-7-24 vs Sparkman'!I16)*100</f>
        <v>0</v>
      </c>
      <c r="I64" s="151">
        <f>'6-7-24 vs Sparkman'!J16</f>
        <v>0</v>
      </c>
      <c r="J64" s="151">
        <f>'6-7-24 vs Sparkman'!K16</f>
        <v>0</v>
      </c>
      <c r="K64" s="151">
        <f>('6-7-24 vs Sparkman'!L16)*100</f>
        <v>0</v>
      </c>
      <c r="L64" s="151">
        <f>'6-7-24 vs Sparkman'!M16</f>
        <v>3</v>
      </c>
      <c r="M64" s="151">
        <f>'6-7-24 vs Sparkman'!N16</f>
        <v>3</v>
      </c>
      <c r="N64" s="151">
        <f>('6-7-24 vs Sparkman'!O16)*100</f>
        <v>100</v>
      </c>
      <c r="O64" s="151">
        <f>'6-7-24 vs Sparkman'!P16</f>
        <v>6</v>
      </c>
      <c r="P64" s="151">
        <f>'6-7-24 vs Sparkman'!Q16</f>
        <v>0</v>
      </c>
      <c r="Q64" s="151">
        <f>'6-7-24 vs Sparkman'!R16</f>
        <v>3</v>
      </c>
      <c r="R64" s="151">
        <f>'6-7-24 vs Sparkman'!S16</f>
        <v>3</v>
      </c>
      <c r="S64" s="151">
        <f>'6-7-24 vs Sparkman'!T16</f>
        <v>1</v>
      </c>
      <c r="T64" s="151">
        <f>'6-7-24 vs Sparkman'!U16</f>
        <v>1</v>
      </c>
      <c r="U64" s="151">
        <f>'6-7-24 vs Sparkman'!V16</f>
        <v>0</v>
      </c>
      <c r="V64" s="151">
        <f>'6-7-24 vs Sparkman'!W16</f>
        <v>1</v>
      </c>
      <c r="W64" s="151">
        <f>'6-7-24 vs Sparkman'!X16</f>
        <v>0</v>
      </c>
      <c r="X64" s="151">
        <f>'6-7-24 vs Sparkman'!Y16</f>
        <v>0</v>
      </c>
      <c r="Y64" s="151">
        <f>'6-7-24 vs Sparkman'!Z16</f>
        <v>1</v>
      </c>
      <c r="Z64" s="151">
        <f>'6-7-24 vs Sparkman'!AA16</f>
        <v>9.5</v>
      </c>
      <c r="AA64" t="s">
        <v>136</v>
      </c>
    </row>
    <row r="65" spans="1:27" x14ac:dyDescent="0.55000000000000004">
      <c r="A65" s="155">
        <f>'6-7-24 vs Sparkman'!B17</f>
        <v>55</v>
      </c>
      <c r="B65" s="151" t="str">
        <f>'6-7-24 vs Sparkman'!C17</f>
        <v>Baker</v>
      </c>
      <c r="C65" s="151">
        <f>'6-7-24 vs Sparkman'!D17</f>
        <v>0</v>
      </c>
      <c r="D65" s="151">
        <f>'6-7-24 vs Sparkman'!E17</f>
        <v>1</v>
      </c>
      <c r="E65" s="151">
        <f>('6-7-24 vs Sparkman'!F17)*100</f>
        <v>0</v>
      </c>
      <c r="F65" s="151">
        <f>'6-7-24 vs Sparkman'!G17</f>
        <v>0</v>
      </c>
      <c r="G65" s="151">
        <f>'6-7-24 vs Sparkman'!H17</f>
        <v>0</v>
      </c>
      <c r="H65" s="151">
        <f>('6-7-24 vs Sparkman'!I17)*100</f>
        <v>0</v>
      </c>
      <c r="I65" s="151">
        <f>'6-7-24 vs Sparkman'!J17</f>
        <v>0</v>
      </c>
      <c r="J65" s="151">
        <f>'6-7-24 vs Sparkman'!K17</f>
        <v>2</v>
      </c>
      <c r="K65" s="151">
        <f>('6-7-24 vs Sparkman'!L17)*100</f>
        <v>0</v>
      </c>
      <c r="L65" s="151">
        <f>'6-7-24 vs Sparkman'!M17</f>
        <v>0</v>
      </c>
      <c r="M65" s="151">
        <f>'6-7-24 vs Sparkman'!N17</f>
        <v>1</v>
      </c>
      <c r="N65" s="151">
        <f>('6-7-24 vs Sparkman'!O17)*100</f>
        <v>0</v>
      </c>
      <c r="O65" s="151">
        <f>'6-7-24 vs Sparkman'!P17</f>
        <v>0</v>
      </c>
      <c r="P65" s="151">
        <f>'6-7-24 vs Sparkman'!Q17</f>
        <v>1</v>
      </c>
      <c r="Q65" s="151">
        <f>'6-7-24 vs Sparkman'!R17</f>
        <v>1</v>
      </c>
      <c r="R65" s="151">
        <f>'6-7-24 vs Sparkman'!S17</f>
        <v>2</v>
      </c>
      <c r="S65" s="151">
        <f>'6-7-24 vs Sparkman'!T17</f>
        <v>0</v>
      </c>
      <c r="T65" s="151">
        <f>'6-7-24 vs Sparkman'!U17</f>
        <v>1</v>
      </c>
      <c r="U65" s="151">
        <f>'6-7-24 vs Sparkman'!V17</f>
        <v>0</v>
      </c>
      <c r="V65" s="151">
        <f>'6-7-24 vs Sparkman'!W17</f>
        <v>0</v>
      </c>
      <c r="W65" s="151">
        <f>'6-7-24 vs Sparkman'!X17</f>
        <v>0</v>
      </c>
      <c r="X65" s="151">
        <f>'6-7-24 vs Sparkman'!Y17</f>
        <v>1</v>
      </c>
      <c r="Y65" s="151">
        <f>'6-7-24 vs Sparkman'!Z17</f>
        <v>1</v>
      </c>
      <c r="Z65" s="151">
        <f>'6-7-24 vs Sparkman'!AA17</f>
        <v>8</v>
      </c>
      <c r="AA65" t="s">
        <v>136</v>
      </c>
    </row>
    <row r="66" spans="1:27" x14ac:dyDescent="0.55000000000000004">
      <c r="A66" s="155">
        <f>'6-7-24 vs Sparkman'!B18</f>
        <v>99</v>
      </c>
      <c r="B66" s="151" t="str">
        <f>'6-7-24 vs Sparkman'!C18</f>
        <v>Team</v>
      </c>
      <c r="C66" s="151">
        <f>'6-7-24 vs Sparkman'!D18</f>
        <v>20</v>
      </c>
      <c r="D66" s="151">
        <f>'6-7-24 vs Sparkman'!E18</f>
        <v>40</v>
      </c>
      <c r="E66" s="151">
        <f>('6-7-24 vs Sparkman'!F18)*100</f>
        <v>50</v>
      </c>
      <c r="F66" s="151">
        <f>'6-7-24 vs Sparkman'!G18</f>
        <v>5</v>
      </c>
      <c r="G66" s="151">
        <f>'6-7-24 vs Sparkman'!H18</f>
        <v>18</v>
      </c>
      <c r="H66" s="151">
        <f>('6-7-24 vs Sparkman'!I18)*100</f>
        <v>27.777777777777779</v>
      </c>
      <c r="I66" s="151">
        <f>'6-7-24 vs Sparkman'!J18</f>
        <v>4</v>
      </c>
      <c r="J66" s="151">
        <f>'6-7-24 vs Sparkman'!K18</f>
        <v>10</v>
      </c>
      <c r="K66" s="151">
        <f>('6-7-24 vs Sparkman'!L18)*100</f>
        <v>40</v>
      </c>
      <c r="L66" s="151">
        <f>'6-7-24 vs Sparkman'!M18</f>
        <v>25</v>
      </c>
      <c r="M66" s="151">
        <f>'6-7-24 vs Sparkman'!N18</f>
        <v>58</v>
      </c>
      <c r="N66" s="151">
        <f>('6-7-24 vs Sparkman'!O18)*100</f>
        <v>43.103448275862064</v>
      </c>
      <c r="O66" s="151">
        <f>'6-7-24 vs Sparkman'!P18</f>
        <v>59</v>
      </c>
      <c r="P66" s="151">
        <f>'6-7-24 vs Sparkman'!Q18</f>
        <v>18</v>
      </c>
      <c r="Q66" s="151">
        <f>'6-7-24 vs Sparkman'!R18</f>
        <v>27</v>
      </c>
      <c r="R66" s="151">
        <f>'6-7-24 vs Sparkman'!S18</f>
        <v>45</v>
      </c>
      <c r="S66" s="151">
        <f>'6-7-24 vs Sparkman'!T18</f>
        <v>13</v>
      </c>
      <c r="T66" s="151">
        <f>'6-7-24 vs Sparkman'!U18</f>
        <v>16</v>
      </c>
      <c r="U66" s="151">
        <f>'6-7-24 vs Sparkman'!V18</f>
        <v>3</v>
      </c>
      <c r="V66" s="151">
        <f>'6-7-24 vs Sparkman'!W18</f>
        <v>10</v>
      </c>
      <c r="W66" s="151">
        <f>'6-7-24 vs Sparkman'!X18</f>
        <v>0</v>
      </c>
      <c r="X66" s="151">
        <f>'6-7-24 vs Sparkman'!Y18</f>
        <v>6</v>
      </c>
      <c r="Y66" s="151">
        <f>'6-7-24 vs Sparkman'!Z18</f>
        <v>11</v>
      </c>
      <c r="Z66" s="151">
        <f>'6-7-24 vs Sparkman'!AA18</f>
        <v>160.01999999999998</v>
      </c>
      <c r="AA66" t="s">
        <v>136</v>
      </c>
    </row>
    <row r="67" spans="1:27" x14ac:dyDescent="0.55000000000000004">
      <c r="A67">
        <f>'6-6-24 vs Ensworth'!B3</f>
        <v>0</v>
      </c>
      <c r="B67" t="str">
        <f>'6-6-24 vs Ensworth'!C3</f>
        <v>Lewis</v>
      </c>
      <c r="C67" s="151">
        <f>'6-6-24 vs Ensworth'!D3</f>
        <v>0</v>
      </c>
      <c r="D67" s="151">
        <f>'6-6-24 vs Ensworth'!E3</f>
        <v>0</v>
      </c>
      <c r="E67" s="151">
        <f>('6-6-24 vs Ensworth'!F3)*100</f>
        <v>0</v>
      </c>
      <c r="F67" s="151">
        <f>'6-6-24 vs Ensworth'!G3</f>
        <v>0</v>
      </c>
      <c r="G67" s="151">
        <f>'6-6-24 vs Ensworth'!H3</f>
        <v>0</v>
      </c>
      <c r="H67" s="151">
        <f>('6-6-24 vs Ensworth'!I3)*100</f>
        <v>0</v>
      </c>
      <c r="I67" s="151">
        <f>'6-6-24 vs Ensworth'!J3</f>
        <v>0</v>
      </c>
      <c r="J67" s="151">
        <f>'6-6-24 vs Ensworth'!K3</f>
        <v>0</v>
      </c>
      <c r="K67" s="151">
        <f>('6-6-24 vs Ensworth'!L3)*100</f>
        <v>0</v>
      </c>
      <c r="L67" s="151">
        <f>'6-6-24 vs Ensworth'!M3</f>
        <v>0</v>
      </c>
      <c r="M67" s="151">
        <f>'6-6-24 vs Ensworth'!N3</f>
        <v>0</v>
      </c>
      <c r="N67" s="151">
        <f>('6-6-24 vs Ensworth'!O3)*100</f>
        <v>0</v>
      </c>
      <c r="O67" s="151">
        <f>'6-6-24 vs Ensworth'!P3</f>
        <v>0</v>
      </c>
      <c r="P67" s="151">
        <f>'6-6-24 vs Ensworth'!Q3</f>
        <v>0</v>
      </c>
      <c r="Q67" s="151">
        <f>'6-6-24 vs Ensworth'!R3</f>
        <v>1</v>
      </c>
      <c r="R67" s="151">
        <f>'6-6-24 vs Ensworth'!S3</f>
        <v>1</v>
      </c>
      <c r="S67" s="151">
        <f>'6-6-24 vs Ensworth'!T3</f>
        <v>1</v>
      </c>
      <c r="T67" s="151">
        <f>'6-6-24 vs Ensworth'!U3</f>
        <v>1</v>
      </c>
      <c r="U67" s="151">
        <f>'6-6-24 vs Ensworth'!V3</f>
        <v>0</v>
      </c>
      <c r="V67" s="151">
        <f>'6-6-24 vs Ensworth'!W3</f>
        <v>2</v>
      </c>
      <c r="W67" s="151">
        <f>'6-6-24 vs Ensworth'!X3</f>
        <v>0</v>
      </c>
      <c r="X67" s="151">
        <f>'6-6-24 vs Ensworth'!Y3</f>
        <v>0</v>
      </c>
      <c r="Y67" s="151">
        <f>'6-6-24 vs Ensworth'!Z3</f>
        <v>0</v>
      </c>
      <c r="Z67" s="151">
        <f>'6-6-24 vs Ensworth'!AA3</f>
        <v>5.5</v>
      </c>
      <c r="AA67" t="s">
        <v>132</v>
      </c>
    </row>
    <row r="68" spans="1:27" x14ac:dyDescent="0.55000000000000004">
      <c r="A68">
        <f>'6-6-24 vs Ensworth'!B4</f>
        <v>1</v>
      </c>
      <c r="B68" t="str">
        <f>'6-6-24 vs Ensworth'!C4</f>
        <v>Walker</v>
      </c>
      <c r="C68" s="151">
        <f>'6-6-24 vs Ensworth'!D4</f>
        <v>4</v>
      </c>
      <c r="D68" s="151">
        <f>'6-6-24 vs Ensworth'!E4</f>
        <v>5</v>
      </c>
      <c r="E68" s="151">
        <f>('6-6-24 vs Ensworth'!F4)*100</f>
        <v>80</v>
      </c>
      <c r="F68" s="151">
        <f>'6-6-24 vs Ensworth'!G4</f>
        <v>2</v>
      </c>
      <c r="G68" s="151">
        <f>'6-6-24 vs Ensworth'!H4</f>
        <v>7</v>
      </c>
      <c r="H68" s="151">
        <f>('6-6-24 vs Ensworth'!I4)*100</f>
        <v>28.571428571428569</v>
      </c>
      <c r="I68" s="151">
        <f>'6-6-24 vs Ensworth'!J4</f>
        <v>0</v>
      </c>
      <c r="J68" s="151">
        <f>'6-6-24 vs Ensworth'!K4</f>
        <v>0</v>
      </c>
      <c r="K68" s="151">
        <f>('6-6-24 vs Ensworth'!L4)*100</f>
        <v>0</v>
      </c>
      <c r="L68" s="151">
        <f>'6-6-24 vs Ensworth'!M4</f>
        <v>6</v>
      </c>
      <c r="M68" s="151">
        <f>'6-6-24 vs Ensworth'!N4</f>
        <v>12</v>
      </c>
      <c r="N68" s="151">
        <f>('6-6-24 vs Ensworth'!O4)*100</f>
        <v>50</v>
      </c>
      <c r="O68" s="151">
        <f>'6-6-24 vs Ensworth'!P4</f>
        <v>14</v>
      </c>
      <c r="P68" s="151">
        <f>'6-6-24 vs Ensworth'!Q4</f>
        <v>0</v>
      </c>
      <c r="Q68" s="151">
        <f>'6-6-24 vs Ensworth'!R4</f>
        <v>0</v>
      </c>
      <c r="R68" s="151">
        <f>'6-6-24 vs Ensworth'!S4</f>
        <v>0</v>
      </c>
      <c r="S68" s="151">
        <f>'6-6-24 vs Ensworth'!T4</f>
        <v>0</v>
      </c>
      <c r="T68" s="151">
        <f>'6-6-24 vs Ensworth'!U4</f>
        <v>1</v>
      </c>
      <c r="U68" s="151">
        <f>'6-6-24 vs Ensworth'!V4</f>
        <v>0</v>
      </c>
      <c r="V68" s="151">
        <f>'6-6-24 vs Ensworth'!W4</f>
        <v>1</v>
      </c>
      <c r="W68" s="151">
        <f>'6-6-24 vs Ensworth'!X4</f>
        <v>0</v>
      </c>
      <c r="X68" s="151">
        <f>'6-6-24 vs Ensworth'!Y4</f>
        <v>2</v>
      </c>
      <c r="Y68" s="151">
        <f>'6-6-24 vs Ensworth'!Z4</f>
        <v>3</v>
      </c>
      <c r="Z68" s="151">
        <f>'6-6-24 vs Ensworth'!AA4</f>
        <v>16.5</v>
      </c>
      <c r="AA68" t="s">
        <v>132</v>
      </c>
    </row>
    <row r="69" spans="1:27" x14ac:dyDescent="0.55000000000000004">
      <c r="A69">
        <f>'6-6-24 vs Ensworth'!B5</f>
        <v>2</v>
      </c>
      <c r="B69" t="str">
        <f>'6-6-24 vs Ensworth'!C5</f>
        <v>Rivers</v>
      </c>
      <c r="C69" s="151">
        <f>'6-6-24 vs Ensworth'!D5</f>
        <v>3</v>
      </c>
      <c r="D69" s="151">
        <f>'6-6-24 vs Ensworth'!E5</f>
        <v>6</v>
      </c>
      <c r="E69" s="151">
        <f>('6-6-24 vs Ensworth'!F5)*100</f>
        <v>50</v>
      </c>
      <c r="F69" s="151">
        <f>'6-6-24 vs Ensworth'!G5</f>
        <v>0</v>
      </c>
      <c r="G69" s="151">
        <f>'6-6-24 vs Ensworth'!H5</f>
        <v>1</v>
      </c>
      <c r="H69" s="151">
        <f>('6-6-24 vs Ensworth'!I5)*100</f>
        <v>0</v>
      </c>
      <c r="I69" s="151">
        <f>'6-6-24 vs Ensworth'!J5</f>
        <v>2</v>
      </c>
      <c r="J69" s="151">
        <f>'6-6-24 vs Ensworth'!K5</f>
        <v>2</v>
      </c>
      <c r="K69" s="151">
        <f>('6-6-24 vs Ensworth'!L5)*100</f>
        <v>100</v>
      </c>
      <c r="L69" s="151">
        <f>'6-6-24 vs Ensworth'!M5</f>
        <v>3</v>
      </c>
      <c r="M69" s="151">
        <f>'6-6-24 vs Ensworth'!N5</f>
        <v>7</v>
      </c>
      <c r="N69" s="151">
        <f>('6-6-24 vs Ensworth'!O5)*100</f>
        <v>42.857142857142854</v>
      </c>
      <c r="O69" s="151">
        <f>'6-6-24 vs Ensworth'!P5</f>
        <v>8</v>
      </c>
      <c r="P69" s="151">
        <f>'6-6-24 vs Ensworth'!Q5</f>
        <v>2</v>
      </c>
      <c r="Q69" s="151">
        <f>'6-6-24 vs Ensworth'!R5</f>
        <v>3</v>
      </c>
      <c r="R69" s="151">
        <f>'6-6-24 vs Ensworth'!S5</f>
        <v>5</v>
      </c>
      <c r="S69" s="151">
        <f>'6-6-24 vs Ensworth'!T5</f>
        <v>1</v>
      </c>
      <c r="T69" s="151">
        <f>'6-6-24 vs Ensworth'!U5</f>
        <v>2</v>
      </c>
      <c r="U69" s="151">
        <f>'6-6-24 vs Ensworth'!V5</f>
        <v>0</v>
      </c>
      <c r="V69" s="151">
        <f>'6-6-24 vs Ensworth'!W5</f>
        <v>1</v>
      </c>
      <c r="W69" s="151">
        <f>'6-6-24 vs Ensworth'!X5</f>
        <v>0</v>
      </c>
      <c r="X69" s="151">
        <f>'6-6-24 vs Ensworth'!Y5</f>
        <v>2</v>
      </c>
      <c r="Y69" s="151">
        <f>'6-6-24 vs Ensworth'!Z5</f>
        <v>1</v>
      </c>
      <c r="Z69" s="151">
        <f>'6-6-24 vs Ensworth'!AA5</f>
        <v>15</v>
      </c>
      <c r="AA69" t="s">
        <v>132</v>
      </c>
    </row>
    <row r="70" spans="1:27" x14ac:dyDescent="0.55000000000000004">
      <c r="A70">
        <f>'6-6-24 vs Ensworth'!B6</f>
        <v>3</v>
      </c>
      <c r="B70" t="str">
        <f>'6-6-24 vs Ensworth'!C6</f>
        <v>Gossett</v>
      </c>
      <c r="C70" s="151">
        <f>'6-6-24 vs Ensworth'!D6</f>
        <v>0</v>
      </c>
      <c r="D70" s="151">
        <f>'6-6-24 vs Ensworth'!E6</f>
        <v>1</v>
      </c>
      <c r="E70" s="151">
        <f>('6-6-24 vs Ensworth'!F6)*100</f>
        <v>0</v>
      </c>
      <c r="F70" s="151">
        <f>'6-6-24 vs Ensworth'!G6</f>
        <v>1</v>
      </c>
      <c r="G70" s="151">
        <f>'6-6-24 vs Ensworth'!H6</f>
        <v>6</v>
      </c>
      <c r="H70" s="151">
        <f>('6-6-24 vs Ensworth'!I6)*100</f>
        <v>16.666666666666664</v>
      </c>
      <c r="I70" s="151">
        <f>'6-6-24 vs Ensworth'!J6</f>
        <v>0</v>
      </c>
      <c r="J70" s="151">
        <f>'6-6-24 vs Ensworth'!K6</f>
        <v>0</v>
      </c>
      <c r="K70" s="151">
        <f>('6-6-24 vs Ensworth'!L6)*100</f>
        <v>0</v>
      </c>
      <c r="L70" s="151">
        <f>'6-6-24 vs Ensworth'!M6</f>
        <v>1</v>
      </c>
      <c r="M70" s="151">
        <f>'6-6-24 vs Ensworth'!N6</f>
        <v>7</v>
      </c>
      <c r="N70" s="151">
        <f>('6-6-24 vs Ensworth'!O6)*100</f>
        <v>14.285714285714285</v>
      </c>
      <c r="O70" s="151">
        <f>'6-6-24 vs Ensworth'!P6</f>
        <v>3</v>
      </c>
      <c r="P70" s="151">
        <f>'6-6-24 vs Ensworth'!Q6</f>
        <v>0</v>
      </c>
      <c r="Q70" s="151">
        <f>'6-6-24 vs Ensworth'!R6</f>
        <v>0</v>
      </c>
      <c r="R70" s="151">
        <f>'6-6-24 vs Ensworth'!S6</f>
        <v>0</v>
      </c>
      <c r="S70" s="151">
        <f>'6-6-24 vs Ensworth'!T6</f>
        <v>2</v>
      </c>
      <c r="T70" s="151">
        <f>'6-6-24 vs Ensworth'!U6</f>
        <v>1</v>
      </c>
      <c r="U70" s="151">
        <f>'6-6-24 vs Ensworth'!V6</f>
        <v>0</v>
      </c>
      <c r="V70" s="151">
        <f>'6-6-24 vs Ensworth'!W6</f>
        <v>2</v>
      </c>
      <c r="W70" s="151">
        <f>'6-6-24 vs Ensworth'!X6</f>
        <v>0</v>
      </c>
      <c r="X70" s="151">
        <f>'6-6-24 vs Ensworth'!Y6</f>
        <v>0</v>
      </c>
      <c r="Y70" s="151">
        <f>'6-6-24 vs Ensworth'!Z6</f>
        <v>2</v>
      </c>
      <c r="Z70" s="151">
        <f>'6-6-24 vs Ensworth'!AA6</f>
        <v>11.15</v>
      </c>
      <c r="AA70" t="s">
        <v>132</v>
      </c>
    </row>
    <row r="71" spans="1:27" x14ac:dyDescent="0.55000000000000004">
      <c r="A71">
        <f>'6-6-24 vs Ensworth'!B7</f>
        <v>4</v>
      </c>
      <c r="B71" t="str">
        <f>'6-6-24 vs Ensworth'!C7</f>
        <v>Stapler</v>
      </c>
      <c r="C71" s="151">
        <f>'6-6-24 vs Ensworth'!D7</f>
        <v>0</v>
      </c>
      <c r="D71" s="151">
        <f>'6-6-24 vs Ensworth'!E7</f>
        <v>2</v>
      </c>
      <c r="E71" s="151">
        <f>('6-6-24 vs Ensworth'!F7)*100</f>
        <v>0</v>
      </c>
      <c r="F71" s="151">
        <f>'6-6-24 vs Ensworth'!G7</f>
        <v>1</v>
      </c>
      <c r="G71" s="151">
        <f>'6-6-24 vs Ensworth'!H7</f>
        <v>2</v>
      </c>
      <c r="H71" s="151">
        <f>('6-6-24 vs Ensworth'!I7)*100</f>
        <v>50</v>
      </c>
      <c r="I71" s="151">
        <f>'6-6-24 vs Ensworth'!J7</f>
        <v>0</v>
      </c>
      <c r="J71" s="151">
        <f>'6-6-24 vs Ensworth'!K7</f>
        <v>0</v>
      </c>
      <c r="K71" s="151">
        <f>('6-6-24 vs Ensworth'!L7)*100</f>
        <v>0</v>
      </c>
      <c r="L71" s="151">
        <f>'6-6-24 vs Ensworth'!M7</f>
        <v>1</v>
      </c>
      <c r="M71" s="151">
        <f>'6-6-24 vs Ensworth'!N7</f>
        <v>4</v>
      </c>
      <c r="N71" s="151">
        <f>('6-6-24 vs Ensworth'!O7)*100</f>
        <v>25</v>
      </c>
      <c r="O71" s="151">
        <f>'6-6-24 vs Ensworth'!P7</f>
        <v>3</v>
      </c>
      <c r="P71" s="151">
        <f>'6-6-24 vs Ensworth'!Q7</f>
        <v>0</v>
      </c>
      <c r="Q71" s="151">
        <f>'6-6-24 vs Ensworth'!R7</f>
        <v>0</v>
      </c>
      <c r="R71" s="151">
        <f>'6-6-24 vs Ensworth'!S7</f>
        <v>0</v>
      </c>
      <c r="S71" s="151">
        <f>'6-6-24 vs Ensworth'!T7</f>
        <v>7</v>
      </c>
      <c r="T71" s="151">
        <f>'6-6-24 vs Ensworth'!U7</f>
        <v>0</v>
      </c>
      <c r="U71" s="151">
        <f>'6-6-24 vs Ensworth'!V7</f>
        <v>0</v>
      </c>
      <c r="V71" s="151">
        <f>'6-6-24 vs Ensworth'!W7</f>
        <v>1</v>
      </c>
      <c r="W71" s="151">
        <f>'6-6-24 vs Ensworth'!X7</f>
        <v>0</v>
      </c>
      <c r="X71" s="151">
        <f>'6-6-24 vs Ensworth'!Y7</f>
        <v>2</v>
      </c>
      <c r="Y71" s="151">
        <f>'6-6-24 vs Ensworth'!Z7</f>
        <v>1</v>
      </c>
      <c r="Z71" s="151">
        <f>'6-6-24 vs Ensworth'!AA7</f>
        <v>15.66</v>
      </c>
      <c r="AA71" t="s">
        <v>132</v>
      </c>
    </row>
    <row r="72" spans="1:27" x14ac:dyDescent="0.55000000000000004">
      <c r="A72">
        <f>'6-6-24 vs Ensworth'!B8</f>
        <v>5</v>
      </c>
      <c r="B72" t="str">
        <f>'6-6-24 vs Ensworth'!C8</f>
        <v>JD</v>
      </c>
      <c r="C72" s="151">
        <f>'6-6-24 vs Ensworth'!D8</f>
        <v>8</v>
      </c>
      <c r="D72" s="151">
        <f>'6-6-24 vs Ensworth'!E8</f>
        <v>9</v>
      </c>
      <c r="E72" s="151">
        <f>('6-6-24 vs Ensworth'!F8)*100</f>
        <v>88.888888888888886</v>
      </c>
      <c r="F72" s="151">
        <f>'6-6-24 vs Ensworth'!G8</f>
        <v>0</v>
      </c>
      <c r="G72" s="151">
        <f>'6-6-24 vs Ensworth'!H8</f>
        <v>2</v>
      </c>
      <c r="H72" s="151">
        <f>('6-6-24 vs Ensworth'!I8)*100</f>
        <v>0</v>
      </c>
      <c r="I72" s="151">
        <f>'6-6-24 vs Ensworth'!J8</f>
        <v>2</v>
      </c>
      <c r="J72" s="151">
        <f>'6-6-24 vs Ensworth'!K8</f>
        <v>3</v>
      </c>
      <c r="K72" s="151">
        <f>('6-6-24 vs Ensworth'!L8)*100</f>
        <v>66.666666666666657</v>
      </c>
      <c r="L72" s="151">
        <f>'6-6-24 vs Ensworth'!M8</f>
        <v>8</v>
      </c>
      <c r="M72" s="151">
        <f>'6-6-24 vs Ensworth'!N8</f>
        <v>11</v>
      </c>
      <c r="N72" s="151">
        <f>('6-6-24 vs Ensworth'!O8)*100</f>
        <v>72.727272727272734</v>
      </c>
      <c r="O72" s="151">
        <f>'6-6-24 vs Ensworth'!P8</f>
        <v>18</v>
      </c>
      <c r="P72" s="151">
        <f>'6-6-24 vs Ensworth'!Q8</f>
        <v>5</v>
      </c>
      <c r="Q72" s="151">
        <f>'6-6-24 vs Ensworth'!R8</f>
        <v>3</v>
      </c>
      <c r="R72" s="151">
        <f>'6-6-24 vs Ensworth'!S8</f>
        <v>8</v>
      </c>
      <c r="S72" s="151">
        <f>'6-6-24 vs Ensworth'!T8</f>
        <v>2</v>
      </c>
      <c r="T72" s="151">
        <f>'6-6-24 vs Ensworth'!U8</f>
        <v>2</v>
      </c>
      <c r="U72" s="151">
        <f>'6-6-24 vs Ensworth'!V8</f>
        <v>0</v>
      </c>
      <c r="V72" s="151">
        <f>'6-6-24 vs Ensworth'!W8</f>
        <v>3</v>
      </c>
      <c r="W72" s="151">
        <f>'6-6-24 vs Ensworth'!X8</f>
        <v>0</v>
      </c>
      <c r="X72" s="151">
        <f>'6-6-24 vs Ensworth'!Y8</f>
        <v>3</v>
      </c>
      <c r="Y72" s="151">
        <f>'6-6-24 vs Ensworth'!Z8</f>
        <v>4</v>
      </c>
      <c r="Z72" s="151">
        <f>'6-6-24 vs Ensworth'!AA8</f>
        <v>18.5</v>
      </c>
      <c r="AA72" t="s">
        <v>132</v>
      </c>
    </row>
    <row r="73" spans="1:27" x14ac:dyDescent="0.55000000000000004">
      <c r="A73">
        <f>'6-6-24 vs Ensworth'!B9</f>
        <v>10</v>
      </c>
      <c r="B73" t="str">
        <f>'6-6-24 vs Ensworth'!C9</f>
        <v>Mason</v>
      </c>
      <c r="C73" s="151">
        <f>'6-6-24 vs Ensworth'!D9</f>
        <v>1</v>
      </c>
      <c r="D73" s="151">
        <f>'6-6-24 vs Ensworth'!E9</f>
        <v>2</v>
      </c>
      <c r="E73" s="151">
        <f>('6-6-24 vs Ensworth'!F9)*100</f>
        <v>50</v>
      </c>
      <c r="F73" s="151">
        <f>'6-6-24 vs Ensworth'!G9</f>
        <v>0</v>
      </c>
      <c r="G73" s="151">
        <f>'6-6-24 vs Ensworth'!H9</f>
        <v>2</v>
      </c>
      <c r="H73" s="151">
        <f>('6-6-24 vs Ensworth'!I9)*100</f>
        <v>0</v>
      </c>
      <c r="I73" s="151">
        <f>'6-6-24 vs Ensworth'!J9</f>
        <v>0</v>
      </c>
      <c r="J73" s="151">
        <f>'6-6-24 vs Ensworth'!K9</f>
        <v>0</v>
      </c>
      <c r="K73" s="151">
        <f>('6-6-24 vs Ensworth'!L9)*100</f>
        <v>0</v>
      </c>
      <c r="L73" s="151">
        <f>'6-6-24 vs Ensworth'!M9</f>
        <v>1</v>
      </c>
      <c r="M73" s="151">
        <f>'6-6-24 vs Ensworth'!N9</f>
        <v>4</v>
      </c>
      <c r="N73" s="151">
        <f>('6-6-24 vs Ensworth'!O9)*100</f>
        <v>25</v>
      </c>
      <c r="O73" s="151">
        <f>'6-6-24 vs Ensworth'!P9</f>
        <v>2</v>
      </c>
      <c r="P73" s="151">
        <f>'6-6-24 vs Ensworth'!Q9</f>
        <v>0</v>
      </c>
      <c r="Q73" s="151">
        <f>'6-6-24 vs Ensworth'!R9</f>
        <v>1</v>
      </c>
      <c r="R73" s="151">
        <f>'6-6-24 vs Ensworth'!S9</f>
        <v>1</v>
      </c>
      <c r="S73" s="151">
        <f>'6-6-24 vs Ensworth'!T9</f>
        <v>0</v>
      </c>
      <c r="T73" s="151">
        <f>'6-6-24 vs Ensworth'!U9</f>
        <v>0</v>
      </c>
      <c r="U73" s="151">
        <f>'6-6-24 vs Ensworth'!V9</f>
        <v>0</v>
      </c>
      <c r="V73" s="151">
        <f>'6-6-24 vs Ensworth'!W9</f>
        <v>1</v>
      </c>
      <c r="W73" s="151">
        <f>'6-6-24 vs Ensworth'!X9</f>
        <v>0</v>
      </c>
      <c r="X73" s="151">
        <f>'6-6-24 vs Ensworth'!Y9</f>
        <v>0</v>
      </c>
      <c r="Y73" s="151">
        <f>'6-6-24 vs Ensworth'!Z9</f>
        <v>0</v>
      </c>
      <c r="Z73" s="151">
        <f>'6-6-24 vs Ensworth'!AA9</f>
        <v>7.33</v>
      </c>
      <c r="AA73" t="s">
        <v>132</v>
      </c>
    </row>
    <row r="74" spans="1:27" x14ac:dyDescent="0.55000000000000004">
      <c r="A74">
        <f>'6-6-24 vs Ensworth'!B10</f>
        <v>11</v>
      </c>
      <c r="B74" t="str">
        <f>'6-6-24 vs Ensworth'!C10</f>
        <v>Pannell</v>
      </c>
      <c r="C74" s="151">
        <f>'6-6-24 vs Ensworth'!D10</f>
        <v>1</v>
      </c>
      <c r="D74" s="151">
        <f>'6-6-24 vs Ensworth'!E10</f>
        <v>3</v>
      </c>
      <c r="E74" s="151">
        <f>('6-6-24 vs Ensworth'!F10)*100</f>
        <v>33.333333333333329</v>
      </c>
      <c r="F74" s="151">
        <f>'6-6-24 vs Ensworth'!G10</f>
        <v>0</v>
      </c>
      <c r="G74" s="151">
        <f>'6-6-24 vs Ensworth'!H10</f>
        <v>2</v>
      </c>
      <c r="H74" s="151">
        <f>('6-6-24 vs Ensworth'!I10)*100</f>
        <v>0</v>
      </c>
      <c r="I74" s="151">
        <f>'6-6-24 vs Ensworth'!J10</f>
        <v>0</v>
      </c>
      <c r="J74" s="151">
        <f>'6-6-24 vs Ensworth'!K10</f>
        <v>1</v>
      </c>
      <c r="K74" s="151">
        <f>('6-6-24 vs Ensworth'!L10)*100</f>
        <v>0</v>
      </c>
      <c r="L74" s="151">
        <f>'6-6-24 vs Ensworth'!M10</f>
        <v>1</v>
      </c>
      <c r="M74" s="151">
        <f>'6-6-24 vs Ensworth'!N10</f>
        <v>5</v>
      </c>
      <c r="N74" s="151">
        <f>('6-6-24 vs Ensworth'!O10)*100</f>
        <v>20</v>
      </c>
      <c r="O74" s="151">
        <f>'6-6-24 vs Ensworth'!P10</f>
        <v>2</v>
      </c>
      <c r="P74" s="151">
        <f>'6-6-24 vs Ensworth'!Q10</f>
        <v>1</v>
      </c>
      <c r="Q74" s="151">
        <f>'6-6-24 vs Ensworth'!R10</f>
        <v>2</v>
      </c>
      <c r="R74" s="151">
        <f>'6-6-24 vs Ensworth'!S10</f>
        <v>3</v>
      </c>
      <c r="S74" s="151">
        <f>'6-6-24 vs Ensworth'!T10</f>
        <v>0</v>
      </c>
      <c r="T74" s="151">
        <f>'6-6-24 vs Ensworth'!U10</f>
        <v>2</v>
      </c>
      <c r="U74" s="151">
        <f>'6-6-24 vs Ensworth'!V10</f>
        <v>0</v>
      </c>
      <c r="V74" s="151">
        <f>'6-6-24 vs Ensworth'!W10</f>
        <v>1</v>
      </c>
      <c r="W74" s="151">
        <f>'6-6-24 vs Ensworth'!X10</f>
        <v>0</v>
      </c>
      <c r="X74" s="151">
        <f>'6-6-24 vs Ensworth'!Y10</f>
        <v>0</v>
      </c>
      <c r="Y74" s="151">
        <f>'6-6-24 vs Ensworth'!Z10</f>
        <v>2</v>
      </c>
      <c r="Z74" s="151">
        <f>'6-6-24 vs Ensworth'!AA10</f>
        <v>8.1</v>
      </c>
      <c r="AA74" t="s">
        <v>132</v>
      </c>
    </row>
    <row r="75" spans="1:27" x14ac:dyDescent="0.55000000000000004">
      <c r="A75">
        <f>'6-6-24 vs Ensworth'!B11</f>
        <v>12</v>
      </c>
      <c r="B75" t="str">
        <f>'6-6-24 vs Ensworth'!C11</f>
        <v>Chapman</v>
      </c>
      <c r="C75" s="151">
        <f>'6-6-24 vs Ensworth'!D11</f>
        <v>0</v>
      </c>
      <c r="D75" s="151">
        <f>'6-6-24 vs Ensworth'!E11</f>
        <v>0</v>
      </c>
      <c r="E75" s="151">
        <f>('6-6-24 vs Ensworth'!F11)*100</f>
        <v>0</v>
      </c>
      <c r="F75" s="151">
        <f>'6-6-24 vs Ensworth'!G11</f>
        <v>1</v>
      </c>
      <c r="G75" s="151">
        <f>'6-6-24 vs Ensworth'!H11</f>
        <v>2</v>
      </c>
      <c r="H75" s="151">
        <f>('6-6-24 vs Ensworth'!I11)*100</f>
        <v>50</v>
      </c>
      <c r="I75" s="151">
        <f>'6-6-24 vs Ensworth'!J11</f>
        <v>0</v>
      </c>
      <c r="J75" s="151">
        <f>'6-6-24 vs Ensworth'!K11</f>
        <v>0</v>
      </c>
      <c r="K75" s="151">
        <f>('6-6-24 vs Ensworth'!L11)*100</f>
        <v>0</v>
      </c>
      <c r="L75" s="151">
        <f>'6-6-24 vs Ensworth'!M11</f>
        <v>1</v>
      </c>
      <c r="M75" s="151">
        <f>'6-6-24 vs Ensworth'!N11</f>
        <v>2</v>
      </c>
      <c r="N75" s="151">
        <f>('6-6-24 vs Ensworth'!O11)*100</f>
        <v>50</v>
      </c>
      <c r="O75" s="151">
        <f>'6-6-24 vs Ensworth'!P11</f>
        <v>3</v>
      </c>
      <c r="P75" s="151">
        <f>'6-6-24 vs Ensworth'!Q11</f>
        <v>0</v>
      </c>
      <c r="Q75" s="151">
        <f>'6-6-24 vs Ensworth'!R11</f>
        <v>0</v>
      </c>
      <c r="R75" s="151">
        <f>'6-6-24 vs Ensworth'!S11</f>
        <v>0</v>
      </c>
      <c r="S75" s="151">
        <f>'6-6-24 vs Ensworth'!T11</f>
        <v>0</v>
      </c>
      <c r="T75" s="151">
        <f>'6-6-24 vs Ensworth'!U11</f>
        <v>0</v>
      </c>
      <c r="U75" s="151">
        <f>'6-6-24 vs Ensworth'!V11</f>
        <v>0</v>
      </c>
      <c r="V75" s="151">
        <f>'6-6-24 vs Ensworth'!W11</f>
        <v>0</v>
      </c>
      <c r="W75" s="151">
        <f>'6-6-24 vs Ensworth'!X11</f>
        <v>0</v>
      </c>
      <c r="X75" s="151">
        <f>'6-6-24 vs Ensworth'!Y11</f>
        <v>0</v>
      </c>
      <c r="Y75" s="151">
        <f>'6-6-24 vs Ensworth'!Z11</f>
        <v>0</v>
      </c>
      <c r="Z75" s="151">
        <f>'6-6-24 vs Ensworth'!AA11</f>
        <v>4.5</v>
      </c>
      <c r="AA75" t="s">
        <v>132</v>
      </c>
    </row>
    <row r="76" spans="1:27" x14ac:dyDescent="0.55000000000000004">
      <c r="A76">
        <f>'6-6-24 vs Ensworth'!B12</f>
        <v>24</v>
      </c>
      <c r="B76" t="str">
        <f>'6-6-24 vs Ensworth'!C12</f>
        <v>Carney</v>
      </c>
      <c r="C76" s="151">
        <f>'6-6-24 vs Ensworth'!D12</f>
        <v>0</v>
      </c>
      <c r="D76" s="151">
        <f>'6-6-24 vs Ensworth'!E12</f>
        <v>0</v>
      </c>
      <c r="E76" s="151">
        <f>('6-6-24 vs Ensworth'!F12)*100</f>
        <v>0</v>
      </c>
      <c r="F76" s="151">
        <f>'6-6-24 vs Ensworth'!G12</f>
        <v>1</v>
      </c>
      <c r="G76" s="151">
        <f>'6-6-24 vs Ensworth'!H12</f>
        <v>1</v>
      </c>
      <c r="H76" s="151">
        <f>('6-6-24 vs Ensworth'!I12)*100</f>
        <v>100</v>
      </c>
      <c r="I76" s="151">
        <f>'6-6-24 vs Ensworth'!J12</f>
        <v>0</v>
      </c>
      <c r="J76" s="151">
        <f>'6-6-24 vs Ensworth'!K12</f>
        <v>0</v>
      </c>
      <c r="K76" s="151">
        <f>('6-6-24 vs Ensworth'!L12)*100</f>
        <v>0</v>
      </c>
      <c r="L76" s="151">
        <f>'6-6-24 vs Ensworth'!M12</f>
        <v>1</v>
      </c>
      <c r="M76" s="151">
        <f>'6-6-24 vs Ensworth'!N12</f>
        <v>1</v>
      </c>
      <c r="N76" s="151">
        <f>('6-6-24 vs Ensworth'!O12)*100</f>
        <v>100</v>
      </c>
      <c r="O76" s="151">
        <f>'6-6-24 vs Ensworth'!P12</f>
        <v>3</v>
      </c>
      <c r="P76" s="151">
        <f>'6-6-24 vs Ensworth'!Q12</f>
        <v>0</v>
      </c>
      <c r="Q76" s="151">
        <f>'6-6-24 vs Ensworth'!R12</f>
        <v>0</v>
      </c>
      <c r="R76" s="151">
        <f>'6-6-24 vs Ensworth'!S12</f>
        <v>0</v>
      </c>
      <c r="S76" s="151">
        <f>'6-6-24 vs Ensworth'!T12</f>
        <v>0</v>
      </c>
      <c r="T76" s="151">
        <f>'6-6-24 vs Ensworth'!U12</f>
        <v>0</v>
      </c>
      <c r="U76" s="151">
        <f>'6-6-24 vs Ensworth'!V12</f>
        <v>0</v>
      </c>
      <c r="V76" s="151">
        <f>'6-6-24 vs Ensworth'!W12</f>
        <v>0</v>
      </c>
      <c r="W76" s="151">
        <f>'6-6-24 vs Ensworth'!X12</f>
        <v>0</v>
      </c>
      <c r="X76" s="151">
        <f>'6-6-24 vs Ensworth'!Y12</f>
        <v>2</v>
      </c>
      <c r="Y76" s="151">
        <f>'6-6-24 vs Ensworth'!Z12</f>
        <v>0</v>
      </c>
      <c r="Z76" s="151">
        <f>'6-6-24 vs Ensworth'!AA12</f>
        <v>5.33</v>
      </c>
      <c r="AA76" t="s">
        <v>132</v>
      </c>
    </row>
    <row r="77" spans="1:27" x14ac:dyDescent="0.55000000000000004">
      <c r="A77">
        <f>'6-6-24 vs Ensworth'!B13</f>
        <v>30</v>
      </c>
      <c r="B77" t="str">
        <f>'6-6-24 vs Ensworth'!C13</f>
        <v>Bowman</v>
      </c>
      <c r="C77" s="151">
        <f>'6-6-24 vs Ensworth'!D13</f>
        <v>3</v>
      </c>
      <c r="D77" s="151">
        <f>'6-6-24 vs Ensworth'!E13</f>
        <v>4</v>
      </c>
      <c r="E77" s="151">
        <f>('6-6-24 vs Ensworth'!F13)*100</f>
        <v>75</v>
      </c>
      <c r="F77" s="151">
        <f>'6-6-24 vs Ensworth'!G13</f>
        <v>0</v>
      </c>
      <c r="G77" s="151">
        <f>'6-6-24 vs Ensworth'!H13</f>
        <v>2</v>
      </c>
      <c r="H77" s="151">
        <f>('6-6-24 vs Ensworth'!I13)*100</f>
        <v>0</v>
      </c>
      <c r="I77" s="151">
        <f>'6-6-24 vs Ensworth'!J13</f>
        <v>0</v>
      </c>
      <c r="J77" s="151">
        <f>'6-6-24 vs Ensworth'!K13</f>
        <v>1</v>
      </c>
      <c r="K77" s="151">
        <f>('6-6-24 vs Ensworth'!L13)*100</f>
        <v>0</v>
      </c>
      <c r="L77" s="151">
        <f>'6-6-24 vs Ensworth'!M13</f>
        <v>3</v>
      </c>
      <c r="M77" s="151">
        <f>'6-6-24 vs Ensworth'!N13</f>
        <v>6</v>
      </c>
      <c r="N77" s="151">
        <f>('6-6-24 vs Ensworth'!O13)*100</f>
        <v>50</v>
      </c>
      <c r="O77" s="151">
        <f>'6-6-24 vs Ensworth'!P13</f>
        <v>6</v>
      </c>
      <c r="P77" s="151">
        <f>'6-6-24 vs Ensworth'!Q13</f>
        <v>3</v>
      </c>
      <c r="Q77" s="151">
        <f>'6-6-24 vs Ensworth'!R13</f>
        <v>3</v>
      </c>
      <c r="R77" s="151">
        <f>'6-6-24 vs Ensworth'!S13</f>
        <v>6</v>
      </c>
      <c r="S77" s="151">
        <f>'6-6-24 vs Ensworth'!T13</f>
        <v>0</v>
      </c>
      <c r="T77" s="151">
        <f>'6-6-24 vs Ensworth'!U13</f>
        <v>1</v>
      </c>
      <c r="U77" s="151">
        <f>'6-6-24 vs Ensworth'!V13</f>
        <v>2</v>
      </c>
      <c r="V77" s="151">
        <f>'6-6-24 vs Ensworth'!W13</f>
        <v>2</v>
      </c>
      <c r="W77" s="151">
        <f>'6-6-24 vs Ensworth'!X13</f>
        <v>0</v>
      </c>
      <c r="X77" s="151">
        <f>'6-6-24 vs Ensworth'!Y13</f>
        <v>2</v>
      </c>
      <c r="Y77" s="151">
        <f>'6-6-24 vs Ensworth'!Z13</f>
        <v>2</v>
      </c>
      <c r="Z77" s="151">
        <f>'6-6-24 vs Ensworth'!AA13</f>
        <v>16</v>
      </c>
      <c r="AA77" t="s">
        <v>132</v>
      </c>
    </row>
    <row r="78" spans="1:27" x14ac:dyDescent="0.55000000000000004">
      <c r="A78">
        <f>'6-6-24 vs Ensworth'!B14</f>
        <v>32</v>
      </c>
      <c r="B78" t="str">
        <f>'6-6-24 vs Ensworth'!C14</f>
        <v>Turner</v>
      </c>
      <c r="C78" s="151">
        <f>'6-6-24 vs Ensworth'!D14</f>
        <v>0</v>
      </c>
      <c r="D78" s="151">
        <f>'6-6-24 vs Ensworth'!E14</f>
        <v>0</v>
      </c>
      <c r="E78" s="151">
        <f>('6-6-24 vs Ensworth'!F14)*100</f>
        <v>0</v>
      </c>
      <c r="F78" s="151">
        <f>'6-6-24 vs Ensworth'!G14</f>
        <v>0</v>
      </c>
      <c r="G78" s="151">
        <f>'6-6-24 vs Ensworth'!H14</f>
        <v>1</v>
      </c>
      <c r="H78" s="151">
        <f>('6-6-24 vs Ensworth'!I14)*100</f>
        <v>0</v>
      </c>
      <c r="I78" s="151">
        <f>'6-6-24 vs Ensworth'!J14</f>
        <v>0</v>
      </c>
      <c r="J78" s="151">
        <f>'6-6-24 vs Ensworth'!K14</f>
        <v>1</v>
      </c>
      <c r="K78" s="151">
        <f>('6-6-24 vs Ensworth'!L14)*100</f>
        <v>0</v>
      </c>
      <c r="L78" s="151">
        <f>'6-6-24 vs Ensworth'!M14</f>
        <v>0</v>
      </c>
      <c r="M78" s="151">
        <f>'6-6-24 vs Ensworth'!N14</f>
        <v>1</v>
      </c>
      <c r="N78" s="151">
        <f>('6-6-24 vs Ensworth'!O14)*100</f>
        <v>0</v>
      </c>
      <c r="O78" s="151">
        <f>'6-6-24 vs Ensworth'!P14</f>
        <v>0</v>
      </c>
      <c r="P78" s="151">
        <f>'6-6-24 vs Ensworth'!Q14</f>
        <v>1</v>
      </c>
      <c r="Q78" s="151">
        <f>'6-6-24 vs Ensworth'!R14</f>
        <v>0</v>
      </c>
      <c r="R78" s="151">
        <f>'6-6-24 vs Ensworth'!S14</f>
        <v>1</v>
      </c>
      <c r="S78" s="151">
        <f>'6-6-24 vs Ensworth'!T14</f>
        <v>0</v>
      </c>
      <c r="T78" s="151">
        <f>'6-6-24 vs Ensworth'!U14</f>
        <v>0</v>
      </c>
      <c r="U78" s="151">
        <f>'6-6-24 vs Ensworth'!V14</f>
        <v>0</v>
      </c>
      <c r="V78" s="151">
        <f>'6-6-24 vs Ensworth'!W14</f>
        <v>1</v>
      </c>
      <c r="W78" s="151">
        <f>'6-6-24 vs Ensworth'!X14</f>
        <v>0</v>
      </c>
      <c r="X78" s="151">
        <f>'6-6-24 vs Ensworth'!Y14</f>
        <v>0</v>
      </c>
      <c r="Y78" s="151">
        <f>'6-6-24 vs Ensworth'!Z14</f>
        <v>0</v>
      </c>
      <c r="Z78" s="151">
        <f>'6-6-24 vs Ensworth'!AA14</f>
        <v>4.0999999999999996</v>
      </c>
      <c r="AA78" t="s">
        <v>132</v>
      </c>
    </row>
    <row r="79" spans="1:27" x14ac:dyDescent="0.55000000000000004">
      <c r="A79">
        <f>'6-6-24 vs Ensworth'!B15</f>
        <v>33</v>
      </c>
      <c r="B79" t="str">
        <f>'6-6-24 vs Ensworth'!C15</f>
        <v>Bellomy</v>
      </c>
      <c r="C79" s="151">
        <f>'6-6-24 vs Ensworth'!D15</f>
        <v>0</v>
      </c>
      <c r="D79" s="151">
        <f>'6-6-24 vs Ensworth'!E15</f>
        <v>1</v>
      </c>
      <c r="E79" s="151">
        <f>('6-6-24 vs Ensworth'!F15)*100</f>
        <v>0</v>
      </c>
      <c r="F79" s="151">
        <f>'6-6-24 vs Ensworth'!G15</f>
        <v>0</v>
      </c>
      <c r="G79" s="151">
        <f>'6-6-24 vs Ensworth'!H15</f>
        <v>0</v>
      </c>
      <c r="H79" s="151">
        <f>('6-6-24 vs Ensworth'!I15)*100</f>
        <v>0</v>
      </c>
      <c r="I79" s="151">
        <f>'6-6-24 vs Ensworth'!J15</f>
        <v>0</v>
      </c>
      <c r="J79" s="151">
        <f>'6-6-24 vs Ensworth'!K15</f>
        <v>0</v>
      </c>
      <c r="K79" s="151">
        <f>('6-6-24 vs Ensworth'!L15)*100</f>
        <v>0</v>
      </c>
      <c r="L79" s="151">
        <f>'6-6-24 vs Ensworth'!M15</f>
        <v>0</v>
      </c>
      <c r="M79" s="151">
        <f>'6-6-24 vs Ensworth'!N15</f>
        <v>1</v>
      </c>
      <c r="N79" s="151">
        <f>('6-6-24 vs Ensworth'!O15)*100</f>
        <v>0</v>
      </c>
      <c r="O79" s="151">
        <f>'6-6-24 vs Ensworth'!P15</f>
        <v>0</v>
      </c>
      <c r="P79" s="151">
        <f>'6-6-24 vs Ensworth'!Q15</f>
        <v>1</v>
      </c>
      <c r="Q79" s="151">
        <f>'6-6-24 vs Ensworth'!R15</f>
        <v>0</v>
      </c>
      <c r="R79" s="151">
        <f>'6-6-24 vs Ensworth'!S15</f>
        <v>1</v>
      </c>
      <c r="S79" s="151">
        <f>'6-6-24 vs Ensworth'!T15</f>
        <v>0</v>
      </c>
      <c r="T79" s="151">
        <f>'6-6-24 vs Ensworth'!U15</f>
        <v>0</v>
      </c>
      <c r="U79" s="151">
        <f>'6-6-24 vs Ensworth'!V15</f>
        <v>0</v>
      </c>
      <c r="V79" s="151">
        <f>'6-6-24 vs Ensworth'!W15</f>
        <v>0</v>
      </c>
      <c r="W79" s="151">
        <f>'6-6-24 vs Ensworth'!X15</f>
        <v>0</v>
      </c>
      <c r="X79" s="151">
        <f>'6-6-24 vs Ensworth'!Y15</f>
        <v>0</v>
      </c>
      <c r="Y79" s="151">
        <f>'6-6-24 vs Ensworth'!Z15</f>
        <v>0</v>
      </c>
      <c r="Z79" s="151">
        <f>'6-6-24 vs Ensworth'!AA15</f>
        <v>8.15</v>
      </c>
      <c r="AA79" t="s">
        <v>132</v>
      </c>
    </row>
    <row r="80" spans="1:27" x14ac:dyDescent="0.55000000000000004">
      <c r="A80">
        <f>'6-6-24 vs Ensworth'!B16</f>
        <v>34</v>
      </c>
      <c r="B80" t="str">
        <f>'6-6-24 vs Ensworth'!C16</f>
        <v>Toms</v>
      </c>
      <c r="C80" s="151">
        <f>'6-6-24 vs Ensworth'!D16</f>
        <v>2</v>
      </c>
      <c r="D80" s="151">
        <f>'6-6-24 vs Ensworth'!E16</f>
        <v>6</v>
      </c>
      <c r="E80" s="151">
        <f>('6-6-24 vs Ensworth'!F16)*100</f>
        <v>33.333333333333329</v>
      </c>
      <c r="F80" s="151">
        <f>'6-6-24 vs Ensworth'!G16</f>
        <v>0</v>
      </c>
      <c r="G80" s="151">
        <f>'6-6-24 vs Ensworth'!H16</f>
        <v>0</v>
      </c>
      <c r="H80" s="151">
        <f>('6-6-24 vs Ensworth'!I16)*100</f>
        <v>0</v>
      </c>
      <c r="I80" s="151">
        <f>'6-6-24 vs Ensworth'!J16</f>
        <v>0</v>
      </c>
      <c r="J80" s="151">
        <f>'6-6-24 vs Ensworth'!K16</f>
        <v>1</v>
      </c>
      <c r="K80" s="151">
        <f>('6-6-24 vs Ensworth'!L16)*100</f>
        <v>0</v>
      </c>
      <c r="L80" s="151">
        <f>'6-6-24 vs Ensworth'!M16</f>
        <v>2</v>
      </c>
      <c r="M80" s="151">
        <f>'6-6-24 vs Ensworth'!N16</f>
        <v>6</v>
      </c>
      <c r="N80" s="151">
        <f>('6-6-24 vs Ensworth'!O16)*100</f>
        <v>33.333333333333329</v>
      </c>
      <c r="O80" s="151">
        <f>'6-6-24 vs Ensworth'!P16</f>
        <v>4</v>
      </c>
      <c r="P80" s="151">
        <f>'6-6-24 vs Ensworth'!Q16</f>
        <v>3</v>
      </c>
      <c r="Q80" s="151">
        <f>'6-6-24 vs Ensworth'!R16</f>
        <v>5</v>
      </c>
      <c r="R80" s="151">
        <f>'6-6-24 vs Ensworth'!S16</f>
        <v>8</v>
      </c>
      <c r="S80" s="151">
        <f>'6-6-24 vs Ensworth'!T16</f>
        <v>0</v>
      </c>
      <c r="T80" s="151">
        <f>'6-6-24 vs Ensworth'!U16</f>
        <v>1</v>
      </c>
      <c r="U80" s="151">
        <f>'6-6-24 vs Ensworth'!V16</f>
        <v>2</v>
      </c>
      <c r="V80" s="151">
        <f>'6-6-24 vs Ensworth'!W16</f>
        <v>2</v>
      </c>
      <c r="W80" s="151">
        <f>'6-6-24 vs Ensworth'!X16</f>
        <v>0</v>
      </c>
      <c r="X80" s="151">
        <f>'6-6-24 vs Ensworth'!Y16</f>
        <v>1</v>
      </c>
      <c r="Y80" s="151">
        <f>'6-6-24 vs Ensworth'!Z16</f>
        <v>1</v>
      </c>
      <c r="Z80" s="151">
        <f>'6-6-24 vs Ensworth'!AA16</f>
        <v>15</v>
      </c>
      <c r="AA80" t="s">
        <v>132</v>
      </c>
    </row>
    <row r="81" spans="1:27" x14ac:dyDescent="0.55000000000000004">
      <c r="A81">
        <f>'6-6-24 vs Ensworth'!B17</f>
        <v>55</v>
      </c>
      <c r="B81" t="str">
        <f>'6-6-24 vs Ensworth'!C17</f>
        <v>Baker</v>
      </c>
      <c r="C81" s="151">
        <f>'6-6-24 vs Ensworth'!D17</f>
        <v>2</v>
      </c>
      <c r="D81" s="151">
        <f>'6-6-24 vs Ensworth'!E17</f>
        <v>5</v>
      </c>
      <c r="E81" s="151">
        <f>('6-6-24 vs Ensworth'!F17)*100</f>
        <v>40</v>
      </c>
      <c r="F81" s="151">
        <f>'6-6-24 vs Ensworth'!G17</f>
        <v>0</v>
      </c>
      <c r="G81" s="151">
        <f>'6-6-24 vs Ensworth'!H17</f>
        <v>1</v>
      </c>
      <c r="H81" s="151">
        <f>('6-6-24 vs Ensworth'!I17)*100</f>
        <v>0</v>
      </c>
      <c r="I81" s="151">
        <f>'6-6-24 vs Ensworth'!J17</f>
        <v>0</v>
      </c>
      <c r="J81" s="151">
        <f>'6-6-24 vs Ensworth'!K17</f>
        <v>0</v>
      </c>
      <c r="K81" s="151">
        <f>('6-6-24 vs Ensworth'!L17)*100</f>
        <v>0</v>
      </c>
      <c r="L81" s="151">
        <f>'6-6-24 vs Ensworth'!M17</f>
        <v>2</v>
      </c>
      <c r="M81" s="151">
        <f>'6-6-24 vs Ensworth'!N17</f>
        <v>6</v>
      </c>
      <c r="N81" s="151">
        <f>('6-6-24 vs Ensworth'!O17)*100</f>
        <v>33.333333333333329</v>
      </c>
      <c r="O81" s="151">
        <f>'6-6-24 vs Ensworth'!P17</f>
        <v>4</v>
      </c>
      <c r="P81" s="151">
        <f>'6-6-24 vs Ensworth'!Q17</f>
        <v>0</v>
      </c>
      <c r="Q81" s="151">
        <f>'6-6-24 vs Ensworth'!R17</f>
        <v>1</v>
      </c>
      <c r="R81" s="151">
        <f>'6-6-24 vs Ensworth'!S17</f>
        <v>1</v>
      </c>
      <c r="S81" s="151">
        <f>'6-6-24 vs Ensworth'!T17</f>
        <v>1</v>
      </c>
      <c r="T81" s="151">
        <f>'6-6-24 vs Ensworth'!U17</f>
        <v>0</v>
      </c>
      <c r="U81" s="151">
        <f>'6-6-24 vs Ensworth'!V17</f>
        <v>0</v>
      </c>
      <c r="V81" s="151">
        <f>'6-6-24 vs Ensworth'!W17</f>
        <v>2</v>
      </c>
      <c r="W81" s="151">
        <f>'6-6-24 vs Ensworth'!X17</f>
        <v>0</v>
      </c>
      <c r="X81" s="151">
        <f>'6-6-24 vs Ensworth'!Y17</f>
        <v>3</v>
      </c>
      <c r="Y81" s="151">
        <f>'6-6-24 vs Ensworth'!Z17</f>
        <v>1</v>
      </c>
      <c r="Z81" s="151">
        <f>'6-6-24 vs Ensworth'!AA17</f>
        <v>9.1999999999999993</v>
      </c>
      <c r="AA81" t="s">
        <v>132</v>
      </c>
    </row>
    <row r="82" spans="1:27" x14ac:dyDescent="0.55000000000000004">
      <c r="A82">
        <f>'6-6-24 vs Ensworth'!B18</f>
        <v>99</v>
      </c>
      <c r="B82" t="str">
        <f>'6-6-24 vs Ensworth'!C18</f>
        <v>Team</v>
      </c>
      <c r="C82" s="151">
        <f>'6-6-24 vs Ensworth'!D18</f>
        <v>24</v>
      </c>
      <c r="D82" s="151">
        <f>'6-6-24 vs Ensworth'!E18</f>
        <v>44</v>
      </c>
      <c r="E82" s="151">
        <f>('6-6-24 vs Ensworth'!F18)*100</f>
        <v>54.54545454545454</v>
      </c>
      <c r="F82" s="151">
        <f>'6-6-24 vs Ensworth'!G18</f>
        <v>6</v>
      </c>
      <c r="G82" s="151">
        <f>'6-6-24 vs Ensworth'!H18</f>
        <v>29</v>
      </c>
      <c r="H82" s="151">
        <f>('6-6-24 vs Ensworth'!I18)*100</f>
        <v>20.689655172413794</v>
      </c>
      <c r="I82" s="151">
        <f>'6-6-24 vs Ensworth'!J18</f>
        <v>4</v>
      </c>
      <c r="J82" s="151">
        <f>'6-6-24 vs Ensworth'!K18</f>
        <v>9</v>
      </c>
      <c r="K82" s="151">
        <f>('6-6-24 vs Ensworth'!L18)*100</f>
        <v>44.444444444444443</v>
      </c>
      <c r="L82" s="151">
        <f>'6-6-24 vs Ensworth'!M18</f>
        <v>30</v>
      </c>
      <c r="M82" s="151">
        <f>'6-6-24 vs Ensworth'!N18</f>
        <v>73</v>
      </c>
      <c r="N82" s="151">
        <f>('6-6-24 vs Ensworth'!O18)*100</f>
        <v>41.095890410958901</v>
      </c>
      <c r="O82" s="151">
        <f>'6-6-24 vs Ensworth'!P18</f>
        <v>70</v>
      </c>
      <c r="P82" s="151">
        <f>'6-6-24 vs Ensworth'!Q18</f>
        <v>16</v>
      </c>
      <c r="Q82" s="151">
        <f>'6-6-24 vs Ensworth'!R18</f>
        <v>19</v>
      </c>
      <c r="R82" s="151">
        <f>'6-6-24 vs Ensworth'!S18</f>
        <v>35</v>
      </c>
      <c r="S82" s="151">
        <f>'6-6-24 vs Ensworth'!T18</f>
        <v>14</v>
      </c>
      <c r="T82" s="151">
        <f>'6-6-24 vs Ensworth'!U18</f>
        <v>11</v>
      </c>
      <c r="U82" s="151">
        <f>'6-6-24 vs Ensworth'!V18</f>
        <v>4</v>
      </c>
      <c r="V82" s="151">
        <f>'6-6-24 vs Ensworth'!W18</f>
        <v>19</v>
      </c>
      <c r="W82" s="151">
        <f>'6-6-24 vs Ensworth'!X18</f>
        <v>0</v>
      </c>
      <c r="X82" s="151">
        <f>'6-6-24 vs Ensworth'!Y18</f>
        <v>17</v>
      </c>
      <c r="Y82" s="151">
        <f>'6-6-24 vs Ensworth'!Z18</f>
        <v>17</v>
      </c>
      <c r="Z82" s="151">
        <f>'6-6-24 vs Ensworth'!AA18</f>
        <v>160.01999999999998</v>
      </c>
      <c r="AA82" t="s">
        <v>132</v>
      </c>
    </row>
    <row r="83" spans="1:27" x14ac:dyDescent="0.55000000000000004">
      <c r="A83">
        <f>'6-7-24 vs MBA'!B3</f>
        <v>0</v>
      </c>
      <c r="B83" t="str">
        <f>'6-7-24 vs MBA'!C3</f>
        <v>Lewis</v>
      </c>
      <c r="C83" s="151">
        <f>'6-7-24 vs MBA'!D3</f>
        <v>2</v>
      </c>
      <c r="D83" s="151">
        <f>'6-7-24 vs MBA'!E3</f>
        <v>4</v>
      </c>
      <c r="E83" s="151">
        <f>('6-7-24 vs MBA'!F3)*100</f>
        <v>50</v>
      </c>
      <c r="F83" s="151">
        <f>'6-7-24 vs MBA'!G3</f>
        <v>0</v>
      </c>
      <c r="G83" s="151">
        <f>'6-7-24 vs MBA'!H3</f>
        <v>0</v>
      </c>
      <c r="H83" s="151">
        <f>('6-7-24 vs MBA'!I3)*100</f>
        <v>0</v>
      </c>
      <c r="I83" s="151">
        <f>'6-7-24 vs MBA'!J3</f>
        <v>0</v>
      </c>
      <c r="J83" s="151">
        <f>'6-7-24 vs MBA'!K3</f>
        <v>0</v>
      </c>
      <c r="K83" s="151">
        <f>('6-7-24 vs MBA'!L3)*100</f>
        <v>0</v>
      </c>
      <c r="L83" s="151">
        <f>'6-7-24 vs MBA'!M3</f>
        <v>2</v>
      </c>
      <c r="M83" s="151">
        <f>'6-7-24 vs MBA'!N3</f>
        <v>4</v>
      </c>
      <c r="N83" s="151">
        <f>('6-7-24 vs MBA'!O3)*100</f>
        <v>50</v>
      </c>
      <c r="O83" s="151">
        <f>'6-7-24 vs MBA'!P3</f>
        <v>4</v>
      </c>
      <c r="P83" s="151">
        <f>'6-7-24 vs MBA'!Q3</f>
        <v>0</v>
      </c>
      <c r="Q83" s="151">
        <f>'6-7-24 vs MBA'!R3</f>
        <v>5</v>
      </c>
      <c r="R83" s="151">
        <f>'6-7-24 vs MBA'!S3</f>
        <v>5</v>
      </c>
      <c r="S83" s="151">
        <f>'6-7-24 vs MBA'!T3</f>
        <v>2</v>
      </c>
      <c r="T83" s="151">
        <f>'6-7-24 vs MBA'!U3</f>
        <v>1</v>
      </c>
      <c r="U83" s="151">
        <f>'6-7-24 vs MBA'!V3</f>
        <v>0</v>
      </c>
      <c r="V83" s="151">
        <f>'6-7-24 vs MBA'!W3</f>
        <v>0</v>
      </c>
      <c r="W83" s="151">
        <f>'6-7-24 vs MBA'!X3</f>
        <v>0</v>
      </c>
      <c r="X83" s="151">
        <f>'6-7-24 vs MBA'!Y3</f>
        <v>0</v>
      </c>
      <c r="Y83" s="151">
        <f>'6-7-24 vs MBA'!Z3</f>
        <v>0</v>
      </c>
      <c r="Z83" s="151">
        <f>'6-7-24 vs MBA'!AA3</f>
        <v>10</v>
      </c>
      <c r="AA83" t="s">
        <v>137</v>
      </c>
    </row>
    <row r="84" spans="1:27" x14ac:dyDescent="0.55000000000000004">
      <c r="A84">
        <f>'6-7-24 vs MBA'!B4</f>
        <v>1</v>
      </c>
      <c r="B84" t="str">
        <f>'6-7-24 vs MBA'!C4</f>
        <v>Walker</v>
      </c>
      <c r="C84" s="151">
        <f>'6-7-24 vs MBA'!D4</f>
        <v>0</v>
      </c>
      <c r="D84" s="151">
        <f>'6-7-24 vs MBA'!E4</f>
        <v>1</v>
      </c>
      <c r="E84" s="151">
        <f>('6-7-24 vs MBA'!F4)*100</f>
        <v>0</v>
      </c>
      <c r="F84" s="151">
        <f>'6-7-24 vs MBA'!G4</f>
        <v>0</v>
      </c>
      <c r="G84" s="151">
        <f>'6-7-24 vs MBA'!H4</f>
        <v>1</v>
      </c>
      <c r="H84" s="151">
        <f>('6-7-24 vs MBA'!I4)*100</f>
        <v>0</v>
      </c>
      <c r="I84" s="151">
        <f>'6-7-24 vs MBA'!J4</f>
        <v>0</v>
      </c>
      <c r="J84" s="151">
        <f>'6-7-24 vs MBA'!K4</f>
        <v>0</v>
      </c>
      <c r="K84" s="151">
        <f>('6-7-24 vs MBA'!L4)*100</f>
        <v>0</v>
      </c>
      <c r="L84" s="151">
        <f>'6-7-24 vs MBA'!M4</f>
        <v>0</v>
      </c>
      <c r="M84" s="151">
        <f>'6-7-24 vs MBA'!N4</f>
        <v>2</v>
      </c>
      <c r="N84" s="151">
        <f>('6-7-24 vs MBA'!O4)*100</f>
        <v>0</v>
      </c>
      <c r="O84" s="151">
        <f>'6-7-24 vs MBA'!P4</f>
        <v>0</v>
      </c>
      <c r="P84" s="151">
        <f>'6-7-24 vs MBA'!Q4</f>
        <v>0</v>
      </c>
      <c r="Q84" s="151">
        <f>'6-7-24 vs MBA'!R4</f>
        <v>1</v>
      </c>
      <c r="R84" s="151">
        <f>'6-7-24 vs MBA'!S4</f>
        <v>1</v>
      </c>
      <c r="S84" s="151">
        <f>'6-7-24 vs MBA'!T4</f>
        <v>0</v>
      </c>
      <c r="T84" s="151">
        <f>'6-7-24 vs MBA'!U4</f>
        <v>1</v>
      </c>
      <c r="U84" s="151">
        <f>'6-7-24 vs MBA'!V4</f>
        <v>0</v>
      </c>
      <c r="V84" s="151">
        <f>'6-7-24 vs MBA'!W4</f>
        <v>0</v>
      </c>
      <c r="W84" s="151">
        <f>'6-7-24 vs MBA'!X4</f>
        <v>0</v>
      </c>
      <c r="X84" s="151">
        <f>'6-7-24 vs MBA'!Y4</f>
        <v>0</v>
      </c>
      <c r="Y84" s="151">
        <f>'6-7-24 vs MBA'!Z4</f>
        <v>0</v>
      </c>
      <c r="Z84" s="151">
        <f>'6-7-24 vs MBA'!AA4</f>
        <v>8.33</v>
      </c>
      <c r="AA84" t="s">
        <v>137</v>
      </c>
    </row>
    <row r="85" spans="1:27" x14ac:dyDescent="0.55000000000000004">
      <c r="A85">
        <f>'6-7-24 vs MBA'!B5</f>
        <v>2</v>
      </c>
      <c r="B85" t="str">
        <f>'6-7-24 vs MBA'!C5</f>
        <v>Rivers</v>
      </c>
      <c r="C85" s="151">
        <f>'6-7-24 vs MBA'!D5</f>
        <v>2</v>
      </c>
      <c r="D85" s="151">
        <f>'6-7-24 vs MBA'!E5</f>
        <v>2</v>
      </c>
      <c r="E85" s="151">
        <f>('6-7-24 vs MBA'!F5)*100</f>
        <v>100</v>
      </c>
      <c r="F85" s="151">
        <f>'6-7-24 vs MBA'!G5</f>
        <v>0</v>
      </c>
      <c r="G85" s="151">
        <f>'6-7-24 vs MBA'!H5</f>
        <v>1</v>
      </c>
      <c r="H85" s="151">
        <f>('6-7-24 vs MBA'!I5)*100</f>
        <v>0</v>
      </c>
      <c r="I85" s="151">
        <f>'6-7-24 vs MBA'!J5</f>
        <v>0</v>
      </c>
      <c r="J85" s="151">
        <f>'6-7-24 vs MBA'!K5</f>
        <v>2</v>
      </c>
      <c r="K85" s="151">
        <f>('6-7-24 vs MBA'!L5)*100</f>
        <v>0</v>
      </c>
      <c r="L85" s="151">
        <f>'6-7-24 vs MBA'!M5</f>
        <v>2</v>
      </c>
      <c r="M85" s="151">
        <f>'6-7-24 vs MBA'!N5</f>
        <v>3</v>
      </c>
      <c r="N85" s="151">
        <f>('6-7-24 vs MBA'!O5)*100</f>
        <v>66.666666666666657</v>
      </c>
      <c r="O85" s="151">
        <f>'6-7-24 vs MBA'!P5</f>
        <v>4</v>
      </c>
      <c r="P85" s="151">
        <f>'6-7-24 vs MBA'!Q5</f>
        <v>1</v>
      </c>
      <c r="Q85" s="151">
        <f>'6-7-24 vs MBA'!R5</f>
        <v>1</v>
      </c>
      <c r="R85" s="151">
        <f>'6-7-24 vs MBA'!S5</f>
        <v>2</v>
      </c>
      <c r="S85" s="151">
        <f>'6-7-24 vs MBA'!T5</f>
        <v>0</v>
      </c>
      <c r="T85" s="151">
        <f>'6-7-24 vs MBA'!U5</f>
        <v>1</v>
      </c>
      <c r="U85" s="151">
        <f>'6-7-24 vs MBA'!V5</f>
        <v>0</v>
      </c>
      <c r="V85" s="151">
        <f>'6-7-24 vs MBA'!W5</f>
        <v>0</v>
      </c>
      <c r="W85" s="151">
        <f>'6-7-24 vs MBA'!X5</f>
        <v>0</v>
      </c>
      <c r="X85" s="151">
        <f>'6-7-24 vs MBA'!Y5</f>
        <v>0</v>
      </c>
      <c r="Y85" s="151">
        <f>'6-7-24 vs MBA'!Z5</f>
        <v>1</v>
      </c>
      <c r="Z85" s="151">
        <f>'6-7-24 vs MBA'!AA5</f>
        <v>13.33</v>
      </c>
      <c r="AA85" t="s">
        <v>137</v>
      </c>
    </row>
    <row r="86" spans="1:27" x14ac:dyDescent="0.55000000000000004">
      <c r="A86">
        <f>'6-7-24 vs MBA'!B6</f>
        <v>3</v>
      </c>
      <c r="B86" t="str">
        <f>'6-7-24 vs MBA'!C6</f>
        <v>Gossett</v>
      </c>
      <c r="C86" s="151">
        <f>'6-7-24 vs MBA'!D6</f>
        <v>1</v>
      </c>
      <c r="D86" s="151">
        <f>'6-7-24 vs MBA'!E6</f>
        <v>1</v>
      </c>
      <c r="E86" s="151">
        <f>('6-7-24 vs MBA'!F6)*100</f>
        <v>100</v>
      </c>
      <c r="F86" s="151">
        <f>'6-7-24 vs MBA'!G6</f>
        <v>3</v>
      </c>
      <c r="G86" s="151">
        <f>'6-7-24 vs MBA'!H6</f>
        <v>6</v>
      </c>
      <c r="H86" s="151">
        <f>('6-7-24 vs MBA'!I6)*100</f>
        <v>50</v>
      </c>
      <c r="I86" s="151">
        <f>'6-7-24 vs MBA'!J6</f>
        <v>0</v>
      </c>
      <c r="J86" s="151">
        <f>'6-7-24 vs MBA'!K6</f>
        <v>0</v>
      </c>
      <c r="K86" s="151">
        <f>('6-7-24 vs MBA'!L6)*100</f>
        <v>0</v>
      </c>
      <c r="L86" s="151">
        <f>'6-7-24 vs MBA'!M6</f>
        <v>4</v>
      </c>
      <c r="M86" s="151">
        <f>'6-7-24 vs MBA'!N6</f>
        <v>7</v>
      </c>
      <c r="N86" s="151">
        <f>('6-7-24 vs MBA'!O6)*100</f>
        <v>57.142857142857139</v>
      </c>
      <c r="O86" s="151">
        <f>'6-7-24 vs MBA'!P6</f>
        <v>11</v>
      </c>
      <c r="P86" s="151">
        <f>'6-7-24 vs MBA'!Q6</f>
        <v>0</v>
      </c>
      <c r="Q86" s="151">
        <f>'6-7-24 vs MBA'!R6</f>
        <v>0</v>
      </c>
      <c r="R86" s="151">
        <f>'6-7-24 vs MBA'!S6</f>
        <v>0</v>
      </c>
      <c r="S86" s="151">
        <f>'6-7-24 vs MBA'!T6</f>
        <v>1</v>
      </c>
      <c r="T86" s="151">
        <f>'6-7-24 vs MBA'!U6</f>
        <v>1</v>
      </c>
      <c r="U86" s="151">
        <f>'6-7-24 vs MBA'!V6</f>
        <v>0</v>
      </c>
      <c r="V86" s="151">
        <f>'6-7-24 vs MBA'!W6</f>
        <v>0</v>
      </c>
      <c r="W86" s="151">
        <f>'6-7-24 vs MBA'!X6</f>
        <v>0</v>
      </c>
      <c r="X86" s="151">
        <f>'6-7-24 vs MBA'!Y6</f>
        <v>1</v>
      </c>
      <c r="Y86" s="151">
        <f>'6-7-24 vs MBA'!Z6</f>
        <v>1</v>
      </c>
      <c r="Z86" s="151">
        <f>'6-7-24 vs MBA'!AA6</f>
        <v>9.5</v>
      </c>
      <c r="AA86" t="s">
        <v>137</v>
      </c>
    </row>
    <row r="87" spans="1:27" x14ac:dyDescent="0.55000000000000004">
      <c r="A87">
        <f>'6-7-24 vs MBA'!B7</f>
        <v>4</v>
      </c>
      <c r="B87" t="str">
        <f>'6-7-24 vs MBA'!C7</f>
        <v>Stapler</v>
      </c>
      <c r="C87" s="151">
        <f>'6-7-24 vs MBA'!D7</f>
        <v>2</v>
      </c>
      <c r="D87" s="151">
        <f>'6-7-24 vs MBA'!E7</f>
        <v>3</v>
      </c>
      <c r="E87" s="151">
        <f>('6-7-24 vs MBA'!F7)*100</f>
        <v>66.666666666666657</v>
      </c>
      <c r="F87" s="151">
        <f>'6-7-24 vs MBA'!G7</f>
        <v>2</v>
      </c>
      <c r="G87" s="151">
        <f>'6-7-24 vs MBA'!H7</f>
        <v>2</v>
      </c>
      <c r="H87" s="151">
        <f>('6-7-24 vs MBA'!I7)*100</f>
        <v>100</v>
      </c>
      <c r="I87" s="151">
        <f>'6-7-24 vs MBA'!J7</f>
        <v>0</v>
      </c>
      <c r="J87" s="151">
        <f>'6-7-24 vs MBA'!K7</f>
        <v>0</v>
      </c>
      <c r="K87" s="151">
        <f>('6-7-24 vs MBA'!L7)*100</f>
        <v>0</v>
      </c>
      <c r="L87" s="151">
        <f>'6-7-24 vs MBA'!M7</f>
        <v>4</v>
      </c>
      <c r="M87" s="151">
        <f>'6-7-24 vs MBA'!N7</f>
        <v>5</v>
      </c>
      <c r="N87" s="151">
        <f>('6-7-24 vs MBA'!O7)*100</f>
        <v>80</v>
      </c>
      <c r="O87" s="151">
        <f>'6-7-24 vs MBA'!P7</f>
        <v>10</v>
      </c>
      <c r="P87" s="151">
        <f>'6-7-24 vs MBA'!Q7</f>
        <v>0</v>
      </c>
      <c r="Q87" s="151">
        <f>'6-7-24 vs MBA'!R7</f>
        <v>3</v>
      </c>
      <c r="R87" s="151">
        <f>'6-7-24 vs MBA'!S7</f>
        <v>3</v>
      </c>
      <c r="S87" s="151">
        <f>'6-7-24 vs MBA'!T7</f>
        <v>2</v>
      </c>
      <c r="T87" s="151">
        <f>'6-7-24 vs MBA'!U7</f>
        <v>1</v>
      </c>
      <c r="U87" s="151">
        <f>'6-7-24 vs MBA'!V7</f>
        <v>0</v>
      </c>
      <c r="V87" s="151">
        <f>'6-7-24 vs MBA'!W7</f>
        <v>2</v>
      </c>
      <c r="W87" s="151">
        <f>'6-7-24 vs MBA'!X7</f>
        <v>0</v>
      </c>
      <c r="X87" s="151">
        <f>'6-7-24 vs MBA'!Y7</f>
        <v>0</v>
      </c>
      <c r="Y87" s="151">
        <f>'6-7-24 vs MBA'!Z7</f>
        <v>0</v>
      </c>
      <c r="Z87" s="151">
        <f>'6-7-24 vs MBA'!AA7</f>
        <v>13</v>
      </c>
      <c r="AA87" t="s">
        <v>137</v>
      </c>
    </row>
    <row r="88" spans="1:27" x14ac:dyDescent="0.55000000000000004">
      <c r="A88">
        <f>'6-7-24 vs MBA'!B8</f>
        <v>5</v>
      </c>
      <c r="B88" t="str">
        <f>'6-7-24 vs MBA'!C8</f>
        <v>JD</v>
      </c>
      <c r="C88" s="151">
        <f>'6-7-24 vs MBA'!D8</f>
        <v>3</v>
      </c>
      <c r="D88" s="151">
        <f>'6-7-24 vs MBA'!E8</f>
        <v>4</v>
      </c>
      <c r="E88" s="151">
        <f>('6-7-24 vs MBA'!F8)*100</f>
        <v>75</v>
      </c>
      <c r="F88" s="151">
        <f>'6-7-24 vs MBA'!G8</f>
        <v>0</v>
      </c>
      <c r="G88" s="151">
        <f>'6-7-24 vs MBA'!H8</f>
        <v>0</v>
      </c>
      <c r="H88" s="151">
        <f>('6-7-24 vs MBA'!I8)*100</f>
        <v>0</v>
      </c>
      <c r="I88" s="151">
        <f>'6-7-24 vs MBA'!J8</f>
        <v>0</v>
      </c>
      <c r="J88" s="151">
        <f>'6-7-24 vs MBA'!K8</f>
        <v>0</v>
      </c>
      <c r="K88" s="151">
        <f>('6-7-24 vs MBA'!L8)*100</f>
        <v>0</v>
      </c>
      <c r="L88" s="151">
        <f>'6-7-24 vs MBA'!M8</f>
        <v>3</v>
      </c>
      <c r="M88" s="151">
        <f>'6-7-24 vs MBA'!N8</f>
        <v>4</v>
      </c>
      <c r="N88" s="151">
        <f>('6-7-24 vs MBA'!O8)*100</f>
        <v>75</v>
      </c>
      <c r="O88" s="151">
        <f>'6-7-24 vs MBA'!P8</f>
        <v>6</v>
      </c>
      <c r="P88" s="151">
        <f>'6-7-24 vs MBA'!Q8</f>
        <v>2</v>
      </c>
      <c r="Q88" s="151">
        <f>'6-7-24 vs MBA'!R8</f>
        <v>5</v>
      </c>
      <c r="R88" s="151">
        <f>'6-7-24 vs MBA'!S8</f>
        <v>7</v>
      </c>
      <c r="S88" s="151">
        <f>'6-7-24 vs MBA'!T8</f>
        <v>4</v>
      </c>
      <c r="T88" s="151">
        <f>'6-7-24 vs MBA'!U8</f>
        <v>3</v>
      </c>
      <c r="U88" s="151">
        <f>'6-7-24 vs MBA'!V8</f>
        <v>0</v>
      </c>
      <c r="V88" s="151">
        <f>'6-7-24 vs MBA'!W8</f>
        <v>2</v>
      </c>
      <c r="W88" s="151">
        <f>'6-7-24 vs MBA'!X8</f>
        <v>0</v>
      </c>
      <c r="X88" s="151">
        <f>'6-7-24 vs MBA'!Y8</f>
        <v>1</v>
      </c>
      <c r="Y88" s="151">
        <f>'6-7-24 vs MBA'!Z8</f>
        <v>1</v>
      </c>
      <c r="Z88" s="151">
        <f>'6-7-24 vs MBA'!AA8</f>
        <v>13</v>
      </c>
      <c r="AA88" t="s">
        <v>137</v>
      </c>
    </row>
    <row r="89" spans="1:27" x14ac:dyDescent="0.55000000000000004">
      <c r="A89">
        <f>'6-7-24 vs MBA'!B9</f>
        <v>10</v>
      </c>
      <c r="B89" t="str">
        <f>'6-7-24 vs MBA'!C9</f>
        <v>Mason</v>
      </c>
      <c r="C89" s="151">
        <f>'6-7-24 vs MBA'!D9</f>
        <v>1</v>
      </c>
      <c r="D89" s="151">
        <f>'6-7-24 vs MBA'!E9</f>
        <v>1</v>
      </c>
      <c r="E89" s="151">
        <f>('6-7-24 vs MBA'!F9)*100</f>
        <v>100</v>
      </c>
      <c r="F89" s="151">
        <f>'6-7-24 vs MBA'!G9</f>
        <v>1</v>
      </c>
      <c r="G89" s="151">
        <f>'6-7-24 vs MBA'!H9</f>
        <v>3</v>
      </c>
      <c r="H89" s="151">
        <f>('6-7-24 vs MBA'!I9)*100</f>
        <v>33.333333333333329</v>
      </c>
      <c r="I89" s="151">
        <f>'6-7-24 vs MBA'!J9</f>
        <v>0</v>
      </c>
      <c r="J89" s="151">
        <f>'6-7-24 vs MBA'!K9</f>
        <v>0</v>
      </c>
      <c r="K89" s="151">
        <f>('6-7-24 vs MBA'!L9)*100</f>
        <v>0</v>
      </c>
      <c r="L89" s="151">
        <f>'6-7-24 vs MBA'!M9</f>
        <v>2</v>
      </c>
      <c r="M89" s="151">
        <f>'6-7-24 vs MBA'!N9</f>
        <v>4</v>
      </c>
      <c r="N89" s="151">
        <f>('6-7-24 vs MBA'!O9)*100</f>
        <v>50</v>
      </c>
      <c r="O89" s="151">
        <f>'6-7-24 vs MBA'!P9</f>
        <v>5</v>
      </c>
      <c r="P89" s="151">
        <f>'6-7-24 vs MBA'!Q9</f>
        <v>0</v>
      </c>
      <c r="Q89" s="151">
        <f>'6-7-24 vs MBA'!R9</f>
        <v>0</v>
      </c>
      <c r="R89" s="151">
        <f>'6-7-24 vs MBA'!S9</f>
        <v>0</v>
      </c>
      <c r="S89" s="151">
        <f>'6-7-24 vs MBA'!T9</f>
        <v>0</v>
      </c>
      <c r="T89" s="151">
        <f>'6-7-24 vs MBA'!U9</f>
        <v>0</v>
      </c>
      <c r="U89" s="151">
        <f>'6-7-24 vs MBA'!V9</f>
        <v>0</v>
      </c>
      <c r="V89" s="151">
        <f>'6-7-24 vs MBA'!W9</f>
        <v>0</v>
      </c>
      <c r="W89" s="151">
        <f>'6-7-24 vs MBA'!X9</f>
        <v>0</v>
      </c>
      <c r="X89" s="151">
        <f>'6-7-24 vs MBA'!Y9</f>
        <v>0</v>
      </c>
      <c r="Y89" s="151">
        <f>'6-7-24 vs MBA'!Z9</f>
        <v>0</v>
      </c>
      <c r="Z89" s="151">
        <f>'6-7-24 vs MBA'!AA9</f>
        <v>10.5</v>
      </c>
      <c r="AA89" t="s">
        <v>137</v>
      </c>
    </row>
    <row r="90" spans="1:27" x14ac:dyDescent="0.55000000000000004">
      <c r="A90">
        <f>'6-7-24 vs MBA'!B10</f>
        <v>11</v>
      </c>
      <c r="B90" t="str">
        <f>'6-7-24 vs MBA'!C10</f>
        <v>Pannell</v>
      </c>
      <c r="C90" s="151">
        <f>'6-7-24 vs MBA'!D10</f>
        <v>1</v>
      </c>
      <c r="D90" s="151">
        <f>'6-7-24 vs MBA'!E10</f>
        <v>2</v>
      </c>
      <c r="E90" s="151">
        <f>('6-7-24 vs MBA'!F10)*100</f>
        <v>50</v>
      </c>
      <c r="F90" s="151">
        <f>'6-7-24 vs MBA'!G10</f>
        <v>0</v>
      </c>
      <c r="G90" s="151">
        <f>'6-7-24 vs MBA'!H10</f>
        <v>0</v>
      </c>
      <c r="H90" s="151">
        <f>('6-7-24 vs MBA'!I10)*100</f>
        <v>0</v>
      </c>
      <c r="I90" s="151">
        <f>'6-7-24 vs MBA'!J10</f>
        <v>0</v>
      </c>
      <c r="J90" s="151">
        <f>'6-7-24 vs MBA'!K10</f>
        <v>0</v>
      </c>
      <c r="K90" s="151">
        <f>('6-7-24 vs MBA'!L10)*100</f>
        <v>0</v>
      </c>
      <c r="L90" s="151">
        <f>'6-7-24 vs MBA'!M10</f>
        <v>1</v>
      </c>
      <c r="M90" s="151">
        <f>'6-7-24 vs MBA'!N10</f>
        <v>2</v>
      </c>
      <c r="N90" s="151">
        <f>('6-7-24 vs MBA'!O10)*100</f>
        <v>50</v>
      </c>
      <c r="O90" s="151">
        <f>'6-7-24 vs MBA'!P10</f>
        <v>2</v>
      </c>
      <c r="P90" s="151">
        <f>'6-7-24 vs MBA'!Q10</f>
        <v>2</v>
      </c>
      <c r="Q90" s="151">
        <f>'6-7-24 vs MBA'!R10</f>
        <v>3</v>
      </c>
      <c r="R90" s="151">
        <f>'6-7-24 vs MBA'!S10</f>
        <v>5</v>
      </c>
      <c r="S90" s="151">
        <f>'6-7-24 vs MBA'!T10</f>
        <v>2</v>
      </c>
      <c r="T90" s="151">
        <f>'6-7-24 vs MBA'!U10</f>
        <v>0</v>
      </c>
      <c r="U90" s="151">
        <f>'6-7-24 vs MBA'!V10</f>
        <v>0</v>
      </c>
      <c r="V90" s="151">
        <f>'6-7-24 vs MBA'!W10</f>
        <v>0</v>
      </c>
      <c r="W90" s="151">
        <f>'6-7-24 vs MBA'!X10</f>
        <v>0</v>
      </c>
      <c r="X90" s="151">
        <f>'6-7-24 vs MBA'!Y10</f>
        <v>2</v>
      </c>
      <c r="Y90" s="151">
        <f>'6-7-24 vs MBA'!Z10</f>
        <v>0</v>
      </c>
      <c r="Z90" s="151">
        <f>'6-7-24 vs MBA'!AA10</f>
        <v>8.5</v>
      </c>
      <c r="AA90" t="s">
        <v>137</v>
      </c>
    </row>
    <row r="91" spans="1:27" x14ac:dyDescent="0.55000000000000004">
      <c r="A91">
        <f>'6-7-24 vs MBA'!B11</f>
        <v>12</v>
      </c>
      <c r="B91" t="str">
        <f>'6-7-24 vs MBA'!C11</f>
        <v>Chapman</v>
      </c>
      <c r="C91" s="151">
        <f>'6-7-24 vs MBA'!D11</f>
        <v>0</v>
      </c>
      <c r="D91" s="151">
        <f>'6-7-24 vs MBA'!E11</f>
        <v>0</v>
      </c>
      <c r="E91" s="151">
        <f>('6-7-24 vs MBA'!F11)*100</f>
        <v>0</v>
      </c>
      <c r="F91" s="151">
        <f>'6-7-24 vs MBA'!G11</f>
        <v>1</v>
      </c>
      <c r="G91" s="151">
        <f>'6-7-24 vs MBA'!H11</f>
        <v>3</v>
      </c>
      <c r="H91" s="151">
        <f>('6-7-24 vs MBA'!I11)*100</f>
        <v>33.333333333333329</v>
      </c>
      <c r="I91" s="151">
        <f>'6-7-24 vs MBA'!J11</f>
        <v>0</v>
      </c>
      <c r="J91" s="151">
        <f>'6-7-24 vs MBA'!K11</f>
        <v>0</v>
      </c>
      <c r="K91" s="151">
        <f>('6-7-24 vs MBA'!L11)*100</f>
        <v>0</v>
      </c>
      <c r="L91" s="151">
        <f>'6-7-24 vs MBA'!M11</f>
        <v>1</v>
      </c>
      <c r="M91" s="151">
        <f>'6-7-24 vs MBA'!N11</f>
        <v>3</v>
      </c>
      <c r="N91" s="151">
        <f>('6-7-24 vs MBA'!O11)*100</f>
        <v>33.333333333333329</v>
      </c>
      <c r="O91" s="151">
        <f>'6-7-24 vs MBA'!P11</f>
        <v>3</v>
      </c>
      <c r="P91" s="151">
        <f>'6-7-24 vs MBA'!Q11</f>
        <v>0</v>
      </c>
      <c r="Q91" s="151">
        <f>'6-7-24 vs MBA'!R11</f>
        <v>1</v>
      </c>
      <c r="R91" s="151">
        <f>'6-7-24 vs MBA'!S11</f>
        <v>1</v>
      </c>
      <c r="S91" s="151">
        <f>'6-7-24 vs MBA'!T11</f>
        <v>0</v>
      </c>
      <c r="T91" s="151">
        <f>'6-7-24 vs MBA'!U11</f>
        <v>0</v>
      </c>
      <c r="U91" s="151">
        <f>'6-7-24 vs MBA'!V11</f>
        <v>0</v>
      </c>
      <c r="V91" s="151">
        <f>'6-7-24 vs MBA'!W11</f>
        <v>0</v>
      </c>
      <c r="W91" s="151">
        <f>'6-7-24 vs MBA'!X11</f>
        <v>0</v>
      </c>
      <c r="X91" s="151">
        <f>'6-7-24 vs MBA'!Y11</f>
        <v>0</v>
      </c>
      <c r="Y91" s="151">
        <f>'6-7-24 vs MBA'!Z11</f>
        <v>0</v>
      </c>
      <c r="Z91" s="151">
        <f>'6-7-24 vs MBA'!AA11</f>
        <v>9.66</v>
      </c>
      <c r="AA91" t="s">
        <v>137</v>
      </c>
    </row>
    <row r="92" spans="1:27" x14ac:dyDescent="0.55000000000000004">
      <c r="A92">
        <f>'6-7-24 vs MBA'!B12</f>
        <v>24</v>
      </c>
      <c r="B92" t="str">
        <f>'6-7-24 vs MBA'!C12</f>
        <v>Carney</v>
      </c>
      <c r="C92" s="151">
        <f>'6-7-24 vs MBA'!D12</f>
        <v>0</v>
      </c>
      <c r="D92" s="151">
        <f>'6-7-24 vs MBA'!E12</f>
        <v>1</v>
      </c>
      <c r="E92" s="151">
        <f>('6-7-24 vs MBA'!F12)*100</f>
        <v>0</v>
      </c>
      <c r="F92" s="151">
        <f>'6-7-24 vs MBA'!G12</f>
        <v>0</v>
      </c>
      <c r="G92" s="151">
        <f>'6-7-24 vs MBA'!H12</f>
        <v>2</v>
      </c>
      <c r="H92" s="151">
        <f>('6-7-24 vs MBA'!I12)*100</f>
        <v>0</v>
      </c>
      <c r="I92" s="151">
        <f>'6-7-24 vs MBA'!J12</f>
        <v>0</v>
      </c>
      <c r="J92" s="151">
        <f>'6-7-24 vs MBA'!K12</f>
        <v>0</v>
      </c>
      <c r="K92" s="151">
        <f>('6-7-24 vs MBA'!L12)*100</f>
        <v>0</v>
      </c>
      <c r="L92" s="151">
        <f>'6-7-24 vs MBA'!M12</f>
        <v>0</v>
      </c>
      <c r="M92" s="151">
        <f>'6-7-24 vs MBA'!N12</f>
        <v>3</v>
      </c>
      <c r="N92" s="151">
        <f>('6-7-24 vs MBA'!O12)*100</f>
        <v>0</v>
      </c>
      <c r="O92" s="151">
        <f>'6-7-24 vs MBA'!P12</f>
        <v>0</v>
      </c>
      <c r="P92" s="151">
        <f>'6-7-24 vs MBA'!Q12</f>
        <v>1</v>
      </c>
      <c r="Q92" s="151">
        <f>'6-7-24 vs MBA'!R12</f>
        <v>1</v>
      </c>
      <c r="R92" s="151">
        <f>'6-7-24 vs MBA'!S12</f>
        <v>2</v>
      </c>
      <c r="S92" s="151">
        <f>'6-7-24 vs MBA'!T12</f>
        <v>0</v>
      </c>
      <c r="T92" s="151">
        <f>'6-7-24 vs MBA'!U12</f>
        <v>1</v>
      </c>
      <c r="U92" s="151">
        <f>'6-7-24 vs MBA'!V12</f>
        <v>0</v>
      </c>
      <c r="V92" s="151">
        <f>'6-7-24 vs MBA'!W12</f>
        <v>1</v>
      </c>
      <c r="W92" s="151">
        <f>'6-7-24 vs MBA'!X12</f>
        <v>0</v>
      </c>
      <c r="X92" s="151">
        <f>'6-7-24 vs MBA'!Y12</f>
        <v>0</v>
      </c>
      <c r="Y92" s="151">
        <f>'6-7-24 vs MBA'!Z12</f>
        <v>1</v>
      </c>
      <c r="Z92" s="151">
        <f>'6-7-24 vs MBA'!AA12</f>
        <v>11.16</v>
      </c>
      <c r="AA92" t="s">
        <v>137</v>
      </c>
    </row>
    <row r="93" spans="1:27" x14ac:dyDescent="0.55000000000000004">
      <c r="A93">
        <f>'6-7-24 vs MBA'!B13</f>
        <v>30</v>
      </c>
      <c r="B93" t="str">
        <f>'6-7-24 vs MBA'!C13</f>
        <v>Bowman</v>
      </c>
      <c r="C93" s="151">
        <f>'6-7-24 vs MBA'!D13</f>
        <v>2</v>
      </c>
      <c r="D93" s="151">
        <f>'6-7-24 vs MBA'!E13</f>
        <v>3</v>
      </c>
      <c r="E93" s="151">
        <f>('6-7-24 vs MBA'!F13)*100</f>
        <v>66.666666666666657</v>
      </c>
      <c r="F93" s="151">
        <f>'6-7-24 vs MBA'!G13</f>
        <v>0</v>
      </c>
      <c r="G93" s="151">
        <f>'6-7-24 vs MBA'!H13</f>
        <v>1</v>
      </c>
      <c r="H93" s="151">
        <f>('6-7-24 vs MBA'!I13)*100</f>
        <v>0</v>
      </c>
      <c r="I93" s="151">
        <f>'6-7-24 vs MBA'!J13</f>
        <v>0</v>
      </c>
      <c r="J93" s="151">
        <f>'6-7-24 vs MBA'!K13</f>
        <v>0</v>
      </c>
      <c r="K93" s="151">
        <f>('6-7-24 vs MBA'!L13)*100</f>
        <v>0</v>
      </c>
      <c r="L93" s="151">
        <f>'6-7-24 vs MBA'!M13</f>
        <v>2</v>
      </c>
      <c r="M93" s="151">
        <f>'6-7-24 vs MBA'!N13</f>
        <v>4</v>
      </c>
      <c r="N93" s="151">
        <f>('6-7-24 vs MBA'!O13)*100</f>
        <v>50</v>
      </c>
      <c r="O93" s="151">
        <f>'6-7-24 vs MBA'!P13</f>
        <v>4</v>
      </c>
      <c r="P93" s="151">
        <f>'6-7-24 vs MBA'!Q13</f>
        <v>2</v>
      </c>
      <c r="Q93" s="151">
        <f>'6-7-24 vs MBA'!R13</f>
        <v>1</v>
      </c>
      <c r="R93" s="151">
        <f>'6-7-24 vs MBA'!S13</f>
        <v>3</v>
      </c>
      <c r="S93" s="151">
        <f>'6-7-24 vs MBA'!T13</f>
        <v>0</v>
      </c>
      <c r="T93" s="151">
        <f>'6-7-24 vs MBA'!U13</f>
        <v>2</v>
      </c>
      <c r="U93" s="151">
        <f>'6-7-24 vs MBA'!V13</f>
        <v>0</v>
      </c>
      <c r="V93" s="151">
        <f>'6-7-24 vs MBA'!W13</f>
        <v>0</v>
      </c>
      <c r="W93" s="151">
        <f>'6-7-24 vs MBA'!X13</f>
        <v>0</v>
      </c>
      <c r="X93" s="151">
        <f>'6-7-24 vs MBA'!Y13</f>
        <v>1</v>
      </c>
      <c r="Y93" s="151">
        <f>'6-7-24 vs MBA'!Z13</f>
        <v>0</v>
      </c>
      <c r="Z93" s="151">
        <f>'6-7-24 vs MBA'!AA13</f>
        <v>15.16</v>
      </c>
      <c r="AA93" t="s">
        <v>137</v>
      </c>
    </row>
    <row r="94" spans="1:27" x14ac:dyDescent="0.55000000000000004">
      <c r="A94">
        <f>'6-7-24 vs MBA'!B14</f>
        <v>32</v>
      </c>
      <c r="B94" t="str">
        <f>'6-7-24 vs MBA'!C14</f>
        <v>Turner</v>
      </c>
      <c r="C94" s="151">
        <f>'6-7-24 vs MBA'!D14</f>
        <v>1</v>
      </c>
      <c r="D94" s="151">
        <f>'6-7-24 vs MBA'!E14</f>
        <v>2</v>
      </c>
      <c r="E94" s="151">
        <f>('6-7-24 vs MBA'!F14)*100</f>
        <v>50</v>
      </c>
      <c r="F94" s="151">
        <f>'6-7-24 vs MBA'!G14</f>
        <v>1</v>
      </c>
      <c r="G94" s="151">
        <f>'6-7-24 vs MBA'!H14</f>
        <v>1</v>
      </c>
      <c r="H94" s="151">
        <f>('6-7-24 vs MBA'!I14)*100</f>
        <v>100</v>
      </c>
      <c r="I94" s="151">
        <f>'6-7-24 vs MBA'!J14</f>
        <v>0</v>
      </c>
      <c r="J94" s="151">
        <f>'6-7-24 vs MBA'!K14</f>
        <v>0</v>
      </c>
      <c r="K94" s="151">
        <f>('6-7-24 vs MBA'!L14)*100</f>
        <v>0</v>
      </c>
      <c r="L94" s="151">
        <f>'6-7-24 vs MBA'!M14</f>
        <v>2</v>
      </c>
      <c r="M94" s="151">
        <f>'6-7-24 vs MBA'!N14</f>
        <v>3</v>
      </c>
      <c r="N94" s="151">
        <f>('6-7-24 vs MBA'!O14)*100</f>
        <v>66.666666666666657</v>
      </c>
      <c r="O94" s="151">
        <f>'6-7-24 vs MBA'!P14</f>
        <v>5</v>
      </c>
      <c r="P94" s="151">
        <f>'6-7-24 vs MBA'!Q14</f>
        <v>0</v>
      </c>
      <c r="Q94" s="151">
        <f>'6-7-24 vs MBA'!R14</f>
        <v>0</v>
      </c>
      <c r="R94" s="151">
        <f>'6-7-24 vs MBA'!S14</f>
        <v>0</v>
      </c>
      <c r="S94" s="151">
        <f>'6-7-24 vs MBA'!T14</f>
        <v>0</v>
      </c>
      <c r="T94" s="151">
        <f>'6-7-24 vs MBA'!U14</f>
        <v>1</v>
      </c>
      <c r="U94" s="151">
        <f>'6-7-24 vs MBA'!V14</f>
        <v>0</v>
      </c>
      <c r="V94" s="151">
        <f>'6-7-24 vs MBA'!W14</f>
        <v>0</v>
      </c>
      <c r="W94" s="151">
        <f>'6-7-24 vs MBA'!X14</f>
        <v>0</v>
      </c>
      <c r="X94" s="151">
        <f>'6-7-24 vs MBA'!Y14</f>
        <v>0</v>
      </c>
      <c r="Y94" s="151">
        <f>'6-7-24 vs MBA'!Z14</f>
        <v>1</v>
      </c>
      <c r="Z94" s="151">
        <f>'6-7-24 vs MBA'!AA14</f>
        <v>8.75</v>
      </c>
      <c r="AA94" t="s">
        <v>137</v>
      </c>
    </row>
    <row r="95" spans="1:27" x14ac:dyDescent="0.55000000000000004">
      <c r="A95">
        <f>'6-7-24 vs MBA'!B15</f>
        <v>33</v>
      </c>
      <c r="B95" t="str">
        <f>'6-7-24 vs MBA'!C15</f>
        <v>Bellomy</v>
      </c>
      <c r="C95" s="151">
        <f>'6-7-24 vs MBA'!D15</f>
        <v>0</v>
      </c>
      <c r="D95" s="151">
        <f>'6-7-24 vs MBA'!E15</f>
        <v>2</v>
      </c>
      <c r="E95" s="151">
        <f>('6-7-24 vs MBA'!F15)*100</f>
        <v>0</v>
      </c>
      <c r="F95" s="151">
        <f>'6-7-24 vs MBA'!G15</f>
        <v>0</v>
      </c>
      <c r="G95" s="151">
        <f>'6-7-24 vs MBA'!H15</f>
        <v>0</v>
      </c>
      <c r="H95" s="151">
        <f>('6-7-24 vs MBA'!I15)*100</f>
        <v>0</v>
      </c>
      <c r="I95" s="151">
        <f>'6-7-24 vs MBA'!J15</f>
        <v>0</v>
      </c>
      <c r="J95" s="151">
        <f>'6-7-24 vs MBA'!K15</f>
        <v>0</v>
      </c>
      <c r="K95" s="151">
        <f>('6-7-24 vs MBA'!L15)*100</f>
        <v>0</v>
      </c>
      <c r="L95" s="151">
        <f>'6-7-24 vs MBA'!M15</f>
        <v>0</v>
      </c>
      <c r="M95" s="151">
        <f>'6-7-24 vs MBA'!N15</f>
        <v>2</v>
      </c>
      <c r="N95" s="151">
        <f>('6-7-24 vs MBA'!O15)*100</f>
        <v>0</v>
      </c>
      <c r="O95" s="151">
        <f>'6-7-24 vs MBA'!P15</f>
        <v>0</v>
      </c>
      <c r="P95" s="151">
        <f>'6-7-24 vs MBA'!Q15</f>
        <v>3</v>
      </c>
      <c r="Q95" s="151">
        <f>'6-7-24 vs MBA'!R15</f>
        <v>1</v>
      </c>
      <c r="R95" s="151">
        <f>'6-7-24 vs MBA'!S15</f>
        <v>4</v>
      </c>
      <c r="S95" s="151">
        <f>'6-7-24 vs MBA'!T15</f>
        <v>1</v>
      </c>
      <c r="T95" s="151">
        <f>'6-7-24 vs MBA'!U15</f>
        <v>0</v>
      </c>
      <c r="U95" s="151">
        <f>'6-7-24 vs MBA'!V15</f>
        <v>0</v>
      </c>
      <c r="V95" s="151">
        <f>'6-7-24 vs MBA'!W15</f>
        <v>0</v>
      </c>
      <c r="W95" s="151">
        <f>'6-7-24 vs MBA'!X15</f>
        <v>0</v>
      </c>
      <c r="X95" s="151">
        <f>'6-7-24 vs MBA'!Y15</f>
        <v>1</v>
      </c>
      <c r="Y95" s="151">
        <f>'6-7-24 vs MBA'!Z15</f>
        <v>0</v>
      </c>
      <c r="Z95" s="151">
        <f>'6-7-24 vs MBA'!AA15</f>
        <v>10.5</v>
      </c>
      <c r="AA95" t="s">
        <v>137</v>
      </c>
    </row>
    <row r="96" spans="1:27" x14ac:dyDescent="0.55000000000000004">
      <c r="A96">
        <f>'6-7-24 vs MBA'!B16</f>
        <v>34</v>
      </c>
      <c r="B96" t="str">
        <f>'6-7-24 vs MBA'!C16</f>
        <v>Toms</v>
      </c>
      <c r="C96" s="151">
        <f>'6-7-24 vs MBA'!D16</f>
        <v>3</v>
      </c>
      <c r="D96" s="151">
        <f>'6-7-24 vs MBA'!E16</f>
        <v>7</v>
      </c>
      <c r="E96" s="151">
        <f>('6-7-24 vs MBA'!F16)*100</f>
        <v>42.857142857142854</v>
      </c>
      <c r="F96" s="151">
        <f>'6-7-24 vs MBA'!G16</f>
        <v>0</v>
      </c>
      <c r="G96" s="151">
        <f>'6-7-24 vs MBA'!H16</f>
        <v>0</v>
      </c>
      <c r="H96" s="151">
        <f>('6-7-24 vs MBA'!I16)*100</f>
        <v>0</v>
      </c>
      <c r="I96" s="151">
        <f>'6-7-24 vs MBA'!J16</f>
        <v>3</v>
      </c>
      <c r="J96" s="151">
        <f>'6-7-24 vs MBA'!K16</f>
        <v>4</v>
      </c>
      <c r="K96" s="151">
        <f>('6-7-24 vs MBA'!L16)*100</f>
        <v>75</v>
      </c>
      <c r="L96" s="151">
        <f>'6-7-24 vs MBA'!M16</f>
        <v>3</v>
      </c>
      <c r="M96" s="151">
        <f>'6-7-24 vs MBA'!N16</f>
        <v>7</v>
      </c>
      <c r="N96" s="151">
        <f>('6-7-24 vs MBA'!O16)*100</f>
        <v>42.857142857142854</v>
      </c>
      <c r="O96" s="151">
        <f>'6-7-24 vs MBA'!P16</f>
        <v>9</v>
      </c>
      <c r="P96" s="151">
        <f>'6-7-24 vs MBA'!Q16</f>
        <v>3</v>
      </c>
      <c r="Q96" s="151">
        <f>'6-7-24 vs MBA'!R16</f>
        <v>4</v>
      </c>
      <c r="R96" s="151">
        <f>'6-7-24 vs MBA'!S16</f>
        <v>7</v>
      </c>
      <c r="S96" s="151">
        <f>'6-7-24 vs MBA'!T16</f>
        <v>1</v>
      </c>
      <c r="T96" s="151">
        <f>'6-7-24 vs MBA'!U16</f>
        <v>0</v>
      </c>
      <c r="U96" s="151">
        <f>'6-7-24 vs MBA'!V16</f>
        <v>0</v>
      </c>
      <c r="V96" s="151">
        <f>'6-7-24 vs MBA'!W16</f>
        <v>1</v>
      </c>
      <c r="W96" s="151">
        <f>'6-7-24 vs MBA'!X16</f>
        <v>0</v>
      </c>
      <c r="X96" s="151">
        <f>'6-7-24 vs MBA'!Y16</f>
        <v>0</v>
      </c>
      <c r="Y96" s="151">
        <f>'6-7-24 vs MBA'!Z16</f>
        <v>0</v>
      </c>
      <c r="Z96" s="151">
        <f>'6-7-24 vs MBA'!AA16</f>
        <v>12.83</v>
      </c>
      <c r="AA96" t="s">
        <v>137</v>
      </c>
    </row>
    <row r="97" spans="1:27" x14ac:dyDescent="0.55000000000000004">
      <c r="A97">
        <f>'6-7-24 vs MBA'!B17</f>
        <v>55</v>
      </c>
      <c r="B97" t="str">
        <f>'6-7-24 vs MBA'!C17</f>
        <v>Baker</v>
      </c>
      <c r="C97" s="151">
        <f>'6-7-24 vs MBA'!D17</f>
        <v>1</v>
      </c>
      <c r="D97" s="151">
        <f>'6-7-24 vs MBA'!E17</f>
        <v>3</v>
      </c>
      <c r="E97" s="151">
        <f>('6-7-24 vs MBA'!F17)*100</f>
        <v>33.333333333333329</v>
      </c>
      <c r="F97" s="151">
        <f>'6-7-24 vs MBA'!G17</f>
        <v>0</v>
      </c>
      <c r="G97" s="151">
        <f>'6-7-24 vs MBA'!H17</f>
        <v>0</v>
      </c>
      <c r="H97" s="151">
        <f>('6-7-24 vs MBA'!I17)*100</f>
        <v>0</v>
      </c>
      <c r="I97" s="151">
        <f>'6-7-24 vs MBA'!J17</f>
        <v>0</v>
      </c>
      <c r="J97" s="151">
        <f>'6-7-24 vs MBA'!K17</f>
        <v>1</v>
      </c>
      <c r="K97" s="151">
        <f>('6-7-24 vs MBA'!L17)*100</f>
        <v>0</v>
      </c>
      <c r="L97" s="151">
        <f>'6-7-24 vs MBA'!M17</f>
        <v>1</v>
      </c>
      <c r="M97" s="151">
        <f>'6-7-24 vs MBA'!N17</f>
        <v>3</v>
      </c>
      <c r="N97" s="151">
        <f>('6-7-24 vs MBA'!O17)*100</f>
        <v>33.333333333333329</v>
      </c>
      <c r="O97" s="151">
        <f>'6-7-24 vs MBA'!P17</f>
        <v>2</v>
      </c>
      <c r="P97" s="151">
        <f>'6-7-24 vs MBA'!Q17</f>
        <v>0</v>
      </c>
      <c r="Q97" s="151">
        <f>'6-7-24 vs MBA'!R17</f>
        <v>1</v>
      </c>
      <c r="R97" s="151">
        <f>'6-7-24 vs MBA'!S17</f>
        <v>1</v>
      </c>
      <c r="S97" s="151">
        <f>'6-7-24 vs MBA'!T17</f>
        <v>0</v>
      </c>
      <c r="T97" s="151">
        <f>'6-7-24 vs MBA'!U17</f>
        <v>0</v>
      </c>
      <c r="U97" s="151">
        <f>'6-7-24 vs MBA'!V17</f>
        <v>0</v>
      </c>
      <c r="V97" s="151">
        <f>'6-7-24 vs MBA'!W17</f>
        <v>0</v>
      </c>
      <c r="W97" s="151">
        <f>'6-7-24 vs MBA'!X17</f>
        <v>0</v>
      </c>
      <c r="X97" s="151">
        <f>'6-7-24 vs MBA'!Y17</f>
        <v>0</v>
      </c>
      <c r="Y97" s="151">
        <f>'6-7-24 vs MBA'!Z17</f>
        <v>0</v>
      </c>
      <c r="Z97" s="151">
        <f>'6-7-24 vs MBA'!AA17</f>
        <v>5.5</v>
      </c>
      <c r="AA97" t="s">
        <v>137</v>
      </c>
    </row>
    <row r="98" spans="1:27" x14ac:dyDescent="0.55000000000000004">
      <c r="A98">
        <f>'6-7-24 vs MBA'!B18</f>
        <v>99</v>
      </c>
      <c r="B98" t="str">
        <f>'6-7-24 vs MBA'!C18</f>
        <v>Team</v>
      </c>
      <c r="C98" s="151">
        <f>'6-7-24 vs MBA'!D18</f>
        <v>19</v>
      </c>
      <c r="D98" s="151">
        <f>'6-7-24 vs MBA'!E18</f>
        <v>36</v>
      </c>
      <c r="E98" s="151">
        <f>('6-7-24 vs MBA'!F18)*100</f>
        <v>52.777777777777779</v>
      </c>
      <c r="F98" s="151">
        <f>'6-7-24 vs MBA'!G18</f>
        <v>8</v>
      </c>
      <c r="G98" s="151">
        <f>'6-7-24 vs MBA'!H18</f>
        <v>20</v>
      </c>
      <c r="H98" s="151">
        <f>('6-7-24 vs MBA'!I18)*100</f>
        <v>40</v>
      </c>
      <c r="I98" s="151">
        <f>'6-7-24 vs MBA'!J18</f>
        <v>3</v>
      </c>
      <c r="J98" s="151">
        <f>'6-7-24 vs MBA'!K18</f>
        <v>7</v>
      </c>
      <c r="K98" s="151">
        <f>('6-7-24 vs MBA'!L18)*100</f>
        <v>42.857142857142854</v>
      </c>
      <c r="L98" s="151">
        <f>'6-7-24 vs MBA'!M18</f>
        <v>27</v>
      </c>
      <c r="M98" s="151">
        <f>'6-7-24 vs MBA'!N18</f>
        <v>56</v>
      </c>
      <c r="N98" s="151">
        <f>('6-7-24 vs MBA'!O18)*100</f>
        <v>48.214285714285715</v>
      </c>
      <c r="O98" s="151">
        <f>'6-7-24 vs MBA'!P18</f>
        <v>65</v>
      </c>
      <c r="P98" s="151">
        <f>'6-7-24 vs MBA'!Q18</f>
        <v>14</v>
      </c>
      <c r="Q98" s="151">
        <f>'6-7-24 vs MBA'!R18</f>
        <v>27</v>
      </c>
      <c r="R98" s="151">
        <f>'6-7-24 vs MBA'!S18</f>
        <v>41</v>
      </c>
      <c r="S98" s="151">
        <f>'6-7-24 vs MBA'!T18</f>
        <v>13</v>
      </c>
      <c r="T98" s="151">
        <f>'6-7-24 vs MBA'!U18</f>
        <v>12</v>
      </c>
      <c r="U98" s="151">
        <f>'6-7-24 vs MBA'!V18</f>
        <v>0</v>
      </c>
      <c r="V98" s="151">
        <f>'6-7-24 vs MBA'!W18</f>
        <v>6</v>
      </c>
      <c r="W98" s="151">
        <f>'6-7-24 vs MBA'!X18</f>
        <v>0</v>
      </c>
      <c r="X98" s="151">
        <f>'6-7-24 vs MBA'!Y18</f>
        <v>6</v>
      </c>
      <c r="Y98" s="151">
        <f>'6-7-24 vs MBA'!Z18</f>
        <v>5</v>
      </c>
      <c r="Z98" s="151">
        <f>'6-7-24 vs MBA'!AA18</f>
        <v>160</v>
      </c>
      <c r="AA98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FB2-E149-6446-AF17-3B75B707365B}">
  <dimension ref="B1:BD20"/>
  <sheetViews>
    <sheetView topLeftCell="N1" zoomScaleNormal="60" zoomScalePageLayoutView="78" workbookViewId="0">
      <selection activeCell="F21" sqref="F21"/>
    </sheetView>
  </sheetViews>
  <sheetFormatPr defaultColWidth="10.83984375" defaultRowHeight="14.4" x14ac:dyDescent="0.55000000000000004"/>
  <cols>
    <col min="1" max="1" width="16.578125" customWidth="1"/>
    <col min="2" max="2" width="10.89453125" bestFit="1" customWidth="1"/>
    <col min="4" max="4" width="8.26171875" bestFit="1" customWidth="1"/>
    <col min="5" max="5" width="7.68359375" bestFit="1" customWidth="1"/>
    <col min="6" max="6" width="7.05078125" bestFit="1" customWidth="1"/>
    <col min="7" max="7" width="3.7890625" bestFit="1" customWidth="1"/>
    <col min="8" max="8" width="10.83984375" bestFit="1" customWidth="1"/>
    <col min="9" max="9" width="6.734375" bestFit="1" customWidth="1"/>
    <col min="10" max="10" width="10.83984375" bestFit="1" customWidth="1"/>
    <col min="11" max="11" width="6.68359375" customWidth="1"/>
    <col min="12" max="12" width="4.26171875" bestFit="1" customWidth="1"/>
    <col min="13" max="13" width="13.578125" bestFit="1" customWidth="1"/>
    <col min="14" max="14" width="9.5234375" customWidth="1"/>
    <col min="15" max="15" width="9.83984375" customWidth="1"/>
    <col min="16" max="16" width="12.05078125" bestFit="1" customWidth="1"/>
    <col min="17" max="17" width="8.3125" bestFit="1" customWidth="1"/>
    <col min="18" max="18" width="12.9453125" bestFit="1" customWidth="1"/>
    <col min="19" max="19" width="12.41796875" bestFit="1" customWidth="1"/>
    <col min="20" max="20" width="10.3671875" bestFit="1" customWidth="1"/>
    <col min="21" max="21" width="14.05078125" bestFit="1" customWidth="1"/>
    <col min="22" max="22" width="14.47265625" bestFit="1" customWidth="1"/>
    <col min="23" max="23" width="14.26171875" customWidth="1"/>
    <col min="24" max="24" width="9.9453125" bestFit="1" customWidth="1"/>
    <col min="25" max="25" width="9.89453125" bestFit="1" customWidth="1"/>
    <col min="26" max="26" width="10.83984375" bestFit="1" customWidth="1"/>
    <col min="27" max="27" width="15.9453125" customWidth="1"/>
    <col min="28" max="28" width="14.47265625" customWidth="1"/>
    <col min="29" max="29" width="7.41796875" bestFit="1" customWidth="1"/>
    <col min="30" max="30" width="6.41796875" bestFit="1" customWidth="1"/>
    <col min="31" max="31" width="5.734375" customWidth="1"/>
    <col min="32" max="32" width="3.15625" bestFit="1" customWidth="1"/>
    <col min="33" max="33" width="4.1015625" bestFit="1" customWidth="1"/>
    <col min="34" max="34" width="5.62890625" bestFit="1" customWidth="1"/>
    <col min="35" max="35" width="2.9453125" bestFit="1" customWidth="1"/>
    <col min="36" max="36" width="4.1015625" bestFit="1" customWidth="1"/>
    <col min="37" max="37" width="4.578125" bestFit="1" customWidth="1"/>
    <col min="38" max="38" width="2.62890625" bestFit="1" customWidth="1"/>
    <col min="39" max="39" width="3.83984375" bestFit="1" customWidth="1"/>
    <col min="40" max="40" width="5.62890625" bestFit="1" customWidth="1"/>
    <col min="41" max="41" width="3.15625" bestFit="1" customWidth="1"/>
    <col min="42" max="42" width="4.1015625" bestFit="1" customWidth="1"/>
    <col min="43" max="43" width="4.578125" bestFit="1" customWidth="1"/>
    <col min="44" max="44" width="3.15625" bestFit="1" customWidth="1"/>
    <col min="45" max="45" width="3.7890625" bestFit="1" customWidth="1"/>
    <col min="46" max="46" width="3.62890625" bestFit="1" customWidth="1"/>
    <col min="47" max="47" width="5.3125" bestFit="1" customWidth="1"/>
    <col min="48" max="49" width="3.15625" bestFit="1" customWidth="1"/>
    <col min="50" max="50" width="3.3125" bestFit="1" customWidth="1"/>
    <col min="51" max="51" width="2.83984375" bestFit="1" customWidth="1"/>
    <col min="52" max="52" width="3.83984375" bestFit="1" customWidth="1"/>
    <col min="53" max="53" width="3.62890625" bestFit="1" customWidth="1"/>
    <col min="54" max="54" width="3.15625" bestFit="1" customWidth="1"/>
    <col min="55" max="55" width="4.15625" bestFit="1" customWidth="1"/>
    <col min="56" max="56" width="10.83984375" bestFit="1" customWidth="1"/>
    <col min="58" max="58" width="10.89453125" bestFit="1" customWidth="1"/>
    <col min="59" max="59" width="13.5234375" bestFit="1" customWidth="1"/>
    <col min="60" max="61" width="10.89453125" bestFit="1" customWidth="1"/>
    <col min="62" max="62" width="12.05078125" bestFit="1" customWidth="1"/>
    <col min="63" max="63" width="10.89453125" bestFit="1" customWidth="1"/>
    <col min="64" max="64" width="13" bestFit="1" customWidth="1"/>
    <col min="67" max="67" width="14.15625" bestFit="1" customWidth="1"/>
    <col min="68" max="68" width="14.578125" bestFit="1" customWidth="1"/>
    <col min="69" max="69" width="14.41796875" bestFit="1" customWidth="1"/>
    <col min="71" max="71" width="11.47265625" bestFit="1" customWidth="1"/>
    <col min="73" max="73" width="15.734375" customWidth="1"/>
    <col min="74" max="74" width="16.47265625" customWidth="1"/>
  </cols>
  <sheetData>
    <row r="1" spans="2:56" ht="14.7" thickBot="1" x14ac:dyDescent="0.6">
      <c r="BB1" s="27"/>
      <c r="BC1" s="27"/>
      <c r="BD1" s="27"/>
    </row>
    <row r="2" spans="2:56" ht="23.1" x14ac:dyDescent="0.85">
      <c r="H2" s="145" t="s">
        <v>111</v>
      </c>
      <c r="J2" s="145" t="s">
        <v>112</v>
      </c>
      <c r="L2" s="62"/>
      <c r="M2" s="63"/>
      <c r="N2" s="163" t="s">
        <v>44</v>
      </c>
      <c r="O2" s="164"/>
      <c r="P2" s="165"/>
      <c r="Q2" s="162" t="s">
        <v>54</v>
      </c>
      <c r="R2" s="160"/>
      <c r="S2" s="160"/>
      <c r="T2" s="161"/>
      <c r="U2" s="159" t="s">
        <v>60</v>
      </c>
      <c r="V2" s="160"/>
      <c r="W2" s="161"/>
      <c r="X2" s="159" t="s">
        <v>73</v>
      </c>
      <c r="Y2" s="160"/>
      <c r="Z2" s="161"/>
      <c r="AA2" s="159" t="s">
        <v>100</v>
      </c>
      <c r="AB2" s="161"/>
    </row>
    <row r="3" spans="2:56" ht="23.1" x14ac:dyDescent="0.85">
      <c r="B3" s="11" t="s">
        <v>33</v>
      </c>
      <c r="C3" s="11" t="s">
        <v>0</v>
      </c>
      <c r="D3" s="4" t="s">
        <v>35</v>
      </c>
      <c r="E3" s="13" t="s">
        <v>15</v>
      </c>
      <c r="F3" s="4" t="s">
        <v>16</v>
      </c>
      <c r="H3" s="4" t="s">
        <v>71</v>
      </c>
      <c r="J3" s="4" t="s">
        <v>71</v>
      </c>
      <c r="L3" s="67" t="s">
        <v>33</v>
      </c>
      <c r="M3" s="68" t="s">
        <v>0</v>
      </c>
      <c r="N3" s="69" t="s">
        <v>36</v>
      </c>
      <c r="O3" s="70" t="s">
        <v>37</v>
      </c>
      <c r="P3" s="71" t="s">
        <v>41</v>
      </c>
      <c r="Q3" s="72" t="s">
        <v>45</v>
      </c>
      <c r="R3" s="73" t="s">
        <v>46</v>
      </c>
      <c r="S3" s="74" t="s">
        <v>47</v>
      </c>
      <c r="T3" s="75" t="s">
        <v>48</v>
      </c>
      <c r="U3" s="76" t="s">
        <v>57</v>
      </c>
      <c r="V3" s="77" t="s">
        <v>58</v>
      </c>
      <c r="W3" s="78" t="s">
        <v>59</v>
      </c>
      <c r="X3" s="72" t="s">
        <v>72</v>
      </c>
      <c r="Y3" s="77" t="s">
        <v>74</v>
      </c>
      <c r="Z3" s="79" t="s">
        <v>94</v>
      </c>
      <c r="AA3" s="80" t="s">
        <v>99</v>
      </c>
      <c r="AB3" s="79" t="s">
        <v>61</v>
      </c>
    </row>
    <row r="4" spans="2:56" ht="23.1" x14ac:dyDescent="0.85">
      <c r="B4" s="11">
        <v>0</v>
      </c>
      <c r="C4" s="11" t="s">
        <v>17</v>
      </c>
      <c r="D4" s="156">
        <f>(SUM(Template:END!AA3))/F4</f>
        <v>6.5659999999999998</v>
      </c>
      <c r="E4" s="157">
        <f>(SUM(Template:END!P3))/F4</f>
        <v>0.8</v>
      </c>
      <c r="F4" s="16">
        <v>5</v>
      </c>
      <c r="H4" s="61">
        <f>(SUM(Template:END!AB3))/F20</f>
        <v>58.302476465201458</v>
      </c>
      <c r="J4" s="61">
        <f>(SUM(Template:END!BD3))/F20</f>
        <v>52.778790209359599</v>
      </c>
      <c r="L4" s="67">
        <v>0</v>
      </c>
      <c r="M4" s="68" t="s">
        <v>17</v>
      </c>
      <c r="N4" s="81">
        <f>(SUM(Template:END!BH3))/$F4</f>
        <v>0.1</v>
      </c>
      <c r="O4" s="81">
        <f>(SUM(Template:END!BI3))/$F4</f>
        <v>0.1</v>
      </c>
      <c r="P4" s="81">
        <f>(SUM(Template:END!BJ3))/$F4</f>
        <v>0.12201628384812035</v>
      </c>
      <c r="Q4" s="81">
        <f>(SUM(Template:END!BK3))/$F4</f>
        <v>0.10092864960282436</v>
      </c>
      <c r="R4" s="81">
        <f>(SUM(Template:END!BL3))/$F4</f>
        <v>0.15714285714285714</v>
      </c>
      <c r="S4" s="81">
        <f>(SUM(Template:END!BM3))/$F4</f>
        <v>0.19523809523809521</v>
      </c>
      <c r="T4" s="106">
        <f>(SUM(Template:END!BN3))/$F4</f>
        <v>0.6</v>
      </c>
      <c r="U4" s="81">
        <f>(SUM(Template:END!BO3))/$F4</f>
        <v>9.7965714285714267E-2</v>
      </c>
      <c r="V4" s="81">
        <f>(SUM(Template:END!BP3))/$F4</f>
        <v>0.14913755485893415</v>
      </c>
      <c r="W4" s="81">
        <f>(SUM(Template:END!BQ3))/$F4</f>
        <v>0.11919851788573914</v>
      </c>
      <c r="X4" s="106">
        <f>(SUM(Template:END!BR3))/$F4</f>
        <v>65.96210221393342</v>
      </c>
      <c r="Y4" s="106">
        <f>(SUM(Template:END!BS3))/$F4</f>
        <v>44.252704032845067</v>
      </c>
      <c r="Z4" s="106">
        <f>(SUM(Template:END!BT3))/$F4</f>
        <v>-21.709398181088364</v>
      </c>
      <c r="AA4" s="81">
        <f>(SUM(Template:END!BU3))/$F4</f>
        <v>2.1480833440505852E-2</v>
      </c>
      <c r="AB4" s="106">
        <f>(SUM(Template:END!BV3))/$F4</f>
        <v>2.62</v>
      </c>
    </row>
    <row r="5" spans="2:56" ht="23.1" x14ac:dyDescent="0.85">
      <c r="B5" s="11">
        <v>1</v>
      </c>
      <c r="C5" s="11" t="s">
        <v>18</v>
      </c>
      <c r="D5" s="156">
        <f>(SUM(Template:END!AA4))/F5</f>
        <v>15.465999999999999</v>
      </c>
      <c r="E5" s="157">
        <f>(SUM(Template:END!P4))/F5</f>
        <v>7.4</v>
      </c>
      <c r="F5" s="19">
        <v>5</v>
      </c>
      <c r="L5" s="67">
        <v>1</v>
      </c>
      <c r="M5" s="68" t="s">
        <v>18</v>
      </c>
      <c r="N5" s="86">
        <f>(SUM(Template:END!BH4))/$F5</f>
        <v>0.41666666666666669</v>
      </c>
      <c r="O5" s="86">
        <f>(SUM(Template:END!BI4))/$F5</f>
        <v>0.45129383829583691</v>
      </c>
      <c r="P5" s="86">
        <f>(SUM(Template:END!BJ4))/$F5</f>
        <v>0.22786271340518072</v>
      </c>
      <c r="Q5" s="86">
        <f>(SUM(Template:END!BK4))/$F5</f>
        <v>7.7980167369719522E-2</v>
      </c>
      <c r="R5" s="86">
        <f>(SUM(Template:END!BL4))/$F5</f>
        <v>6.9615587151132169E-2</v>
      </c>
      <c r="S5" s="86">
        <f>(SUM(Template:END!BM4))/$F5</f>
        <v>0.18426297241463113</v>
      </c>
      <c r="T5" s="107">
        <f>(SUM(Template:END!BN4))/$F5</f>
        <v>0.33333333333333331</v>
      </c>
      <c r="U5" s="86">
        <f>(SUM(Template:END!BO4))/$F5</f>
        <v>1.5454106280193234E-2</v>
      </c>
      <c r="V5" s="86">
        <f>(SUM(Template:END!BP4))/$F5</f>
        <v>0.16439707212747945</v>
      </c>
      <c r="W5" s="86">
        <f>(SUM(Template:END!BQ4))/$F5</f>
        <v>9.0567259083997459E-2</v>
      </c>
      <c r="X5" s="107">
        <f>(SUM(Template:END!BR4))/$F5</f>
        <v>89.241320927130531</v>
      </c>
      <c r="Y5" s="107">
        <f>(SUM(Template:END!BS4))/$F5</f>
        <v>87.638349953370223</v>
      </c>
      <c r="Z5" s="107">
        <f>(SUM(Template:END!BT4))/$F5</f>
        <v>-1.6029709737603099</v>
      </c>
      <c r="AA5" s="86">
        <f>(SUM(Template:END!BU4))/$F5</f>
        <v>6.1438118722275538E-2</v>
      </c>
      <c r="AB5" s="107">
        <f>(SUM(Template:END!BV4))/$F5</f>
        <v>4.1659999999999995</v>
      </c>
    </row>
    <row r="6" spans="2:56" ht="23.1" x14ac:dyDescent="0.85">
      <c r="B6" s="11">
        <v>2</v>
      </c>
      <c r="C6" s="11" t="s">
        <v>19</v>
      </c>
      <c r="D6" s="156">
        <f>(SUM(Template:END!AA5))/F6</f>
        <v>15.166</v>
      </c>
      <c r="E6" s="157">
        <f>(SUM(Template:END!P5))/F6</f>
        <v>6.8</v>
      </c>
      <c r="F6" s="16">
        <v>5</v>
      </c>
      <c r="H6" s="4" t="s">
        <v>98</v>
      </c>
      <c r="J6" s="4" t="s">
        <v>98</v>
      </c>
      <c r="L6" s="67">
        <v>2</v>
      </c>
      <c r="M6" s="68" t="s">
        <v>19</v>
      </c>
      <c r="N6" s="81">
        <f>(SUM(Template:END!BH5))/$F6</f>
        <v>0.54404761904761911</v>
      </c>
      <c r="O6" s="81">
        <f>(SUM(Template:END!BI5))/$F6</f>
        <v>0.54222823875736115</v>
      </c>
      <c r="P6" s="81">
        <f>(SUM(Template:END!BJ5))/$F6</f>
        <v>0.21431901075881088</v>
      </c>
      <c r="Q6" s="81">
        <f>(SUM(Template:END!BK5))/$F6</f>
        <v>8.5076362349786813E-2</v>
      </c>
      <c r="R6" s="81">
        <f>(SUM(Template:END!BL5))/$F6</f>
        <v>7.9661814220637756E-2</v>
      </c>
      <c r="S6" s="81">
        <f>(SUM(Template:END!BM5))/$F6</f>
        <v>0.15141834610976368</v>
      </c>
      <c r="T6" s="106">
        <f>(SUM(Template:END!BN5))/$F6</f>
        <v>0.2</v>
      </c>
      <c r="U6" s="81">
        <f>(SUM(Template:END!BO5))/$F6</f>
        <v>4.9078827860811344E-2</v>
      </c>
      <c r="V6" s="81">
        <f>(SUM(Template:END!BP5))/$F6</f>
        <v>0.14579279816864202</v>
      </c>
      <c r="W6" s="81">
        <f>(SUM(Template:END!BQ5))/$F6</f>
        <v>9.9552334313218721E-2</v>
      </c>
      <c r="X6" s="106">
        <f>(SUM(Template:END!BR5))/$F6</f>
        <v>86.806594179901481</v>
      </c>
      <c r="Y6" s="106">
        <f>(SUM(Template:END!BS5))/$F6</f>
        <v>115.20540354550812</v>
      </c>
      <c r="Z6" s="106">
        <f>(SUM(Template:END!BT5))/$F6</f>
        <v>28.398809365606621</v>
      </c>
      <c r="AA6" s="81">
        <f>(SUM(Template:END!BU5))/$F6</f>
        <v>5.9066710384217916E-2</v>
      </c>
      <c r="AB6" s="106">
        <f>(SUM(Template:END!BV5))/$F6</f>
        <v>5.0359999999999996</v>
      </c>
    </row>
    <row r="7" spans="2:56" ht="23.1" x14ac:dyDescent="0.85">
      <c r="B7" s="11">
        <v>3</v>
      </c>
      <c r="C7" s="11" t="s">
        <v>20</v>
      </c>
      <c r="D7" s="156">
        <f>(SUM(Template:END!AA6))/F7</f>
        <v>11.191999999999998</v>
      </c>
      <c r="E7" s="157">
        <f>(SUM(Template:END!P6))/F7</f>
        <v>5</v>
      </c>
      <c r="F7" s="19">
        <v>5</v>
      </c>
      <c r="H7" s="61">
        <f>(SUM(Template:END!AB6))/F20</f>
        <v>72.87809558150181</v>
      </c>
      <c r="J7" s="61">
        <f>(SUM(Template:END!BD6))/F20</f>
        <v>65.973487761699502</v>
      </c>
      <c r="L7" s="67">
        <v>3</v>
      </c>
      <c r="M7" s="68" t="s">
        <v>20</v>
      </c>
      <c r="N7" s="86">
        <f>(SUM(Template:END!BH6))/$F7</f>
        <v>0.51666666666666672</v>
      </c>
      <c r="O7" s="86">
        <f>(SUM(Template:END!BI6))/$F7</f>
        <v>0.51666666666666672</v>
      </c>
      <c r="P7" s="86">
        <f>(SUM(Template:END!BJ6))/$F7</f>
        <v>0.23000666102156747</v>
      </c>
      <c r="Q7" s="86">
        <f>(SUM(Template:END!BK6))/$F7</f>
        <v>0.16422151880576635</v>
      </c>
      <c r="R7" s="86">
        <f>(SUM(Template:END!BL6))/$F7</f>
        <v>0.18722222222222223</v>
      </c>
      <c r="S7" s="86">
        <f>(SUM(Template:END!BM6))/$F7</f>
        <v>0.16722222222222222</v>
      </c>
      <c r="T7" s="107">
        <f>(SUM(Template:END!BN6))/$F7</f>
        <v>0.66666666666666674</v>
      </c>
      <c r="U7" s="86">
        <f>(SUM(Template:END!BO6))/$F7</f>
        <v>0</v>
      </c>
      <c r="V7" s="86">
        <f>(SUM(Template:END!BP6))/$F7</f>
        <v>7.1595497603465577E-2</v>
      </c>
      <c r="W7" s="86">
        <f>(SUM(Template:END!BQ6))/$F7</f>
        <v>3.9212618332979163E-2</v>
      </c>
      <c r="X7" s="107">
        <f>(SUM(Template:END!BR6))/$F7</f>
        <v>88.063103930766289</v>
      </c>
      <c r="Y7" s="107">
        <f>(SUM(Template:END!BS6))/$F7</f>
        <v>103.14483544841896</v>
      </c>
      <c r="Z7" s="107">
        <f>(SUM(Template:END!BT6))/$F7</f>
        <v>15.081731517652694</v>
      </c>
      <c r="AA7" s="86">
        <f>(SUM(Template:END!BU6))/$F7</f>
        <v>3.9397589556526502E-2</v>
      </c>
      <c r="AB7" s="107">
        <f>(SUM(Template:END!BV6))/$F7</f>
        <v>2.9899999999999993</v>
      </c>
    </row>
    <row r="8" spans="2:56" ht="23.1" x14ac:dyDescent="0.85">
      <c r="B8" s="11">
        <v>4</v>
      </c>
      <c r="C8" s="11" t="s">
        <v>21</v>
      </c>
      <c r="D8" s="156">
        <f>(SUM(Template:END!AA7))/F8</f>
        <v>16.332000000000001</v>
      </c>
      <c r="E8" s="157">
        <f>(SUM(Template:END!P7))/F8</f>
        <v>6</v>
      </c>
      <c r="F8" s="16">
        <v>5</v>
      </c>
      <c r="L8" s="67">
        <v>4</v>
      </c>
      <c r="M8" s="68" t="s">
        <v>21</v>
      </c>
      <c r="N8" s="81">
        <f>(SUM(Template:END!BH7))/$F8</f>
        <v>0.5625</v>
      </c>
      <c r="O8" s="81">
        <f>(SUM(Template:END!BI7))/$F8</f>
        <v>0.56741803278688518</v>
      </c>
      <c r="P8" s="81">
        <f>(SUM(Template:END!BJ7))/$F8</f>
        <v>0.16689166376649636</v>
      </c>
      <c r="Q8" s="81">
        <f>(SUM(Template:END!BK7))/$F8</f>
        <v>0.23512526263016112</v>
      </c>
      <c r="R8" s="81">
        <f>(SUM(Template:END!BL7))/$F8</f>
        <v>0.28060606060606064</v>
      </c>
      <c r="S8" s="81">
        <f>(SUM(Template:END!BM7))/$F8</f>
        <v>9.5000000000000001E-2</v>
      </c>
      <c r="T8" s="106">
        <f>(SUM(Template:END!BN7))/$F8</f>
        <v>0.93333333333333335</v>
      </c>
      <c r="U8" s="81">
        <f>(SUM(Template:END!BO7))/$F8</f>
        <v>3.7841824729891956E-2</v>
      </c>
      <c r="V8" s="81">
        <f>(SUM(Template:END!BP7))/$F8</f>
        <v>8.71572923906722E-2</v>
      </c>
      <c r="W8" s="81">
        <f>(SUM(Template:END!BQ7))/$F8</f>
        <v>6.565990940985883E-2</v>
      </c>
      <c r="X8" s="106">
        <f>(SUM(Template:END!BR7))/$F8</f>
        <v>91.369377769322938</v>
      </c>
      <c r="Y8" s="106">
        <f>(SUM(Template:END!BS7))/$F8</f>
        <v>149.54537435525526</v>
      </c>
      <c r="Z8" s="106">
        <f>(SUM(Template:END!BT7))/$F8</f>
        <v>58.175996585932332</v>
      </c>
      <c r="AA8" s="81">
        <f>(SUM(Template:END!BU7))/$F8</f>
        <v>7.6493426450850596E-2</v>
      </c>
      <c r="AB8" s="106">
        <f>(SUM(Template:END!BV7))/$F8</f>
        <v>6.5740000000000007</v>
      </c>
    </row>
    <row r="9" spans="2:56" ht="23.1" x14ac:dyDescent="0.85">
      <c r="B9" s="11">
        <v>5</v>
      </c>
      <c r="C9" s="11" t="s">
        <v>22</v>
      </c>
      <c r="D9" s="156">
        <f>(SUM(Template:END!AA8))/F9</f>
        <v>16.666</v>
      </c>
      <c r="E9" s="157">
        <f>(SUM(Template:END!P8))/F9</f>
        <v>11</v>
      </c>
      <c r="F9" s="19">
        <v>5</v>
      </c>
      <c r="H9" s="4" t="s">
        <v>113</v>
      </c>
      <c r="J9" s="4" t="s">
        <v>113</v>
      </c>
      <c r="L9" s="67">
        <v>5</v>
      </c>
      <c r="M9" s="68" t="s">
        <v>22</v>
      </c>
      <c r="N9" s="86">
        <f>(SUM(Template:END!BH8))/$F9</f>
        <v>0.67767676767676777</v>
      </c>
      <c r="O9" s="86">
        <f>(SUM(Template:END!BI8))/$F9</f>
        <v>0.67461344914271337</v>
      </c>
      <c r="P9" s="86">
        <f>(SUM(Template:END!BJ8))/$F9</f>
        <v>0.26179643850773709</v>
      </c>
      <c r="Q9" s="86">
        <f>(SUM(Template:END!BK8))/$F9</f>
        <v>0.38450131990639086</v>
      </c>
      <c r="R9" s="86">
        <f>(SUM(Template:END!BL8))/$F9</f>
        <v>0.25446126970275457</v>
      </c>
      <c r="S9" s="86">
        <f>(SUM(Template:END!BM8))/$F9</f>
        <v>0.18144324953258617</v>
      </c>
      <c r="T9" s="107">
        <f>(SUM(Template:END!BN8))/$F9</f>
        <v>1.9333333333333331</v>
      </c>
      <c r="U9" s="86">
        <f>(SUM(Template:END!BO8))/$F9</f>
        <v>0.23075607450329386</v>
      </c>
      <c r="V9" s="86">
        <f>(SUM(Template:END!BP8))/$F9</f>
        <v>0.21622513276068295</v>
      </c>
      <c r="W9" s="86">
        <f>(SUM(Template:END!BQ8))/$F9</f>
        <v>0.22085798253982972</v>
      </c>
      <c r="X9" s="107">
        <f>(SUM(Template:END!BR8))/$F9</f>
        <v>73.043368197611571</v>
      </c>
      <c r="Y9" s="107">
        <f>(SUM(Template:END!BS8))/$F9</f>
        <v>132.03726725688949</v>
      </c>
      <c r="Z9" s="107">
        <f>(SUM(Template:END!BT8))/$F9</f>
        <v>58.993899059277894</v>
      </c>
      <c r="AA9" s="86">
        <f>(SUM(Template:END!BU8))/$F9</f>
        <v>0.15247231829544761</v>
      </c>
      <c r="AB9" s="107">
        <f>(SUM(Template:END!BV8))/$F9</f>
        <v>13.919999999999998</v>
      </c>
    </row>
    <row r="10" spans="2:56" ht="23.1" x14ac:dyDescent="0.85">
      <c r="B10" s="11">
        <v>10</v>
      </c>
      <c r="C10" s="11" t="s">
        <v>23</v>
      </c>
      <c r="D10" s="156">
        <f>(SUM(Template:END!AA9))/F10</f>
        <v>7.8159999999999998</v>
      </c>
      <c r="E10" s="157">
        <f>(SUM(Template:END!P9))/F10</f>
        <v>3.2</v>
      </c>
      <c r="F10" s="16">
        <v>5</v>
      </c>
      <c r="H10" s="61">
        <f>E20/H4</f>
        <v>1.084001981248973</v>
      </c>
      <c r="J10" s="61">
        <f>((SUM(Template:END!$AR$18))/averageadvanced!$F$20)/J4</f>
        <v>0.83366821834042726</v>
      </c>
      <c r="L10" s="67">
        <v>10</v>
      </c>
      <c r="M10" s="68" t="s">
        <v>23</v>
      </c>
      <c r="N10" s="81">
        <f>(SUM(Template:END!BH9))/$F10</f>
        <v>0.55499999999999994</v>
      </c>
      <c r="O10" s="81">
        <f>(SUM(Template:END!BI9))/$F10</f>
        <v>0.57704081632653059</v>
      </c>
      <c r="P10" s="81">
        <f>(SUM(Template:END!BJ9))/$F10</f>
        <v>0.20992725142262753</v>
      </c>
      <c r="Q10" s="81">
        <f>(SUM(Template:END!BK9))/$F10</f>
        <v>3.4137599999999997E-2</v>
      </c>
      <c r="R10" s="81">
        <f>(SUM(Template:END!BL9))/$F10</f>
        <v>0.05</v>
      </c>
      <c r="S10" s="81">
        <f>(SUM(Template:END!BM9))/$F10</f>
        <v>0.15</v>
      </c>
      <c r="T10" s="106">
        <f>(SUM(Template:END!BN9))/$F10</f>
        <v>0.2</v>
      </c>
      <c r="U10" s="81">
        <f>(SUM(Template:END!BO9))/$F10</f>
        <v>2.539682539682539E-2</v>
      </c>
      <c r="V10" s="81">
        <f>(SUM(Template:END!BP9))/$F10</f>
        <v>0.19310718311239672</v>
      </c>
      <c r="W10" s="81">
        <f>(SUM(Template:END!BQ9))/$F10</f>
        <v>0.10872802524986705</v>
      </c>
      <c r="X10" s="106">
        <f>(SUM(Template:END!BR9))/$F10</f>
        <v>86.676393172214176</v>
      </c>
      <c r="Y10" s="106">
        <f>(SUM(Template:END!BS9))/$F10</f>
        <v>93.810940879372623</v>
      </c>
      <c r="Z10" s="106">
        <f>(SUM(Template:END!BT9))/$F10</f>
        <v>7.1345477071584495</v>
      </c>
      <c r="AA10" s="81">
        <f>(SUM(Template:END!BU9))/$F10</f>
        <v>2.5954139848635482E-2</v>
      </c>
      <c r="AB10" s="106">
        <f>(SUM(Template:END!BV9))/$F10</f>
        <v>1.9780000000000002</v>
      </c>
    </row>
    <row r="11" spans="2:56" ht="23.1" x14ac:dyDescent="0.85">
      <c r="B11" s="11">
        <v>11</v>
      </c>
      <c r="C11" s="11" t="s">
        <v>24</v>
      </c>
      <c r="D11" s="156">
        <f>(SUM(Template:END!AA10))/F11</f>
        <v>9.418000000000001</v>
      </c>
      <c r="E11" s="157">
        <f>(SUM(Template:END!P10))/F11</f>
        <v>2.6</v>
      </c>
      <c r="F11" s="19">
        <v>5</v>
      </c>
      <c r="L11" s="67">
        <v>11</v>
      </c>
      <c r="M11" s="68" t="s">
        <v>24</v>
      </c>
      <c r="N11" s="86">
        <f>(SUM(Template:END!BH10))/$F11</f>
        <v>0.67333333333333334</v>
      </c>
      <c r="O11" s="86">
        <f>(SUM(Template:END!BI10))/$F11</f>
        <v>0.60451957415268509</v>
      </c>
      <c r="P11" s="86">
        <f>(SUM(Template:END!BJ10))/$F11</f>
        <v>0.18394319520990049</v>
      </c>
      <c r="Q11" s="86">
        <f>(SUM(Template:END!BK10))/$F11</f>
        <v>0.17979847096523249</v>
      </c>
      <c r="R11" s="86">
        <f>(SUM(Template:END!BL10))/$F11</f>
        <v>0.22685479597244304</v>
      </c>
      <c r="S11" s="86">
        <f>(SUM(Template:END!BM10))/$F11</f>
        <v>0.19072025061114245</v>
      </c>
      <c r="T11" s="107">
        <f>(SUM(Template:END!BN10))/$F11</f>
        <v>0.48</v>
      </c>
      <c r="U11" s="86">
        <f>(SUM(Template:END!BO10))/$F11</f>
        <v>0.1038923603629486</v>
      </c>
      <c r="V11" s="86">
        <f>(SUM(Template:END!BP10))/$F11</f>
        <v>0.19416387809541774</v>
      </c>
      <c r="W11" s="86">
        <f>(SUM(Template:END!BQ10))/$F11</f>
        <v>0.14880872259187775</v>
      </c>
      <c r="X11" s="107">
        <f>(SUM(Template:END!BR10))/$F11</f>
        <v>86.826469747275326</v>
      </c>
      <c r="Y11" s="107">
        <f>(SUM(Template:END!BS10))/$F11</f>
        <v>120.02173272897608</v>
      </c>
      <c r="Z11" s="107">
        <f>(SUM(Template:END!BT10))/$F11</f>
        <v>33.195262981700736</v>
      </c>
      <c r="AA11" s="86">
        <f>(SUM(Template:END!BU10))/$F11</f>
        <v>3.3174979157102311E-2</v>
      </c>
      <c r="AB11" s="107">
        <f>(SUM(Template:END!BV10))/$F11</f>
        <v>3.2439999999999998</v>
      </c>
    </row>
    <row r="12" spans="2:56" ht="23.1" x14ac:dyDescent="0.85">
      <c r="B12" s="11">
        <v>12</v>
      </c>
      <c r="C12" s="11" t="s">
        <v>25</v>
      </c>
      <c r="D12" s="156">
        <f>(SUM(Template:END!AA11))/F12</f>
        <v>5.1520000000000001</v>
      </c>
      <c r="E12" s="157">
        <f>(SUM(Template:END!P11))/F12</f>
        <v>1.8</v>
      </c>
      <c r="F12" s="16">
        <v>5</v>
      </c>
      <c r="L12" s="67">
        <v>12</v>
      </c>
      <c r="M12" s="68" t="s">
        <v>25</v>
      </c>
      <c r="N12" s="81">
        <f>(SUM(Template:END!BH11))/$F12</f>
        <v>0.55000000000000004</v>
      </c>
      <c r="O12" s="81">
        <f>(SUM(Template:END!BI11))/$F12</f>
        <v>0.55000000000000004</v>
      </c>
      <c r="P12" s="81">
        <f>(SUM(Template:END!BJ11))/$F12</f>
        <v>0.13295140770243502</v>
      </c>
      <c r="Q12" s="81">
        <f>(SUM(Template:END!BK11))/$F12</f>
        <v>7.8119658119658111E-2</v>
      </c>
      <c r="R12" s="81">
        <f>(SUM(Template:END!BL11))/$F12</f>
        <v>0.1</v>
      </c>
      <c r="S12" s="81">
        <f>(SUM(Template:END!BM11))/$F12</f>
        <v>0.1</v>
      </c>
      <c r="T12" s="106">
        <f>(SUM(Template:END!BN11))/$F12</f>
        <v>0.2</v>
      </c>
      <c r="U12" s="81">
        <f>(SUM(Template:END!BO11))/$F12</f>
        <v>6.0952380952380938E-2</v>
      </c>
      <c r="V12" s="81">
        <f>(SUM(Template:END!BP11))/$F12</f>
        <v>2.2845719997144288E-2</v>
      </c>
      <c r="W12" s="81">
        <f>(SUM(Template:END!BQ11))/$F12</f>
        <v>4.5691011971431467E-2</v>
      </c>
      <c r="X12" s="106">
        <f>(SUM(Template:END!BR11))/$F12</f>
        <v>74.683903417135767</v>
      </c>
      <c r="Y12" s="106">
        <f>(SUM(Template:END!BS11))/$F12</f>
        <v>141.39992784921344</v>
      </c>
      <c r="Z12" s="106">
        <f>(SUM(Template:END!BT11))/$F12</f>
        <v>66.71602443207766</v>
      </c>
      <c r="AA12" s="81">
        <f>(SUM(Template:END!BU11))/$F12</f>
        <v>1.9757682335626178E-2</v>
      </c>
      <c r="AB12" s="106">
        <f>(SUM(Template:END!BV11))/$F12</f>
        <v>1.6239999999999999</v>
      </c>
    </row>
    <row r="13" spans="2:56" ht="23.1" x14ac:dyDescent="0.85">
      <c r="B13" s="11">
        <v>24</v>
      </c>
      <c r="C13" s="11" t="s">
        <v>26</v>
      </c>
      <c r="D13" s="156">
        <f>(SUM(Template:END!AA12))/F13</f>
        <v>8.918000000000001</v>
      </c>
      <c r="E13" s="157">
        <f>(SUM(Template:END!P12))/F13</f>
        <v>3</v>
      </c>
      <c r="F13" s="19">
        <v>5</v>
      </c>
      <c r="L13" s="67">
        <v>24</v>
      </c>
      <c r="M13" s="68" t="s">
        <v>26</v>
      </c>
      <c r="N13" s="86">
        <f>(SUM(Template:END!BH12))/$F13</f>
        <v>0.7</v>
      </c>
      <c r="O13" s="86">
        <f>(SUM(Template:END!BI12))/$F13</f>
        <v>0.71276595744680848</v>
      </c>
      <c r="P13" s="86">
        <f>(SUM(Template:END!BJ12))/$F13</f>
        <v>0.12828472245411382</v>
      </c>
      <c r="Q13" s="86">
        <f>(SUM(Template:END!BK12))/$F13</f>
        <v>8.4160299841429989E-2</v>
      </c>
      <c r="R13" s="86">
        <f>(SUM(Template:END!BL12))/$F13</f>
        <v>8.4879725085910657E-2</v>
      </c>
      <c r="S13" s="86">
        <f>(SUM(Template:END!BM12))/$F13</f>
        <v>0.13487972508591067</v>
      </c>
      <c r="T13" s="107">
        <f>(SUM(Template:END!BN12))/$F13</f>
        <v>0.4</v>
      </c>
      <c r="U13" s="86">
        <f>(SUM(Template:END!BO12))/$F13</f>
        <v>3.5338289810547874E-2</v>
      </c>
      <c r="V13" s="86">
        <f>(SUM(Template:END!BP12))/$F13</f>
        <v>4.8803630135776967E-2</v>
      </c>
      <c r="W13" s="86">
        <f>(SUM(Template:END!BQ12))/$F13</f>
        <v>4.2553164187008705E-2</v>
      </c>
      <c r="X13" s="107">
        <f>(SUM(Template:END!BR12))/$F13</f>
        <v>86.627738257178123</v>
      </c>
      <c r="Y13" s="107">
        <f>(SUM(Template:END!BS12))/$F13</f>
        <v>125.09689889245844</v>
      </c>
      <c r="Z13" s="107">
        <f>(SUM(Template:END!BT12))/$F13</f>
        <v>38.469160635280311</v>
      </c>
      <c r="AA13" s="86">
        <f>(SUM(Template:END!BU12))/$F13</f>
        <v>3.8152854315236476E-2</v>
      </c>
      <c r="AB13" s="107">
        <f>(SUM(Template:END!BV12))/$F13</f>
        <v>2.7320000000000002</v>
      </c>
    </row>
    <row r="14" spans="2:56" ht="23.1" x14ac:dyDescent="0.85">
      <c r="B14" s="11">
        <v>30</v>
      </c>
      <c r="C14" s="11" t="s">
        <v>27</v>
      </c>
      <c r="D14" s="156">
        <f>(SUM(Template:END!AA13))/F14</f>
        <v>16.922000000000001</v>
      </c>
      <c r="E14" s="157">
        <f>(SUM(Template:END!P13))/F14</f>
        <v>7.4</v>
      </c>
      <c r="F14" s="16">
        <v>5</v>
      </c>
      <c r="L14" s="67">
        <v>30</v>
      </c>
      <c r="M14" s="68" t="s">
        <v>27</v>
      </c>
      <c r="N14" s="81">
        <f>(SUM(Template:END!BH13))/$F14</f>
        <v>0.47777777777777775</v>
      </c>
      <c r="O14" s="81">
        <f>(SUM(Template:END!BI13))/$F14</f>
        <v>0.46461120176255177</v>
      </c>
      <c r="P14" s="81">
        <f>(SUM(Template:END!BJ13))/$F14</f>
        <v>0.22555622945647516</v>
      </c>
      <c r="Q14" s="81">
        <f>(SUM(Template:END!BK13))/$F14</f>
        <v>7.3547732604709204E-2</v>
      </c>
      <c r="R14" s="81">
        <f>(SUM(Template:END!BL13))/$F14</f>
        <v>5.2827121792639029E-2</v>
      </c>
      <c r="S14" s="81">
        <f>(SUM(Template:END!BM13))/$F14</f>
        <v>0.1112162316197424</v>
      </c>
      <c r="T14" s="106">
        <f>(SUM(Template:END!BN13))/$F14</f>
        <v>0</v>
      </c>
      <c r="U14" s="81">
        <f>(SUM(Template:END!BO13))/$F14</f>
        <v>0.20740851745206323</v>
      </c>
      <c r="V14" s="81">
        <f>(SUM(Template:END!BP13))/$F14</f>
        <v>0.17750653900461982</v>
      </c>
      <c r="W14" s="81">
        <f>(SUM(Template:END!BQ13))/$F14</f>
        <v>0.19111920063947158</v>
      </c>
      <c r="X14" s="106">
        <f>(SUM(Template:END!BR13))/$F14</f>
        <v>85.422370984345022</v>
      </c>
      <c r="Y14" s="106">
        <f>(SUM(Template:END!BS13))/$F14</f>
        <v>110.67500236104073</v>
      </c>
      <c r="Z14" s="106">
        <f>(SUM(Template:END!BT13))/$F14</f>
        <v>25.252631376695696</v>
      </c>
      <c r="AA14" s="81">
        <f>(SUM(Template:END!BU13))/$F14</f>
        <v>7.5420243171710338E-2</v>
      </c>
      <c r="AB14" s="106">
        <f>(SUM(Template:END!BV13))/$F14</f>
        <v>8.16</v>
      </c>
    </row>
    <row r="15" spans="2:56" ht="23.1" x14ac:dyDescent="0.85">
      <c r="B15" s="11">
        <v>32</v>
      </c>
      <c r="C15" s="11" t="s">
        <v>28</v>
      </c>
      <c r="D15" s="156">
        <f>(SUM(Template:END!AA14))/F15</f>
        <v>3.9200000000000004</v>
      </c>
      <c r="E15" s="157">
        <f>(SUM(Template:END!P14))/F15</f>
        <v>1</v>
      </c>
      <c r="F15" s="19">
        <v>5</v>
      </c>
      <c r="L15" s="67">
        <v>32</v>
      </c>
      <c r="M15" s="68" t="s">
        <v>28</v>
      </c>
      <c r="N15" s="86">
        <f>(SUM(Template:END!BH14))/$F15</f>
        <v>0.16666666666666669</v>
      </c>
      <c r="O15" s="86">
        <f>(SUM(Template:END!BI14))/$F15</f>
        <v>0.16666666666666669</v>
      </c>
      <c r="P15" s="86">
        <f>(SUM(Template:END!BJ14))/$F15</f>
        <v>9.9368779338663019E-2</v>
      </c>
      <c r="Q15" s="86">
        <f>(SUM(Template:END!BK14))/$F15</f>
        <v>0.49215384615384605</v>
      </c>
      <c r="R15" s="86">
        <f>(SUM(Template:END!BL14))/$F15</f>
        <v>0.2</v>
      </c>
      <c r="S15" s="86">
        <f>(SUM(Template:END!BM14))/$F15</f>
        <v>0.05</v>
      </c>
      <c r="T15" s="107">
        <f>(SUM(Template:END!BN14))/$F15</f>
        <v>0</v>
      </c>
      <c r="U15" s="86">
        <f>(SUM(Template:END!BO14))/$F15</f>
        <v>0.10098239971410701</v>
      </c>
      <c r="V15" s="86">
        <f>(SUM(Template:END!BP14))/$F15</f>
        <v>0</v>
      </c>
      <c r="W15" s="86">
        <f>(SUM(Template:END!BQ14))/$F15</f>
        <v>5.7455594751156011E-2</v>
      </c>
      <c r="X15" s="107">
        <f>(SUM(Template:END!BR14))/$F15</f>
        <v>97.790804622254058</v>
      </c>
      <c r="Y15" s="107">
        <f>(SUM(Template:END!BS14))/$F15</f>
        <v>125.98947051680921</v>
      </c>
      <c r="Z15" s="107">
        <f>(SUM(Template:END!BT14))/$F15</f>
        <v>28.19866589455512</v>
      </c>
      <c r="AA15" s="86">
        <f>(SUM(Template:END!BU14))/$F15</f>
        <v>5.4663062235920188E-3</v>
      </c>
      <c r="AB15" s="107">
        <f>(SUM(Template:END!BV14))/$F15</f>
        <v>0.66600000000000004</v>
      </c>
    </row>
    <row r="16" spans="2:56" ht="23.1" x14ac:dyDescent="0.85">
      <c r="B16" s="12">
        <v>33</v>
      </c>
      <c r="C16" s="12" t="s">
        <v>29</v>
      </c>
      <c r="D16" s="156">
        <f>(SUM(Template:END!Z15))/F16</f>
        <v>0.4</v>
      </c>
      <c r="E16" s="157">
        <f>(SUM(Template:END!P15))/F16</f>
        <v>0</v>
      </c>
      <c r="F16" s="16">
        <v>5</v>
      </c>
      <c r="L16" s="91">
        <v>33</v>
      </c>
      <c r="M16" s="92" t="s">
        <v>29</v>
      </c>
      <c r="N16" s="81">
        <f>(SUM(Template:END!BH15))/$F16</f>
        <v>0</v>
      </c>
      <c r="O16" s="81">
        <f>(SUM(Template:END!BI15))/$F16</f>
        <v>0</v>
      </c>
      <c r="P16" s="81">
        <f>(SUM(Template:END!BJ15))/$F16</f>
        <v>0.13299182392976383</v>
      </c>
      <c r="Q16" s="81">
        <f>(SUM(Template:END!BK15))/$F16</f>
        <v>7.5908289241622559E-2</v>
      </c>
      <c r="R16" s="81">
        <f>(SUM(Template:END!BL15))/$F16</f>
        <v>0.13333333333333333</v>
      </c>
      <c r="S16" s="81">
        <f>(SUM(Template:END!BM15))/$F16</f>
        <v>0</v>
      </c>
      <c r="T16" s="106">
        <f>(SUM(Template:END!BN15))/$F16</f>
        <v>0</v>
      </c>
      <c r="U16" s="81">
        <f>(SUM(Template:END!BO15))/$F16</f>
        <v>0.21291189608755251</v>
      </c>
      <c r="V16" s="81">
        <f>(SUM(Template:END!BP15))/$F16</f>
        <v>4.1338062397372741E-2</v>
      </c>
      <c r="W16" s="81">
        <f>(SUM(Template:END!BQ15))/$F16</f>
        <v>0.12853789895891563</v>
      </c>
      <c r="X16" s="106">
        <f>(SUM(Template:END!BR15))/$F16</f>
        <v>96.260863389729707</v>
      </c>
      <c r="Y16" s="106">
        <f>(SUM(Template:END!BS15))/$F16</f>
        <v>56.950313214877461</v>
      </c>
      <c r="Z16" s="106">
        <f>(SUM(Template:END!BT15))/$F16</f>
        <v>-39.310550174852246</v>
      </c>
      <c r="AA16" s="81">
        <f>(SUM(Template:END!BU15))/$F16</f>
        <v>-6.8309240626518301E-4</v>
      </c>
      <c r="AB16" s="106">
        <f>(SUM(Template:END!BV15))/$F16</f>
        <v>1.246</v>
      </c>
    </row>
    <row r="17" spans="2:30" ht="23.1" x14ac:dyDescent="0.85">
      <c r="B17" s="12">
        <v>34</v>
      </c>
      <c r="C17" s="12" t="s">
        <v>30</v>
      </c>
      <c r="D17" s="156">
        <f>(SUM(Template:END!Z16))/F17</f>
        <v>0.6</v>
      </c>
      <c r="E17" s="157">
        <f>(SUM(Template:END!P16))/F17</f>
        <v>5.2</v>
      </c>
      <c r="F17" s="19">
        <v>5</v>
      </c>
      <c r="L17" s="91">
        <v>34</v>
      </c>
      <c r="M17" s="92" t="s">
        <v>30</v>
      </c>
      <c r="N17" s="86">
        <f>(SUM(Template:END!BH16))/$F17</f>
        <v>0.71904761904761894</v>
      </c>
      <c r="O17" s="86">
        <f>(SUM(Template:END!BI16))/$F17</f>
        <v>0.68894850896186477</v>
      </c>
      <c r="P17" s="86">
        <f>(SUM(Template:END!BJ16))/$F17</f>
        <v>0.19446102301225651</v>
      </c>
      <c r="Q17" s="86">
        <f>(SUM(Template:END!BK16))/$F17</f>
        <v>7.0797256967644634E-2</v>
      </c>
      <c r="R17" s="86">
        <f>(SUM(Template:END!BL16))/$F17</f>
        <v>6.0491803278688527E-2</v>
      </c>
      <c r="S17" s="86">
        <f>(SUM(Template:END!BM16))/$F17</f>
        <v>0.11192676547515257</v>
      </c>
      <c r="T17" s="107">
        <f>(SUM(Template:END!BN16))/$F17</f>
        <v>0.2</v>
      </c>
      <c r="U17" s="86">
        <f>(SUM(Template:END!BO16))/$F17</f>
        <v>0.16054280223185244</v>
      </c>
      <c r="V17" s="86">
        <f>(SUM(Template:END!BP16))/$F17</f>
        <v>0.28252382599043047</v>
      </c>
      <c r="W17" s="86">
        <f>(SUM(Template:END!BQ16))/$F17</f>
        <v>0.221423642242565</v>
      </c>
      <c r="X17" s="107">
        <f>(SUM(Template:END!BR16))/$F17</f>
        <v>80.028307785235626</v>
      </c>
      <c r="Y17" s="107">
        <f>(SUM(Template:END!BS16))/$F17</f>
        <v>136.66276617851236</v>
      </c>
      <c r="Z17" s="107">
        <f>(SUM(Template:END!BT16))/$F17</f>
        <v>56.634458393276738</v>
      </c>
      <c r="AA17" s="86">
        <f>(SUM(Template:END!BU16))/$F17</f>
        <v>7.1814491429670363E-2</v>
      </c>
      <c r="AB17" s="107">
        <f>(SUM(Template:END!BV16))/$F17</f>
        <v>6.7239999999999993</v>
      </c>
    </row>
    <row r="18" spans="2:30" ht="23.1" x14ac:dyDescent="0.85">
      <c r="B18" s="12">
        <v>50</v>
      </c>
      <c r="C18" s="12" t="s">
        <v>31</v>
      </c>
      <c r="D18" s="156">
        <f>(SUM(Template:END!Z17))/F18</f>
        <v>0.8</v>
      </c>
      <c r="E18" s="157">
        <f>(SUM(Template:END!P17))/F18</f>
        <v>2</v>
      </c>
      <c r="F18" s="16">
        <v>5</v>
      </c>
      <c r="L18" s="91">
        <v>55</v>
      </c>
      <c r="M18" s="92" t="s">
        <v>32</v>
      </c>
      <c r="N18" s="81">
        <f>(SUM(Template:END!BH17))/$F18</f>
        <v>0.2</v>
      </c>
      <c r="O18" s="81">
        <f>(SUM(Template:END!BI17))/$F18</f>
        <v>0.22789898505554226</v>
      </c>
      <c r="P18" s="81">
        <f>(SUM(Template:END!BJ17))/$F18</f>
        <v>0.18936024066658755</v>
      </c>
      <c r="Q18" s="81">
        <f>(SUM(Template:END!BK17))/$F18</f>
        <v>7.7954786240877566E-2</v>
      </c>
      <c r="R18" s="81">
        <f>(SUM(Template:END!BL17))/$F18</f>
        <v>0.12857142857142856</v>
      </c>
      <c r="S18" s="81">
        <f>(SUM(Template:END!BM17))/$F18</f>
        <v>0.11042805100182149</v>
      </c>
      <c r="T18" s="106">
        <f>(SUM(Template:END!BN17))/$F18</f>
        <v>0</v>
      </c>
      <c r="U18" s="81">
        <f>(SUM(Template:END!BO17))/$F18</f>
        <v>2.2859999999999995E-2</v>
      </c>
      <c r="V18" s="81">
        <f>(SUM(Template:END!BP17))/$F18</f>
        <v>0.21882725056835794</v>
      </c>
      <c r="W18" s="81">
        <f>(SUM(Template:END!BQ17))/$F18</f>
        <v>0.10842409467690217</v>
      </c>
      <c r="X18" s="106">
        <f>(SUM(Template:END!BR17))/$F18</f>
        <v>89.349319829912815</v>
      </c>
      <c r="Y18" s="106">
        <f>(SUM(Template:END!BS17))/$F18</f>
        <v>78.719627830618762</v>
      </c>
      <c r="Z18" s="106">
        <f>(SUM(Template:END!BT17))/$F18</f>
        <v>-10.629691999294042</v>
      </c>
      <c r="AA18" s="81">
        <f>(SUM(Template:END!BU17))/$F18</f>
        <v>8.9427507296962593E-3</v>
      </c>
      <c r="AB18" s="106">
        <f>(SUM(Template:END!BV17))/$F18</f>
        <v>1.032</v>
      </c>
    </row>
    <row r="19" spans="2:30" ht="23.1" x14ac:dyDescent="0.85">
      <c r="B19" s="12">
        <v>55</v>
      </c>
      <c r="C19" s="12" t="s">
        <v>32</v>
      </c>
      <c r="D19" s="156">
        <f>(SUM(Template:END!Z18))/F19</f>
        <v>12.4</v>
      </c>
      <c r="E19" s="157">
        <f>(SUM(Template:END!P18))/F19</f>
        <v>63.2</v>
      </c>
      <c r="F19" s="19">
        <v>5</v>
      </c>
      <c r="L19" s="93">
        <v>99</v>
      </c>
      <c r="M19" s="94" t="s">
        <v>43</v>
      </c>
      <c r="N19" s="86">
        <f>(SUM(Template:END!BH18))/$F19</f>
        <v>0.5077861641586251</v>
      </c>
      <c r="O19" s="86">
        <f>(SUM(Template:END!BI18))/$F19</f>
        <v>0.51958494481055395</v>
      </c>
      <c r="P19" s="86">
        <f>(SUM(Template:END!BJ18))/$F19</f>
        <v>0</v>
      </c>
      <c r="Q19" s="86">
        <f>(SUM(Template:END!BK18))/$F19</f>
        <v>0.539014245014245</v>
      </c>
      <c r="R19" s="86">
        <f>(SUM(Template:END!BL18))/$F19</f>
        <v>0.18445138418665891</v>
      </c>
      <c r="S19" s="86">
        <f>(SUM(Template:END!BM18))/$F19</f>
        <v>0.17561421820246031</v>
      </c>
      <c r="T19" s="107">
        <f>(SUM(Template:END!BN18))/$F19</f>
        <v>1.099071598336304</v>
      </c>
      <c r="U19" s="86">
        <f>(SUM(Template:END!BO18))/$F19</f>
        <v>0.49066239316239313</v>
      </c>
      <c r="V19" s="86">
        <f>(SUM(Template:END!BP18))/$F19</f>
        <v>0.75007594417077172</v>
      </c>
      <c r="W19" s="86">
        <f>(SUM(Template:END!BQ18))/$F19</f>
        <v>0.61928923399853042</v>
      </c>
      <c r="X19" s="107">
        <f>(SUM(Template:END!BR18))/$F19</f>
        <v>85.621005757276762</v>
      </c>
      <c r="Y19" s="107">
        <f>(SUM(Template:END!BS18))/$F19</f>
        <v>109.08161380867402</v>
      </c>
      <c r="Z19" s="107">
        <f>(SUM(Template:END!BT18))/$F19</f>
        <v>23.460608051397269</v>
      </c>
      <c r="AA19" s="86">
        <f>(SUM(Template:END!BU18))/$F19</f>
        <v>0.68834935165482825</v>
      </c>
      <c r="AB19" s="107">
        <f>(SUM(Template:END!BV18))/$F19</f>
        <v>62.711999999999989</v>
      </c>
    </row>
    <row r="20" spans="2:30" x14ac:dyDescent="0.55000000000000004">
      <c r="B20" s="11"/>
      <c r="C20" s="11" t="s">
        <v>6</v>
      </c>
      <c r="D20" s="156">
        <f>(SUM(Template:END!AA18))/F20</f>
        <v>159.99799999999999</v>
      </c>
      <c r="E20" s="157">
        <f>(SUM(Template:END!P18))/F20</f>
        <v>63.2</v>
      </c>
      <c r="F20" s="24">
        <v>5</v>
      </c>
      <c r="AD20" s="23"/>
    </row>
  </sheetData>
  <mergeCells count="5">
    <mergeCell ref="U2:W2"/>
    <mergeCell ref="X2:Z2"/>
    <mergeCell ref="AA2:AB2"/>
    <mergeCell ref="Q2:T2"/>
    <mergeCell ref="N2:P2"/>
  </mergeCell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AD80-5E56-6F4D-98A1-5229773AE856}">
  <dimension ref="B1:CZ20"/>
  <sheetViews>
    <sheetView zoomScale="77" zoomScaleNormal="60" workbookViewId="0">
      <selection activeCell="BV3" sqref="BV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57812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417968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6" t="s">
        <v>1</v>
      </c>
      <c r="E1" s="177"/>
      <c r="F1" s="178"/>
      <c r="G1" s="179" t="s">
        <v>5</v>
      </c>
      <c r="H1" s="180"/>
      <c r="I1" s="181"/>
      <c r="J1" s="182" t="s">
        <v>38</v>
      </c>
      <c r="K1" s="183"/>
      <c r="L1" s="184"/>
      <c r="M1" s="185" t="s">
        <v>6</v>
      </c>
      <c r="N1" s="185"/>
      <c r="O1" s="185"/>
      <c r="P1" s="186"/>
      <c r="Q1" s="187" t="s">
        <v>8</v>
      </c>
      <c r="R1" s="188"/>
      <c r="S1" s="189"/>
      <c r="T1" s="174"/>
      <c r="U1" s="175"/>
      <c r="V1" s="175"/>
      <c r="W1" s="175"/>
      <c r="X1" s="175"/>
      <c r="Y1" s="175"/>
      <c r="Z1" s="37"/>
      <c r="AD1" s="11" t="s">
        <v>110</v>
      </c>
      <c r="AE1" s="11"/>
      <c r="AF1" s="176" t="s">
        <v>1</v>
      </c>
      <c r="AG1" s="177"/>
      <c r="AH1" s="178"/>
      <c r="AI1" s="179" t="s">
        <v>5</v>
      </c>
      <c r="AJ1" s="180"/>
      <c r="AK1" s="181"/>
      <c r="AL1" s="182" t="s">
        <v>38</v>
      </c>
      <c r="AM1" s="183"/>
      <c r="AN1" s="184"/>
      <c r="AO1" s="185" t="s">
        <v>6</v>
      </c>
      <c r="AP1" s="185"/>
      <c r="AQ1" s="185"/>
      <c r="AR1" s="186"/>
      <c r="AS1" s="187" t="s">
        <v>8</v>
      </c>
      <c r="AT1" s="188"/>
      <c r="AU1" s="189"/>
      <c r="AV1" s="174"/>
      <c r="AW1" s="175"/>
      <c r="AX1" s="175"/>
      <c r="AY1" s="175"/>
      <c r="AZ1" s="175"/>
      <c r="BA1" s="175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6" t="s">
        <v>64</v>
      </c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7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7" si="0">D3+G3</f>
        <v>0</v>
      </c>
      <c r="N3" s="16">
        <f t="shared" ref="N3:N17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52"/>
      <c r="AB3" s="60">
        <f>IFERROR($N$18+0.44*$K$18-(1.07*($Q$18/($Q$18+$AT$18))*($N$18-$M$18))+U18,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7" si="2">AF3+AI3</f>
        <v>0</v>
      </c>
      <c r="AP3" s="16">
        <f t="shared" ref="AP3:AP17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0</v>
      </c>
      <c r="BF3" s="67">
        <v>0</v>
      </c>
      <c r="BG3" s="68" t="s">
        <v>17</v>
      </c>
      <c r="BH3" s="81">
        <f t="shared" ref="BH3:BH18" si="4">IFERROR(((D3+(1.5*G3))/N3), 0)</f>
        <v>0</v>
      </c>
      <c r="BI3" s="113">
        <f t="shared" ref="BI3:BI18" si="5">IFERROR(P3/(2*(N3+(0.44*K3))), 0)</f>
        <v>0</v>
      </c>
      <c r="BJ3" s="114">
        <f t="shared" ref="BJ3:BJ17" si="6">IFERROR((N3+(0.44*K3)+U3)/(($N$18+(0.44*$K$18)+$U$18)*((5*AA3)/160)), 0)</f>
        <v>0</v>
      </c>
      <c r="BK3" s="81">
        <f t="shared" ref="BK3:BK17" si="7">IFERROR(T3/(($M$18*((5*AA3)/$AA$18))-M3), 0)</f>
        <v>0</v>
      </c>
      <c r="BL3" s="113">
        <f t="shared" ref="BL3:BL17" si="8">IFERROR(T3/(N3+(0.44*K3)+T3+U3), 0)</f>
        <v>0</v>
      </c>
      <c r="BM3" s="115">
        <f t="shared" ref="BM3:BM17" si="9">IFERROR(U3/(N3+(0.44*K3)+T3+U3), 0)</f>
        <v>0</v>
      </c>
      <c r="BN3" s="82">
        <f t="shared" ref="BN3:BN18" si="10">IFERROR(T3/U3, 0)</f>
        <v>0</v>
      </c>
      <c r="BO3" s="81">
        <f t="shared" ref="BO3:BO17" si="11">IFERROR(Q3/(($Q$18+$AT$18)*((5*AA3)/$AA$18)), 0)</f>
        <v>0</v>
      </c>
      <c r="BP3" s="113">
        <f t="shared" ref="BP3:BP17" si="12">IFERROR(R3/(($R$18+$AS$18)*((5*AA3)/$AA$18)), 0)</f>
        <v>0</v>
      </c>
      <c r="BQ3" s="116">
        <f t="shared" ref="BQ3:BQ17" si="13">IFERROR(S3/(($S$18+$AU$18)*((5*AA3)/$AA$18)), 0)</f>
        <v>0</v>
      </c>
      <c r="BR3" s="83">
        <f t="shared" ref="BR3:BR16" si="14">IFERROR($BR$18+0.2*(100*($AR$18/CI5)*(1-CH5)-$BR$18), 0)</f>
        <v>0</v>
      </c>
      <c r="BS3" s="84">
        <f t="shared" ref="BS3:BS16" si="15">IFERROR((CS5/CZ5)*100, 0)</f>
        <v>0</v>
      </c>
      <c r="BT3" s="85">
        <f>BS3-BR3</f>
        <v>0</v>
      </c>
      <c r="BU3" s="81">
        <f t="shared" ref="BU3:BU17" si="16">IFERROR((P3+M3+J3-N3-K3+R3+(0.5*Q3)+T3+W3+(0.5*V3)-U3)/(($P$18+$AR$18)+($M$18+$AO$18)+($J$18+$AL$18)-($N$18+$AP$18)-($K$18+$AM$18)+($R$18+$AT$18)+(0.5*($Q$18+$AS$18))+($T$18+$AV$18)+($W$18+$AY$18)+(0.5*($V$18+$AX$18))-($U$18+$AW$18)), 0)</f>
        <v>0</v>
      </c>
      <c r="BV3" s="85">
        <f>IFERROR((D3*2)-(E3*((homedefinitions!$K$15)*2))+(G3*3)-(H3*((homedefinitions!$L$15)*3))+(J3)-(K3*(homedefinitions!$M$15))+S3+T3+V3+W3-U3, 0)</f>
        <v>0</v>
      </c>
      <c r="BX3" s="54"/>
      <c r="BY3" s="57"/>
      <c r="BZ3" s="168" t="s">
        <v>75</v>
      </c>
      <c r="CA3" s="169"/>
      <c r="CB3" s="169"/>
      <c r="CC3" s="169"/>
      <c r="CD3" s="169"/>
      <c r="CE3" s="169"/>
      <c r="CF3" s="169"/>
      <c r="CG3" s="169"/>
      <c r="CH3" s="169"/>
      <c r="CI3" s="170"/>
      <c r="CJ3" s="171" t="s">
        <v>92</v>
      </c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3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8" si="17">IFERROR(D4/E4,0)</f>
        <v>0</v>
      </c>
      <c r="G4" s="18"/>
      <c r="H4" s="19"/>
      <c r="I4" s="134">
        <f t="shared" ref="I4:I18" si="18">IFERROR(G4/H4,0)</f>
        <v>0</v>
      </c>
      <c r="J4" s="34"/>
      <c r="K4" s="34"/>
      <c r="L4" s="32">
        <f t="shared" ref="L4:L18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8" si="20">IFERROR(M4/N4,0)</f>
        <v>0</v>
      </c>
      <c r="P4" s="20">
        <f t="shared" ref="P4:P17" si="21">(D4*2)+(G4*3)+(J4)</f>
        <v>0</v>
      </c>
      <c r="Q4" s="18"/>
      <c r="R4" s="19"/>
      <c r="S4" s="20">
        <f t="shared" ref="S4:S18" si="22">Q4+R4</f>
        <v>0</v>
      </c>
      <c r="T4" s="18"/>
      <c r="U4" s="19"/>
      <c r="V4" s="19"/>
      <c r="W4" s="19"/>
      <c r="X4" s="19"/>
      <c r="Y4" s="19"/>
      <c r="Z4" s="19"/>
      <c r="AA4" s="153"/>
      <c r="AD4" s="11">
        <v>1</v>
      </c>
      <c r="AE4" s="11"/>
      <c r="AF4" s="18"/>
      <c r="AG4" s="19"/>
      <c r="AH4" s="131">
        <f t="shared" ref="AH4:AH18" si="23">IFERROR(AF4/AG4,0)</f>
        <v>0</v>
      </c>
      <c r="AI4" s="18"/>
      <c r="AJ4" s="19"/>
      <c r="AK4" s="134">
        <f t="shared" ref="AK4:AK18" si="24">IFERROR(AI4/AJ4,0)</f>
        <v>0</v>
      </c>
      <c r="AL4" s="34"/>
      <c r="AM4" s="34"/>
      <c r="AN4" s="32">
        <f t="shared" ref="AN4:AN18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8" si="26">IFERROR(AO4/AP4,0)</f>
        <v>0</v>
      </c>
      <c r="AR4" s="20">
        <f t="shared" ref="AR4:AR17" si="27">(AF4*2)+(AI4*3)+(AL4)</f>
        <v>0</v>
      </c>
      <c r="AS4" s="18"/>
      <c r="AT4" s="19"/>
      <c r="AU4" s="20">
        <f t="shared" ref="AU4:AU18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8" si="29">BS4-BR4</f>
        <v>0</v>
      </c>
      <c r="BU4" s="86">
        <f t="shared" si="16"/>
        <v>0</v>
      </c>
      <c r="BV4" s="85">
        <f>IFERROR((D4*2)-(E4*((homedefinitions!$K$15)*2))+(G4*3)-(H4*((homedefinitions!$L$15)*3))+(J4)-(K4*(homedefinitions!$M$15))+S4+T4+V4+W4-U4,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52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81">
        <f t="shared" si="16"/>
        <v>0</v>
      </c>
      <c r="BV5" s="85">
        <f>IFERROR((D5*2)-(E5*((homedefinitions!$K$15)*2))+(G5*3)-(H5*((homedefinitions!$L$15)*3))+(J5)-(K5*(homedefinitions!$M$15))+S5+T5+V5+W5-U5, 0)</f>
        <v>0</v>
      </c>
      <c r="BX5" s="26">
        <v>0</v>
      </c>
      <c r="BY5" s="25" t="s">
        <v>17</v>
      </c>
      <c r="BZ5" s="47">
        <f t="shared" ref="BZ5:BZ18" si="30">IFERROR(W3+((V3*CB5)*(1-(1.07*CA5)))+(R3*(1-CB5)), 0)</f>
        <v>0</v>
      </c>
      <c r="CA5" s="39">
        <f>IFERROR(($AS$18/($AS$18+$R$18)), 0)</f>
        <v>0</v>
      </c>
      <c r="CB5" s="45">
        <f>IFERROR(($AQ$18*(1-CA5))/($AQ$18*(1-CA5)+(CA5*(1-$AQ$18))), 0)</f>
        <v>0</v>
      </c>
      <c r="CC5" s="45">
        <f t="shared" ref="CC5:CC18" si="31">IFERROR(((($AP$18-$AO$18-$V$18)*CB5*(1-1.07*CA5))/$AA$18)*AA3, 0)</f>
        <v>0</v>
      </c>
      <c r="CD5" s="45">
        <f t="shared" ref="CD5:CD18" si="32">IFERROR((Z3/$Z$18)*0.4*$AM$18*((1-$AN$18)^2), 0)</f>
        <v>0</v>
      </c>
      <c r="CE5" s="36">
        <f t="shared" ref="CE5:CE18" si="33">IFERROR((($AW$18-$W$18)/$AA$18)*AA3,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18" si="34">IFERROR(CG5/($BD$3*(AA3/$BC$18)),0)</f>
        <v>0</v>
      </c>
      <c r="CI5" s="51">
        <f>IFERROR($AO$18+(1-((1-$AN$18)^2))*0.4*$AM$18, 0)</f>
        <v>0</v>
      </c>
      <c r="CJ5" s="47">
        <f t="shared" ref="CJ5:CJ18" si="35">IFERROR(2*(M3+0.5*G3)*(1-(0.5*((P3-J3)/(2*N3)))*CK5), 0)</f>
        <v>0</v>
      </c>
      <c r="CK5" s="45">
        <f t="shared" ref="CK5:CK18" si="36">IFERROR(((5*AA3/$AA$18)*1.14*(($T$18-T3)/$M$18))+((1-(5*AA3/$AA$18))*(((($T$18/$AA$18)*AA3*5)-T3)/((($M$18/$AA$18)*AA3*5)-M3))), 0)</f>
        <v>0</v>
      </c>
      <c r="CL5" s="45">
        <f t="shared" ref="CL5:CL18" si="37">IFERROR(2*((($M$18)+0.5*($H$18-G3))/($M$18-M3))*0.5*((($P$18-$J$18)-(P3-J3))/(2*($N$18-N3)))*T3, 0)</f>
        <v>0</v>
      </c>
      <c r="CM5" s="45">
        <f t="shared" ref="CM5:CM20" si="38">IFERROR(1-($Q$18/CN5)*CO5*CQ5, 0)</f>
        <v>0</v>
      </c>
      <c r="CN5" s="45">
        <f>IFERROR($M$18+(1-(1-($J$18/$K$18))^2)*$K$18*0.4, 0)</f>
        <v>0</v>
      </c>
      <c r="CO5" s="45">
        <f>IFERROR(((1-CP5)*CQ5)/((1-CP5)*CQ5+(1-CQ5)*CP5), 0)</f>
        <v>0</v>
      </c>
      <c r="CP5" s="45">
        <f>IFERROR($Q$18/($Q$18+$AT$18), 0)</f>
        <v>0</v>
      </c>
      <c r="CQ5" s="45">
        <f>IFERROR(CN5/($N$18+0.44*$K$18+$U$18), 0)</f>
        <v>0</v>
      </c>
      <c r="CR5" s="45">
        <f t="shared" ref="CR5:CR18" si="39">IFERROR(Q3*CO5*CQ5*($P$18/($M$18+(1-(1-($J$18/$K$18))^2)*0.4*$K$18)), 0)</f>
        <v>0</v>
      </c>
      <c r="CS5" s="45">
        <f t="shared" ref="CS5:CS18" si="40">IFERROR((CJ5+CL5+J3)*CM5+CR5, 0)</f>
        <v>0</v>
      </c>
      <c r="CT5" s="45">
        <f t="shared" ref="CT5:CT18" si="41">IFERROR(M3*(1-(0.5*((P3-J3)/(2*N3)))*CK5), 0)</f>
        <v>0</v>
      </c>
      <c r="CU5" s="45">
        <f t="shared" ref="CU5:CU18" si="42">IFERROR(0.5*((($P$18-$J$18)-(P3-J3))/(2*($N$18-N3)))*T3, 0)</f>
        <v>0</v>
      </c>
      <c r="CV5" s="45">
        <f t="shared" ref="CV5:CV18" si="43">IFERROR((1-(1-(J3/K3))^2)*0.4*K3, 0)</f>
        <v>0</v>
      </c>
      <c r="CW5" s="45">
        <f t="shared" ref="CW5:CW18" si="44">IFERROR(Q3*CO5*CQ5, 0)</f>
        <v>0</v>
      </c>
      <c r="CX5" s="45">
        <f t="shared" ref="CX5:CX18" si="45">IFERROR((N3-M3)*(1-(1.07*CP5)), 0)</f>
        <v>0</v>
      </c>
      <c r="CY5" s="45">
        <f t="shared" ref="CY5:CY18" si="46">IFERROR(((1-(J3/K3))^2)*0.4*K3, 0)</f>
        <v>0</v>
      </c>
      <c r="CZ5" s="43">
        <f t="shared" ref="CZ5:CZ18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53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86">
        <f t="shared" si="16"/>
        <v>0</v>
      </c>
      <c r="BV6" s="85">
        <f>IFERROR((D6*2)-(E6*((homedefinitions!$K$15)*2))+(G6*3)-(H6*((homedefinitions!$L$15)*3))+(J6)-(K6*(homedefinitions!$M$15))+S6+T6+V6+W6-U6, 0)</f>
        <v>0</v>
      </c>
      <c r="BX6" s="26">
        <v>1</v>
      </c>
      <c r="BY6" s="25" t="s">
        <v>18</v>
      </c>
      <c r="BZ6" s="47">
        <f t="shared" si="30"/>
        <v>0</v>
      </c>
      <c r="CA6" s="39">
        <f t="shared" ref="CA6:CA20" si="48">IFERROR(($AS$18/($AS$18+$R$18)), 0)</f>
        <v>0</v>
      </c>
      <c r="CB6" s="45">
        <f t="shared" ref="CB6:CB20" si="49">IFERROR(($AQ$18*(1-CA6))/($AQ$18*(1-CA6)+(CA6*(1-$AQ$18))), 0)</f>
        <v>0</v>
      </c>
      <c r="CC6" s="45">
        <f t="shared" si="31"/>
        <v>0</v>
      </c>
      <c r="CD6" s="45">
        <f t="shared" si="32"/>
        <v>0</v>
      </c>
      <c r="CE6" s="36">
        <f t="shared" si="33"/>
        <v>0</v>
      </c>
      <c r="CF6" s="45">
        <f t="shared" ref="CF6:CF20" si="50">IFERROR(CC6+CE6+CD6, 0)</f>
        <v>0</v>
      </c>
      <c r="CG6" s="45">
        <f t="shared" ref="CG6:CG20" si="51">IFERROR(BZ6+CF6, 0)</f>
        <v>0</v>
      </c>
      <c r="CH6" s="45">
        <f t="shared" si="34"/>
        <v>0</v>
      </c>
      <c r="CI6" s="51">
        <f t="shared" ref="CI6:CI20" si="52">IFERROR($AO$18+(1-((1-$AN$18)^2))*0.4*$AM$18, 0)</f>
        <v>0</v>
      </c>
      <c r="CJ6" s="47">
        <f t="shared" si="35"/>
        <v>0</v>
      </c>
      <c r="CK6" s="45">
        <f t="shared" si="36"/>
        <v>0</v>
      </c>
      <c r="CL6" s="45">
        <f t="shared" si="37"/>
        <v>0</v>
      </c>
      <c r="CM6" s="36">
        <f t="shared" si="38"/>
        <v>0</v>
      </c>
      <c r="CN6" s="45">
        <f t="shared" ref="CN6:CN20" si="53">IFERROR($M$18+(1-(1-($J$18/$K$18))^2)*$K$18*0.4, 0)</f>
        <v>0</v>
      </c>
      <c r="CO6" s="45">
        <f t="shared" ref="CO6:CO20" si="54">IFERROR(((1-CP6)*CQ6)/((1-CP6)*CQ6+(1-CQ6)*CP6), 0)</f>
        <v>0</v>
      </c>
      <c r="CP6" s="45">
        <f t="shared" ref="CP6:CP20" si="55">IFERROR($Q$18/($Q$18+$AT$18), 0)</f>
        <v>0</v>
      </c>
      <c r="CQ6" s="45">
        <f t="shared" ref="CQ6:CQ20" si="56">IFERROR(CN6/($N$18+0.44*$K$18+$U$18), 0)</f>
        <v>0</v>
      </c>
      <c r="CR6" s="45">
        <f t="shared" si="39"/>
        <v>0</v>
      </c>
      <c r="CS6" s="45">
        <f t="shared" si="40"/>
        <v>0</v>
      </c>
      <c r="CT6" s="45">
        <f t="shared" si="41"/>
        <v>0</v>
      </c>
      <c r="CU6" s="45">
        <f t="shared" si="42"/>
        <v>0</v>
      </c>
      <c r="CV6" s="45">
        <f t="shared" si="43"/>
        <v>0</v>
      </c>
      <c r="CW6" s="45">
        <f t="shared" si="44"/>
        <v>0</v>
      </c>
      <c r="CX6" s="45">
        <f t="shared" si="45"/>
        <v>0</v>
      </c>
      <c r="CY6" s="45">
        <f t="shared" si="46"/>
        <v>0</v>
      </c>
      <c r="CZ6" s="43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52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81">
        <f t="shared" si="16"/>
        <v>0</v>
      </c>
      <c r="BV7" s="85">
        <f>IFERROR((D7*2)-(E7*((homedefinitions!$K$15)*2))+(G7*3)-(H7*((homedefinitions!$L$15)*3))+(J7)-(K7*(homedefinitions!$M$15))+S7+T7+V7+W7-U7, 0)</f>
        <v>0</v>
      </c>
      <c r="BX7" s="26">
        <v>2</v>
      </c>
      <c r="BY7" s="25" t="s">
        <v>19</v>
      </c>
      <c r="BZ7" s="47">
        <f t="shared" si="30"/>
        <v>0</v>
      </c>
      <c r="CA7" s="39">
        <f t="shared" si="48"/>
        <v>0</v>
      </c>
      <c r="CB7" s="45">
        <f t="shared" si="49"/>
        <v>0</v>
      </c>
      <c r="CC7" s="45">
        <f t="shared" si="31"/>
        <v>0</v>
      </c>
      <c r="CD7" s="45">
        <f t="shared" si="32"/>
        <v>0</v>
      </c>
      <c r="CE7" s="36">
        <f t="shared" si="33"/>
        <v>0</v>
      </c>
      <c r="CF7" s="45">
        <f t="shared" si="50"/>
        <v>0</v>
      </c>
      <c r="CG7" s="45">
        <f t="shared" si="51"/>
        <v>0</v>
      </c>
      <c r="CH7" s="45">
        <f t="shared" si="34"/>
        <v>0</v>
      </c>
      <c r="CI7" s="51">
        <f t="shared" si="52"/>
        <v>0</v>
      </c>
      <c r="CJ7" s="47">
        <f t="shared" si="35"/>
        <v>0</v>
      </c>
      <c r="CK7" s="45">
        <f t="shared" si="36"/>
        <v>0</v>
      </c>
      <c r="CL7" s="45">
        <f t="shared" si="37"/>
        <v>0</v>
      </c>
      <c r="CM7" s="36">
        <f t="shared" si="38"/>
        <v>0</v>
      </c>
      <c r="CN7" s="45">
        <f t="shared" si="53"/>
        <v>0</v>
      </c>
      <c r="CO7" s="45">
        <f t="shared" si="54"/>
        <v>0</v>
      </c>
      <c r="CP7" s="45">
        <f t="shared" si="55"/>
        <v>0</v>
      </c>
      <c r="CQ7" s="45">
        <f t="shared" si="56"/>
        <v>0</v>
      </c>
      <c r="CR7" s="45">
        <f t="shared" si="39"/>
        <v>0</v>
      </c>
      <c r="CS7" s="45">
        <f t="shared" si="40"/>
        <v>0</v>
      </c>
      <c r="CT7" s="45">
        <f t="shared" si="41"/>
        <v>0</v>
      </c>
      <c r="CU7" s="45">
        <f t="shared" si="42"/>
        <v>0</v>
      </c>
      <c r="CV7" s="45">
        <f t="shared" si="43"/>
        <v>0</v>
      </c>
      <c r="CW7" s="45">
        <f t="shared" si="44"/>
        <v>0</v>
      </c>
      <c r="CX7" s="45">
        <f t="shared" si="45"/>
        <v>0</v>
      </c>
      <c r="CY7" s="45">
        <f t="shared" si="46"/>
        <v>0</v>
      </c>
      <c r="CZ7" s="43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53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86">
        <f t="shared" si="16"/>
        <v>0</v>
      </c>
      <c r="BV8" s="85">
        <f>IFERROR((D8*2)-(E8*((homedefinitions!$K$15)*2))+(G8*3)-(H8*((homedefinitions!$L$15)*3))+(J8)-(K8*(homedefinitions!$M$15))+S8+T8+V8+W8-U8, 0)</f>
        <v>0</v>
      </c>
      <c r="BX8" s="26">
        <v>3</v>
      </c>
      <c r="BY8" s="25" t="s">
        <v>20</v>
      </c>
      <c r="BZ8" s="47">
        <f t="shared" si="30"/>
        <v>0</v>
      </c>
      <c r="CA8" s="39">
        <f t="shared" si="48"/>
        <v>0</v>
      </c>
      <c r="CB8" s="45">
        <f t="shared" si="49"/>
        <v>0</v>
      </c>
      <c r="CC8" s="45">
        <f t="shared" si="31"/>
        <v>0</v>
      </c>
      <c r="CD8" s="45">
        <f t="shared" si="32"/>
        <v>0</v>
      </c>
      <c r="CE8" s="36">
        <f t="shared" si="33"/>
        <v>0</v>
      </c>
      <c r="CF8" s="45">
        <f t="shared" si="50"/>
        <v>0</v>
      </c>
      <c r="CG8" s="45">
        <f t="shared" si="51"/>
        <v>0</v>
      </c>
      <c r="CH8" s="45">
        <f t="shared" si="34"/>
        <v>0</v>
      </c>
      <c r="CI8" s="51">
        <f t="shared" si="52"/>
        <v>0</v>
      </c>
      <c r="CJ8" s="47">
        <f t="shared" si="35"/>
        <v>0</v>
      </c>
      <c r="CK8" s="45">
        <f t="shared" si="36"/>
        <v>0</v>
      </c>
      <c r="CL8" s="45">
        <f t="shared" si="37"/>
        <v>0</v>
      </c>
      <c r="CM8" s="36">
        <f t="shared" si="38"/>
        <v>0</v>
      </c>
      <c r="CN8" s="45">
        <f t="shared" si="53"/>
        <v>0</v>
      </c>
      <c r="CO8" s="45">
        <f t="shared" si="54"/>
        <v>0</v>
      </c>
      <c r="CP8" s="45">
        <f t="shared" si="55"/>
        <v>0</v>
      </c>
      <c r="CQ8" s="45">
        <f t="shared" si="56"/>
        <v>0</v>
      </c>
      <c r="CR8" s="45">
        <f t="shared" si="39"/>
        <v>0</v>
      </c>
      <c r="CS8" s="45">
        <f t="shared" si="40"/>
        <v>0</v>
      </c>
      <c r="CT8" s="45">
        <f t="shared" si="41"/>
        <v>0</v>
      </c>
      <c r="CU8" s="45">
        <f t="shared" si="42"/>
        <v>0</v>
      </c>
      <c r="CV8" s="45">
        <f t="shared" si="43"/>
        <v>0</v>
      </c>
      <c r="CW8" s="45">
        <f t="shared" si="44"/>
        <v>0</v>
      </c>
      <c r="CX8" s="45">
        <f t="shared" si="45"/>
        <v>0</v>
      </c>
      <c r="CY8" s="45">
        <f t="shared" si="46"/>
        <v>0</v>
      </c>
      <c r="CZ8" s="43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52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81">
        <f t="shared" si="16"/>
        <v>0</v>
      </c>
      <c r="BV9" s="85">
        <f>IFERROR((D9*2)-(E9*((homedefinitions!$K$15)*2))+(G9*3)-(H9*((homedefinitions!$L$15)*3))+(J9)-(K9*(homedefinitions!$M$15))+S9+T9+V9+W9-U9, 0)</f>
        <v>0</v>
      </c>
      <c r="BX9" s="26">
        <v>4</v>
      </c>
      <c r="BY9" s="25" t="s">
        <v>21</v>
      </c>
      <c r="BZ9" s="47">
        <f t="shared" si="30"/>
        <v>0</v>
      </c>
      <c r="CA9" s="39">
        <f t="shared" si="48"/>
        <v>0</v>
      </c>
      <c r="CB9" s="45">
        <f t="shared" si="49"/>
        <v>0</v>
      </c>
      <c r="CC9" s="45">
        <f t="shared" si="31"/>
        <v>0</v>
      </c>
      <c r="CD9" s="45">
        <f t="shared" si="32"/>
        <v>0</v>
      </c>
      <c r="CE9" s="36">
        <f t="shared" si="33"/>
        <v>0</v>
      </c>
      <c r="CF9" s="45">
        <f t="shared" si="50"/>
        <v>0</v>
      </c>
      <c r="CG9" s="45">
        <f t="shared" si="51"/>
        <v>0</v>
      </c>
      <c r="CH9" s="45">
        <f t="shared" si="34"/>
        <v>0</v>
      </c>
      <c r="CI9" s="51">
        <f t="shared" si="52"/>
        <v>0</v>
      </c>
      <c r="CJ9" s="47">
        <f t="shared" si="35"/>
        <v>0</v>
      </c>
      <c r="CK9" s="45">
        <f t="shared" si="36"/>
        <v>0</v>
      </c>
      <c r="CL9" s="45">
        <f t="shared" si="37"/>
        <v>0</v>
      </c>
      <c r="CM9" s="36">
        <f t="shared" si="38"/>
        <v>0</v>
      </c>
      <c r="CN9" s="45">
        <f t="shared" si="53"/>
        <v>0</v>
      </c>
      <c r="CO9" s="45">
        <f t="shared" si="54"/>
        <v>0</v>
      </c>
      <c r="CP9" s="45">
        <f t="shared" si="55"/>
        <v>0</v>
      </c>
      <c r="CQ9" s="45">
        <f t="shared" si="56"/>
        <v>0</v>
      </c>
      <c r="CR9" s="45">
        <f t="shared" si="39"/>
        <v>0</v>
      </c>
      <c r="CS9" s="45">
        <f t="shared" si="40"/>
        <v>0</v>
      </c>
      <c r="CT9" s="45">
        <f t="shared" si="41"/>
        <v>0</v>
      </c>
      <c r="CU9" s="45">
        <f t="shared" si="42"/>
        <v>0</v>
      </c>
      <c r="CV9" s="45">
        <f t="shared" si="43"/>
        <v>0</v>
      </c>
      <c r="CW9" s="45">
        <f t="shared" si="44"/>
        <v>0</v>
      </c>
      <c r="CX9" s="45">
        <f t="shared" si="45"/>
        <v>0</v>
      </c>
      <c r="CY9" s="45">
        <f t="shared" si="46"/>
        <v>0</v>
      </c>
      <c r="CZ9" s="43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53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86">
        <f t="shared" si="16"/>
        <v>0</v>
      </c>
      <c r="BV10" s="85">
        <f>IFERROR((D10*2)-(E10*((homedefinitions!$K$15)*2))+(G10*3)-(H10*((homedefinitions!$L$15)*3))+(J10)-(K10*(homedefinitions!$M$15))+S10+T10+V10+W10-U10, 0)</f>
        <v>0</v>
      </c>
      <c r="BX10" s="26">
        <v>5</v>
      </c>
      <c r="BY10" s="25" t="s">
        <v>22</v>
      </c>
      <c r="BZ10" s="47">
        <f t="shared" si="30"/>
        <v>0</v>
      </c>
      <c r="CA10" s="39">
        <f t="shared" si="48"/>
        <v>0</v>
      </c>
      <c r="CB10" s="45">
        <f t="shared" si="49"/>
        <v>0</v>
      </c>
      <c r="CC10" s="45">
        <f t="shared" si="31"/>
        <v>0</v>
      </c>
      <c r="CD10" s="45">
        <f t="shared" si="32"/>
        <v>0</v>
      </c>
      <c r="CE10" s="36">
        <f t="shared" si="33"/>
        <v>0</v>
      </c>
      <c r="CF10" s="45">
        <f t="shared" si="50"/>
        <v>0</v>
      </c>
      <c r="CG10" s="45">
        <f t="shared" si="51"/>
        <v>0</v>
      </c>
      <c r="CH10" s="45">
        <f t="shared" si="34"/>
        <v>0</v>
      </c>
      <c r="CI10" s="51">
        <f t="shared" si="52"/>
        <v>0</v>
      </c>
      <c r="CJ10" s="47">
        <f t="shared" si="35"/>
        <v>0</v>
      </c>
      <c r="CK10" s="45">
        <f t="shared" si="36"/>
        <v>0</v>
      </c>
      <c r="CL10" s="45">
        <f t="shared" si="37"/>
        <v>0</v>
      </c>
      <c r="CM10" s="36">
        <f t="shared" si="38"/>
        <v>0</v>
      </c>
      <c r="CN10" s="45">
        <f t="shared" si="53"/>
        <v>0</v>
      </c>
      <c r="CO10" s="45">
        <f t="shared" si="54"/>
        <v>0</v>
      </c>
      <c r="CP10" s="45">
        <f t="shared" si="55"/>
        <v>0</v>
      </c>
      <c r="CQ10" s="45">
        <f t="shared" si="56"/>
        <v>0</v>
      </c>
      <c r="CR10" s="45">
        <f t="shared" si="39"/>
        <v>0</v>
      </c>
      <c r="CS10" s="45">
        <f t="shared" si="40"/>
        <v>0</v>
      </c>
      <c r="CT10" s="45">
        <f t="shared" si="41"/>
        <v>0</v>
      </c>
      <c r="CU10" s="45">
        <f t="shared" si="42"/>
        <v>0</v>
      </c>
      <c r="CV10" s="45">
        <f t="shared" si="43"/>
        <v>0</v>
      </c>
      <c r="CW10" s="45">
        <f t="shared" si="44"/>
        <v>0</v>
      </c>
      <c r="CX10" s="45">
        <f t="shared" si="45"/>
        <v>0</v>
      </c>
      <c r="CY10" s="45">
        <f t="shared" si="46"/>
        <v>0</v>
      </c>
      <c r="CZ10" s="43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52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81">
        <f t="shared" si="16"/>
        <v>0</v>
      </c>
      <c r="BV11" s="85">
        <f>IFERROR((D11*2)-(E11*((homedefinitions!$K$15)*2))+(G11*3)-(H11*((homedefinitions!$L$15)*3))+(J11)-(K11*(homedefinitions!$M$15))+S11+T11+V11+W11-U11, 0)</f>
        <v>0</v>
      </c>
      <c r="BX11" s="26">
        <v>10</v>
      </c>
      <c r="BY11" s="25" t="s">
        <v>23</v>
      </c>
      <c r="BZ11" s="47">
        <f t="shared" si="30"/>
        <v>0</v>
      </c>
      <c r="CA11" s="39">
        <f t="shared" si="48"/>
        <v>0</v>
      </c>
      <c r="CB11" s="45">
        <f t="shared" si="49"/>
        <v>0</v>
      </c>
      <c r="CC11" s="45">
        <f t="shared" si="31"/>
        <v>0</v>
      </c>
      <c r="CD11" s="45">
        <f t="shared" si="32"/>
        <v>0</v>
      </c>
      <c r="CE11" s="36">
        <f t="shared" si="33"/>
        <v>0</v>
      </c>
      <c r="CF11" s="45">
        <f t="shared" si="50"/>
        <v>0</v>
      </c>
      <c r="CG11" s="45">
        <f t="shared" si="51"/>
        <v>0</v>
      </c>
      <c r="CH11" s="45">
        <f t="shared" si="34"/>
        <v>0</v>
      </c>
      <c r="CI11" s="51">
        <f t="shared" si="52"/>
        <v>0</v>
      </c>
      <c r="CJ11" s="47">
        <f t="shared" si="35"/>
        <v>0</v>
      </c>
      <c r="CK11" s="45">
        <f t="shared" si="36"/>
        <v>0</v>
      </c>
      <c r="CL11" s="45">
        <f t="shared" si="37"/>
        <v>0</v>
      </c>
      <c r="CM11" s="36">
        <f t="shared" si="38"/>
        <v>0</v>
      </c>
      <c r="CN11" s="45">
        <f t="shared" si="53"/>
        <v>0</v>
      </c>
      <c r="CO11" s="45">
        <f t="shared" si="54"/>
        <v>0</v>
      </c>
      <c r="CP11" s="45">
        <f t="shared" si="55"/>
        <v>0</v>
      </c>
      <c r="CQ11" s="45">
        <f t="shared" si="56"/>
        <v>0</v>
      </c>
      <c r="CR11" s="45">
        <f t="shared" si="39"/>
        <v>0</v>
      </c>
      <c r="CS11" s="45">
        <f t="shared" si="40"/>
        <v>0</v>
      </c>
      <c r="CT11" s="45">
        <f t="shared" si="41"/>
        <v>0</v>
      </c>
      <c r="CU11" s="45">
        <f t="shared" si="42"/>
        <v>0</v>
      </c>
      <c r="CV11" s="45">
        <f t="shared" si="43"/>
        <v>0</v>
      </c>
      <c r="CW11" s="45">
        <f t="shared" si="44"/>
        <v>0</v>
      </c>
      <c r="CX11" s="45">
        <f t="shared" si="45"/>
        <v>0</v>
      </c>
      <c r="CY11" s="45">
        <f t="shared" si="46"/>
        <v>0</v>
      </c>
      <c r="CZ11" s="43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53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86">
        <f t="shared" si="16"/>
        <v>0</v>
      </c>
      <c r="BV12" s="85">
        <f>IFERROR((D12*2)-(E12*((homedefinitions!$K$15)*2))+(G12*3)-(H12*((homedefinitions!$L$15)*3))+(J12)-(K12*(homedefinitions!$M$15))+S12+T12+V12+W12-U12, 0)</f>
        <v>0</v>
      </c>
      <c r="BX12" s="26">
        <v>11</v>
      </c>
      <c r="BY12" s="25" t="s">
        <v>24</v>
      </c>
      <c r="BZ12" s="47">
        <f t="shared" si="30"/>
        <v>0</v>
      </c>
      <c r="CA12" s="39">
        <f t="shared" si="48"/>
        <v>0</v>
      </c>
      <c r="CB12" s="45">
        <f t="shared" si="49"/>
        <v>0</v>
      </c>
      <c r="CC12" s="45">
        <f t="shared" si="31"/>
        <v>0</v>
      </c>
      <c r="CD12" s="45">
        <f t="shared" si="32"/>
        <v>0</v>
      </c>
      <c r="CE12" s="36">
        <f t="shared" si="33"/>
        <v>0</v>
      </c>
      <c r="CF12" s="45">
        <f t="shared" si="50"/>
        <v>0</v>
      </c>
      <c r="CG12" s="45">
        <f t="shared" si="51"/>
        <v>0</v>
      </c>
      <c r="CH12" s="45">
        <f t="shared" si="34"/>
        <v>0</v>
      </c>
      <c r="CI12" s="51">
        <f t="shared" si="52"/>
        <v>0</v>
      </c>
      <c r="CJ12" s="47">
        <f t="shared" si="35"/>
        <v>0</v>
      </c>
      <c r="CK12" s="45">
        <f t="shared" si="36"/>
        <v>0</v>
      </c>
      <c r="CL12" s="45">
        <f t="shared" si="37"/>
        <v>0</v>
      </c>
      <c r="CM12" s="36">
        <f t="shared" si="38"/>
        <v>0</v>
      </c>
      <c r="CN12" s="45">
        <f t="shared" si="53"/>
        <v>0</v>
      </c>
      <c r="CO12" s="45">
        <f t="shared" si="54"/>
        <v>0</v>
      </c>
      <c r="CP12" s="45">
        <f t="shared" si="55"/>
        <v>0</v>
      </c>
      <c r="CQ12" s="45">
        <f t="shared" si="56"/>
        <v>0</v>
      </c>
      <c r="CR12" s="45">
        <f t="shared" si="39"/>
        <v>0</v>
      </c>
      <c r="CS12" s="45">
        <f t="shared" si="40"/>
        <v>0</v>
      </c>
      <c r="CT12" s="45">
        <f t="shared" si="41"/>
        <v>0</v>
      </c>
      <c r="CU12" s="45">
        <f t="shared" si="42"/>
        <v>0</v>
      </c>
      <c r="CV12" s="45">
        <f t="shared" si="43"/>
        <v>0</v>
      </c>
      <c r="CW12" s="45">
        <f t="shared" si="44"/>
        <v>0</v>
      </c>
      <c r="CX12" s="45">
        <f t="shared" si="45"/>
        <v>0</v>
      </c>
      <c r="CY12" s="45">
        <f t="shared" si="46"/>
        <v>0</v>
      </c>
      <c r="CZ12" s="43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52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81">
        <f t="shared" si="16"/>
        <v>0</v>
      </c>
      <c r="BV13" s="85">
        <f>IFERROR((D13*2)-(E13*((homedefinitions!$K$15)*2))+(G13*3)-(H13*((homedefinitions!$L$15)*3))+(J13)-(K13*(homedefinitions!$M$15))+S13+T13+V13+W13-U13, 0)</f>
        <v>0</v>
      </c>
      <c r="BX13" s="26">
        <v>12</v>
      </c>
      <c r="BY13" s="25" t="s">
        <v>25</v>
      </c>
      <c r="BZ13" s="47">
        <f t="shared" si="30"/>
        <v>0</v>
      </c>
      <c r="CA13" s="39">
        <f t="shared" si="48"/>
        <v>0</v>
      </c>
      <c r="CB13" s="45">
        <f t="shared" si="49"/>
        <v>0</v>
      </c>
      <c r="CC13" s="45">
        <f t="shared" si="31"/>
        <v>0</v>
      </c>
      <c r="CD13" s="45">
        <f t="shared" si="32"/>
        <v>0</v>
      </c>
      <c r="CE13" s="36">
        <f t="shared" si="33"/>
        <v>0</v>
      </c>
      <c r="CF13" s="45">
        <f t="shared" si="50"/>
        <v>0</v>
      </c>
      <c r="CG13" s="45">
        <f t="shared" si="51"/>
        <v>0</v>
      </c>
      <c r="CH13" s="45">
        <f t="shared" si="34"/>
        <v>0</v>
      </c>
      <c r="CI13" s="51">
        <f t="shared" si="52"/>
        <v>0</v>
      </c>
      <c r="CJ13" s="47">
        <f t="shared" si="35"/>
        <v>0</v>
      </c>
      <c r="CK13" s="45">
        <f t="shared" si="36"/>
        <v>0</v>
      </c>
      <c r="CL13" s="45">
        <f t="shared" si="37"/>
        <v>0</v>
      </c>
      <c r="CM13" s="36">
        <f t="shared" si="38"/>
        <v>0</v>
      </c>
      <c r="CN13" s="45">
        <f t="shared" si="53"/>
        <v>0</v>
      </c>
      <c r="CO13" s="45">
        <f t="shared" si="54"/>
        <v>0</v>
      </c>
      <c r="CP13" s="45">
        <f t="shared" si="55"/>
        <v>0</v>
      </c>
      <c r="CQ13" s="45">
        <f t="shared" si="56"/>
        <v>0</v>
      </c>
      <c r="CR13" s="45">
        <f t="shared" si="39"/>
        <v>0</v>
      </c>
      <c r="CS13" s="45">
        <f t="shared" si="40"/>
        <v>0</v>
      </c>
      <c r="CT13" s="45">
        <f t="shared" si="41"/>
        <v>0</v>
      </c>
      <c r="CU13" s="45">
        <f t="shared" si="42"/>
        <v>0</v>
      </c>
      <c r="CV13" s="45">
        <f t="shared" si="43"/>
        <v>0</v>
      </c>
      <c r="CW13" s="45">
        <f t="shared" si="44"/>
        <v>0</v>
      </c>
      <c r="CX13" s="45">
        <f t="shared" si="45"/>
        <v>0</v>
      </c>
      <c r="CY13" s="45">
        <f t="shared" si="46"/>
        <v>0</v>
      </c>
      <c r="CZ13" s="43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53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86">
        <f t="shared" si="16"/>
        <v>0</v>
      </c>
      <c r="BV14" s="85">
        <f>IFERROR((D14*2)-(E14*((homedefinitions!$K$15)*2))+(G14*3)-(H14*((homedefinitions!$L$15)*3))+(J14)-(K14*(homedefinitions!$M$15))+S14+T14+V14+W14-U14, 0)</f>
        <v>0</v>
      </c>
      <c r="BX14" s="26">
        <v>24</v>
      </c>
      <c r="BY14" s="25" t="s">
        <v>26</v>
      </c>
      <c r="BZ14" s="47">
        <f t="shared" si="30"/>
        <v>0</v>
      </c>
      <c r="CA14" s="39">
        <f t="shared" si="48"/>
        <v>0</v>
      </c>
      <c r="CB14" s="45">
        <f t="shared" si="49"/>
        <v>0</v>
      </c>
      <c r="CC14" s="45">
        <f t="shared" si="31"/>
        <v>0</v>
      </c>
      <c r="CD14" s="45">
        <f t="shared" si="32"/>
        <v>0</v>
      </c>
      <c r="CE14" s="36">
        <f t="shared" si="33"/>
        <v>0</v>
      </c>
      <c r="CF14" s="45">
        <f t="shared" si="50"/>
        <v>0</v>
      </c>
      <c r="CG14" s="45">
        <f t="shared" si="51"/>
        <v>0</v>
      </c>
      <c r="CH14" s="45">
        <f t="shared" si="34"/>
        <v>0</v>
      </c>
      <c r="CI14" s="51">
        <f t="shared" si="52"/>
        <v>0</v>
      </c>
      <c r="CJ14" s="47">
        <f t="shared" si="35"/>
        <v>0</v>
      </c>
      <c r="CK14" s="45">
        <f t="shared" si="36"/>
        <v>0</v>
      </c>
      <c r="CL14" s="45">
        <f t="shared" si="37"/>
        <v>0</v>
      </c>
      <c r="CM14" s="36">
        <f t="shared" si="38"/>
        <v>0</v>
      </c>
      <c r="CN14" s="45">
        <f t="shared" si="53"/>
        <v>0</v>
      </c>
      <c r="CO14" s="45">
        <f t="shared" si="54"/>
        <v>0</v>
      </c>
      <c r="CP14" s="45">
        <f t="shared" si="55"/>
        <v>0</v>
      </c>
      <c r="CQ14" s="45">
        <f t="shared" si="56"/>
        <v>0</v>
      </c>
      <c r="CR14" s="45">
        <f t="shared" si="39"/>
        <v>0</v>
      </c>
      <c r="CS14" s="45">
        <f t="shared" si="40"/>
        <v>0</v>
      </c>
      <c r="CT14" s="45">
        <f t="shared" si="41"/>
        <v>0</v>
      </c>
      <c r="CU14" s="45">
        <f t="shared" si="42"/>
        <v>0</v>
      </c>
      <c r="CV14" s="45">
        <f t="shared" si="43"/>
        <v>0</v>
      </c>
      <c r="CW14" s="45">
        <f t="shared" si="44"/>
        <v>0</v>
      </c>
      <c r="CX14" s="45">
        <f t="shared" si="45"/>
        <v>0</v>
      </c>
      <c r="CY14" s="45">
        <f t="shared" si="46"/>
        <v>0</v>
      </c>
      <c r="CZ14" s="43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52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81">
        <f t="shared" si="16"/>
        <v>0</v>
      </c>
      <c r="BV15" s="85">
        <f>IFERROR((D15*2)-(E15*((homedefinitions!$K$15)*2))+(G15*3)-(H15*((homedefinitions!$L$15)*3))+(J15)-(K15*(homedefinitions!$M$15))+S15+T15+V15+W15-U15, 0)</f>
        <v>0</v>
      </c>
      <c r="BX15" s="26">
        <v>30</v>
      </c>
      <c r="BY15" s="25" t="s">
        <v>27</v>
      </c>
      <c r="BZ15" s="47">
        <f t="shared" si="30"/>
        <v>0</v>
      </c>
      <c r="CA15" s="39">
        <f t="shared" si="48"/>
        <v>0</v>
      </c>
      <c r="CB15" s="45">
        <f t="shared" si="49"/>
        <v>0</v>
      </c>
      <c r="CC15" s="45">
        <f t="shared" si="31"/>
        <v>0</v>
      </c>
      <c r="CD15" s="45">
        <f t="shared" si="32"/>
        <v>0</v>
      </c>
      <c r="CE15" s="36">
        <f t="shared" si="33"/>
        <v>0</v>
      </c>
      <c r="CF15" s="45">
        <f t="shared" si="50"/>
        <v>0</v>
      </c>
      <c r="CG15" s="45">
        <f t="shared" si="51"/>
        <v>0</v>
      </c>
      <c r="CH15" s="45">
        <f t="shared" si="34"/>
        <v>0</v>
      </c>
      <c r="CI15" s="51">
        <f t="shared" si="52"/>
        <v>0</v>
      </c>
      <c r="CJ15" s="47">
        <f t="shared" si="35"/>
        <v>0</v>
      </c>
      <c r="CK15" s="45">
        <f t="shared" si="36"/>
        <v>0</v>
      </c>
      <c r="CL15" s="45">
        <f t="shared" si="37"/>
        <v>0</v>
      </c>
      <c r="CM15" s="36">
        <f t="shared" si="38"/>
        <v>0</v>
      </c>
      <c r="CN15" s="45">
        <f t="shared" si="53"/>
        <v>0</v>
      </c>
      <c r="CO15" s="45">
        <f t="shared" si="54"/>
        <v>0</v>
      </c>
      <c r="CP15" s="45">
        <f t="shared" si="55"/>
        <v>0</v>
      </c>
      <c r="CQ15" s="45">
        <f t="shared" si="56"/>
        <v>0</v>
      </c>
      <c r="CR15" s="45">
        <f t="shared" si="39"/>
        <v>0</v>
      </c>
      <c r="CS15" s="45">
        <f t="shared" si="40"/>
        <v>0</v>
      </c>
      <c r="CT15" s="45">
        <f t="shared" si="41"/>
        <v>0</v>
      </c>
      <c r="CU15" s="45">
        <f t="shared" si="42"/>
        <v>0</v>
      </c>
      <c r="CV15" s="45">
        <f t="shared" si="43"/>
        <v>0</v>
      </c>
      <c r="CW15" s="45">
        <f t="shared" si="44"/>
        <v>0</v>
      </c>
      <c r="CX15" s="45">
        <f t="shared" si="45"/>
        <v>0</v>
      </c>
      <c r="CY15" s="45">
        <f t="shared" si="46"/>
        <v>0</v>
      </c>
      <c r="CZ15" s="43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53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86">
        <f t="shared" si="16"/>
        <v>0</v>
      </c>
      <c r="BV16" s="85">
        <f>IFERROR((D16*2)-(E16*((homedefinitions!$K$15)*2))+(G16*3)-(H16*((homedefinitions!$L$15)*3))+(J16)-(K16*(homedefinitions!$M$15))+S16+T16+V16+W16-U16, 0)</f>
        <v>0</v>
      </c>
      <c r="BX16" s="26">
        <v>32</v>
      </c>
      <c r="BY16" s="25" t="s">
        <v>28</v>
      </c>
      <c r="BZ16" s="47">
        <f t="shared" si="30"/>
        <v>0</v>
      </c>
      <c r="CA16" s="39">
        <f t="shared" si="48"/>
        <v>0</v>
      </c>
      <c r="CB16" s="45">
        <f t="shared" si="49"/>
        <v>0</v>
      </c>
      <c r="CC16" s="45">
        <f t="shared" si="31"/>
        <v>0</v>
      </c>
      <c r="CD16" s="45">
        <f t="shared" si="32"/>
        <v>0</v>
      </c>
      <c r="CE16" s="36">
        <f t="shared" si="33"/>
        <v>0</v>
      </c>
      <c r="CF16" s="45">
        <f t="shared" si="50"/>
        <v>0</v>
      </c>
      <c r="CG16" s="45">
        <f t="shared" si="51"/>
        <v>0</v>
      </c>
      <c r="CH16" s="45">
        <f t="shared" si="34"/>
        <v>0</v>
      </c>
      <c r="CI16" s="51">
        <f t="shared" si="52"/>
        <v>0</v>
      </c>
      <c r="CJ16" s="47">
        <f t="shared" si="35"/>
        <v>0</v>
      </c>
      <c r="CK16" s="45">
        <f t="shared" si="36"/>
        <v>0</v>
      </c>
      <c r="CL16" s="45">
        <f t="shared" si="37"/>
        <v>0</v>
      </c>
      <c r="CM16" s="36">
        <f t="shared" si="38"/>
        <v>0</v>
      </c>
      <c r="CN16" s="45">
        <f t="shared" si="53"/>
        <v>0</v>
      </c>
      <c r="CO16" s="45">
        <f t="shared" si="54"/>
        <v>0</v>
      </c>
      <c r="CP16" s="45">
        <f t="shared" si="55"/>
        <v>0</v>
      </c>
      <c r="CQ16" s="45">
        <f t="shared" si="56"/>
        <v>0</v>
      </c>
      <c r="CR16" s="45">
        <f t="shared" si="39"/>
        <v>0</v>
      </c>
      <c r="CS16" s="45">
        <f t="shared" si="40"/>
        <v>0</v>
      </c>
      <c r="CT16" s="45">
        <f t="shared" si="41"/>
        <v>0</v>
      </c>
      <c r="CU16" s="45">
        <f t="shared" si="42"/>
        <v>0</v>
      </c>
      <c r="CV16" s="45">
        <f t="shared" si="43"/>
        <v>0</v>
      </c>
      <c r="CW16" s="45">
        <f t="shared" si="44"/>
        <v>0</v>
      </c>
      <c r="CX16" s="45">
        <f t="shared" si="45"/>
        <v>0</v>
      </c>
      <c r="CY16" s="45">
        <f t="shared" si="46"/>
        <v>0</v>
      </c>
      <c r="CZ16" s="43">
        <f t="shared" si="47"/>
        <v>0</v>
      </c>
    </row>
    <row r="17" spans="2:104" ht="23.4" thickBot="1" x14ac:dyDescent="0.9">
      <c r="B17" s="12">
        <v>55</v>
      </c>
      <c r="C17" s="12" t="s">
        <v>32</v>
      </c>
      <c r="D17" s="18"/>
      <c r="E17" s="19"/>
      <c r="F17" s="131">
        <f t="shared" si="17"/>
        <v>0</v>
      </c>
      <c r="G17" s="18"/>
      <c r="H17" s="19"/>
      <c r="I17" s="134">
        <f t="shared" si="18"/>
        <v>0</v>
      </c>
      <c r="J17" s="34"/>
      <c r="K17" s="34"/>
      <c r="L17" s="32">
        <f t="shared" si="19"/>
        <v>0</v>
      </c>
      <c r="M17" s="22">
        <f t="shared" si="0"/>
        <v>0</v>
      </c>
      <c r="N17" s="19">
        <f t="shared" si="1"/>
        <v>0</v>
      </c>
      <c r="O17" s="137">
        <f t="shared" si="20"/>
        <v>0</v>
      </c>
      <c r="P17" s="20">
        <f t="shared" si="21"/>
        <v>0</v>
      </c>
      <c r="Q17" s="18"/>
      <c r="R17" s="19"/>
      <c r="S17" s="20">
        <f t="shared" si="22"/>
        <v>0</v>
      </c>
      <c r="T17" s="18"/>
      <c r="U17" s="19"/>
      <c r="V17" s="19"/>
      <c r="W17" s="19"/>
      <c r="X17" s="19"/>
      <c r="Y17" s="19"/>
      <c r="Z17" s="19"/>
      <c r="AA17" s="153"/>
      <c r="AD17" s="12">
        <v>55</v>
      </c>
      <c r="AE17" s="12"/>
      <c r="AF17" s="18"/>
      <c r="AG17" s="19"/>
      <c r="AH17" s="131">
        <f t="shared" si="23"/>
        <v>0</v>
      </c>
      <c r="AI17" s="18"/>
      <c r="AJ17" s="19"/>
      <c r="AK17" s="134">
        <f t="shared" si="24"/>
        <v>0</v>
      </c>
      <c r="AL17" s="34"/>
      <c r="AM17" s="34"/>
      <c r="AN17" s="32">
        <f t="shared" si="25"/>
        <v>0</v>
      </c>
      <c r="AO17" s="22">
        <f t="shared" si="2"/>
        <v>0</v>
      </c>
      <c r="AP17" s="19">
        <f t="shared" si="3"/>
        <v>0</v>
      </c>
      <c r="AQ17" s="137">
        <f t="shared" si="26"/>
        <v>0</v>
      </c>
      <c r="AR17" s="20">
        <f t="shared" si="27"/>
        <v>0</v>
      </c>
      <c r="AS17" s="18"/>
      <c r="AT17" s="19"/>
      <c r="AU17" s="20">
        <f t="shared" si="28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4"/>
        <v>0</v>
      </c>
      <c r="BI17" s="121">
        <f t="shared" si="5"/>
        <v>0</v>
      </c>
      <c r="BJ17" s="122">
        <f t="shared" si="6"/>
        <v>0</v>
      </c>
      <c r="BK17" s="95">
        <f t="shared" si="7"/>
        <v>0</v>
      </c>
      <c r="BL17" s="121">
        <f t="shared" si="8"/>
        <v>0</v>
      </c>
      <c r="BM17" s="123">
        <f t="shared" si="9"/>
        <v>0</v>
      </c>
      <c r="BN17" s="96">
        <f t="shared" si="10"/>
        <v>0</v>
      </c>
      <c r="BO17" s="95">
        <f t="shared" si="11"/>
        <v>0</v>
      </c>
      <c r="BP17" s="121">
        <f t="shared" si="12"/>
        <v>0</v>
      </c>
      <c r="BQ17" s="124">
        <f t="shared" si="13"/>
        <v>0</v>
      </c>
      <c r="BR17" s="97">
        <f>IFERROR($BR$18+0.2*(100*($AR$18/CI20)*(1-CH20)-$BR$18), 0)</f>
        <v>0</v>
      </c>
      <c r="BS17" s="98">
        <f>IFERROR((CS20/CZ20)*100, 0)</f>
        <v>0</v>
      </c>
      <c r="BT17" s="99">
        <f t="shared" si="29"/>
        <v>0</v>
      </c>
      <c r="BU17" s="95">
        <f t="shared" si="16"/>
        <v>0</v>
      </c>
      <c r="BV17" s="85">
        <f>IFERROR((D17*2)-(E17*((homedefinitions!$K$15)*2))+(G17*3)-(H17*((homedefinitions!$L$15)*3))+(J17)-(K17*(homedefinitions!$M$15))+S17+T17+V17+W17-U17, 0)</f>
        <v>0</v>
      </c>
      <c r="BX17" s="55">
        <v>33</v>
      </c>
      <c r="BY17" s="58" t="s">
        <v>29</v>
      </c>
      <c r="BZ17" s="47">
        <f t="shared" si="30"/>
        <v>0</v>
      </c>
      <c r="CA17" s="39">
        <f t="shared" si="48"/>
        <v>0</v>
      </c>
      <c r="CB17" s="45">
        <f t="shared" si="49"/>
        <v>0</v>
      </c>
      <c r="CC17" s="45">
        <f t="shared" si="31"/>
        <v>0</v>
      </c>
      <c r="CD17" s="45">
        <f t="shared" si="32"/>
        <v>0</v>
      </c>
      <c r="CE17" s="36">
        <f t="shared" si="33"/>
        <v>0</v>
      </c>
      <c r="CF17" s="45">
        <f t="shared" si="50"/>
        <v>0</v>
      </c>
      <c r="CG17" s="45">
        <f t="shared" si="51"/>
        <v>0</v>
      </c>
      <c r="CH17" s="45">
        <f t="shared" si="34"/>
        <v>0</v>
      </c>
      <c r="CI17" s="51">
        <f t="shared" si="52"/>
        <v>0</v>
      </c>
      <c r="CJ17" s="47">
        <f t="shared" si="35"/>
        <v>0</v>
      </c>
      <c r="CK17" s="45">
        <f t="shared" si="36"/>
        <v>0</v>
      </c>
      <c r="CL17" s="45">
        <f t="shared" si="37"/>
        <v>0</v>
      </c>
      <c r="CM17" s="36">
        <f t="shared" si="38"/>
        <v>0</v>
      </c>
      <c r="CN17" s="45">
        <f t="shared" si="53"/>
        <v>0</v>
      </c>
      <c r="CO17" s="45">
        <f t="shared" si="54"/>
        <v>0</v>
      </c>
      <c r="CP17" s="45">
        <f t="shared" si="55"/>
        <v>0</v>
      </c>
      <c r="CQ17" s="45">
        <f t="shared" si="56"/>
        <v>0</v>
      </c>
      <c r="CR17" s="45">
        <f t="shared" si="39"/>
        <v>0</v>
      </c>
      <c r="CS17" s="45">
        <f t="shared" si="40"/>
        <v>0</v>
      </c>
      <c r="CT17" s="45">
        <f t="shared" si="41"/>
        <v>0</v>
      </c>
      <c r="CU17" s="45">
        <f t="shared" si="42"/>
        <v>0</v>
      </c>
      <c r="CV17" s="45">
        <f t="shared" si="43"/>
        <v>0</v>
      </c>
      <c r="CW17" s="45">
        <f t="shared" si="44"/>
        <v>0</v>
      </c>
      <c r="CX17" s="45">
        <f t="shared" si="45"/>
        <v>0</v>
      </c>
      <c r="CY17" s="45">
        <f t="shared" si="46"/>
        <v>0</v>
      </c>
      <c r="CZ17" s="43">
        <f t="shared" si="47"/>
        <v>0</v>
      </c>
    </row>
    <row r="18" spans="2:104" ht="23.4" thickBot="1" x14ac:dyDescent="0.9">
      <c r="B18" s="11">
        <v>99</v>
      </c>
      <c r="C18" s="11" t="s">
        <v>43</v>
      </c>
      <c r="D18" s="8">
        <f>SUM(D3:D17)</f>
        <v>0</v>
      </c>
      <c r="E18" s="6">
        <f>SUM(E3:E17)</f>
        <v>0</v>
      </c>
      <c r="F18" s="132">
        <f t="shared" si="17"/>
        <v>0</v>
      </c>
      <c r="G18" s="8">
        <f>SUM(G3:G17)</f>
        <v>0</v>
      </c>
      <c r="H18" s="6">
        <f>SUM(H3:H17)</f>
        <v>0</v>
      </c>
      <c r="I18" s="135">
        <f t="shared" si="18"/>
        <v>0</v>
      </c>
      <c r="J18" s="35">
        <f>SUM(J3:J17)</f>
        <v>0</v>
      </c>
      <c r="K18" s="35">
        <f>SUM(K3:K17)</f>
        <v>0</v>
      </c>
      <c r="L18" s="31">
        <f t="shared" si="19"/>
        <v>0</v>
      </c>
      <c r="M18" s="30">
        <f>SUM(M3:M17)</f>
        <v>0</v>
      </c>
      <c r="N18" s="6">
        <f>SUM(N3:N17)</f>
        <v>0</v>
      </c>
      <c r="O18" s="138">
        <f t="shared" si="20"/>
        <v>0</v>
      </c>
      <c r="P18" s="9">
        <f>(D18*2)+(G18*3)+(J18)</f>
        <v>0</v>
      </c>
      <c r="Q18" s="8">
        <f>SUM(Q3:Q17)</f>
        <v>0</v>
      </c>
      <c r="R18" s="6">
        <f>SUM(R3:R17)</f>
        <v>0</v>
      </c>
      <c r="S18" s="9">
        <f t="shared" si="22"/>
        <v>0</v>
      </c>
      <c r="T18" s="8">
        <f t="shared" ref="T18:AA18" si="57">SUM(T3:T17)</f>
        <v>0</v>
      </c>
      <c r="U18" s="6">
        <f t="shared" si="57"/>
        <v>0</v>
      </c>
      <c r="V18" s="6">
        <f t="shared" si="57"/>
        <v>0</v>
      </c>
      <c r="W18" s="6">
        <f t="shared" si="57"/>
        <v>0</v>
      </c>
      <c r="X18" s="6">
        <f t="shared" si="57"/>
        <v>0</v>
      </c>
      <c r="Y18" s="6">
        <f t="shared" si="57"/>
        <v>0</v>
      </c>
      <c r="Z18" s="6">
        <f t="shared" si="57"/>
        <v>0</v>
      </c>
      <c r="AA18" s="154">
        <f t="shared" si="57"/>
        <v>0</v>
      </c>
      <c r="AD18" s="11"/>
      <c r="AE18" s="11" t="s">
        <v>43</v>
      </c>
      <c r="AF18" s="8">
        <f>SUM(AF3:AF17)</f>
        <v>0</v>
      </c>
      <c r="AG18" s="6">
        <f>SUM(AG3:AG17)</f>
        <v>0</v>
      </c>
      <c r="AH18" s="132">
        <f t="shared" si="23"/>
        <v>0</v>
      </c>
      <c r="AI18" s="8">
        <f>SUM(AI3:AI17)</f>
        <v>0</v>
      </c>
      <c r="AJ18" s="6">
        <f>SUM(AJ3:AJ17)</f>
        <v>0</v>
      </c>
      <c r="AK18" s="135">
        <f t="shared" si="24"/>
        <v>0</v>
      </c>
      <c r="AL18" s="35">
        <f>SUM(AL3:AL17)</f>
        <v>0</v>
      </c>
      <c r="AM18" s="35">
        <f>SUM(AM3:AM17)</f>
        <v>0</v>
      </c>
      <c r="AN18" s="31">
        <f t="shared" si="25"/>
        <v>0</v>
      </c>
      <c r="AO18" s="30">
        <f>SUM(AO3:AO17)</f>
        <v>0</v>
      </c>
      <c r="AP18" s="6">
        <f>SUM(AP3:AP17)</f>
        <v>0</v>
      </c>
      <c r="AQ18" s="138">
        <f t="shared" si="26"/>
        <v>0</v>
      </c>
      <c r="AR18" s="9">
        <f>(AF18*2)+(AI18*3)+(AL18)</f>
        <v>0</v>
      </c>
      <c r="AS18" s="8">
        <f>SUM(AS3:AS17)</f>
        <v>0</v>
      </c>
      <c r="AT18" s="6">
        <f>SUM(AT3:AT17)</f>
        <v>0</v>
      </c>
      <c r="AU18" s="9">
        <f t="shared" si="28"/>
        <v>0</v>
      </c>
      <c r="AV18" s="8">
        <f t="shared" ref="AV18:BC18" si="58">SUM(AV3:AV17)</f>
        <v>0</v>
      </c>
      <c r="AW18" s="6">
        <f t="shared" si="58"/>
        <v>0</v>
      </c>
      <c r="AX18" s="6">
        <f t="shared" si="58"/>
        <v>0</v>
      </c>
      <c r="AY18" s="6">
        <f t="shared" si="58"/>
        <v>0</v>
      </c>
      <c r="AZ18" s="6">
        <f t="shared" si="58"/>
        <v>0</v>
      </c>
      <c r="BA18" s="6">
        <f t="shared" si="58"/>
        <v>0</v>
      </c>
      <c r="BB18" s="6">
        <f t="shared" si="58"/>
        <v>0</v>
      </c>
      <c r="BC18" s="6">
        <f t="shared" si="58"/>
        <v>0</v>
      </c>
      <c r="BF18" s="100"/>
      <c r="BG18" s="101" t="s">
        <v>43</v>
      </c>
      <c r="BH18" s="102">
        <f t="shared" si="4"/>
        <v>0</v>
      </c>
      <c r="BI18" s="125">
        <f t="shared" si="5"/>
        <v>0</v>
      </c>
      <c r="BJ18" s="126">
        <v>0</v>
      </c>
      <c r="BK18" s="102">
        <f>IFERROR(T18/M18, 0)</f>
        <v>0</v>
      </c>
      <c r="BL18" s="125">
        <f>IFERROR(T18/(N18+(0.44*K18)+U18), 0)</f>
        <v>0</v>
      </c>
      <c r="BM18" s="127">
        <f>IFERROR(U18/(N18+(0.44*K18)+U18), 0)</f>
        <v>0</v>
      </c>
      <c r="BN18" s="103">
        <f t="shared" si="10"/>
        <v>0</v>
      </c>
      <c r="BO18" s="105">
        <f>IFERROR(Q18/(Q18+AT18), 0)</f>
        <v>0</v>
      </c>
      <c r="BP18" s="128">
        <f>IFERROR(R18/(R18+AS18), 0)</f>
        <v>0</v>
      </c>
      <c r="BQ18" s="129">
        <f>IFERROR(S18/(S18+AU18), 0)</f>
        <v>0</v>
      </c>
      <c r="BR18" s="111">
        <f>IFERROR(($AR$18/$BD$3)*100, 0)</f>
        <v>0</v>
      </c>
      <c r="BS18" s="112">
        <f>IFERROR(($P$18/$AB$3)*100, 0)</f>
        <v>0</v>
      </c>
      <c r="BT18" s="104">
        <f t="shared" si="29"/>
        <v>0</v>
      </c>
      <c r="BU18" s="102">
        <f>IFERROR(SUM(BU3:BU17), 0)</f>
        <v>0</v>
      </c>
      <c r="BV18" s="85">
        <f>IFERROR((D18*2)-(E18*((homedefinitions!$K$15)*2))+(G18*3)-(H18*((homedefinitions!$L$15)*3))+(J18)-(K18*(homedefinitions!$M$15))+S18+T18+V18+W18-U18, 0)</f>
        <v>0</v>
      </c>
      <c r="BX18" s="55">
        <v>34</v>
      </c>
      <c r="BY18" s="58" t="s">
        <v>30</v>
      </c>
      <c r="BZ18" s="47">
        <f t="shared" si="30"/>
        <v>0</v>
      </c>
      <c r="CA18" s="39">
        <f t="shared" si="48"/>
        <v>0</v>
      </c>
      <c r="CB18" s="45">
        <f t="shared" si="49"/>
        <v>0</v>
      </c>
      <c r="CC18" s="45">
        <f t="shared" si="31"/>
        <v>0</v>
      </c>
      <c r="CD18" s="45">
        <f t="shared" si="32"/>
        <v>0</v>
      </c>
      <c r="CE18" s="36">
        <f t="shared" si="33"/>
        <v>0</v>
      </c>
      <c r="CF18" s="45">
        <f t="shared" si="50"/>
        <v>0</v>
      </c>
      <c r="CG18" s="45">
        <f t="shared" si="51"/>
        <v>0</v>
      </c>
      <c r="CH18" s="45">
        <f t="shared" si="34"/>
        <v>0</v>
      </c>
      <c r="CI18" s="51">
        <f t="shared" si="52"/>
        <v>0</v>
      </c>
      <c r="CJ18" s="47">
        <f t="shared" si="35"/>
        <v>0</v>
      </c>
      <c r="CK18" s="45">
        <f t="shared" si="36"/>
        <v>0</v>
      </c>
      <c r="CL18" s="45">
        <f t="shared" si="37"/>
        <v>0</v>
      </c>
      <c r="CM18" s="36">
        <f t="shared" si="38"/>
        <v>0</v>
      </c>
      <c r="CN18" s="45">
        <f t="shared" si="53"/>
        <v>0</v>
      </c>
      <c r="CO18" s="45">
        <f t="shared" si="54"/>
        <v>0</v>
      </c>
      <c r="CP18" s="45">
        <f t="shared" si="55"/>
        <v>0</v>
      </c>
      <c r="CQ18" s="45">
        <f t="shared" si="56"/>
        <v>0</v>
      </c>
      <c r="CR18" s="45">
        <f t="shared" si="39"/>
        <v>0</v>
      </c>
      <c r="CS18" s="45">
        <f t="shared" si="40"/>
        <v>0</v>
      </c>
      <c r="CT18" s="45">
        <f t="shared" si="41"/>
        <v>0</v>
      </c>
      <c r="CU18" s="45">
        <f t="shared" si="42"/>
        <v>0</v>
      </c>
      <c r="CV18" s="45">
        <f t="shared" si="43"/>
        <v>0</v>
      </c>
      <c r="CW18" s="45">
        <f t="shared" si="44"/>
        <v>0</v>
      </c>
      <c r="CX18" s="45">
        <f t="shared" si="45"/>
        <v>0</v>
      </c>
      <c r="CY18" s="45">
        <f t="shared" si="46"/>
        <v>0</v>
      </c>
      <c r="CZ18" s="43">
        <f t="shared" si="47"/>
        <v>0</v>
      </c>
    </row>
    <row r="19" spans="2:104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8"/>
        <v>0</v>
      </c>
      <c r="CB19" s="45">
        <f t="shared" si="49"/>
        <v>0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50"/>
        <v>0</v>
      </c>
      <c r="CG19" s="45">
        <f t="shared" si="51"/>
        <v>0</v>
      </c>
      <c r="CH19" s="45">
        <f>IFERROR(CG19/($BD$3*(#REF!/$BC$18)),0)</f>
        <v>0</v>
      </c>
      <c r="CI19" s="51">
        <f t="shared" si="52"/>
        <v>0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8"/>
        <v>0</v>
      </c>
      <c r="CN19" s="45">
        <f t="shared" si="53"/>
        <v>0</v>
      </c>
      <c r="CO19" s="45">
        <f t="shared" si="54"/>
        <v>0</v>
      </c>
      <c r="CP19" s="45">
        <f t="shared" si="55"/>
        <v>0</v>
      </c>
      <c r="CQ19" s="45">
        <f t="shared" si="56"/>
        <v>0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</row>
    <row r="20" spans="2:104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8"/>
        <v>0</v>
      </c>
      <c r="CB20" s="46">
        <f t="shared" si="49"/>
        <v>0</v>
      </c>
      <c r="CC20" s="46">
        <f>IFERROR(((($AP$18-$AO$18-$V$18)*CB20*(1-1.07*CA20))/$AA$18)*AA17, 0)</f>
        <v>0</v>
      </c>
      <c r="CD20" s="46">
        <f>IFERROR((Z17/$Z$18)*0.4*$AM$18*((1-$AN$18)^2), 0)</f>
        <v>0</v>
      </c>
      <c r="CE20" s="42">
        <f>IFERROR((($AW$18-$W$18)/$AA$18)*AA17, 0)</f>
        <v>0</v>
      </c>
      <c r="CF20" s="46">
        <f t="shared" si="50"/>
        <v>0</v>
      </c>
      <c r="CG20" s="46">
        <f t="shared" si="51"/>
        <v>0</v>
      </c>
      <c r="CH20" s="46">
        <f>IFERROR(CG20/($BD$3*(AA17/$BC$18)),0)</f>
        <v>0</v>
      </c>
      <c r="CI20" s="52">
        <f t="shared" si="52"/>
        <v>0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</v>
      </c>
      <c r="CL20" s="46">
        <f>IFERROR(2*((($M$18)+0.5*($H$18-G17))/($M$18-M17))*0.5*((($P$18-$J$18)-(P17-J17))/(2*($N$18-N17)))*T17, 0)</f>
        <v>0</v>
      </c>
      <c r="CM20" s="42">
        <f t="shared" si="38"/>
        <v>0</v>
      </c>
      <c r="CN20" s="46">
        <f t="shared" si="53"/>
        <v>0</v>
      </c>
      <c r="CO20" s="46">
        <f t="shared" si="54"/>
        <v>0</v>
      </c>
      <c r="CP20" s="46">
        <f t="shared" si="55"/>
        <v>0</v>
      </c>
      <c r="CQ20" s="46">
        <f t="shared" si="56"/>
        <v>0</v>
      </c>
      <c r="CR20" s="46">
        <f>IFERROR(Q17*CO20*CQ20*($P$18/($M$18+(1-(1-($J$18/$K$18))^2)*0.4*$K$18)), 0)</f>
        <v>0</v>
      </c>
      <c r="CS20" s="46">
        <f>IFERROR((CJ20+CL20+J17)*CM20+CR20, 0)</f>
        <v>0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</v>
      </c>
      <c r="CY20" s="46">
        <f>IFERROR(((1-(J17/K17))^2)*0.4*K17, 0)</f>
        <v>0</v>
      </c>
      <c r="CZ20" s="44">
        <f>IFERROR(((CT20+CU20+CV20)*CM20)+CW20+CX20+CY20+U17, 0)</f>
        <v>0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66C2-F0EA-4977-B5E8-677DAC04CE3D}">
  <dimension ref="B1:CZ20"/>
  <sheetViews>
    <sheetView topLeftCell="AX1" zoomScale="63" zoomScaleNormal="60" workbookViewId="0">
      <selection activeCell="BV3" sqref="BV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4.7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5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3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58" max="58" width="10.89453125" bestFit="1" customWidth="1"/>
    <col min="60" max="60" width="10.894531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89453125" customWidth="1"/>
    <col min="68" max="68" width="14.578125" bestFit="1" customWidth="1"/>
    <col min="69" max="69" width="14.3125" bestFit="1" customWidth="1"/>
    <col min="70" max="70" width="14.41796875" customWidth="1"/>
  </cols>
  <sheetData>
    <row r="1" spans="2:104" ht="23.4" thickBot="1" x14ac:dyDescent="0.9">
      <c r="B1" s="11"/>
      <c r="C1" s="11" t="s">
        <v>111</v>
      </c>
      <c r="D1" s="176" t="s">
        <v>1</v>
      </c>
      <c r="E1" s="177"/>
      <c r="F1" s="178"/>
      <c r="G1" s="179" t="s">
        <v>5</v>
      </c>
      <c r="H1" s="180"/>
      <c r="I1" s="181"/>
      <c r="J1" s="182" t="s">
        <v>38</v>
      </c>
      <c r="K1" s="183"/>
      <c r="L1" s="184"/>
      <c r="M1" s="185" t="s">
        <v>6</v>
      </c>
      <c r="N1" s="185"/>
      <c r="O1" s="185"/>
      <c r="P1" s="186"/>
      <c r="Q1" s="187" t="s">
        <v>8</v>
      </c>
      <c r="R1" s="188"/>
      <c r="S1" s="189"/>
      <c r="T1" s="174"/>
      <c r="U1" s="175"/>
      <c r="V1" s="175"/>
      <c r="W1" s="175"/>
      <c r="X1" s="175"/>
      <c r="Y1" s="175"/>
      <c r="Z1" s="37"/>
      <c r="AD1" s="11" t="s">
        <v>110</v>
      </c>
      <c r="AE1" s="11"/>
      <c r="AF1" s="176" t="s">
        <v>1</v>
      </c>
      <c r="AG1" s="177"/>
      <c r="AH1" s="178"/>
      <c r="AI1" s="179" t="s">
        <v>5</v>
      </c>
      <c r="AJ1" s="180"/>
      <c r="AK1" s="181"/>
      <c r="AL1" s="182" t="s">
        <v>38</v>
      </c>
      <c r="AM1" s="183"/>
      <c r="AN1" s="184"/>
      <c r="AO1" s="185" t="s">
        <v>6</v>
      </c>
      <c r="AP1" s="185"/>
      <c r="AQ1" s="185"/>
      <c r="AR1" s="186"/>
      <c r="AS1" s="187" t="s">
        <v>8</v>
      </c>
      <c r="AT1" s="188"/>
      <c r="AU1" s="189"/>
      <c r="AV1" s="174"/>
      <c r="AW1" s="175"/>
      <c r="AX1" s="175"/>
      <c r="AY1" s="175"/>
      <c r="AZ1" s="175"/>
      <c r="BA1" s="175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6" t="s">
        <v>64</v>
      </c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7"/>
    </row>
    <row r="3" spans="2:104" ht="23.1" x14ac:dyDescent="0.85">
      <c r="B3" s="11">
        <v>0</v>
      </c>
      <c r="C3" s="11" t="s">
        <v>17</v>
      </c>
      <c r="D3" s="15">
        <v>0</v>
      </c>
      <c r="E3" s="16">
        <v>1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1</v>
      </c>
      <c r="L3" s="31">
        <f>IFERROR(J3/K3, 0)</f>
        <v>0</v>
      </c>
      <c r="M3" s="21">
        <f t="shared" ref="M3:N16" si="0">D3+G3</f>
        <v>0</v>
      </c>
      <c r="N3" s="16">
        <f t="shared" si="0"/>
        <v>1</v>
      </c>
      <c r="O3" s="136">
        <f>IFERROR(M3/N3,0)</f>
        <v>0</v>
      </c>
      <c r="P3" s="17">
        <f>(D3*2)+(G3*3)+(J3)</f>
        <v>0</v>
      </c>
      <c r="Q3" s="15">
        <v>1</v>
      </c>
      <c r="R3" s="16">
        <v>0</v>
      </c>
      <c r="S3" s="17">
        <f>Q3+R3</f>
        <v>1</v>
      </c>
      <c r="T3" s="15">
        <v>0</v>
      </c>
      <c r="U3" s="16">
        <v>0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6">
        <v>5</v>
      </c>
      <c r="AB3" s="60">
        <f>IFERROR($N$18+0.44*$K$18-(1.07*($Q$18/($Q$18+$AT$18))*($N$18-$M$18))+U18, 0)</f>
        <v>47.99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38.989047619047618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0.14391005621486574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0.22857142857142854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0.13061224489795914</v>
      </c>
      <c r="BR3" s="83">
        <f t="shared" ref="BR3:BR16" si="12">IFERROR($BR$18+0.2*(100*($AR$18/CI5)*(1-CH5)-$BR$18), 0)</f>
        <v>36.065376527345705</v>
      </c>
      <c r="BS3" s="84">
        <f t="shared" ref="BS3:BS16" si="13">IFERROR((CS5/CZ5)*100, 0)</f>
        <v>32.790379675049259</v>
      </c>
      <c r="BT3" s="85">
        <f>BS3-BR3</f>
        <v>-3.2749968522964465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5.1282051282051282E-3</v>
      </c>
      <c r="BV3" s="85">
        <f>IFERROR((D3*2)-(E3*((homedefinitions!$K$15)*2))+(G3*3)-(H3*((homedefinitions!$L$15)*3))+(J3)-(K3*(homedefinitions!$M$15))+S3+T3+V3+W3-U3, 0)</f>
        <v>1.6</v>
      </c>
      <c r="BX3" s="54"/>
      <c r="BY3" s="57"/>
      <c r="BZ3" s="168" t="s">
        <v>75</v>
      </c>
      <c r="CA3" s="169"/>
      <c r="CB3" s="169"/>
      <c r="CC3" s="169"/>
      <c r="CD3" s="169"/>
      <c r="CE3" s="169"/>
      <c r="CF3" s="169"/>
      <c r="CG3" s="169"/>
      <c r="CH3" s="169"/>
      <c r="CI3" s="170"/>
      <c r="CJ3" s="171" t="s">
        <v>92</v>
      </c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3"/>
    </row>
    <row r="4" spans="2:104" ht="23.1" x14ac:dyDescent="0.85">
      <c r="B4" s="11">
        <v>1</v>
      </c>
      <c r="C4" s="11" t="s">
        <v>18</v>
      </c>
      <c r="D4" s="18">
        <v>1</v>
      </c>
      <c r="E4" s="19">
        <v>3</v>
      </c>
      <c r="F4" s="131">
        <f t="shared" ref="F4:F16" si="15">IFERROR(D4/E4,0)</f>
        <v>0.33333333333333331</v>
      </c>
      <c r="G4" s="18">
        <v>0</v>
      </c>
      <c r="H4" s="19">
        <v>2</v>
      </c>
      <c r="I4" s="134">
        <f t="shared" ref="I4:I16" si="16">IFERROR(G4/H4,0)</f>
        <v>0</v>
      </c>
      <c r="J4" s="34">
        <v>2</v>
      </c>
      <c r="K4" s="34">
        <v>3</v>
      </c>
      <c r="L4" s="32">
        <f t="shared" ref="L4:L16" si="17">IFERROR(J4/K4, 0)</f>
        <v>0.66666666666666663</v>
      </c>
      <c r="M4" s="22">
        <f t="shared" si="0"/>
        <v>1</v>
      </c>
      <c r="N4" s="19">
        <f t="shared" si="0"/>
        <v>5</v>
      </c>
      <c r="O4" s="137">
        <f t="shared" ref="O4:O16" si="18">IFERROR(M4/N4,0)</f>
        <v>0.2</v>
      </c>
      <c r="P4" s="20">
        <f t="shared" ref="P4:P16" si="19">(D4*2)+(G4*3)+(J4)</f>
        <v>4</v>
      </c>
      <c r="Q4" s="18">
        <v>0</v>
      </c>
      <c r="R4" s="19">
        <v>2</v>
      </c>
      <c r="S4" s="20">
        <f t="shared" ref="S4:S16" si="20">Q4+R4</f>
        <v>2</v>
      </c>
      <c r="T4" s="18">
        <v>0</v>
      </c>
      <c r="U4" s="19">
        <v>0</v>
      </c>
      <c r="V4" s="19">
        <v>0</v>
      </c>
      <c r="W4" s="19">
        <v>0</v>
      </c>
      <c r="X4" s="19">
        <v>0</v>
      </c>
      <c r="Y4" s="19">
        <v>1</v>
      </c>
      <c r="Z4" s="19">
        <v>0</v>
      </c>
      <c r="AA4" s="19">
        <v>13.5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0.2</v>
      </c>
      <c r="BI4" s="117">
        <f t="shared" si="3"/>
        <v>0.31645569620253161</v>
      </c>
      <c r="BJ4" s="118">
        <f t="shared" si="4"/>
        <v>0.23392786915585173</v>
      </c>
      <c r="BK4" s="86">
        <f t="shared" si="5"/>
        <v>0</v>
      </c>
      <c r="BL4" s="117">
        <f t="shared" si="6"/>
        <v>0</v>
      </c>
      <c r="BM4" s="119">
        <f t="shared" si="7"/>
        <v>0</v>
      </c>
      <c r="BN4" s="87">
        <f t="shared" si="8"/>
        <v>0</v>
      </c>
      <c r="BO4" s="86">
        <f t="shared" si="9"/>
        <v>0</v>
      </c>
      <c r="BP4" s="117">
        <f t="shared" si="10"/>
        <v>0.22574955908289238</v>
      </c>
      <c r="BQ4" s="120">
        <f t="shared" si="11"/>
        <v>9.674981103552531E-2</v>
      </c>
      <c r="BR4" s="88">
        <f t="shared" si="12"/>
        <v>105.89822297579292</v>
      </c>
      <c r="BS4" s="89">
        <f t="shared" si="13"/>
        <v>96.184607650444846</v>
      </c>
      <c r="BT4" s="90">
        <f t="shared" ref="BT4:BT18" si="27">BS4-BR4</f>
        <v>-9.7136153253480728</v>
      </c>
      <c r="BU4" s="86">
        <f t="shared" si="14"/>
        <v>1.0256410256410256E-2</v>
      </c>
      <c r="BV4" s="85">
        <f>IFERROR((D4*2)-(E4*((homedefinitions!$K$15)*2))+(G4*3)-(H4*((homedefinitions!$L$15)*3))+(J4)-(K4*(homedefinitions!$M$15))+S4+T4+V4+W4-U4, 0)</f>
        <v>0.11999999999999966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2</v>
      </c>
      <c r="H5" s="16">
        <v>6</v>
      </c>
      <c r="I5" s="133">
        <f t="shared" si="16"/>
        <v>0.33333333333333331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8</v>
      </c>
      <c r="O5" s="136">
        <f t="shared" si="18"/>
        <v>0.375</v>
      </c>
      <c r="P5" s="17">
        <f t="shared" si="19"/>
        <v>10</v>
      </c>
      <c r="Q5" s="15">
        <v>0</v>
      </c>
      <c r="R5" s="16">
        <v>2</v>
      </c>
      <c r="S5" s="17">
        <f t="shared" si="20"/>
        <v>2</v>
      </c>
      <c r="T5" s="15">
        <v>1</v>
      </c>
      <c r="U5" s="16">
        <v>2</v>
      </c>
      <c r="V5" s="16">
        <v>1</v>
      </c>
      <c r="W5" s="16">
        <v>2</v>
      </c>
      <c r="X5" s="16">
        <v>0</v>
      </c>
      <c r="Y5" s="16">
        <v>1</v>
      </c>
      <c r="Z5" s="16">
        <v>2</v>
      </c>
      <c r="AA5" s="16">
        <v>16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0.56306306306306297</v>
      </c>
      <c r="BJ5" s="114">
        <f t="shared" si="4"/>
        <v>0.3397876327295441</v>
      </c>
      <c r="BK5" s="81">
        <f t="shared" si="5"/>
        <v>0.14285714285714282</v>
      </c>
      <c r="BL5" s="113">
        <f t="shared" si="6"/>
        <v>8.4175084175084167E-2</v>
      </c>
      <c r="BM5" s="115">
        <f t="shared" si="7"/>
        <v>0.16835016835016833</v>
      </c>
      <c r="BN5" s="82">
        <f t="shared" si="8"/>
        <v>0.5</v>
      </c>
      <c r="BO5" s="81">
        <f t="shared" si="9"/>
        <v>0</v>
      </c>
      <c r="BP5" s="113">
        <f t="shared" si="10"/>
        <v>0.19047619047619044</v>
      </c>
      <c r="BQ5" s="116">
        <f t="shared" si="11"/>
        <v>8.1632653061224469E-2</v>
      </c>
      <c r="BR5" s="83">
        <f t="shared" si="12"/>
        <v>76.274249728469357</v>
      </c>
      <c r="BS5" s="84">
        <f t="shared" si="13"/>
        <v>117.19166623117883</v>
      </c>
      <c r="BT5" s="85">
        <f t="shared" si="27"/>
        <v>40.917416502709472</v>
      </c>
      <c r="BU5" s="81">
        <f t="shared" si="14"/>
        <v>8.7179487179487175E-2</v>
      </c>
      <c r="BV5" s="85">
        <f>IFERROR((D5*2)-(E5*((homedefinitions!$K$15)*2))+(G5*3)-(H5*((homedefinitions!$L$15)*3))+(J5)-(K5*(homedefinitions!$M$15))+S5+T5+V5+W5-U5, 0)</f>
        <v>6.16</v>
      </c>
      <c r="BX5" s="26">
        <v>0</v>
      </c>
      <c r="BY5" s="25" t="s">
        <v>17</v>
      </c>
      <c r="BZ5" s="47">
        <f t="shared" ref="BZ5:BZ18" si="28">IFERROR(W3+((V3*CB5)*(1-(1.07*CA5)))+(R3*(1-CB5)), 0)</f>
        <v>2</v>
      </c>
      <c r="CA5" s="39">
        <f>IFERROR(($AS$18/($AS$18+$R$18)), 0)</f>
        <v>0.23809523809523808</v>
      </c>
      <c r="CB5" s="45">
        <f>IFERROR(($AQ$18*(1-CA5))/($AQ$18*(1-CA5)+(CA5*(1-$AQ$18))), 0)</f>
        <v>0.72491909385113273</v>
      </c>
      <c r="CC5" s="45">
        <f t="shared" ref="CC5:CC18" si="29">IFERROR(((($AP$18-$AO$18-$V$18)*CB5*(1-1.07*CA5))/$AA$18)*AA3, 0)</f>
        <v>0.25323624595469263</v>
      </c>
      <c r="CD5" s="45">
        <f t="shared" ref="CD5:CD18" si="30">IFERROR((Z3/$Z$18)*0.4*$AM$18*((1-$AN$18)^2), 0)</f>
        <v>0</v>
      </c>
      <c r="CE5" s="36">
        <f t="shared" ref="CE5:CE18" si="31">IFERROR((($AW$18-$W$18)/$AA$18)*AA3, 0)</f>
        <v>-6.2500000000000014E-2</v>
      </c>
      <c r="CF5" s="45">
        <f>IFERROR(CC5+CE5+CD5, 0)</f>
        <v>0.19073624595469263</v>
      </c>
      <c r="CG5" s="45">
        <f>IFERROR(BZ5+CF5, 0)</f>
        <v>2.1907362459546924</v>
      </c>
      <c r="CH5" s="45">
        <f t="shared" ref="CH5:CH18" si="32">IFERROR(CG5/($BD$3*(AA3/$BC$18)),0)</f>
        <v>1.7980321180326018</v>
      </c>
      <c r="CI5" s="51">
        <f>IFERROR($AO$18+(1-((1-$AN$18)^2))*0.4*$AM$18, 0)</f>
        <v>15.2</v>
      </c>
      <c r="CJ5" s="47">
        <f t="shared" ref="CJ5:CJ18" si="33">IFERROR(2*(M3+0.5*G3)*(1-(0.5*((P3-J3)/(2*N3)))*CK5), 0)</f>
        <v>0</v>
      </c>
      <c r="CK5" s="45">
        <f t="shared" ref="CK5:CK18" si="34">IFERROR(((5*AA3/$AA$18)*1.14*(($T$18-T3)/$M$18))+((1-(5*AA3/$AA$18))*(((($T$18/$AA$18)*AA3*5)-T3)/((($M$18/$AA$18)*AA3*5)-M3))), 0)</f>
        <v>0.66421875000000008</v>
      </c>
      <c r="CL5" s="45">
        <f t="shared" ref="CL5:CL18" si="35">IFERROR(2*((($M$18)+0.5*($H$18-G3))/($M$18-M3))*0.5*((($P$18-$J$18)-(P3-J3))/(2*($N$18-N3)))*T3, 0)</f>
        <v>0</v>
      </c>
      <c r="CM5" s="45">
        <f t="shared" ref="CM5:CM20" si="36">IFERROR(1-($Q$18/CN5)*CO5*CQ5, 0)</f>
        <v>0.91463634206193689</v>
      </c>
      <c r="CN5" s="45">
        <f>IFERROR($M$18+(1-(1-($J$18/$K$18))^2)*$K$18*0.4, 0)</f>
        <v>25.5</v>
      </c>
      <c r="CO5" s="45">
        <f>IFERROR(((1-CP5)*CQ5)/((1-CP5)*CQ5+(1-CQ5)*CP5), 0)</f>
        <v>0.36444591029023754</v>
      </c>
      <c r="CP5" s="45">
        <f>IFERROR($Q$18/($Q$18+$AT$18), 0)</f>
        <v>0.5357142857142857</v>
      </c>
      <c r="CQ5" s="45">
        <f>IFERROR(CN5/($N$18+0.44*$K$18+$U$18), 0)</f>
        <v>0.39818863210493449</v>
      </c>
      <c r="CR5" s="45">
        <f t="shared" ref="CR5:CR18" si="37">IFERROR(Q3*CO5*CQ5*($P$18/($M$18+(1-(1-($J$18/$K$18))^2)*0.4*$K$18)), 0)</f>
        <v>0.3186909896354358</v>
      </c>
      <c r="CS5" s="45">
        <f t="shared" ref="CS5:CS18" si="38">IFERROR((CJ5+CL5+J3)*CM5+CR5, 0)</f>
        <v>0.3186909896354358</v>
      </c>
      <c r="CT5" s="45">
        <f t="shared" ref="CT5:CT18" si="39">IFERROR(M3*(1-(0.5*((P3-J3)/(2*N3)))*CK5), 0)</f>
        <v>0</v>
      </c>
      <c r="CU5" s="45">
        <f t="shared" ref="CU5:CU18" si="40">IFERROR(0.5*((($P$18-$J$18)-(P3-J3))/(2*($N$18-N3)))*T3, 0)</f>
        <v>0</v>
      </c>
      <c r="CV5" s="45">
        <f t="shared" ref="CV5:CV18" si="41">IFERROR((1-(1-(J3/K3))^2)*0.4*K3, 0)</f>
        <v>0</v>
      </c>
      <c r="CW5" s="45">
        <f t="shared" ref="CW5:CW18" si="42">IFERROR(Q3*CO5*CQ5, 0)</f>
        <v>0.14511821849470735</v>
      </c>
      <c r="CX5" s="45">
        <f t="shared" ref="CX5:CX18" si="43">IFERROR((N3-M3)*(1-(1.07*CP5)), 0)</f>
        <v>0.42678571428571432</v>
      </c>
      <c r="CY5" s="45">
        <f t="shared" ref="CY5:CY18" si="44">IFERROR(((1-(J3/K3))^2)*0.4*K3, 0)</f>
        <v>0.4</v>
      </c>
      <c r="CZ5" s="43">
        <f t="shared" ref="CZ5:CZ18" si="45">IFERROR(((CT5+CU5+CV5)*CM5)+CW5+CX5+CY5+U3, 0)</f>
        <v>0.97190393278042164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2</v>
      </c>
      <c r="H6" s="19">
        <v>4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4</v>
      </c>
      <c r="O6" s="137">
        <f t="shared" si="18"/>
        <v>0.5</v>
      </c>
      <c r="P6" s="20">
        <f t="shared" si="19"/>
        <v>6</v>
      </c>
      <c r="Q6" s="18">
        <v>0</v>
      </c>
      <c r="R6" s="19">
        <v>1</v>
      </c>
      <c r="S6" s="20">
        <f t="shared" si="20"/>
        <v>1</v>
      </c>
      <c r="T6" s="18">
        <v>1</v>
      </c>
      <c r="U6" s="19">
        <v>3</v>
      </c>
      <c r="V6" s="19">
        <v>0</v>
      </c>
      <c r="W6" s="19">
        <v>1</v>
      </c>
      <c r="X6" s="19">
        <v>0</v>
      </c>
      <c r="Y6" s="19">
        <v>1</v>
      </c>
      <c r="Z6" s="19">
        <v>0</v>
      </c>
      <c r="AA6" s="19">
        <v>16.5</v>
      </c>
      <c r="AB6" s="60">
        <f>IFERROR((AB3/32)*40, 0)</f>
        <v>59.987500000000004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48.736309523809524</v>
      </c>
      <c r="BF6" s="67">
        <v>3</v>
      </c>
      <c r="BG6" s="68" t="s">
        <v>20</v>
      </c>
      <c r="BH6" s="86">
        <f t="shared" si="2"/>
        <v>0.75</v>
      </c>
      <c r="BI6" s="117">
        <f t="shared" si="3"/>
        <v>0.75</v>
      </c>
      <c r="BJ6" s="118">
        <f t="shared" si="4"/>
        <v>0.21198871917172982</v>
      </c>
      <c r="BK6" s="86">
        <f t="shared" si="5"/>
        <v>0.12030075187969923</v>
      </c>
      <c r="BL6" s="117">
        <f t="shared" si="6"/>
        <v>0.125</v>
      </c>
      <c r="BM6" s="119">
        <f t="shared" si="7"/>
        <v>0.375</v>
      </c>
      <c r="BN6" s="87">
        <f t="shared" si="8"/>
        <v>0.33333333333333331</v>
      </c>
      <c r="BO6" s="86">
        <f t="shared" si="9"/>
        <v>0</v>
      </c>
      <c r="BP6" s="117">
        <f t="shared" si="10"/>
        <v>9.2352092352092338E-2</v>
      </c>
      <c r="BQ6" s="120">
        <f t="shared" si="11"/>
        <v>3.9579468150896711E-2</v>
      </c>
      <c r="BR6" s="88">
        <f t="shared" si="12"/>
        <v>98.798272073278</v>
      </c>
      <c r="BS6" s="89">
        <f t="shared" si="13"/>
        <v>88.225952104912082</v>
      </c>
      <c r="BT6" s="90">
        <f t="shared" si="27"/>
        <v>-10.572319968365917</v>
      </c>
      <c r="BU6" s="86">
        <f t="shared" si="14"/>
        <v>4.1025641025641026E-2</v>
      </c>
      <c r="BV6" s="85">
        <f>IFERROR((D6*2)-(E6*((homedefinitions!$K$15)*2))+(G6*3)-(H6*((homedefinitions!$L$15)*3))+(J6)-(K6*(homedefinitions!$M$15))+S6+T6+V6+W6-U6, 0)</f>
        <v>2.6399999999999997</v>
      </c>
      <c r="BX6" s="26">
        <v>1</v>
      </c>
      <c r="BY6" s="25" t="s">
        <v>18</v>
      </c>
      <c r="BZ6" s="47">
        <f t="shared" si="28"/>
        <v>0.55016181229773453</v>
      </c>
      <c r="CA6" s="39">
        <f t="shared" ref="CA6:CA20" si="46">IFERROR(($AS$18/($AS$18+$R$18)), 0)</f>
        <v>0.23809523809523808</v>
      </c>
      <c r="CB6" s="45">
        <f t="shared" ref="CB6:CB20" si="47">IFERROR(($AQ$18*(1-CA6))/($AQ$18*(1-CA6)+(CA6*(1-$AQ$18))), 0)</f>
        <v>0.72491909385113273</v>
      </c>
      <c r="CC6" s="45">
        <f t="shared" si="29"/>
        <v>0.68373786407767001</v>
      </c>
      <c r="CD6" s="45">
        <f t="shared" si="30"/>
        <v>0</v>
      </c>
      <c r="CE6" s="36">
        <f t="shared" si="31"/>
        <v>-0.16875000000000004</v>
      </c>
      <c r="CF6" s="45">
        <f t="shared" ref="CF6:CF20" si="48">IFERROR(CC6+CE6+CD6, 0)</f>
        <v>0.51498786407766994</v>
      </c>
      <c r="CG6" s="45">
        <f t="shared" ref="CG6:CG20" si="49">IFERROR(BZ6+CF6, 0)</f>
        <v>1.0651496763754045</v>
      </c>
      <c r="CH6" s="45">
        <f t="shared" si="32"/>
        <v>0.32378313745427162</v>
      </c>
      <c r="CI6" s="51">
        <f t="shared" ref="CI6:CI20" si="50">IFERROR($AO$18+(1-((1-$AN$18)^2))*0.4*$AM$18, 0)</f>
        <v>15.2</v>
      </c>
      <c r="CJ6" s="47">
        <f t="shared" si="33"/>
        <v>1.8522168329831932</v>
      </c>
      <c r="CK6" s="45">
        <f t="shared" si="34"/>
        <v>0.73891583508403369</v>
      </c>
      <c r="CL6" s="45">
        <f t="shared" si="35"/>
        <v>0</v>
      </c>
      <c r="CM6" s="36">
        <f t="shared" si="36"/>
        <v>0.91463634206193689</v>
      </c>
      <c r="CN6" s="45">
        <f t="shared" ref="CN6:CN20" si="51">IFERROR($M$18+(1-(1-($J$18/$K$18))^2)*$K$18*0.4, 0)</f>
        <v>25.5</v>
      </c>
      <c r="CO6" s="45">
        <f t="shared" ref="CO6:CO20" si="52">IFERROR(((1-CP6)*CQ6)/((1-CP6)*CQ6+(1-CQ6)*CP6), 0)</f>
        <v>0.36444591029023754</v>
      </c>
      <c r="CP6" s="45">
        <f t="shared" ref="CP6:CP20" si="53">IFERROR($Q$18/($Q$18+$AT$18), 0)</f>
        <v>0.5357142857142857</v>
      </c>
      <c r="CQ6" s="45">
        <f t="shared" ref="CQ6:CQ20" si="54">IFERROR(CN6/($N$18+0.44*$K$18+$U$18), 0)</f>
        <v>0.39818863210493449</v>
      </c>
      <c r="CR6" s="45">
        <f t="shared" si="37"/>
        <v>0</v>
      </c>
      <c r="CS6" s="45">
        <f t="shared" si="38"/>
        <v>3.5233775129491667</v>
      </c>
      <c r="CT6" s="45">
        <f t="shared" si="39"/>
        <v>0.92610841649159659</v>
      </c>
      <c r="CU6" s="45">
        <f t="shared" si="40"/>
        <v>0</v>
      </c>
      <c r="CV6" s="45">
        <f t="shared" si="41"/>
        <v>1.0666666666666667</v>
      </c>
      <c r="CW6" s="45">
        <f t="shared" si="42"/>
        <v>0</v>
      </c>
      <c r="CX6" s="45">
        <f t="shared" si="43"/>
        <v>1.7071428571428573</v>
      </c>
      <c r="CY6" s="45">
        <f t="shared" si="44"/>
        <v>0.13333333333333336</v>
      </c>
      <c r="CZ6" s="43">
        <f t="shared" si="45"/>
        <v>3.6631407030882364</v>
      </c>
    </row>
    <row r="7" spans="2:104" ht="23.1" x14ac:dyDescent="0.85">
      <c r="B7" s="11">
        <v>4</v>
      </c>
      <c r="C7" s="11" t="s">
        <v>21</v>
      </c>
      <c r="D7" s="15">
        <v>1</v>
      </c>
      <c r="E7" s="16">
        <v>1</v>
      </c>
      <c r="F7" s="130">
        <f t="shared" si="15"/>
        <v>1</v>
      </c>
      <c r="G7" s="15">
        <v>2</v>
      </c>
      <c r="H7" s="16">
        <v>3</v>
      </c>
      <c r="I7" s="133">
        <f t="shared" si="16"/>
        <v>0.66666666666666663</v>
      </c>
      <c r="J7" s="33">
        <v>2</v>
      </c>
      <c r="K7" s="33">
        <v>2</v>
      </c>
      <c r="L7" s="31">
        <f t="shared" si="17"/>
        <v>1</v>
      </c>
      <c r="M7" s="21">
        <f t="shared" si="0"/>
        <v>3</v>
      </c>
      <c r="N7" s="16">
        <f t="shared" si="0"/>
        <v>4</v>
      </c>
      <c r="O7" s="136">
        <f t="shared" si="18"/>
        <v>0.75</v>
      </c>
      <c r="P7" s="17">
        <f t="shared" si="19"/>
        <v>10</v>
      </c>
      <c r="Q7" s="15">
        <v>1</v>
      </c>
      <c r="R7" s="16">
        <v>0</v>
      </c>
      <c r="S7" s="17">
        <f t="shared" si="20"/>
        <v>1</v>
      </c>
      <c r="T7" s="15">
        <v>0</v>
      </c>
      <c r="U7" s="16">
        <v>0</v>
      </c>
      <c r="V7" s="16">
        <v>0</v>
      </c>
      <c r="W7" s="16">
        <v>1</v>
      </c>
      <c r="X7" s="16">
        <v>0</v>
      </c>
      <c r="Y7" s="16">
        <v>0</v>
      </c>
      <c r="Z7" s="16">
        <v>0</v>
      </c>
      <c r="AA7" s="16">
        <v>14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1.0245901639344261</v>
      </c>
      <c r="BJ7" s="114">
        <f t="shared" si="4"/>
        <v>0.17417685375211922</v>
      </c>
      <c r="BK7" s="81">
        <f t="shared" si="5"/>
        <v>0</v>
      </c>
      <c r="BL7" s="113">
        <f t="shared" si="6"/>
        <v>0</v>
      </c>
      <c r="BM7" s="115">
        <f t="shared" si="7"/>
        <v>0</v>
      </c>
      <c r="BN7" s="82">
        <f t="shared" si="8"/>
        <v>0</v>
      </c>
      <c r="BO7" s="81">
        <f t="shared" si="9"/>
        <v>8.1632653061224483E-2</v>
      </c>
      <c r="BP7" s="113">
        <f t="shared" si="10"/>
        <v>0</v>
      </c>
      <c r="BQ7" s="116">
        <f t="shared" si="11"/>
        <v>4.6647230320699701E-2</v>
      </c>
      <c r="BR7" s="83">
        <f t="shared" si="12"/>
        <v>99.935250658182525</v>
      </c>
      <c r="BS7" s="84">
        <f t="shared" si="13"/>
        <v>219.88458379737378</v>
      </c>
      <c r="BT7" s="85">
        <f t="shared" si="27"/>
        <v>119.94933313919125</v>
      </c>
      <c r="BU7" s="81">
        <f t="shared" si="14"/>
        <v>0.1076923076923077</v>
      </c>
      <c r="BV7" s="85">
        <f>IFERROR((D7*2)-(E7*((homedefinitions!$K$15)*2))+(G7*3)-(H7*((homedefinitions!$L$15)*3))+(J7)-(K7*(homedefinitions!$M$15))+S7+T7+V7+W7-U7, 0)</f>
        <v>7.43</v>
      </c>
      <c r="BX7" s="26">
        <v>2</v>
      </c>
      <c r="BY7" s="25" t="s">
        <v>19</v>
      </c>
      <c r="BZ7" s="47">
        <f t="shared" si="28"/>
        <v>3.0903991370010786</v>
      </c>
      <c r="CA7" s="39">
        <f t="shared" si="46"/>
        <v>0.23809523809523808</v>
      </c>
      <c r="CB7" s="45">
        <f t="shared" si="47"/>
        <v>0.72491909385113273</v>
      </c>
      <c r="CC7" s="45">
        <f t="shared" si="29"/>
        <v>0.81035598705501632</v>
      </c>
      <c r="CD7" s="45">
        <f t="shared" si="30"/>
        <v>0</v>
      </c>
      <c r="CE7" s="36">
        <f t="shared" si="31"/>
        <v>-0.20000000000000004</v>
      </c>
      <c r="CF7" s="45">
        <f t="shared" si="48"/>
        <v>0.61035598705501626</v>
      </c>
      <c r="CG7" s="45">
        <f t="shared" si="49"/>
        <v>3.7007551240560947</v>
      </c>
      <c r="CH7" s="45">
        <f t="shared" si="32"/>
        <v>0.94917812823110259</v>
      </c>
      <c r="CI7" s="51">
        <f t="shared" si="50"/>
        <v>15.2</v>
      </c>
      <c r="CJ7" s="47">
        <f t="shared" si="33"/>
        <v>6.5302857142857142</v>
      </c>
      <c r="CK7" s="45">
        <f t="shared" si="34"/>
        <v>0.73485714285714288</v>
      </c>
      <c r="CL7" s="45">
        <f t="shared" si="35"/>
        <v>0.85220588235294115</v>
      </c>
      <c r="CM7" s="36">
        <f t="shared" si="36"/>
        <v>0.91463634206193689</v>
      </c>
      <c r="CN7" s="45">
        <f t="shared" si="51"/>
        <v>25.5</v>
      </c>
      <c r="CO7" s="45">
        <f t="shared" si="52"/>
        <v>0.36444591029023754</v>
      </c>
      <c r="CP7" s="45">
        <f t="shared" si="53"/>
        <v>0.5357142857142857</v>
      </c>
      <c r="CQ7" s="45">
        <f t="shared" si="54"/>
        <v>0.39818863210493449</v>
      </c>
      <c r="CR7" s="45">
        <f t="shared" si="37"/>
        <v>0</v>
      </c>
      <c r="CS7" s="45">
        <f t="shared" si="38"/>
        <v>8.5815677933764416</v>
      </c>
      <c r="CT7" s="45">
        <f t="shared" si="39"/>
        <v>2.4488571428571428</v>
      </c>
      <c r="CU7" s="45">
        <f t="shared" si="40"/>
        <v>0.23749999999999999</v>
      </c>
      <c r="CV7" s="45">
        <f t="shared" si="41"/>
        <v>0.8</v>
      </c>
      <c r="CW7" s="45">
        <f t="shared" si="42"/>
        <v>0</v>
      </c>
      <c r="CX7" s="45">
        <f t="shared" si="43"/>
        <v>2.1339285714285716</v>
      </c>
      <c r="CY7" s="45">
        <f t="shared" si="44"/>
        <v>0</v>
      </c>
      <c r="CZ7" s="43">
        <f t="shared" si="45"/>
        <v>7.3226775156929342</v>
      </c>
    </row>
    <row r="8" spans="2:104" ht="23.1" x14ac:dyDescent="0.85">
      <c r="B8" s="11">
        <v>5</v>
      </c>
      <c r="C8" s="11" t="s">
        <v>22</v>
      </c>
      <c r="D8" s="18">
        <v>2</v>
      </c>
      <c r="E8" s="19">
        <v>3</v>
      </c>
      <c r="F8" s="131">
        <f t="shared" si="15"/>
        <v>0.66666666666666663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1</v>
      </c>
      <c r="L8" s="32">
        <f t="shared" si="17"/>
        <v>0</v>
      </c>
      <c r="M8" s="22">
        <f t="shared" si="0"/>
        <v>2</v>
      </c>
      <c r="N8" s="19">
        <f t="shared" si="0"/>
        <v>3</v>
      </c>
      <c r="O8" s="137">
        <f t="shared" si="18"/>
        <v>0.66666666666666663</v>
      </c>
      <c r="P8" s="20">
        <f t="shared" si="19"/>
        <v>4</v>
      </c>
      <c r="Q8" s="18">
        <v>3</v>
      </c>
      <c r="R8" s="19">
        <v>1</v>
      </c>
      <c r="S8" s="20">
        <f t="shared" si="20"/>
        <v>4</v>
      </c>
      <c r="T8" s="18">
        <v>5</v>
      </c>
      <c r="U8" s="19">
        <v>1</v>
      </c>
      <c r="V8" s="19">
        <v>0</v>
      </c>
      <c r="W8" s="19">
        <v>2</v>
      </c>
      <c r="X8" s="19">
        <v>0</v>
      </c>
      <c r="Y8" s="19">
        <v>1</v>
      </c>
      <c r="Z8" s="19">
        <v>2</v>
      </c>
      <c r="AA8" s="19">
        <v>13.5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0.66666666666666663</v>
      </c>
      <c r="BI8" s="117">
        <f t="shared" si="3"/>
        <v>0.58139534883720934</v>
      </c>
      <c r="BJ8" s="118">
        <f t="shared" si="4"/>
        <v>0.1643417308626553</v>
      </c>
      <c r="BK8" s="86">
        <f t="shared" si="5"/>
        <v>0.77669902912621336</v>
      </c>
      <c r="BL8" s="117">
        <f t="shared" si="6"/>
        <v>0.52966101694915257</v>
      </c>
      <c r="BM8" s="119">
        <f t="shared" si="7"/>
        <v>0.10593220338983052</v>
      </c>
      <c r="BN8" s="87">
        <f t="shared" si="8"/>
        <v>5</v>
      </c>
      <c r="BO8" s="86">
        <f t="shared" si="9"/>
        <v>0.25396825396825395</v>
      </c>
      <c r="BP8" s="117">
        <f t="shared" si="10"/>
        <v>0.11287477954144619</v>
      </c>
      <c r="BQ8" s="120">
        <f t="shared" si="11"/>
        <v>0.19349962207105062</v>
      </c>
      <c r="BR8" s="88">
        <f t="shared" si="12"/>
        <v>81.061103559656289</v>
      </c>
      <c r="BS8" s="89">
        <f t="shared" si="13"/>
        <v>160.76317780692625</v>
      </c>
      <c r="BT8" s="90">
        <f t="shared" si="27"/>
        <v>79.702074247269962</v>
      </c>
      <c r="BU8" s="86">
        <f t="shared" si="14"/>
        <v>0.1076923076923077</v>
      </c>
      <c r="BV8" s="85">
        <f>IFERROR((D8*2)-(E8*((homedefinitions!$K$15)*2))+(G8*3)-(H8*((homedefinitions!$L$15)*3))+(J8)-(K8*(homedefinitions!$M$15))+S8+T8+V8+W8-U8, 0)</f>
        <v>11.1</v>
      </c>
      <c r="BX8" s="26">
        <v>3</v>
      </c>
      <c r="BY8" s="25" t="s">
        <v>20</v>
      </c>
      <c r="BZ8" s="47">
        <f t="shared" si="28"/>
        <v>1.2750809061488673</v>
      </c>
      <c r="CA8" s="39">
        <f t="shared" si="46"/>
        <v>0.23809523809523808</v>
      </c>
      <c r="CB8" s="45">
        <f t="shared" si="47"/>
        <v>0.72491909385113273</v>
      </c>
      <c r="CC8" s="45">
        <f t="shared" si="29"/>
        <v>0.83567961165048554</v>
      </c>
      <c r="CD8" s="45">
        <f t="shared" si="30"/>
        <v>0</v>
      </c>
      <c r="CE8" s="36">
        <f t="shared" si="31"/>
        <v>-0.20625000000000004</v>
      </c>
      <c r="CF8" s="45">
        <f t="shared" si="48"/>
        <v>0.6294296116504855</v>
      </c>
      <c r="CG8" s="45">
        <f t="shared" si="49"/>
        <v>1.9045105177993529</v>
      </c>
      <c r="CH8" s="45">
        <f t="shared" si="32"/>
        <v>0.47367098984069794</v>
      </c>
      <c r="CI8" s="51">
        <f t="shared" si="50"/>
        <v>15.2</v>
      </c>
      <c r="CJ8" s="47">
        <f t="shared" si="33"/>
        <v>4.4587219807330829</v>
      </c>
      <c r="CK8" s="45">
        <f t="shared" si="34"/>
        <v>0.68501245300751878</v>
      </c>
      <c r="CL8" s="45">
        <f t="shared" si="35"/>
        <v>0.77020202020202011</v>
      </c>
      <c r="CM8" s="36">
        <f t="shared" si="36"/>
        <v>0.91463634206193689</v>
      </c>
      <c r="CN8" s="45">
        <f t="shared" si="51"/>
        <v>25.5</v>
      </c>
      <c r="CO8" s="45">
        <f t="shared" si="52"/>
        <v>0.36444591029023754</v>
      </c>
      <c r="CP8" s="45">
        <f t="shared" si="53"/>
        <v>0.5357142857142857</v>
      </c>
      <c r="CQ8" s="45">
        <f t="shared" si="54"/>
        <v>0.39818863210493449</v>
      </c>
      <c r="CR8" s="45">
        <f t="shared" si="37"/>
        <v>0</v>
      </c>
      <c r="CS8" s="45">
        <f t="shared" si="38"/>
        <v>4.7825639211351501</v>
      </c>
      <c r="CT8" s="45">
        <f t="shared" si="39"/>
        <v>1.486240660244361</v>
      </c>
      <c r="CU8" s="45">
        <f t="shared" si="40"/>
        <v>0.22727272727272727</v>
      </c>
      <c r="CV8" s="45">
        <f t="shared" si="41"/>
        <v>0</v>
      </c>
      <c r="CW8" s="45">
        <f t="shared" si="42"/>
        <v>0</v>
      </c>
      <c r="CX8" s="45">
        <f t="shared" si="43"/>
        <v>0.85357142857142865</v>
      </c>
      <c r="CY8" s="45">
        <f t="shared" si="44"/>
        <v>0</v>
      </c>
      <c r="CZ8" s="43">
        <f t="shared" si="45"/>
        <v>5.4208130454042163</v>
      </c>
    </row>
    <row r="9" spans="2:104" ht="23.1" x14ac:dyDescent="0.85">
      <c r="B9" s="11">
        <v>10</v>
      </c>
      <c r="C9" s="11" t="s">
        <v>23</v>
      </c>
      <c r="D9" s="15">
        <v>2</v>
      </c>
      <c r="E9" s="16">
        <v>3</v>
      </c>
      <c r="F9" s="130">
        <f t="shared" si="15"/>
        <v>0.66666666666666663</v>
      </c>
      <c r="G9" s="15">
        <v>0</v>
      </c>
      <c r="H9" s="16">
        <v>2</v>
      </c>
      <c r="I9" s="133">
        <f t="shared" si="16"/>
        <v>0</v>
      </c>
      <c r="J9" s="33">
        <v>2</v>
      </c>
      <c r="K9" s="33">
        <v>2</v>
      </c>
      <c r="L9" s="31">
        <f t="shared" si="17"/>
        <v>1</v>
      </c>
      <c r="M9" s="21">
        <f t="shared" si="0"/>
        <v>2</v>
      </c>
      <c r="N9" s="16">
        <f t="shared" si="0"/>
        <v>5</v>
      </c>
      <c r="O9" s="136">
        <f t="shared" si="18"/>
        <v>0.4</v>
      </c>
      <c r="P9" s="17">
        <f t="shared" si="19"/>
        <v>6</v>
      </c>
      <c r="Q9" s="15">
        <v>1</v>
      </c>
      <c r="R9" s="16">
        <v>3</v>
      </c>
      <c r="S9" s="17">
        <f t="shared" si="20"/>
        <v>4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1</v>
      </c>
      <c r="AA9" s="16">
        <v>9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0.4</v>
      </c>
      <c r="BI9" s="113">
        <f t="shared" si="3"/>
        <v>0.51020408163265307</v>
      </c>
      <c r="BJ9" s="114">
        <f t="shared" si="4"/>
        <v>0.32646262752446392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0.12698412698412695</v>
      </c>
      <c r="BP9" s="113">
        <f t="shared" si="10"/>
        <v>0.50793650793650791</v>
      </c>
      <c r="BQ9" s="116">
        <f t="shared" si="11"/>
        <v>0.29024943310657592</v>
      </c>
      <c r="BR9" s="83">
        <f t="shared" si="12"/>
        <v>74.397486155326945</v>
      </c>
      <c r="BS9" s="84">
        <f t="shared" si="13"/>
        <v>140.56478560193523</v>
      </c>
      <c r="BT9" s="85">
        <f t="shared" si="27"/>
        <v>66.167299446608283</v>
      </c>
      <c r="BU9" s="81">
        <f t="shared" si="14"/>
        <v>7.6923076923076927E-2</v>
      </c>
      <c r="BV9" s="85">
        <f>IFERROR((D9*2)-(E9*((homedefinitions!$K$15)*2))+(G9*3)-(H9*((homedefinitions!$L$15)*3))+(J9)-(K9*(homedefinitions!$M$15))+S9+T9+V9+W9-U9, 0)</f>
        <v>5.77</v>
      </c>
      <c r="BX9" s="26">
        <v>4</v>
      </c>
      <c r="BY9" s="25" t="s">
        <v>21</v>
      </c>
      <c r="BZ9" s="47">
        <f t="shared" si="28"/>
        <v>1</v>
      </c>
      <c r="CA9" s="39">
        <f t="shared" si="46"/>
        <v>0.23809523809523808</v>
      </c>
      <c r="CB9" s="45">
        <f t="shared" si="47"/>
        <v>0.72491909385113273</v>
      </c>
      <c r="CC9" s="45">
        <f t="shared" si="29"/>
        <v>0.70906148867313923</v>
      </c>
      <c r="CD9" s="45">
        <f t="shared" si="30"/>
        <v>0</v>
      </c>
      <c r="CE9" s="36">
        <f t="shared" si="31"/>
        <v>-0.17500000000000004</v>
      </c>
      <c r="CF9" s="45">
        <f t="shared" si="48"/>
        <v>0.53406148867313918</v>
      </c>
      <c r="CG9" s="45">
        <f t="shared" si="49"/>
        <v>1.5340614886731392</v>
      </c>
      <c r="CH9" s="45">
        <f t="shared" si="32"/>
        <v>0.44966810860382456</v>
      </c>
      <c r="CI9" s="51">
        <f t="shared" si="50"/>
        <v>15.2</v>
      </c>
      <c r="CJ9" s="47">
        <f t="shared" si="33"/>
        <v>4.4777065217391305</v>
      </c>
      <c r="CK9" s="45">
        <f t="shared" si="34"/>
        <v>0.88057336956521737</v>
      </c>
      <c r="CL9" s="45">
        <f t="shared" si="35"/>
        <v>0</v>
      </c>
      <c r="CM9" s="36">
        <f t="shared" si="36"/>
        <v>0.91463634206193689</v>
      </c>
      <c r="CN9" s="45">
        <f t="shared" si="51"/>
        <v>25.5</v>
      </c>
      <c r="CO9" s="45">
        <f t="shared" si="52"/>
        <v>0.36444591029023754</v>
      </c>
      <c r="CP9" s="45">
        <f t="shared" si="53"/>
        <v>0.5357142857142857</v>
      </c>
      <c r="CQ9" s="45">
        <f t="shared" si="54"/>
        <v>0.39818863210493449</v>
      </c>
      <c r="CR9" s="45">
        <f t="shared" si="37"/>
        <v>0.3186909896354358</v>
      </c>
      <c r="CS9" s="45">
        <f t="shared" si="38"/>
        <v>6.2434367876296664</v>
      </c>
      <c r="CT9" s="45">
        <f t="shared" si="39"/>
        <v>1.6791399456521741</v>
      </c>
      <c r="CU9" s="45">
        <f t="shared" si="40"/>
        <v>0</v>
      </c>
      <c r="CV9" s="45">
        <f t="shared" si="41"/>
        <v>0.8</v>
      </c>
      <c r="CW9" s="45">
        <f t="shared" si="42"/>
        <v>0.14511821849470735</v>
      </c>
      <c r="CX9" s="45">
        <f t="shared" si="43"/>
        <v>0.42678571428571432</v>
      </c>
      <c r="CY9" s="45">
        <f t="shared" si="44"/>
        <v>0</v>
      </c>
      <c r="CZ9" s="43">
        <f t="shared" si="45"/>
        <v>2.8394154241313552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2</v>
      </c>
      <c r="R10" s="19">
        <v>1</v>
      </c>
      <c r="S10" s="20">
        <f t="shared" si="20"/>
        <v>3</v>
      </c>
      <c r="T10" s="18">
        <v>2</v>
      </c>
      <c r="U10" s="19">
        <v>1</v>
      </c>
      <c r="V10" s="19">
        <v>1</v>
      </c>
      <c r="W10" s="19">
        <v>1</v>
      </c>
      <c r="X10" s="19">
        <v>0</v>
      </c>
      <c r="Y10" s="19">
        <v>2</v>
      </c>
      <c r="Z10" s="19">
        <v>2</v>
      </c>
      <c r="AA10" s="19">
        <v>12.5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0.69444444444444442</v>
      </c>
      <c r="BJ10" s="118">
        <f t="shared" si="4"/>
        <v>9.7539038101186776E-2</v>
      </c>
      <c r="BK10" s="86">
        <f t="shared" si="5"/>
        <v>0.29357798165137611</v>
      </c>
      <c r="BL10" s="117">
        <f t="shared" si="6"/>
        <v>0.45045045045045051</v>
      </c>
      <c r="BM10" s="119">
        <f t="shared" si="7"/>
        <v>0.22522522522522526</v>
      </c>
      <c r="BN10" s="87">
        <f t="shared" si="8"/>
        <v>2</v>
      </c>
      <c r="BO10" s="86">
        <f t="shared" si="9"/>
        <v>0.18285714285714283</v>
      </c>
      <c r="BP10" s="117">
        <f t="shared" si="10"/>
        <v>0.12190476190476188</v>
      </c>
      <c r="BQ10" s="120">
        <f t="shared" si="11"/>
        <v>0.15673469387755098</v>
      </c>
      <c r="BR10" s="88">
        <f t="shared" si="12"/>
        <v>85.590126655891098</v>
      </c>
      <c r="BS10" s="89">
        <f t="shared" si="13"/>
        <v>122.01412296696041</v>
      </c>
      <c r="BT10" s="90">
        <f t="shared" si="27"/>
        <v>36.423996311069317</v>
      </c>
      <c r="BU10" s="86">
        <f t="shared" si="14"/>
        <v>5.6410256410256411E-2</v>
      </c>
      <c r="BV10" s="85">
        <f>IFERROR((D10*2)-(E10*((homedefinitions!$K$15)*2))+(G10*3)-(H10*((homedefinitions!$L$15)*3))+(J10)-(K10*(homedefinitions!$M$15))+S10+T10+V10+W10-U10, 0)</f>
        <v>6.6</v>
      </c>
      <c r="BX10" s="26">
        <v>5</v>
      </c>
      <c r="BY10" s="25" t="s">
        <v>22</v>
      </c>
      <c r="BZ10" s="47">
        <f t="shared" si="28"/>
        <v>2.275080906148867</v>
      </c>
      <c r="CA10" s="39">
        <f t="shared" si="46"/>
        <v>0.23809523809523808</v>
      </c>
      <c r="CB10" s="45">
        <f t="shared" si="47"/>
        <v>0.72491909385113273</v>
      </c>
      <c r="CC10" s="45">
        <f t="shared" si="29"/>
        <v>0.68373786407767001</v>
      </c>
      <c r="CD10" s="45">
        <f t="shared" si="30"/>
        <v>0</v>
      </c>
      <c r="CE10" s="36">
        <f t="shared" si="31"/>
        <v>-0.16875000000000004</v>
      </c>
      <c r="CF10" s="45">
        <f t="shared" si="48"/>
        <v>0.51498786407766994</v>
      </c>
      <c r="CG10" s="45">
        <f t="shared" si="49"/>
        <v>2.790068770226537</v>
      </c>
      <c r="CH10" s="45">
        <f t="shared" si="32"/>
        <v>0.84812232512826724</v>
      </c>
      <c r="CI10" s="51">
        <f t="shared" si="50"/>
        <v>15.2</v>
      </c>
      <c r="CJ10" s="47">
        <f t="shared" si="33"/>
        <v>3.6855004045307442</v>
      </c>
      <c r="CK10" s="45">
        <f t="shared" si="34"/>
        <v>0.23587469660194191</v>
      </c>
      <c r="CL10" s="45">
        <f t="shared" si="35"/>
        <v>4.083333333333333</v>
      </c>
      <c r="CM10" s="36">
        <f t="shared" si="36"/>
        <v>0.91463634206193689</v>
      </c>
      <c r="CN10" s="45">
        <f t="shared" si="51"/>
        <v>25.5</v>
      </c>
      <c r="CO10" s="45">
        <f t="shared" si="52"/>
        <v>0.36444591029023754</v>
      </c>
      <c r="CP10" s="45">
        <f t="shared" si="53"/>
        <v>0.5357142857142857</v>
      </c>
      <c r="CQ10" s="45">
        <f t="shared" si="54"/>
        <v>0.39818863210493449</v>
      </c>
      <c r="CR10" s="45">
        <f t="shared" si="37"/>
        <v>0.95607296890630733</v>
      </c>
      <c r="CS10" s="45">
        <f t="shared" si="38"/>
        <v>8.0617306409936713</v>
      </c>
      <c r="CT10" s="45">
        <f t="shared" si="39"/>
        <v>1.8427502022653721</v>
      </c>
      <c r="CU10" s="45">
        <f t="shared" si="40"/>
        <v>1.1666666666666667</v>
      </c>
      <c r="CV10" s="45">
        <f t="shared" si="41"/>
        <v>0</v>
      </c>
      <c r="CW10" s="45">
        <f t="shared" si="42"/>
        <v>0.43535465548412206</v>
      </c>
      <c r="CX10" s="45">
        <f t="shared" si="43"/>
        <v>0.42678571428571432</v>
      </c>
      <c r="CY10" s="45">
        <f t="shared" si="44"/>
        <v>0.4</v>
      </c>
      <c r="CZ10" s="43">
        <f t="shared" si="45"/>
        <v>5.0146624065093244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1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1</v>
      </c>
      <c r="O11" s="136">
        <f t="shared" si="18"/>
        <v>0</v>
      </c>
      <c r="P11" s="17">
        <f t="shared" si="19"/>
        <v>0</v>
      </c>
      <c r="Q11" s="15">
        <v>1</v>
      </c>
      <c r="R11" s="16">
        <v>0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0</v>
      </c>
      <c r="AA11" s="16">
        <v>3.75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0.13325005205080159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0.30476190476190468</v>
      </c>
      <c r="BP11" s="113">
        <f t="shared" si="10"/>
        <v>0</v>
      </c>
      <c r="BQ11" s="116">
        <f t="shared" si="11"/>
        <v>0.17414965986394551</v>
      </c>
      <c r="BR11" s="83">
        <f t="shared" si="12"/>
        <v>61.983586319569319</v>
      </c>
      <c r="BS11" s="84">
        <f t="shared" si="13"/>
        <v>55.724566901657404</v>
      </c>
      <c r="BT11" s="85">
        <f t="shared" si="27"/>
        <v>-6.2590194179119152</v>
      </c>
      <c r="BU11" s="81">
        <f t="shared" si="14"/>
        <v>5.1282051282051282E-3</v>
      </c>
      <c r="BV11" s="85">
        <f>IFERROR((D11*2)-(E11*((homedefinitions!$K$15)*2))+(G11*3)-(H11*((homedefinitions!$L$15)*3))+(J11)-(K11*(homedefinitions!$M$15))+S11+T11+V11+W11-U11, 0)</f>
        <v>1.1599999999999999</v>
      </c>
      <c r="BX11" s="26">
        <v>10</v>
      </c>
      <c r="BY11" s="25" t="s">
        <v>23</v>
      </c>
      <c r="BZ11" s="47">
        <f t="shared" si="28"/>
        <v>1.8252427184466018</v>
      </c>
      <c r="CA11" s="39">
        <f t="shared" si="46"/>
        <v>0.23809523809523808</v>
      </c>
      <c r="CB11" s="45">
        <f t="shared" si="47"/>
        <v>0.72491909385113273</v>
      </c>
      <c r="CC11" s="45">
        <f t="shared" si="29"/>
        <v>0.45582524271844671</v>
      </c>
      <c r="CD11" s="45">
        <f t="shared" si="30"/>
        <v>0</v>
      </c>
      <c r="CE11" s="36">
        <f t="shared" si="31"/>
        <v>-0.11250000000000002</v>
      </c>
      <c r="CF11" s="45">
        <f t="shared" si="48"/>
        <v>0.34332524271844667</v>
      </c>
      <c r="CG11" s="45">
        <f t="shared" si="49"/>
        <v>2.1685679611650484</v>
      </c>
      <c r="CH11" s="45">
        <f t="shared" si="32"/>
        <v>0.98879869255299779</v>
      </c>
      <c r="CI11" s="51">
        <f t="shared" si="50"/>
        <v>15.2</v>
      </c>
      <c r="CJ11" s="47">
        <f t="shared" si="33"/>
        <v>3.2533181034482759</v>
      </c>
      <c r="CK11" s="45">
        <f t="shared" si="34"/>
        <v>0.93335237068965515</v>
      </c>
      <c r="CL11" s="45">
        <f t="shared" si="35"/>
        <v>0</v>
      </c>
      <c r="CM11" s="36">
        <f t="shared" si="36"/>
        <v>0.91463634206193689</v>
      </c>
      <c r="CN11" s="45">
        <f t="shared" si="51"/>
        <v>25.5</v>
      </c>
      <c r="CO11" s="45">
        <f t="shared" si="52"/>
        <v>0.36444591029023754</v>
      </c>
      <c r="CP11" s="45">
        <f t="shared" si="53"/>
        <v>0.5357142857142857</v>
      </c>
      <c r="CQ11" s="45">
        <f t="shared" si="54"/>
        <v>0.39818863210493449</v>
      </c>
      <c r="CR11" s="45">
        <f t="shared" si="37"/>
        <v>0.3186909896354358</v>
      </c>
      <c r="CS11" s="45">
        <f t="shared" si="38"/>
        <v>5.1235666434611185</v>
      </c>
      <c r="CT11" s="45">
        <f t="shared" si="39"/>
        <v>1.6266590517241379</v>
      </c>
      <c r="CU11" s="45">
        <f t="shared" si="40"/>
        <v>0</v>
      </c>
      <c r="CV11" s="45">
        <f t="shared" si="41"/>
        <v>0.8</v>
      </c>
      <c r="CW11" s="45">
        <f t="shared" si="42"/>
        <v>0.14511821849470735</v>
      </c>
      <c r="CX11" s="45">
        <f t="shared" si="43"/>
        <v>1.280357142857143</v>
      </c>
      <c r="CY11" s="45">
        <f t="shared" si="44"/>
        <v>0</v>
      </c>
      <c r="CZ11" s="43">
        <f t="shared" si="45"/>
        <v>3.6449859198523042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1</v>
      </c>
      <c r="F12" s="131">
        <f t="shared" si="15"/>
        <v>1</v>
      </c>
      <c r="G12" s="18">
        <v>0</v>
      </c>
      <c r="H12" s="19">
        <v>0</v>
      </c>
      <c r="I12" s="134">
        <f t="shared" si="16"/>
        <v>0</v>
      </c>
      <c r="J12" s="34">
        <v>2</v>
      </c>
      <c r="K12" s="34">
        <v>2</v>
      </c>
      <c r="L12" s="32">
        <f t="shared" si="17"/>
        <v>1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4</v>
      </c>
      <c r="Q12" s="18">
        <v>0</v>
      </c>
      <c r="R12" s="19">
        <v>0</v>
      </c>
      <c r="S12" s="20">
        <f t="shared" si="20"/>
        <v>0</v>
      </c>
      <c r="T12" s="18">
        <v>1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0</v>
      </c>
      <c r="AA12" s="19">
        <v>8.6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1.0638297872340425</v>
      </c>
      <c r="BJ12" s="118">
        <f t="shared" si="4"/>
        <v>0.16733727466844853</v>
      </c>
      <c r="BK12" s="86">
        <f t="shared" si="5"/>
        <v>0.22857142857142854</v>
      </c>
      <c r="BL12" s="117">
        <f t="shared" si="6"/>
        <v>0.25773195876288663</v>
      </c>
      <c r="BM12" s="119">
        <f t="shared" si="7"/>
        <v>0.25773195876288663</v>
      </c>
      <c r="BN12" s="87">
        <f t="shared" si="8"/>
        <v>1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91.216915968937855</v>
      </c>
      <c r="BS12" s="89">
        <f t="shared" si="13"/>
        <v>147.69429867077045</v>
      </c>
      <c r="BT12" s="90">
        <f t="shared" si="27"/>
        <v>56.477382701832596</v>
      </c>
      <c r="BU12" s="86">
        <f t="shared" si="14"/>
        <v>5.128205128205128E-2</v>
      </c>
      <c r="BV12" s="85">
        <f>IFERROR((D12*2)-(E12*((homedefinitions!$K$15)*2))+(G12*3)-(H12*((homedefinitions!$L$15)*3))+(J12)-(K12*(homedefinitions!$M$15))+S12+T12+V12+W12-U12, 0)</f>
        <v>2.95</v>
      </c>
      <c r="BX12" s="26">
        <v>11</v>
      </c>
      <c r="BY12" s="25" t="s">
        <v>24</v>
      </c>
      <c r="BZ12" s="47">
        <f t="shared" si="28"/>
        <v>1.8153182308522113</v>
      </c>
      <c r="CA12" s="39">
        <f t="shared" si="46"/>
        <v>0.23809523809523808</v>
      </c>
      <c r="CB12" s="45">
        <f t="shared" si="47"/>
        <v>0.72491909385113273</v>
      </c>
      <c r="CC12" s="45">
        <f t="shared" si="29"/>
        <v>0.63309061488673146</v>
      </c>
      <c r="CD12" s="45">
        <f t="shared" si="30"/>
        <v>0</v>
      </c>
      <c r="CE12" s="36">
        <f t="shared" si="31"/>
        <v>-0.15625000000000003</v>
      </c>
      <c r="CF12" s="45">
        <f t="shared" si="48"/>
        <v>0.47684061488673146</v>
      </c>
      <c r="CG12" s="45">
        <f t="shared" si="49"/>
        <v>2.2921588457389426</v>
      </c>
      <c r="CH12" s="45">
        <f t="shared" si="32"/>
        <v>0.75250961531886584</v>
      </c>
      <c r="CI12" s="51">
        <f t="shared" si="50"/>
        <v>15.2</v>
      </c>
      <c r="CJ12" s="47">
        <f t="shared" si="33"/>
        <v>1.4797412557339449</v>
      </c>
      <c r="CK12" s="45">
        <f t="shared" si="34"/>
        <v>0.52025874426605512</v>
      </c>
      <c r="CL12" s="45">
        <f t="shared" si="35"/>
        <v>1.5520716685330347</v>
      </c>
      <c r="CM12" s="36">
        <f t="shared" si="36"/>
        <v>0.91463634206193689</v>
      </c>
      <c r="CN12" s="45">
        <f t="shared" si="51"/>
        <v>25.5</v>
      </c>
      <c r="CO12" s="45">
        <f t="shared" si="52"/>
        <v>0.36444591029023754</v>
      </c>
      <c r="CP12" s="45">
        <f t="shared" si="53"/>
        <v>0.5357142857142857</v>
      </c>
      <c r="CQ12" s="45">
        <f t="shared" si="54"/>
        <v>0.39818863210493449</v>
      </c>
      <c r="CR12" s="45">
        <f t="shared" si="37"/>
        <v>0.63738197927087159</v>
      </c>
      <c r="CS12" s="45">
        <f t="shared" si="38"/>
        <v>3.4103882621385262</v>
      </c>
      <c r="CT12" s="45">
        <f t="shared" si="39"/>
        <v>0.73987062786697244</v>
      </c>
      <c r="CU12" s="45">
        <f t="shared" si="40"/>
        <v>0.46808510638297873</v>
      </c>
      <c r="CV12" s="45">
        <f t="shared" si="41"/>
        <v>0</v>
      </c>
      <c r="CW12" s="45">
        <f t="shared" si="42"/>
        <v>0.2902364369894147</v>
      </c>
      <c r="CX12" s="45">
        <f t="shared" si="43"/>
        <v>0</v>
      </c>
      <c r="CY12" s="45">
        <f t="shared" si="44"/>
        <v>0.4</v>
      </c>
      <c r="CZ12" s="43">
        <f t="shared" si="45"/>
        <v>2.7950766511365313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6</v>
      </c>
      <c r="F13" s="130">
        <f t="shared" si="15"/>
        <v>0.66666666666666663</v>
      </c>
      <c r="G13" s="15">
        <v>0</v>
      </c>
      <c r="H13" s="16">
        <v>3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4</v>
      </c>
      <c r="N13" s="16">
        <f t="shared" si="0"/>
        <v>9</v>
      </c>
      <c r="O13" s="136">
        <f t="shared" si="18"/>
        <v>0.44444444444444442</v>
      </c>
      <c r="P13" s="17">
        <f t="shared" si="19"/>
        <v>8</v>
      </c>
      <c r="Q13" s="15">
        <v>3</v>
      </c>
      <c r="R13" s="16">
        <v>2</v>
      </c>
      <c r="S13" s="17">
        <f t="shared" si="20"/>
        <v>5</v>
      </c>
      <c r="T13" s="15">
        <v>1</v>
      </c>
      <c r="U13" s="16">
        <v>0</v>
      </c>
      <c r="V13" s="16">
        <v>0</v>
      </c>
      <c r="W13" s="16">
        <v>1</v>
      </c>
      <c r="X13" s="16">
        <v>0</v>
      </c>
      <c r="Y13" s="16">
        <v>0</v>
      </c>
      <c r="Z13" s="16">
        <v>0</v>
      </c>
      <c r="AA13" s="16">
        <v>17.2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0.44444444444444442</v>
      </c>
      <c r="BI13" s="113">
        <f t="shared" si="3"/>
        <v>0.42372881355932207</v>
      </c>
      <c r="BJ13" s="114">
        <f t="shared" si="4"/>
        <v>0.2742472001510684</v>
      </c>
      <c r="BK13" s="81">
        <f t="shared" si="5"/>
        <v>0.14814814814814811</v>
      </c>
      <c r="BL13" s="113">
        <f t="shared" si="6"/>
        <v>9.5785440613026823E-2</v>
      </c>
      <c r="BM13" s="115">
        <f t="shared" si="7"/>
        <v>0</v>
      </c>
      <c r="BN13" s="82">
        <f t="shared" si="8"/>
        <v>0</v>
      </c>
      <c r="BO13" s="81">
        <f t="shared" si="9"/>
        <v>0.19933554817275745</v>
      </c>
      <c r="BP13" s="113">
        <f t="shared" si="10"/>
        <v>0.17718715393133996</v>
      </c>
      <c r="BQ13" s="116">
        <f t="shared" si="11"/>
        <v>0.18984337921214994</v>
      </c>
      <c r="BR13" s="83">
        <f t="shared" si="12"/>
        <v>96.300782475371435</v>
      </c>
      <c r="BS13" s="84">
        <f t="shared" si="13"/>
        <v>126.8141813488723</v>
      </c>
      <c r="BT13" s="85">
        <f t="shared" si="27"/>
        <v>30.513398873500861</v>
      </c>
      <c r="BU13" s="81">
        <f t="shared" si="14"/>
        <v>7.6923076923076927E-2</v>
      </c>
      <c r="BV13" s="85">
        <f>IFERROR((D13*2)-(E13*((homedefinitions!$K$15)*2))+(G13*3)-(H13*((homedefinitions!$L$15)*3))+(J13)-(K13*(homedefinitions!$M$15))+S13+T13+V13+W13-U13, 0)</f>
        <v>7.3299999999999992</v>
      </c>
      <c r="BX13" s="26">
        <v>12</v>
      </c>
      <c r="BY13" s="25" t="s">
        <v>25</v>
      </c>
      <c r="BZ13" s="47">
        <f t="shared" si="28"/>
        <v>1</v>
      </c>
      <c r="CA13" s="39">
        <f t="shared" si="46"/>
        <v>0.23809523809523808</v>
      </c>
      <c r="CB13" s="45">
        <f t="shared" si="47"/>
        <v>0.72491909385113273</v>
      </c>
      <c r="CC13" s="45">
        <f t="shared" si="29"/>
        <v>0.18992718446601944</v>
      </c>
      <c r="CD13" s="45">
        <f t="shared" si="30"/>
        <v>0</v>
      </c>
      <c r="CE13" s="36">
        <f t="shared" si="31"/>
        <v>-4.6875000000000007E-2</v>
      </c>
      <c r="CF13" s="45">
        <f t="shared" si="48"/>
        <v>0.14305218446601944</v>
      </c>
      <c r="CG13" s="45">
        <f t="shared" si="49"/>
        <v>1.1430521844660195</v>
      </c>
      <c r="CH13" s="45">
        <f t="shared" si="32"/>
        <v>1.2508699113078809</v>
      </c>
      <c r="CI13" s="51">
        <f t="shared" si="50"/>
        <v>15.2</v>
      </c>
      <c r="CJ13" s="47">
        <f t="shared" si="33"/>
        <v>0</v>
      </c>
      <c r="CK13" s="45">
        <f t="shared" si="34"/>
        <v>0.66066406249999998</v>
      </c>
      <c r="CL13" s="45">
        <f t="shared" si="35"/>
        <v>0</v>
      </c>
      <c r="CM13" s="36">
        <f t="shared" si="36"/>
        <v>0.91463634206193689</v>
      </c>
      <c r="CN13" s="45">
        <f t="shared" si="51"/>
        <v>25.5</v>
      </c>
      <c r="CO13" s="45">
        <f t="shared" si="52"/>
        <v>0.36444591029023754</v>
      </c>
      <c r="CP13" s="45">
        <f t="shared" si="53"/>
        <v>0.5357142857142857</v>
      </c>
      <c r="CQ13" s="45">
        <f t="shared" si="54"/>
        <v>0.39818863210493449</v>
      </c>
      <c r="CR13" s="45">
        <f t="shared" si="37"/>
        <v>0.3186909896354358</v>
      </c>
      <c r="CS13" s="45">
        <f t="shared" si="38"/>
        <v>0.3186909896354358</v>
      </c>
      <c r="CT13" s="45">
        <f t="shared" si="39"/>
        <v>0</v>
      </c>
      <c r="CU13" s="45">
        <f t="shared" si="40"/>
        <v>0</v>
      </c>
      <c r="CV13" s="45">
        <f t="shared" si="41"/>
        <v>0</v>
      </c>
      <c r="CW13" s="45">
        <f t="shared" si="42"/>
        <v>0.14511821849470735</v>
      </c>
      <c r="CX13" s="45">
        <f t="shared" si="43"/>
        <v>0.42678571428571432</v>
      </c>
      <c r="CY13" s="45">
        <f t="shared" si="44"/>
        <v>0</v>
      </c>
      <c r="CZ13" s="43">
        <f t="shared" si="45"/>
        <v>0.57190393278042162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2</v>
      </c>
      <c r="AA14" s="19">
        <v>3.75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0.30476190476190468</v>
      </c>
      <c r="BP14" s="117">
        <f t="shared" si="10"/>
        <v>0</v>
      </c>
      <c r="BQ14" s="120">
        <f t="shared" si="11"/>
        <v>0.17414965986394551</v>
      </c>
      <c r="BR14" s="88">
        <f t="shared" si="12"/>
        <v>113.82000590401663</v>
      </c>
      <c r="BS14" s="89">
        <f t="shared" si="13"/>
        <v>219.60784313725492</v>
      </c>
      <c r="BT14" s="90">
        <f t="shared" si="27"/>
        <v>105.78783723323829</v>
      </c>
      <c r="BU14" s="86">
        <f t="shared" si="14"/>
        <v>5.1282051282051282E-3</v>
      </c>
      <c r="BV14" s="85">
        <f>IFERROR((D14*2)-(E14*((homedefinitions!$K$15)*2))+(G14*3)-(H14*((homedefinitions!$L$15)*3))+(J14)-(K14*(homedefinitions!$M$15))+S14+T14+V14+W14-U14, 0)</f>
        <v>1</v>
      </c>
      <c r="BX14" s="26">
        <v>24</v>
      </c>
      <c r="BY14" s="25" t="s">
        <v>26</v>
      </c>
      <c r="BZ14" s="47">
        <f t="shared" si="28"/>
        <v>1</v>
      </c>
      <c r="CA14" s="39">
        <f t="shared" si="46"/>
        <v>0.23809523809523808</v>
      </c>
      <c r="CB14" s="45">
        <f t="shared" si="47"/>
        <v>0.72491909385113273</v>
      </c>
      <c r="CC14" s="45">
        <f t="shared" si="29"/>
        <v>0.43556634304207126</v>
      </c>
      <c r="CD14" s="45">
        <f t="shared" si="30"/>
        <v>0</v>
      </c>
      <c r="CE14" s="36">
        <f t="shared" si="31"/>
        <v>-0.10750000000000001</v>
      </c>
      <c r="CF14" s="45">
        <f t="shared" si="48"/>
        <v>0.32806634304207127</v>
      </c>
      <c r="CG14" s="45">
        <f t="shared" si="49"/>
        <v>1.3280663430420714</v>
      </c>
      <c r="CH14" s="45">
        <f t="shared" si="32"/>
        <v>0.63372184093232309</v>
      </c>
      <c r="CI14" s="51">
        <f t="shared" si="50"/>
        <v>15.2</v>
      </c>
      <c r="CJ14" s="47">
        <f t="shared" si="33"/>
        <v>1.3993625000000001</v>
      </c>
      <c r="CK14" s="45">
        <f t="shared" si="34"/>
        <v>0.60063749999999994</v>
      </c>
      <c r="CL14" s="45">
        <f t="shared" si="35"/>
        <v>0.77603583426651734</v>
      </c>
      <c r="CM14" s="36">
        <f t="shared" si="36"/>
        <v>0.91463634206193689</v>
      </c>
      <c r="CN14" s="45">
        <f t="shared" si="51"/>
        <v>25.5</v>
      </c>
      <c r="CO14" s="45">
        <f t="shared" si="52"/>
        <v>0.36444591029023754</v>
      </c>
      <c r="CP14" s="45">
        <f t="shared" si="53"/>
        <v>0.5357142857142857</v>
      </c>
      <c r="CQ14" s="45">
        <f t="shared" si="54"/>
        <v>0.39818863210493449</v>
      </c>
      <c r="CR14" s="45">
        <f t="shared" si="37"/>
        <v>0</v>
      </c>
      <c r="CS14" s="45">
        <f t="shared" si="38"/>
        <v>3.8189710591050323</v>
      </c>
      <c r="CT14" s="45">
        <f t="shared" si="39"/>
        <v>0.69968125000000003</v>
      </c>
      <c r="CU14" s="45">
        <f t="shared" si="40"/>
        <v>0.23404255319148937</v>
      </c>
      <c r="CV14" s="45">
        <f t="shared" si="41"/>
        <v>0.8</v>
      </c>
      <c r="CW14" s="45">
        <f t="shared" si="42"/>
        <v>0</v>
      </c>
      <c r="CX14" s="45">
        <f t="shared" si="43"/>
        <v>0</v>
      </c>
      <c r="CY14" s="45">
        <f t="shared" si="44"/>
        <v>0</v>
      </c>
      <c r="CZ14" s="43">
        <f t="shared" si="45"/>
        <v>2.5857267974967733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2</v>
      </c>
      <c r="Z15" s="16">
        <v>0</v>
      </c>
      <c r="AA15" s="16">
        <v>6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0.166562565063502</v>
      </c>
      <c r="BK15" s="81">
        <f t="shared" si="5"/>
        <v>0.26666666666666661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0.19047619047619044</v>
      </c>
      <c r="BP15" s="113">
        <f t="shared" si="10"/>
        <v>0</v>
      </c>
      <c r="BQ15" s="116">
        <f t="shared" si="11"/>
        <v>0.10884353741496597</v>
      </c>
      <c r="BR15" s="83">
        <f t="shared" si="12"/>
        <v>113.82000590401663</v>
      </c>
      <c r="BS15" s="84">
        <f t="shared" si="13"/>
        <v>84.651336774010019</v>
      </c>
      <c r="BT15" s="85">
        <f t="shared" si="27"/>
        <v>-29.168669130006606</v>
      </c>
      <c r="BU15" s="81">
        <f t="shared" si="14"/>
        <v>-5.1282051282051282E-3</v>
      </c>
      <c r="BV15" s="85">
        <f>IFERROR((D15*2)-(E15*((homedefinitions!$K$15)*2))+(G15*3)-(H15*((homedefinitions!$L$15)*3))+(J15)-(K15*(homedefinitions!$M$15))+S15+T15+V15+W15-U15, 0)</f>
        <v>0.40999999999999992</v>
      </c>
      <c r="BX15" s="26">
        <v>30</v>
      </c>
      <c r="BY15" s="25" t="s">
        <v>27</v>
      </c>
      <c r="BZ15" s="47">
        <f t="shared" si="28"/>
        <v>1.5501618122977345</v>
      </c>
      <c r="CA15" s="39">
        <f t="shared" si="46"/>
        <v>0.23809523809523808</v>
      </c>
      <c r="CB15" s="45">
        <f t="shared" si="47"/>
        <v>0.72491909385113273</v>
      </c>
      <c r="CC15" s="45">
        <f t="shared" si="29"/>
        <v>0.87113268608414252</v>
      </c>
      <c r="CD15" s="45">
        <f t="shared" si="30"/>
        <v>0</v>
      </c>
      <c r="CE15" s="36">
        <f t="shared" si="31"/>
        <v>-0.21500000000000002</v>
      </c>
      <c r="CF15" s="45">
        <f t="shared" si="48"/>
        <v>0.65613268608414255</v>
      </c>
      <c r="CG15" s="45">
        <f t="shared" si="49"/>
        <v>2.2062944983818769</v>
      </c>
      <c r="CH15" s="45">
        <f t="shared" si="32"/>
        <v>0.52639577024094752</v>
      </c>
      <c r="CI15" s="51">
        <f t="shared" si="50"/>
        <v>15.2</v>
      </c>
      <c r="CJ15" s="47">
        <f t="shared" si="33"/>
        <v>6.6170584362139921</v>
      </c>
      <c r="CK15" s="45">
        <f t="shared" si="34"/>
        <v>0.77790462962962947</v>
      </c>
      <c r="CL15" s="45">
        <f t="shared" si="35"/>
        <v>0.95913461538461542</v>
      </c>
      <c r="CM15" s="36">
        <f t="shared" si="36"/>
        <v>0.91463634206193689</v>
      </c>
      <c r="CN15" s="45">
        <f t="shared" si="51"/>
        <v>25.5</v>
      </c>
      <c r="CO15" s="45">
        <f t="shared" si="52"/>
        <v>0.36444591029023754</v>
      </c>
      <c r="CP15" s="45">
        <f t="shared" si="53"/>
        <v>0.5357142857142857</v>
      </c>
      <c r="CQ15" s="45">
        <f t="shared" si="54"/>
        <v>0.39818863210493449</v>
      </c>
      <c r="CR15" s="45">
        <f t="shared" si="37"/>
        <v>0.95607296890630733</v>
      </c>
      <c r="CS15" s="45">
        <f t="shared" si="38"/>
        <v>7.8855344683755213</v>
      </c>
      <c r="CT15" s="45">
        <f t="shared" si="39"/>
        <v>3.3085292181069961</v>
      </c>
      <c r="CU15" s="45">
        <f t="shared" si="40"/>
        <v>0.24358974358974358</v>
      </c>
      <c r="CV15" s="45">
        <f t="shared" si="41"/>
        <v>0</v>
      </c>
      <c r="CW15" s="45">
        <f t="shared" si="42"/>
        <v>0.43535465548412206</v>
      </c>
      <c r="CX15" s="45">
        <f t="shared" si="43"/>
        <v>2.1339285714285716</v>
      </c>
      <c r="CY15" s="45">
        <f t="shared" si="44"/>
        <v>0.4</v>
      </c>
      <c r="CZ15" s="43">
        <f t="shared" si="45"/>
        <v>6.2181803206078445</v>
      </c>
    </row>
    <row r="16" spans="2:104" ht="23.1" x14ac:dyDescent="0.85">
      <c r="B16" s="12">
        <v>34</v>
      </c>
      <c r="C16" s="12" t="s">
        <v>30</v>
      </c>
      <c r="D16" s="18">
        <v>1</v>
      </c>
      <c r="E16" s="19">
        <v>2</v>
      </c>
      <c r="F16" s="131">
        <f t="shared" si="15"/>
        <v>0.5</v>
      </c>
      <c r="G16" s="18">
        <v>0</v>
      </c>
      <c r="H16" s="19">
        <v>1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1</v>
      </c>
      <c r="N16" s="19">
        <f t="shared" si="0"/>
        <v>3</v>
      </c>
      <c r="O16" s="137">
        <f t="shared" si="18"/>
        <v>0.33333333333333331</v>
      </c>
      <c r="P16" s="20">
        <f t="shared" si="19"/>
        <v>2</v>
      </c>
      <c r="Q16" s="18">
        <v>1</v>
      </c>
      <c r="R16" s="19">
        <v>1</v>
      </c>
      <c r="S16" s="20">
        <f t="shared" si="20"/>
        <v>2</v>
      </c>
      <c r="T16" s="18">
        <v>0</v>
      </c>
      <c r="U16" s="19">
        <v>1</v>
      </c>
      <c r="V16" s="19">
        <v>0</v>
      </c>
      <c r="W16" s="19">
        <v>0</v>
      </c>
      <c r="X16" s="19">
        <v>0</v>
      </c>
      <c r="Y16" s="19">
        <v>0</v>
      </c>
      <c r="Z16" s="19">
        <v>1</v>
      </c>
      <c r="AA16" s="19">
        <v>14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0.29069767441860467</v>
      </c>
      <c r="BJ16" s="118">
        <f t="shared" si="4"/>
        <v>0.15847238333184616</v>
      </c>
      <c r="BK16" s="86">
        <f t="shared" si="5"/>
        <v>0</v>
      </c>
      <c r="BL16" s="117">
        <f t="shared" si="6"/>
        <v>0</v>
      </c>
      <c r="BM16" s="119">
        <f t="shared" si="7"/>
        <v>0.22522522522522526</v>
      </c>
      <c r="BN16" s="87">
        <f t="shared" si="8"/>
        <v>0</v>
      </c>
      <c r="BO16" s="86">
        <f t="shared" si="9"/>
        <v>8.1632653061224483E-2</v>
      </c>
      <c r="BP16" s="117">
        <f t="shared" si="10"/>
        <v>0.10884353741496597</v>
      </c>
      <c r="BQ16" s="120">
        <f t="shared" si="11"/>
        <v>9.3294460641399402E-2</v>
      </c>
      <c r="BR16" s="88">
        <f t="shared" si="12"/>
        <v>110.00057484933734</v>
      </c>
      <c r="BS16" s="89">
        <f t="shared" si="13"/>
        <v>60.083826482633604</v>
      </c>
      <c r="BT16" s="90">
        <f t="shared" si="27"/>
        <v>-49.916748366703736</v>
      </c>
      <c r="BU16" s="86">
        <f t="shared" si="14"/>
        <v>-5.1282051282051282E-3</v>
      </c>
      <c r="BV16" s="85">
        <f>IFERROR((D16*2)-(E16*((homedefinitions!$K$15)*2))+(G16*3)-(H16*((homedefinitions!$L$15)*3))+(J16)-(K16*(homedefinitions!$M$15))+S16+T16+V16+W16-U16, 0)</f>
        <v>9.9999999999997868E-3</v>
      </c>
      <c r="BX16" s="26">
        <v>32</v>
      </c>
      <c r="BY16" s="25" t="s">
        <v>28</v>
      </c>
      <c r="BZ16" s="47">
        <f t="shared" si="28"/>
        <v>0</v>
      </c>
      <c r="CA16" s="39">
        <f t="shared" si="46"/>
        <v>0.23809523809523808</v>
      </c>
      <c r="CB16" s="45">
        <f t="shared" si="47"/>
        <v>0.72491909385113273</v>
      </c>
      <c r="CC16" s="45">
        <f t="shared" si="29"/>
        <v>0.18992718446601944</v>
      </c>
      <c r="CD16" s="45">
        <f t="shared" si="30"/>
        <v>0</v>
      </c>
      <c r="CE16" s="36">
        <f t="shared" si="31"/>
        <v>-4.6875000000000007E-2</v>
      </c>
      <c r="CF16" s="45">
        <f t="shared" si="48"/>
        <v>0.14305218446601944</v>
      </c>
      <c r="CG16" s="45">
        <f t="shared" si="49"/>
        <v>0.14305218446601944</v>
      </c>
      <c r="CH16" s="45">
        <f t="shared" si="32"/>
        <v>0.15654549785843819</v>
      </c>
      <c r="CI16" s="51">
        <f t="shared" si="50"/>
        <v>15.2</v>
      </c>
      <c r="CJ16" s="47">
        <f t="shared" si="33"/>
        <v>0</v>
      </c>
      <c r="CK16" s="45">
        <f t="shared" si="34"/>
        <v>0.66066406249999998</v>
      </c>
      <c r="CL16" s="45">
        <f t="shared" si="35"/>
        <v>0</v>
      </c>
      <c r="CM16" s="36">
        <f t="shared" si="36"/>
        <v>0.91463634206193689</v>
      </c>
      <c r="CN16" s="45">
        <f t="shared" si="51"/>
        <v>25.5</v>
      </c>
      <c r="CO16" s="45">
        <f t="shared" si="52"/>
        <v>0.36444591029023754</v>
      </c>
      <c r="CP16" s="45">
        <f t="shared" si="53"/>
        <v>0.5357142857142857</v>
      </c>
      <c r="CQ16" s="45">
        <f t="shared" si="54"/>
        <v>0.39818863210493449</v>
      </c>
      <c r="CR16" s="45">
        <f t="shared" si="37"/>
        <v>0.3186909896354358</v>
      </c>
      <c r="CS16" s="45">
        <f t="shared" si="38"/>
        <v>0.3186909896354358</v>
      </c>
      <c r="CT16" s="45">
        <f t="shared" si="39"/>
        <v>0</v>
      </c>
      <c r="CU16" s="45">
        <f t="shared" si="40"/>
        <v>0</v>
      </c>
      <c r="CV16" s="45">
        <f t="shared" si="41"/>
        <v>0</v>
      </c>
      <c r="CW16" s="45">
        <f t="shared" si="42"/>
        <v>0.14511821849470735</v>
      </c>
      <c r="CX16" s="45">
        <f t="shared" si="43"/>
        <v>0</v>
      </c>
      <c r="CY16" s="45">
        <f t="shared" si="44"/>
        <v>0</v>
      </c>
      <c r="CZ16" s="43">
        <f t="shared" si="45"/>
        <v>0.14511821849470735</v>
      </c>
    </row>
    <row r="17" spans="2:104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ref="F17" si="55">IFERROR(D17/E17,0)</f>
        <v>0</v>
      </c>
      <c r="G17" s="18">
        <v>0</v>
      </c>
      <c r="H17" s="19">
        <v>0</v>
      </c>
      <c r="I17" s="134">
        <f t="shared" ref="I17" si="56">IFERROR(G17/H17,0)</f>
        <v>0</v>
      </c>
      <c r="J17" s="34">
        <v>0</v>
      </c>
      <c r="K17" s="34">
        <v>0</v>
      </c>
      <c r="L17" s="32">
        <f t="shared" ref="L17" si="57">IFERROR(J17/K17, 0)</f>
        <v>0</v>
      </c>
      <c r="M17" s="22">
        <f t="shared" ref="M17" si="58">D17+G17</f>
        <v>0</v>
      </c>
      <c r="N17" s="19">
        <f t="shared" ref="N17" si="59">E17+H17</f>
        <v>1</v>
      </c>
      <c r="O17" s="137">
        <f t="shared" ref="O17" si="60">IFERROR(M17/N17,0)</f>
        <v>0</v>
      </c>
      <c r="P17" s="20">
        <f t="shared" ref="P17" si="61">(D17*2)+(G17*3)+(J17)</f>
        <v>0</v>
      </c>
      <c r="Q17" s="18">
        <v>0</v>
      </c>
      <c r="R17" s="19">
        <v>3</v>
      </c>
      <c r="S17" s="20">
        <f t="shared" ref="S17" si="62">Q17+R17</f>
        <v>3</v>
      </c>
      <c r="T17" s="18">
        <v>1</v>
      </c>
      <c r="U17" s="19">
        <v>0</v>
      </c>
      <c r="V17" s="19">
        <v>0</v>
      </c>
      <c r="W17" s="19">
        <v>0</v>
      </c>
      <c r="X17" s="19">
        <v>0</v>
      </c>
      <c r="Y17" s="19">
        <v>1</v>
      </c>
      <c r="Z17" s="19">
        <v>0</v>
      </c>
      <c r="AA17" s="19">
        <v>6.7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7.4580253013508346E-2</v>
      </c>
      <c r="BK17" s="95">
        <f t="shared" si="5"/>
        <v>0.23880597014925367</v>
      </c>
      <c r="BL17" s="121">
        <f t="shared" si="6"/>
        <v>0.5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0.68230277185501054</v>
      </c>
      <c r="BQ17" s="124">
        <f t="shared" si="11"/>
        <v>0.29241547365214737</v>
      </c>
      <c r="BR17" s="97">
        <f>IFERROR($BR$18+0.2*(100*($AR$18/CI20)*(1-CH20)-$BR$18), 0)</f>
        <v>89.877303770206211</v>
      </c>
      <c r="BS17" s="98">
        <f>IFERROR((CS20/CZ20)*100, 0)</f>
        <v>108.35737444711764</v>
      </c>
      <c r="BT17" s="99">
        <f t="shared" si="27"/>
        <v>18.480070676911424</v>
      </c>
      <c r="BU17" s="95">
        <f t="shared" si="14"/>
        <v>3.0769230769230771E-2</v>
      </c>
      <c r="BV17" s="85">
        <f>IFERROR((D17*2)-(E17*((homedefinitions!$K$15)*2))+(G17*3)-(H17*((homedefinitions!$L$15)*3))+(J17)-(K17*(homedefinitions!$M$15))+S17+T17+V17+W17-U17, 0)</f>
        <v>3.25</v>
      </c>
      <c r="BX17" s="55">
        <v>33</v>
      </c>
      <c r="BY17" s="58" t="s">
        <v>29</v>
      </c>
      <c r="BZ17" s="47">
        <f t="shared" si="28"/>
        <v>0</v>
      </c>
      <c r="CA17" s="39">
        <f t="shared" si="46"/>
        <v>0.23809523809523808</v>
      </c>
      <c r="CB17" s="45">
        <f t="shared" si="47"/>
        <v>0.72491909385113273</v>
      </c>
      <c r="CC17" s="45">
        <f t="shared" si="29"/>
        <v>0.30388349514563112</v>
      </c>
      <c r="CD17" s="45">
        <f t="shared" si="30"/>
        <v>0</v>
      </c>
      <c r="CE17" s="36">
        <f t="shared" si="31"/>
        <v>-7.5000000000000011E-2</v>
      </c>
      <c r="CF17" s="45">
        <f t="shared" si="48"/>
        <v>0.22888349514563111</v>
      </c>
      <c r="CG17" s="45">
        <f t="shared" si="49"/>
        <v>0.22888349514563111</v>
      </c>
      <c r="CH17" s="45">
        <f t="shared" si="32"/>
        <v>0.15654549785843819</v>
      </c>
      <c r="CI17" s="51">
        <f t="shared" si="50"/>
        <v>15.2</v>
      </c>
      <c r="CJ17" s="47">
        <f t="shared" si="33"/>
        <v>0</v>
      </c>
      <c r="CK17" s="45">
        <f t="shared" si="34"/>
        <v>0.43970833333333337</v>
      </c>
      <c r="CL17" s="45">
        <f t="shared" si="35"/>
        <v>0.78749999999999998</v>
      </c>
      <c r="CM17" s="36">
        <f t="shared" si="36"/>
        <v>0.91463634206193689</v>
      </c>
      <c r="CN17" s="45">
        <f t="shared" si="51"/>
        <v>25.5</v>
      </c>
      <c r="CO17" s="45">
        <f t="shared" si="52"/>
        <v>0.36444591029023754</v>
      </c>
      <c r="CP17" s="45">
        <f t="shared" si="53"/>
        <v>0.5357142857142857</v>
      </c>
      <c r="CQ17" s="45">
        <f t="shared" si="54"/>
        <v>0.39818863210493449</v>
      </c>
      <c r="CR17" s="45">
        <f t="shared" si="37"/>
        <v>0.3186909896354358</v>
      </c>
      <c r="CS17" s="45">
        <f t="shared" si="38"/>
        <v>1.0389671090092112</v>
      </c>
      <c r="CT17" s="45">
        <f t="shared" si="39"/>
        <v>0</v>
      </c>
      <c r="CU17" s="45">
        <f t="shared" si="40"/>
        <v>0.25</v>
      </c>
      <c r="CV17" s="45">
        <f t="shared" si="41"/>
        <v>0</v>
      </c>
      <c r="CW17" s="45">
        <f t="shared" si="42"/>
        <v>0.14511821849470735</v>
      </c>
      <c r="CX17" s="45">
        <f t="shared" si="43"/>
        <v>0.85357142857142865</v>
      </c>
      <c r="CY17" s="45">
        <f t="shared" si="44"/>
        <v>0</v>
      </c>
      <c r="CZ17" s="43">
        <f t="shared" si="45"/>
        <v>1.2273487325816204</v>
      </c>
    </row>
    <row r="18" spans="2:104" ht="23.4" thickBot="1" x14ac:dyDescent="0.9">
      <c r="B18" s="11">
        <v>99</v>
      </c>
      <c r="C18" s="11" t="s">
        <v>43</v>
      </c>
      <c r="D18" s="8">
        <f>SUM(D3:D17)</f>
        <v>14</v>
      </c>
      <c r="E18" s="6">
        <f>SUM(E3:E17)</f>
        <v>25</v>
      </c>
      <c r="F18" s="132">
        <f t="shared" ref="F18" si="63">IFERROR(D18/E18,0)</f>
        <v>0.56000000000000005</v>
      </c>
      <c r="G18" s="8">
        <f>SUM(G3:G17)</f>
        <v>6</v>
      </c>
      <c r="H18" s="6">
        <f>SUM(H3:H17)</f>
        <v>23</v>
      </c>
      <c r="I18" s="135">
        <f t="shared" ref="I18" si="64">IFERROR(G18/H18,0)</f>
        <v>0.2608695652173913</v>
      </c>
      <c r="J18" s="35">
        <f>SUM(J3:J17)</f>
        <v>10</v>
      </c>
      <c r="K18" s="35">
        <f>SUM(K3:K17)</f>
        <v>16</v>
      </c>
      <c r="L18" s="31">
        <f t="shared" ref="L18" si="65">IFERROR(J18/K18, 0)</f>
        <v>0.625</v>
      </c>
      <c r="M18" s="30">
        <f>SUM(M3:M17)</f>
        <v>20</v>
      </c>
      <c r="N18" s="6">
        <f>SUM(N3:N17)</f>
        <v>48</v>
      </c>
      <c r="O18" s="138">
        <f t="shared" ref="O18" si="66">IFERROR(M18/N18,0)</f>
        <v>0.41666666666666669</v>
      </c>
      <c r="P18" s="9">
        <f>(D18*2)+(G18*3)+(J18)</f>
        <v>56</v>
      </c>
      <c r="Q18" s="8">
        <f>SUM(Q3:Q17)</f>
        <v>15</v>
      </c>
      <c r="R18" s="6">
        <f>SUM(R3:R17)</f>
        <v>16</v>
      </c>
      <c r="S18" s="9">
        <f t="shared" ref="S18" si="67">Q18+R18</f>
        <v>31</v>
      </c>
      <c r="T18" s="8">
        <f t="shared" ref="T18:AA18" si="68">SUM(T3:T17)</f>
        <v>13</v>
      </c>
      <c r="U18" s="6">
        <f t="shared" si="68"/>
        <v>9</v>
      </c>
      <c r="V18" s="6">
        <f t="shared" si="68"/>
        <v>2</v>
      </c>
      <c r="W18" s="6">
        <f t="shared" si="68"/>
        <v>13</v>
      </c>
      <c r="X18" s="6">
        <f t="shared" si="68"/>
        <v>0</v>
      </c>
      <c r="Y18" s="6">
        <f t="shared" si="68"/>
        <v>9</v>
      </c>
      <c r="Z18" s="6">
        <f t="shared" si="68"/>
        <v>10</v>
      </c>
      <c r="AA18" s="6">
        <f t="shared" si="68"/>
        <v>159.99999999999997</v>
      </c>
      <c r="AD18" s="11"/>
      <c r="AE18" s="11" t="s">
        <v>43</v>
      </c>
      <c r="AF18" s="8">
        <v>9</v>
      </c>
      <c r="AG18" s="6">
        <v>17</v>
      </c>
      <c r="AH18" s="132">
        <f t="shared" si="21"/>
        <v>0.52941176470588236</v>
      </c>
      <c r="AI18" s="8">
        <v>5</v>
      </c>
      <c r="AJ18" s="6">
        <v>14</v>
      </c>
      <c r="AK18" s="135">
        <f t="shared" si="22"/>
        <v>0.35714285714285715</v>
      </c>
      <c r="AL18" s="35">
        <v>3</v>
      </c>
      <c r="AM18" s="35">
        <v>3</v>
      </c>
      <c r="AN18" s="31">
        <f t="shared" si="23"/>
        <v>1</v>
      </c>
      <c r="AO18" s="30">
        <v>14</v>
      </c>
      <c r="AP18" s="6">
        <v>31</v>
      </c>
      <c r="AQ18" s="138">
        <f t="shared" si="24"/>
        <v>0.45161290322580644</v>
      </c>
      <c r="AR18" s="9">
        <f>(AF18*2)+(AI18*3)+(AL18)</f>
        <v>36</v>
      </c>
      <c r="AS18" s="8">
        <v>5</v>
      </c>
      <c r="AT18" s="6">
        <v>13</v>
      </c>
      <c r="AU18" s="9">
        <f t="shared" si="26"/>
        <v>18</v>
      </c>
      <c r="AV18" s="8">
        <v>8</v>
      </c>
      <c r="AW18" s="6">
        <v>11</v>
      </c>
      <c r="AX18" s="6">
        <v>1</v>
      </c>
      <c r="AY18" s="6">
        <v>2</v>
      </c>
      <c r="AZ18" s="6">
        <f>SUM(AZ3:AZ17)</f>
        <v>0</v>
      </c>
      <c r="BA18" s="6">
        <v>6</v>
      </c>
      <c r="BB18" s="6">
        <v>8</v>
      </c>
      <c r="BC18" s="6">
        <v>160</v>
      </c>
      <c r="BF18" s="100">
        <v>99</v>
      </c>
      <c r="BG18" s="101" t="s">
        <v>43</v>
      </c>
      <c r="BH18" s="102">
        <f t="shared" si="2"/>
        <v>0.47916666666666669</v>
      </c>
      <c r="BI18" s="125">
        <f t="shared" si="3"/>
        <v>0.50872093023255816</v>
      </c>
      <c r="BJ18" s="126">
        <v>0</v>
      </c>
      <c r="BK18" s="102">
        <f>IFERROR(T18/M18, 0)</f>
        <v>0.65</v>
      </c>
      <c r="BL18" s="125">
        <f>IFERROR(T18/(N18+(0.44*K18)+U18), 0)</f>
        <v>0.20299812617114307</v>
      </c>
      <c r="BM18" s="127">
        <f>IFERROR(U18/(N18+(0.44*K18)+U18), 0)</f>
        <v>0.14053716427232982</v>
      </c>
      <c r="BN18" s="103">
        <f t="shared" si="8"/>
        <v>1.4444444444444444</v>
      </c>
      <c r="BO18" s="105">
        <f>IFERROR(Q18/(Q18+AT18), 0)</f>
        <v>0.5357142857142857</v>
      </c>
      <c r="BP18" s="128">
        <f>IFERROR(R18/(R18+AS18), 0)</f>
        <v>0.76190476190476186</v>
      </c>
      <c r="BQ18" s="129">
        <f>IFERROR(S18/(S18+AU18), 0)</f>
        <v>0.63265306122448983</v>
      </c>
      <c r="BR18" s="111">
        <f>IFERROR(($AR$18/$BD$3)*100, 0)</f>
        <v>92.333622384796712</v>
      </c>
      <c r="BS18" s="112">
        <f>IFERROR(($P$18/$AB$3)*100, 0)</f>
        <v>116.69097728693478</v>
      </c>
      <c r="BT18" s="104">
        <f t="shared" si="27"/>
        <v>24.35735490213807</v>
      </c>
      <c r="BU18" s="102">
        <f>IFERROR(SUM(BU3:BU17), 0)</f>
        <v>0.6512820512820513</v>
      </c>
      <c r="BV18" s="85">
        <f>IFERROR((D18*2)-(E18*((homedefinitions!$K$15)*2))+(G18*3)-(H18*((homedefinitions!$L$15)*3))+(J18)-(K18*(homedefinitions!$M$15))+S18+T18+V18+W18-U18, 0)</f>
        <v>57.53</v>
      </c>
      <c r="BX18" s="55">
        <v>34</v>
      </c>
      <c r="BY18" s="58" t="s">
        <v>30</v>
      </c>
      <c r="BZ18" s="47">
        <f t="shared" si="28"/>
        <v>0.27508090614886727</v>
      </c>
      <c r="CA18" s="39">
        <f t="shared" si="46"/>
        <v>0.23809523809523808</v>
      </c>
      <c r="CB18" s="45">
        <f t="shared" si="47"/>
        <v>0.72491909385113273</v>
      </c>
      <c r="CC18" s="45">
        <f t="shared" si="29"/>
        <v>0.70906148867313923</v>
      </c>
      <c r="CD18" s="45">
        <f t="shared" si="30"/>
        <v>0</v>
      </c>
      <c r="CE18" s="36">
        <f t="shared" si="31"/>
        <v>-0.17500000000000004</v>
      </c>
      <c r="CF18" s="45">
        <f t="shared" si="48"/>
        <v>0.53406148867313918</v>
      </c>
      <c r="CG18" s="45">
        <f t="shared" si="49"/>
        <v>0.80914239482200645</v>
      </c>
      <c r="CH18" s="45">
        <f t="shared" si="32"/>
        <v>0.23717793123500075</v>
      </c>
      <c r="CI18" s="51">
        <f t="shared" si="50"/>
        <v>15.2</v>
      </c>
      <c r="CJ18" s="47">
        <f t="shared" si="33"/>
        <v>1.7543366935483871</v>
      </c>
      <c r="CK18" s="45">
        <f t="shared" si="34"/>
        <v>0.7369899193548386</v>
      </c>
      <c r="CL18" s="45">
        <f t="shared" si="35"/>
        <v>0</v>
      </c>
      <c r="CM18" s="36">
        <f t="shared" si="36"/>
        <v>0.91463634206193689</v>
      </c>
      <c r="CN18" s="45">
        <f t="shared" si="51"/>
        <v>25.5</v>
      </c>
      <c r="CO18" s="45">
        <f t="shared" si="52"/>
        <v>0.36444591029023754</v>
      </c>
      <c r="CP18" s="45">
        <f t="shared" si="53"/>
        <v>0.5357142857142857</v>
      </c>
      <c r="CQ18" s="45">
        <f t="shared" si="54"/>
        <v>0.39818863210493449</v>
      </c>
      <c r="CR18" s="45">
        <f t="shared" si="37"/>
        <v>0.3186909896354358</v>
      </c>
      <c r="CS18" s="45">
        <f t="shared" si="38"/>
        <v>1.9232710857675657</v>
      </c>
      <c r="CT18" s="45">
        <f t="shared" si="39"/>
        <v>0.87716834677419353</v>
      </c>
      <c r="CU18" s="45">
        <f t="shared" si="40"/>
        <v>0</v>
      </c>
      <c r="CV18" s="45">
        <f t="shared" si="41"/>
        <v>0</v>
      </c>
      <c r="CW18" s="45">
        <f t="shared" si="42"/>
        <v>0.14511821849470735</v>
      </c>
      <c r="CX18" s="45">
        <f t="shared" si="43"/>
        <v>0.85357142857142865</v>
      </c>
      <c r="CY18" s="45">
        <f t="shared" si="44"/>
        <v>0.4</v>
      </c>
      <c r="CZ18" s="43">
        <f t="shared" si="45"/>
        <v>3.2009796951322009</v>
      </c>
    </row>
    <row r="19" spans="2:104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6"/>
        <v>0.23809523809523808</v>
      </c>
      <c r="CB19" s="45">
        <f t="shared" si="47"/>
        <v>0.72491909385113273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8"/>
        <v>0</v>
      </c>
      <c r="CG19" s="45">
        <f t="shared" si="49"/>
        <v>0</v>
      </c>
      <c r="CH19" s="45">
        <f>IFERROR(CG19/($BD$3*(#REF!/$BC$18)),0)</f>
        <v>0</v>
      </c>
      <c r="CI19" s="51">
        <f t="shared" si="50"/>
        <v>15.2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6"/>
        <v>0.91463634206193689</v>
      </c>
      <c r="CN19" s="45">
        <f t="shared" si="51"/>
        <v>25.5</v>
      </c>
      <c r="CO19" s="45">
        <f t="shared" si="52"/>
        <v>0.36444591029023754</v>
      </c>
      <c r="CP19" s="45">
        <f t="shared" si="53"/>
        <v>0.5357142857142857</v>
      </c>
      <c r="CQ19" s="45">
        <f t="shared" si="54"/>
        <v>0.39818863210493449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</row>
    <row r="20" spans="2:104" ht="14.7" thickBot="1" x14ac:dyDescent="0.6">
      <c r="BX20" s="56">
        <v>55</v>
      </c>
      <c r="BY20" s="59" t="s">
        <v>32</v>
      </c>
      <c r="BZ20" s="48">
        <f>IFERROR(W17+((V17*CB20)*(1-(1.07*CA20)))+(R17*(1-CB20)), 0)</f>
        <v>0.8252427184466018</v>
      </c>
      <c r="CA20" s="41">
        <f t="shared" si="46"/>
        <v>0.23809523809523808</v>
      </c>
      <c r="CB20" s="46">
        <f t="shared" si="47"/>
        <v>0.72491909385113273</v>
      </c>
      <c r="CC20" s="46">
        <f>IFERROR(((($AP$18-$AO$18-$V$18)*CB20*(1-1.07*CA20))/$AA$18)*AA17, 0)</f>
        <v>0.33933656957928809</v>
      </c>
      <c r="CD20" s="46">
        <f>IFERROR((Z17/$Z$18)*0.4*$AM$18*((1-$AN$18)^2), 0)</f>
        <v>0</v>
      </c>
      <c r="CE20" s="42">
        <f>IFERROR((($AW$18-$W$18)/$AA$18)*AA17, 0)</f>
        <v>-8.3750000000000019E-2</v>
      </c>
      <c r="CF20" s="46">
        <f t="shared" si="48"/>
        <v>0.25558656957928805</v>
      </c>
      <c r="CG20" s="46">
        <f t="shared" si="49"/>
        <v>1.0808292880258898</v>
      </c>
      <c r="CH20" s="46">
        <f>IFERROR(CG20/($BD$3*(AA17/$BC$18)),0)</f>
        <v>0.66200254290554683</v>
      </c>
      <c r="CI20" s="52">
        <f t="shared" si="50"/>
        <v>15.2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0.46831277985074632</v>
      </c>
      <c r="CL20" s="46">
        <f>IFERROR(2*((($M$18)+0.5*($H$18-G17))/($M$18-M17))*0.5*((($P$18-$J$18)-(P17-J17))/(2*($N$18-N17)))*T17, 0)</f>
        <v>0.77074468085106373</v>
      </c>
      <c r="CM20" s="42">
        <f t="shared" si="36"/>
        <v>0.91463634206193689</v>
      </c>
      <c r="CN20" s="46">
        <f t="shared" si="51"/>
        <v>25.5</v>
      </c>
      <c r="CO20" s="46">
        <f t="shared" si="52"/>
        <v>0.36444591029023754</v>
      </c>
      <c r="CP20" s="46">
        <f t="shared" si="53"/>
        <v>0.5357142857142857</v>
      </c>
      <c r="CQ20" s="46">
        <f t="shared" si="54"/>
        <v>0.39818863210493449</v>
      </c>
      <c r="CR20" s="46">
        <f>IFERROR(Q17*CO20*CQ20*($P$18/($M$18+(1-(1-($J$18/$K$18))^2)*0.4*$K$18)), 0)</f>
        <v>0</v>
      </c>
      <c r="CS20" s="46">
        <f>IFERROR((CJ20+CL20+J17)*CM20+CR20, 0)</f>
        <v>0.70495109555731195</v>
      </c>
      <c r="CT20" s="46">
        <f>IFERROR(M17*(1-(0.5*((P17-J17)/(2*N17)))*CK20), 0)</f>
        <v>0</v>
      </c>
      <c r="CU20" s="46">
        <f>IFERROR(0.5*((($P$18-$J$18)-(P17-J17))/(2*($N$18-N17)))*T17, 0)</f>
        <v>0.24468085106382978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0.42678571428571432</v>
      </c>
      <c r="CY20" s="46">
        <f>IFERROR(((1-(J17/K17))^2)*0.4*K17, 0)</f>
        <v>0</v>
      </c>
      <c r="CZ20" s="44">
        <f>IFERROR(((CT20+CU20+CV20)*CM20)+CW20+CX20+CY20+U17, 0)</f>
        <v>0.65057971287533722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074A-52BF-4331-A841-8A95DB393D94}">
  <dimension ref="B1:CZ20"/>
  <sheetViews>
    <sheetView topLeftCell="AN1" zoomScale="69" zoomScaleNormal="115" workbookViewId="0">
      <selection activeCell="AB3" sqref="AB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8906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.7890625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89062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3671875" customWidth="1"/>
    <col min="68" max="68" width="16.47265625" customWidth="1"/>
    <col min="69" max="69" width="14.62890625" customWidth="1"/>
  </cols>
  <sheetData>
    <row r="1" spans="2:104" ht="23.4" thickBot="1" x14ac:dyDescent="0.9">
      <c r="B1" s="11"/>
      <c r="C1" s="11" t="s">
        <v>111</v>
      </c>
      <c r="D1" s="176" t="s">
        <v>1</v>
      </c>
      <c r="E1" s="177"/>
      <c r="F1" s="178"/>
      <c r="G1" s="179" t="s">
        <v>5</v>
      </c>
      <c r="H1" s="180"/>
      <c r="I1" s="181"/>
      <c r="J1" s="182" t="s">
        <v>38</v>
      </c>
      <c r="K1" s="183"/>
      <c r="L1" s="184"/>
      <c r="M1" s="185" t="s">
        <v>6</v>
      </c>
      <c r="N1" s="185"/>
      <c r="O1" s="185"/>
      <c r="P1" s="186"/>
      <c r="Q1" s="187" t="s">
        <v>8</v>
      </c>
      <c r="R1" s="188"/>
      <c r="S1" s="189"/>
      <c r="T1" s="174"/>
      <c r="U1" s="175"/>
      <c r="V1" s="175"/>
      <c r="W1" s="175"/>
      <c r="X1" s="175"/>
      <c r="Y1" s="175"/>
      <c r="Z1" s="37"/>
      <c r="AD1" s="11" t="s">
        <v>110</v>
      </c>
      <c r="AE1" s="11"/>
      <c r="AF1" s="176" t="s">
        <v>1</v>
      </c>
      <c r="AG1" s="177"/>
      <c r="AH1" s="178"/>
      <c r="AI1" s="179" t="s">
        <v>5</v>
      </c>
      <c r="AJ1" s="180"/>
      <c r="AK1" s="181"/>
      <c r="AL1" s="182" t="s">
        <v>38</v>
      </c>
      <c r="AM1" s="183"/>
      <c r="AN1" s="184"/>
      <c r="AO1" s="185" t="s">
        <v>6</v>
      </c>
      <c r="AP1" s="185"/>
      <c r="AQ1" s="185"/>
      <c r="AR1" s="186"/>
      <c r="AS1" s="187" t="s">
        <v>8</v>
      </c>
      <c r="AT1" s="188"/>
      <c r="AU1" s="189"/>
      <c r="AV1" s="174"/>
      <c r="AW1" s="175"/>
      <c r="AX1" s="175"/>
      <c r="AY1" s="175"/>
      <c r="AZ1" s="175"/>
      <c r="BA1" s="175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6" t="s">
        <v>64</v>
      </c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7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1</v>
      </c>
      <c r="S3" s="17">
        <f>Q3+R3</f>
        <v>1</v>
      </c>
      <c r="T3" s="15">
        <v>1</v>
      </c>
      <c r="U3" s="16">
        <v>1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52">
        <v>5.5</v>
      </c>
      <c r="AB3" s="60">
        <f>IFERROR($N$18+0.44*$K$18-(1.07*($Q$18/($Q$18+$AT$18))*($N$18-$M$18))+U18, 0)</f>
        <v>69.084102564102551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68.037666666666667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6.6145768737856048E-2</v>
      </c>
      <c r="BK3" s="81">
        <f t="shared" ref="BK3:BK17" si="5">IFERROR(T3/(($M$18*((5*AA3)/$AA$18))-M3), 0)</f>
        <v>0.19396363636363634</v>
      </c>
      <c r="BL3" s="113">
        <f t="shared" ref="BL3:BL17" si="6">IFERROR(T3/(N3+(0.44*K3)+T3+U3), 0)</f>
        <v>0.5</v>
      </c>
      <c r="BM3" s="115">
        <f t="shared" ref="BM3:BM17" si="7">IFERROR(U3/(N3+(0.44*K3)+T3+U3), 0)</f>
        <v>0.5</v>
      </c>
      <c r="BN3" s="82">
        <f t="shared" ref="BN3:BN18" si="8">IFERROR(T3/U3, 0)</f>
        <v>1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0.19396363636363634</v>
      </c>
      <c r="BQ3" s="116">
        <f t="shared" ref="BQ3:BQ17" si="11">IFERROR(S3/(($S$18+$AU$18)*((5*AA3)/$AA$18)), 0)</f>
        <v>8.4332015810276661E-2</v>
      </c>
      <c r="BR3" s="83">
        <f t="shared" ref="BR3:BR16" si="12">IFERROR($BR$18+0.2*(100*($AR$18/CI5)*(1-CH5)-$BR$18), 0)</f>
        <v>49.161068514841645</v>
      </c>
      <c r="BS3" s="84">
        <f t="shared" ref="BS3:BS16" si="13">IFERROR((CS5/CZ5)*100, 0)</f>
        <v>50.92591064856844</v>
      </c>
      <c r="BT3" s="85">
        <f>BS3-BR3</f>
        <v>1.7648421337267948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2.6200873362445413E-2</v>
      </c>
      <c r="BV3" s="85">
        <f>IFERROR((D3*2)-(E3*((homedefinitions!$K$15)*2))+(G3*3)-(H3*((homedefinitions!$L$15)*3))+(J3)-(K3*(homedefinitions!$M$15))+S3+T3+V3+W3-U3, 0)</f>
        <v>3</v>
      </c>
      <c r="BX3" s="54"/>
      <c r="BY3" s="57"/>
      <c r="BZ3" s="168" t="s">
        <v>75</v>
      </c>
      <c r="CA3" s="169"/>
      <c r="CB3" s="169"/>
      <c r="CC3" s="169"/>
      <c r="CD3" s="169"/>
      <c r="CE3" s="169"/>
      <c r="CF3" s="169"/>
      <c r="CG3" s="169"/>
      <c r="CH3" s="169"/>
      <c r="CI3" s="170"/>
      <c r="CJ3" s="171" t="s">
        <v>92</v>
      </c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3"/>
    </row>
    <row r="4" spans="2:104" ht="23.1" x14ac:dyDescent="0.85">
      <c r="B4" s="11">
        <v>1</v>
      </c>
      <c r="C4" s="11" t="s">
        <v>18</v>
      </c>
      <c r="D4" s="18">
        <v>4</v>
      </c>
      <c r="E4" s="19">
        <v>5</v>
      </c>
      <c r="F4" s="131">
        <f t="shared" ref="F4:F18" si="15">IFERROR(D4/E4,0)</f>
        <v>0.8</v>
      </c>
      <c r="G4" s="18">
        <v>2</v>
      </c>
      <c r="H4" s="19">
        <v>7</v>
      </c>
      <c r="I4" s="134">
        <f t="shared" ref="I4:I18" si="16">IFERROR(G4/H4,0)</f>
        <v>0.2857142857142857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6</v>
      </c>
      <c r="N4" s="19">
        <f t="shared" si="0"/>
        <v>12</v>
      </c>
      <c r="O4" s="137">
        <f t="shared" ref="O4:O18" si="18">IFERROR(M4/N4,0)</f>
        <v>0.5</v>
      </c>
      <c r="P4" s="20">
        <f t="shared" ref="P4:P17" si="19">(D4*2)+(G4*3)+(J4)</f>
        <v>14</v>
      </c>
      <c r="Q4" s="18">
        <v>0</v>
      </c>
      <c r="R4" s="19">
        <v>0</v>
      </c>
      <c r="S4" s="20">
        <f t="shared" ref="S4:S18" si="20">Q4+R4</f>
        <v>0</v>
      </c>
      <c r="T4" s="18">
        <v>0</v>
      </c>
      <c r="U4" s="19">
        <v>1</v>
      </c>
      <c r="V4" s="19">
        <v>0</v>
      </c>
      <c r="W4" s="19">
        <v>1</v>
      </c>
      <c r="X4" s="19">
        <v>0</v>
      </c>
      <c r="Y4" s="19">
        <v>2</v>
      </c>
      <c r="Z4" s="19">
        <v>3</v>
      </c>
      <c r="AA4" s="153">
        <v>16.5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0.58333333333333337</v>
      </c>
      <c r="BI4" s="117">
        <f t="shared" si="3"/>
        <v>0.58333333333333337</v>
      </c>
      <c r="BJ4" s="118">
        <f t="shared" si="4"/>
        <v>0.28663166453070954</v>
      </c>
      <c r="BK4" s="86">
        <f t="shared" si="5"/>
        <v>0</v>
      </c>
      <c r="BL4" s="117">
        <f t="shared" si="6"/>
        <v>0</v>
      </c>
      <c r="BM4" s="119">
        <f t="shared" si="7"/>
        <v>7.6923076923076927E-2</v>
      </c>
      <c r="BN4" s="87">
        <f t="shared" si="8"/>
        <v>0</v>
      </c>
      <c r="BO4" s="86">
        <f t="shared" si="9"/>
        <v>0</v>
      </c>
      <c r="BP4" s="117">
        <f t="shared" si="10"/>
        <v>0</v>
      </c>
      <c r="BQ4" s="120">
        <f t="shared" si="11"/>
        <v>0</v>
      </c>
      <c r="BR4" s="88">
        <f t="shared" si="12"/>
        <v>88.768888914588871</v>
      </c>
      <c r="BS4" s="89">
        <f t="shared" si="13"/>
        <v>118.0171960052481</v>
      </c>
      <c r="BT4" s="90">
        <f t="shared" ref="BT4:BT18" si="27">BS4-BR4</f>
        <v>29.248307090659225</v>
      </c>
      <c r="BU4" s="86">
        <f t="shared" si="14"/>
        <v>6.9868995633187769E-2</v>
      </c>
      <c r="BV4" s="85">
        <f>IFERROR((D4*2)-(E4*((homedefinitions!$K$15)*2))+(G4*3)-(H4*((homedefinitions!$L$15)*3))+(J4)-(K4*(homedefinitions!$M$15))+S4+T4+V4+W4-U4, 0)</f>
        <v>4.3699999999999992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3</v>
      </c>
      <c r="E5" s="16">
        <v>6</v>
      </c>
      <c r="F5" s="130">
        <f t="shared" si="15"/>
        <v>0.5</v>
      </c>
      <c r="G5" s="15">
        <v>0</v>
      </c>
      <c r="H5" s="16">
        <v>1</v>
      </c>
      <c r="I5" s="133">
        <f t="shared" si="16"/>
        <v>0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8</v>
      </c>
      <c r="Q5" s="15">
        <v>2</v>
      </c>
      <c r="R5" s="16">
        <v>3</v>
      </c>
      <c r="S5" s="17">
        <f t="shared" si="20"/>
        <v>5</v>
      </c>
      <c r="T5" s="15">
        <v>1</v>
      </c>
      <c r="U5" s="16">
        <v>2</v>
      </c>
      <c r="V5" s="16">
        <v>0</v>
      </c>
      <c r="W5" s="16">
        <v>1</v>
      </c>
      <c r="X5" s="16">
        <v>0</v>
      </c>
      <c r="Y5" s="16">
        <v>2</v>
      </c>
      <c r="Z5" s="16">
        <v>1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0.42857142857142855</v>
      </c>
      <c r="BI5" s="113">
        <f t="shared" si="3"/>
        <v>0.50761421319796951</v>
      </c>
      <c r="BJ5" s="114">
        <f t="shared" si="4"/>
        <v>0.23962407154767318</v>
      </c>
      <c r="BK5" s="81">
        <f t="shared" si="5"/>
        <v>9.0409844401505124E-2</v>
      </c>
      <c r="BL5" s="113">
        <f t="shared" si="6"/>
        <v>9.1911764705882359E-2</v>
      </c>
      <c r="BM5" s="115">
        <f t="shared" si="7"/>
        <v>0.18382352941176472</v>
      </c>
      <c r="BN5" s="82">
        <f t="shared" si="8"/>
        <v>0.5</v>
      </c>
      <c r="BO5" s="81">
        <f t="shared" si="9"/>
        <v>0.10941538461538459</v>
      </c>
      <c r="BP5" s="113">
        <f t="shared" si="10"/>
        <v>0.21335999999999997</v>
      </c>
      <c r="BQ5" s="116">
        <f t="shared" si="11"/>
        <v>0.15460869565217386</v>
      </c>
      <c r="BR5" s="83">
        <f t="shared" si="12"/>
        <v>79.204728441334552</v>
      </c>
      <c r="BS5" s="84">
        <f t="shared" si="13"/>
        <v>102.26944099316806</v>
      </c>
      <c r="BT5" s="85">
        <f t="shared" si="27"/>
        <v>23.064712551833509</v>
      </c>
      <c r="BU5" s="81">
        <f t="shared" si="14"/>
        <v>6.9868995633187769E-2</v>
      </c>
      <c r="BV5" s="85">
        <f>IFERROR((D5*2)-(E5*((homedefinitions!$K$15)*2))+(G5*3)-(H5*((homedefinitions!$L$15)*3))+(J5)-(K5*(homedefinitions!$M$15))+S5+T5+V5+W5-U5, 0)</f>
        <v>6.3599999999999994</v>
      </c>
      <c r="BX5" s="26">
        <v>0</v>
      </c>
      <c r="BY5" s="25" t="s">
        <v>17</v>
      </c>
      <c r="BZ5" s="47">
        <f t="shared" ref="BZ5:BZ18" si="28">IFERROR(W3+((V3*CB5)*(1-(1.07*CA5)))+(R3*(1-CB5)), 0)</f>
        <v>2.4492753623188408</v>
      </c>
      <c r="CA5" s="39">
        <f>IFERROR(($AS$18/($AS$18+$R$18)), 0)</f>
        <v>0.36666666666666664</v>
      </c>
      <c r="CB5" s="45">
        <f>IFERROR(($AQ$18*(1-CA5))/($AQ$18*(1-CA5)+(CA5*(1-$AQ$18))), 0)</f>
        <v>0.55072463768115942</v>
      </c>
      <c r="CC5" s="45">
        <f t="shared" ref="CC5:CC18" si="29">IFERROR(((($AP$18-$AO$18-$V$18)*CB5*(1-1.07*CA5))/$AA$18)*AA3, 0)</f>
        <v>0.31056471201969321</v>
      </c>
      <c r="CD5" s="45">
        <f t="shared" ref="CD5:CD18" si="30">IFERROR((Z3/$Z$18)*0.4*$AM$18*((1-$AN$18)^2), 0)</f>
        <v>0</v>
      </c>
      <c r="CE5" s="36">
        <f t="shared" ref="CE5:CE18" si="31">IFERROR((($AW$18-$W$18)/$AA$18)*AA3, 0)</f>
        <v>0.20622422197225349</v>
      </c>
      <c r="CF5" s="45">
        <f>IFERROR(CC5+CE5+CD5, 0)</f>
        <v>0.5167889339919467</v>
      </c>
      <c r="CG5" s="45">
        <f>IFERROR(BZ5+CF5, 0)</f>
        <v>2.9660642963107877</v>
      </c>
      <c r="CH5" s="45">
        <f t="shared" ref="CH5:CH18" si="32">IFERROR(CG5/($BD$3*(AA3/$BC$18)),0)</f>
        <v>1.2682020273343937</v>
      </c>
      <c r="CI5" s="51">
        <f>IFERROR($AO$18+(1-((1-$AN$18)^2))*0.4*$AM$18, 0)</f>
        <v>23.28</v>
      </c>
      <c r="CJ5" s="47">
        <f t="shared" ref="CJ5:CJ18" si="33">IFERROR(2*(M3+0.5*G3)*(1-(0.5*((P3-J3)/(2*N3)))*CK5), 0)</f>
        <v>0</v>
      </c>
      <c r="CK5" s="45">
        <f t="shared" ref="CK5:CK18" si="34">IFERROR(((5*AA3/$AA$18)*1.14*(($T$18-T3)/$M$18))+((1-(5*AA3/$AA$18))*(((($T$18/$AA$18)*AA3*5)-T3)/((($M$18/$AA$18)*AA3*5)-M3))), 0)</f>
        <v>0.31073369313684274</v>
      </c>
      <c r="CL5" s="45">
        <f t="shared" ref="CL5:CL18" si="35">IFERROR(2*((($M$18)+0.5*($H$18-G3))/($M$18-M3))*0.5*((($P$18-$J$18)-(P3-J3))/(2*($N$18-N3)))*T3, 0)</f>
        <v>0.67054794520547945</v>
      </c>
      <c r="CM5" s="45">
        <f t="shared" ref="CM5:CM20" si="36">IFERROR(1-($Q$18/CN5)*CO5*CQ5, 0)</f>
        <v>0.91685472949380065</v>
      </c>
      <c r="CN5" s="45">
        <f>IFERROR($M$18+(1-(1-($J$18/$K$18))^2)*$K$18*0.4, 0)</f>
        <v>32.488888888888887</v>
      </c>
      <c r="CO5" s="45">
        <f>IFERROR(((1-CP5)*CQ5)/((1-CP5)*CQ5+(1-CQ5)*CP5), 0)</f>
        <v>0.45709112460783091</v>
      </c>
      <c r="CP5" s="45">
        <f>IFERROR($Q$18/($Q$18+$AT$18), 0)</f>
        <v>0.41025641025641024</v>
      </c>
      <c r="CQ5" s="45">
        <f>IFERROR(CN5/($N$18+0.44*$K$18+$U$18), 0)</f>
        <v>0.36935981001465312</v>
      </c>
      <c r="CR5" s="45">
        <f t="shared" ref="CR5:CR18" si="37">IFERROR(Q3*CO5*CQ5*($P$18/($M$18+(1-(1-($J$18/$K$18))^2)*0.4*$K$18)), 0)</f>
        <v>0</v>
      </c>
      <c r="CS5" s="45">
        <f t="shared" ref="CS5:CS18" si="38">IFERROR((CJ5+CL5+J3)*CM5+CR5, 0)</f>
        <v>0.61479505491399367</v>
      </c>
      <c r="CT5" s="45">
        <f t="shared" ref="CT5:CT18" si="39">IFERROR(M3*(1-(0.5*((P3-J3)/(2*N3)))*CK5), 0)</f>
        <v>0</v>
      </c>
      <c r="CU5" s="45">
        <f t="shared" ref="CU5:CU18" si="40">IFERROR(0.5*((($P$18-$J$18)-(P3-J3))/(2*($N$18-N3)))*T3, 0)</f>
        <v>0.22602739726027396</v>
      </c>
      <c r="CV5" s="45">
        <f t="shared" ref="CV5:CV18" si="41">IFERROR((1-(1-(J3/K3))^2)*0.4*K3, 0)</f>
        <v>0</v>
      </c>
      <c r="CW5" s="45">
        <f t="shared" ref="CW5:CW18" si="42">IFERROR(Q3*CO5*CQ5, 0)</f>
        <v>0</v>
      </c>
      <c r="CX5" s="45">
        <f t="shared" ref="CX5:CX18" si="43">IFERROR((N3-M3)*(1-(1.07*CP5)), 0)</f>
        <v>0</v>
      </c>
      <c r="CY5" s="45">
        <f t="shared" ref="CY5:CY18" si="44">IFERROR(((1-(J3/K3))^2)*0.4*K3, 0)</f>
        <v>0</v>
      </c>
      <c r="CZ5" s="43">
        <f t="shared" ref="CZ5:CZ18" si="45">IFERROR(((CT5+CU5+CV5)*CM5)+CW5+CX5+CY5+U3, 0)</f>
        <v>1.2072342881732563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1</v>
      </c>
      <c r="F6" s="131">
        <f t="shared" si="15"/>
        <v>0</v>
      </c>
      <c r="G6" s="18">
        <v>1</v>
      </c>
      <c r="H6" s="19">
        <v>6</v>
      </c>
      <c r="I6" s="134">
        <f t="shared" si="16"/>
        <v>0.16666666666666666</v>
      </c>
      <c r="J6" s="34">
        <v>0</v>
      </c>
      <c r="K6" s="34">
        <v>0</v>
      </c>
      <c r="L6" s="32">
        <f t="shared" si="17"/>
        <v>0</v>
      </c>
      <c r="M6" s="22">
        <f t="shared" si="0"/>
        <v>1</v>
      </c>
      <c r="N6" s="19">
        <f t="shared" si="0"/>
        <v>7</v>
      </c>
      <c r="O6" s="137">
        <f t="shared" si="18"/>
        <v>0.14285714285714285</v>
      </c>
      <c r="P6" s="20">
        <f t="shared" si="19"/>
        <v>3</v>
      </c>
      <c r="Q6" s="18">
        <v>0</v>
      </c>
      <c r="R6" s="19">
        <v>0</v>
      </c>
      <c r="S6" s="20">
        <f t="shared" si="20"/>
        <v>0</v>
      </c>
      <c r="T6" s="18">
        <v>2</v>
      </c>
      <c r="U6" s="19">
        <v>1</v>
      </c>
      <c r="V6" s="19">
        <v>0</v>
      </c>
      <c r="W6" s="19">
        <v>2</v>
      </c>
      <c r="X6" s="19">
        <v>0</v>
      </c>
      <c r="Y6" s="19">
        <v>0</v>
      </c>
      <c r="Z6" s="19">
        <v>2</v>
      </c>
      <c r="AA6" s="153">
        <v>11.15</v>
      </c>
      <c r="AB6" s="60">
        <f>IFERROR((AB3/32)*40, 0)</f>
        <v>86.355128205128182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85.047083333333333</v>
      </c>
      <c r="BF6" s="67">
        <v>3</v>
      </c>
      <c r="BG6" s="68" t="s">
        <v>20</v>
      </c>
      <c r="BH6" s="86">
        <f t="shared" si="2"/>
        <v>0.21428571428571427</v>
      </c>
      <c r="BI6" s="117">
        <f t="shared" si="3"/>
        <v>0.21428571428571427</v>
      </c>
      <c r="BJ6" s="118">
        <f t="shared" si="4"/>
        <v>0.26102366138705529</v>
      </c>
      <c r="BK6" s="86">
        <f t="shared" si="5"/>
        <v>0.21159949222469052</v>
      </c>
      <c r="BL6" s="117">
        <f t="shared" si="6"/>
        <v>0.2</v>
      </c>
      <c r="BM6" s="119">
        <f t="shared" si="7"/>
        <v>0.1</v>
      </c>
      <c r="BN6" s="87">
        <f t="shared" si="8"/>
        <v>2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76.302674778609529</v>
      </c>
      <c r="BS6" s="89">
        <f t="shared" si="13"/>
        <v>69.881958891051781</v>
      </c>
      <c r="BT6" s="90">
        <f t="shared" si="27"/>
        <v>-6.4207158875577477</v>
      </c>
      <c r="BU6" s="86">
        <f t="shared" si="14"/>
        <v>0</v>
      </c>
      <c r="BV6" s="85">
        <f>IFERROR((D6*2)-(E6*((homedefinitions!$K$15)*2))+(G6*3)-(H6*((homedefinitions!$L$15)*3))+(J6)-(K6*(homedefinitions!$M$15))+S6+T6+V6+W6-U6, 0)</f>
        <v>0.20999999999999908</v>
      </c>
      <c r="BX6" s="26">
        <v>1</v>
      </c>
      <c r="BY6" s="25" t="s">
        <v>18</v>
      </c>
      <c r="BZ6" s="47">
        <f t="shared" si="28"/>
        <v>1</v>
      </c>
      <c r="CA6" s="39">
        <f t="shared" ref="CA6:CA20" si="46">IFERROR(($AS$18/($AS$18+$R$18)), 0)</f>
        <v>0.36666666666666664</v>
      </c>
      <c r="CB6" s="45">
        <f t="shared" ref="CB6:CB20" si="47">IFERROR(($AQ$18*(1-CA6))/($AQ$18*(1-CA6)+(CA6*(1-$AQ$18))), 0)</f>
        <v>0.55072463768115942</v>
      </c>
      <c r="CC6" s="45">
        <f t="shared" si="29"/>
        <v>0.93169413605907958</v>
      </c>
      <c r="CD6" s="45">
        <f t="shared" si="30"/>
        <v>0.12705882352941178</v>
      </c>
      <c r="CE6" s="36">
        <f t="shared" si="31"/>
        <v>0.6186726659167604</v>
      </c>
      <c r="CF6" s="45">
        <f t="shared" ref="CF6:CF20" si="48">IFERROR(CC6+CE6+CD6, 0)</f>
        <v>1.6774256255052515</v>
      </c>
      <c r="CG6" s="45">
        <f t="shared" ref="CG6:CG20" si="49">IFERROR(BZ6+CF6, 0)</f>
        <v>2.6774256255052515</v>
      </c>
      <c r="CH6" s="45">
        <f t="shared" si="32"/>
        <v>0.38159620146312917</v>
      </c>
      <c r="CI6" s="51">
        <f t="shared" ref="CI6:CI20" si="50">IFERROR($AO$18+(1-((1-$AN$18)^2))*0.4*$AM$18, 0)</f>
        <v>23.28</v>
      </c>
      <c r="CJ6" s="47">
        <f t="shared" si="33"/>
        <v>11.371833580609142</v>
      </c>
      <c r="CK6" s="45">
        <f t="shared" si="34"/>
        <v>0.64363259250388372</v>
      </c>
      <c r="CL6" s="45">
        <f t="shared" si="35"/>
        <v>0</v>
      </c>
      <c r="CM6" s="36">
        <f t="shared" si="36"/>
        <v>0.91685472949380065</v>
      </c>
      <c r="CN6" s="45">
        <f t="shared" ref="CN6:CN20" si="51">IFERROR($M$18+(1-(1-($J$18/$K$18))^2)*$K$18*0.4, 0)</f>
        <v>32.488888888888887</v>
      </c>
      <c r="CO6" s="45">
        <f t="shared" ref="CO6:CO20" si="52">IFERROR(((1-CP6)*CQ6)/((1-CP6)*CQ6+(1-CQ6)*CP6), 0)</f>
        <v>0.45709112460783091</v>
      </c>
      <c r="CP6" s="45">
        <f t="shared" ref="CP6:CP20" si="53">IFERROR($Q$18/($Q$18+$AT$18), 0)</f>
        <v>0.41025641025641024</v>
      </c>
      <c r="CQ6" s="45">
        <f t="shared" ref="CQ6:CQ20" si="54">IFERROR(CN6/($N$18+0.44*$K$18+$U$18), 0)</f>
        <v>0.36935981001465312</v>
      </c>
      <c r="CR6" s="45">
        <f t="shared" si="37"/>
        <v>0</v>
      </c>
      <c r="CS6" s="45">
        <f t="shared" si="38"/>
        <v>10.426319401397913</v>
      </c>
      <c r="CT6" s="45">
        <f t="shared" si="39"/>
        <v>4.8736429631182032</v>
      </c>
      <c r="CU6" s="45">
        <f t="shared" si="40"/>
        <v>0</v>
      </c>
      <c r="CV6" s="45">
        <f t="shared" si="41"/>
        <v>0</v>
      </c>
      <c r="CW6" s="45">
        <f t="shared" si="42"/>
        <v>0</v>
      </c>
      <c r="CX6" s="45">
        <f t="shared" si="43"/>
        <v>3.3661538461538463</v>
      </c>
      <c r="CY6" s="45">
        <f t="shared" si="44"/>
        <v>0</v>
      </c>
      <c r="CZ6" s="43">
        <f t="shared" si="45"/>
        <v>8.8345764467529513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1</v>
      </c>
      <c r="H7" s="16">
        <v>2</v>
      </c>
      <c r="I7" s="133">
        <f t="shared" si="16"/>
        <v>0.5</v>
      </c>
      <c r="J7" s="33">
        <v>0</v>
      </c>
      <c r="K7" s="33">
        <v>0</v>
      </c>
      <c r="L7" s="31">
        <f t="shared" si="17"/>
        <v>0</v>
      </c>
      <c r="M7" s="21">
        <f t="shared" si="0"/>
        <v>1</v>
      </c>
      <c r="N7" s="16">
        <f t="shared" si="0"/>
        <v>4</v>
      </c>
      <c r="O7" s="136">
        <f t="shared" si="18"/>
        <v>0.25</v>
      </c>
      <c r="P7" s="17">
        <f t="shared" si="19"/>
        <v>3</v>
      </c>
      <c r="Q7" s="15">
        <v>0</v>
      </c>
      <c r="R7" s="16">
        <v>0</v>
      </c>
      <c r="S7" s="17">
        <f t="shared" si="20"/>
        <v>0</v>
      </c>
      <c r="T7" s="15">
        <v>7</v>
      </c>
      <c r="U7" s="16">
        <v>0</v>
      </c>
      <c r="V7" s="16">
        <v>0</v>
      </c>
      <c r="W7" s="16">
        <v>1</v>
      </c>
      <c r="X7" s="16">
        <v>0</v>
      </c>
      <c r="Y7" s="16">
        <v>2</v>
      </c>
      <c r="Z7" s="16">
        <v>1</v>
      </c>
      <c r="AA7" s="152">
        <v>15.66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0.375</v>
      </c>
      <c r="BI7" s="113">
        <f t="shared" si="3"/>
        <v>0.375</v>
      </c>
      <c r="BJ7" s="114">
        <f t="shared" si="4"/>
        <v>9.2925090180896119E-2</v>
      </c>
      <c r="BK7" s="81">
        <f t="shared" si="5"/>
        <v>0.51171778636625276</v>
      </c>
      <c r="BL7" s="113">
        <f t="shared" si="6"/>
        <v>0.63636363636363635</v>
      </c>
      <c r="BM7" s="115">
        <f t="shared" si="7"/>
        <v>0</v>
      </c>
      <c r="BN7" s="82">
        <f t="shared" si="8"/>
        <v>0</v>
      </c>
      <c r="BO7" s="81">
        <f t="shared" si="9"/>
        <v>0</v>
      </c>
      <c r="BP7" s="113">
        <f t="shared" si="10"/>
        <v>0</v>
      </c>
      <c r="BQ7" s="116">
        <f t="shared" si="11"/>
        <v>0</v>
      </c>
      <c r="BR7" s="83">
        <f t="shared" si="12"/>
        <v>88.952222682819496</v>
      </c>
      <c r="BS7" s="84">
        <f t="shared" si="13"/>
        <v>176.37626350567254</v>
      </c>
      <c r="BT7" s="85">
        <f t="shared" si="27"/>
        <v>87.424040822853044</v>
      </c>
      <c r="BU7" s="81">
        <f t="shared" si="14"/>
        <v>6.9868995633187769E-2</v>
      </c>
      <c r="BV7" s="85">
        <f>IFERROR((D7*2)-(E7*((homedefinitions!$K$15)*2))+(G7*3)-(H7*((homedefinitions!$L$15)*3))+(J7)-(K7*(homedefinitions!$M$15))+S7+T7+V7+W7-U7, 0)</f>
        <v>7.82</v>
      </c>
      <c r="BX7" s="26">
        <v>2</v>
      </c>
      <c r="BY7" s="25" t="s">
        <v>19</v>
      </c>
      <c r="BZ7" s="47">
        <f t="shared" si="28"/>
        <v>2.3478260869565215</v>
      </c>
      <c r="CA7" s="39">
        <f t="shared" si="46"/>
        <v>0.36666666666666664</v>
      </c>
      <c r="CB7" s="45">
        <f t="shared" si="47"/>
        <v>0.55072463768115942</v>
      </c>
      <c r="CC7" s="45">
        <f t="shared" si="29"/>
        <v>0.84699466914461785</v>
      </c>
      <c r="CD7" s="45">
        <f t="shared" si="30"/>
        <v>4.2352941176470586E-2</v>
      </c>
      <c r="CE7" s="36">
        <f t="shared" si="31"/>
        <v>0.56242969628796402</v>
      </c>
      <c r="CF7" s="45">
        <f t="shared" si="48"/>
        <v>1.4517773066090525</v>
      </c>
      <c r="CG7" s="45">
        <f t="shared" si="49"/>
        <v>3.7996033935655742</v>
      </c>
      <c r="CH7" s="45">
        <f t="shared" si="32"/>
        <v>0.59568625513366802</v>
      </c>
      <c r="CI7" s="51">
        <f t="shared" si="50"/>
        <v>23.28</v>
      </c>
      <c r="CJ7" s="47">
        <f t="shared" si="33"/>
        <v>5.3588248594857273</v>
      </c>
      <c r="CK7" s="45">
        <f t="shared" si="34"/>
        <v>0.49869177595554548</v>
      </c>
      <c r="CL7" s="45">
        <f t="shared" si="35"/>
        <v>0.74915824915824913</v>
      </c>
      <c r="CM7" s="36">
        <f t="shared" si="36"/>
        <v>0.91685472949380065</v>
      </c>
      <c r="CN7" s="45">
        <f t="shared" si="51"/>
        <v>32.488888888888887</v>
      </c>
      <c r="CO7" s="45">
        <f t="shared" si="52"/>
        <v>0.45709112460783091</v>
      </c>
      <c r="CP7" s="45">
        <f t="shared" si="53"/>
        <v>0.41025641025641024</v>
      </c>
      <c r="CQ7" s="45">
        <f t="shared" si="54"/>
        <v>0.36935981001465312</v>
      </c>
      <c r="CR7" s="45">
        <f t="shared" si="37"/>
        <v>0.72752111692924426</v>
      </c>
      <c r="CS7" s="45">
        <f t="shared" si="38"/>
        <v>8.161363776745322</v>
      </c>
      <c r="CT7" s="45">
        <f t="shared" si="39"/>
        <v>2.6794124297428636</v>
      </c>
      <c r="CU7" s="45">
        <f t="shared" si="40"/>
        <v>0.22727272727272727</v>
      </c>
      <c r="CV7" s="45">
        <f t="shared" si="41"/>
        <v>0.8</v>
      </c>
      <c r="CW7" s="45">
        <f t="shared" si="42"/>
        <v>0.33766218188906511</v>
      </c>
      <c r="CX7" s="45">
        <f t="shared" si="43"/>
        <v>2.244102564102564</v>
      </c>
      <c r="CY7" s="45">
        <f t="shared" si="44"/>
        <v>0</v>
      </c>
      <c r="CZ7" s="43">
        <f t="shared" si="45"/>
        <v>7.9802565629458453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2</v>
      </c>
      <c r="I8" s="134">
        <f t="shared" si="16"/>
        <v>0</v>
      </c>
      <c r="J8" s="34">
        <v>2</v>
      </c>
      <c r="K8" s="34">
        <v>3</v>
      </c>
      <c r="L8" s="32">
        <f t="shared" si="17"/>
        <v>0.66666666666666663</v>
      </c>
      <c r="M8" s="22">
        <f t="shared" si="0"/>
        <v>8</v>
      </c>
      <c r="N8" s="19">
        <f t="shared" si="0"/>
        <v>11</v>
      </c>
      <c r="O8" s="137">
        <f t="shared" si="18"/>
        <v>0.72727272727272729</v>
      </c>
      <c r="P8" s="20">
        <f t="shared" si="19"/>
        <v>18</v>
      </c>
      <c r="Q8" s="18">
        <v>5</v>
      </c>
      <c r="R8" s="19">
        <v>3</v>
      </c>
      <c r="S8" s="20">
        <f t="shared" si="20"/>
        <v>8</v>
      </c>
      <c r="T8" s="18">
        <v>2</v>
      </c>
      <c r="U8" s="19">
        <v>2</v>
      </c>
      <c r="V8" s="19">
        <v>0</v>
      </c>
      <c r="W8" s="19">
        <v>3</v>
      </c>
      <c r="X8" s="19">
        <v>0</v>
      </c>
      <c r="Y8" s="19">
        <v>3</v>
      </c>
      <c r="Z8" s="19">
        <v>4</v>
      </c>
      <c r="AA8" s="153">
        <v>18.5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0.72727272727272729</v>
      </c>
      <c r="BI8" s="117">
        <f t="shared" si="3"/>
        <v>0.73051948051948046</v>
      </c>
      <c r="BJ8" s="118">
        <f t="shared" si="4"/>
        <v>0.28160220247532664</v>
      </c>
      <c r="BK8" s="86">
        <f t="shared" si="5"/>
        <v>0.21409649193224692</v>
      </c>
      <c r="BL8" s="117">
        <f t="shared" si="6"/>
        <v>0.12254901960784313</v>
      </c>
      <c r="BM8" s="119">
        <f t="shared" si="7"/>
        <v>0.12254901960784313</v>
      </c>
      <c r="BN8" s="87">
        <f t="shared" si="8"/>
        <v>1</v>
      </c>
      <c r="BO8" s="86">
        <f t="shared" si="9"/>
        <v>0.22178794178794178</v>
      </c>
      <c r="BP8" s="117">
        <f t="shared" si="10"/>
        <v>0.1729945945945946</v>
      </c>
      <c r="BQ8" s="120">
        <f t="shared" si="11"/>
        <v>0.20057344300822563</v>
      </c>
      <c r="BR8" s="88">
        <f t="shared" si="12"/>
        <v>70.292852663081121</v>
      </c>
      <c r="BS8" s="89">
        <f t="shared" si="13"/>
        <v>142.31169422141514</v>
      </c>
      <c r="BT8" s="90">
        <f t="shared" si="27"/>
        <v>72.018841558334017</v>
      </c>
      <c r="BU8" s="86">
        <f t="shared" si="14"/>
        <v>0.1965065502183406</v>
      </c>
      <c r="BV8" s="85">
        <f>IFERROR((D8*2)-(E8*((homedefinitions!$K$15)*2))+(G8*3)-(H8*((homedefinitions!$L$15)*3))+(J8)-(K8*(homedefinitions!$M$15))+S8+T8+V8+W8-U8, 0)</f>
        <v>18.62</v>
      </c>
      <c r="BX8" s="26">
        <v>3</v>
      </c>
      <c r="BY8" s="25" t="s">
        <v>20</v>
      </c>
      <c r="BZ8" s="47">
        <f t="shared" si="28"/>
        <v>2</v>
      </c>
      <c r="CA8" s="39">
        <f t="shared" si="46"/>
        <v>0.36666666666666664</v>
      </c>
      <c r="CB8" s="45">
        <f t="shared" si="47"/>
        <v>0.55072463768115942</v>
      </c>
      <c r="CC8" s="45">
        <f t="shared" si="29"/>
        <v>0.62959937073083261</v>
      </c>
      <c r="CD8" s="45">
        <f t="shared" si="30"/>
        <v>8.4705882352941173E-2</v>
      </c>
      <c r="CE8" s="36">
        <f t="shared" si="31"/>
        <v>0.41807274090738661</v>
      </c>
      <c r="CF8" s="45">
        <f t="shared" si="48"/>
        <v>1.1323779939911605</v>
      </c>
      <c r="CG8" s="45">
        <f t="shared" si="49"/>
        <v>3.1323779939911605</v>
      </c>
      <c r="CH8" s="45">
        <f t="shared" si="32"/>
        <v>0.66064761019928187</v>
      </c>
      <c r="CI8" s="51">
        <f t="shared" si="50"/>
        <v>23.28</v>
      </c>
      <c r="CJ8" s="47">
        <f t="shared" si="33"/>
        <v>2.8851719440146883</v>
      </c>
      <c r="CK8" s="45">
        <f t="shared" si="34"/>
        <v>0.35724284084319147</v>
      </c>
      <c r="CL8" s="45">
        <f t="shared" si="35"/>
        <v>1.4482758620689655</v>
      </c>
      <c r="CM8" s="36">
        <f t="shared" si="36"/>
        <v>0.91685472949380065</v>
      </c>
      <c r="CN8" s="45">
        <f t="shared" si="51"/>
        <v>32.488888888888887</v>
      </c>
      <c r="CO8" s="45">
        <f t="shared" si="52"/>
        <v>0.45709112460783091</v>
      </c>
      <c r="CP8" s="45">
        <f t="shared" si="53"/>
        <v>0.41025641025641024</v>
      </c>
      <c r="CQ8" s="45">
        <f t="shared" si="54"/>
        <v>0.36935981001465312</v>
      </c>
      <c r="CR8" s="45">
        <f t="shared" si="37"/>
        <v>0</v>
      </c>
      <c r="CS8" s="45">
        <f t="shared" si="38"/>
        <v>3.9731421160223324</v>
      </c>
      <c r="CT8" s="45">
        <f t="shared" si="39"/>
        <v>0.96172398133822945</v>
      </c>
      <c r="CU8" s="45">
        <f t="shared" si="40"/>
        <v>0.47727272727272729</v>
      </c>
      <c r="CV8" s="45">
        <f t="shared" si="41"/>
        <v>0</v>
      </c>
      <c r="CW8" s="45">
        <f t="shared" si="42"/>
        <v>0</v>
      </c>
      <c r="CX8" s="45">
        <f t="shared" si="43"/>
        <v>3.3661538461538463</v>
      </c>
      <c r="CY8" s="45">
        <f t="shared" si="44"/>
        <v>0</v>
      </c>
      <c r="CZ8" s="43">
        <f t="shared" si="45"/>
        <v>5.6855047841698143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2</v>
      </c>
      <c r="F9" s="130">
        <f t="shared" si="15"/>
        <v>0.5</v>
      </c>
      <c r="G9" s="15">
        <v>0</v>
      </c>
      <c r="H9" s="16">
        <v>2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4</v>
      </c>
      <c r="O9" s="136">
        <f t="shared" si="18"/>
        <v>0.25</v>
      </c>
      <c r="P9" s="17">
        <f t="shared" si="19"/>
        <v>2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0</v>
      </c>
      <c r="AA9" s="152">
        <v>7.33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0.25</v>
      </c>
      <c r="BI9" s="113">
        <f t="shared" si="3"/>
        <v>0.25</v>
      </c>
      <c r="BJ9" s="114">
        <f t="shared" si="4"/>
        <v>0.19852754600720779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0.1455388813096862</v>
      </c>
      <c r="BQ9" s="116">
        <f t="shared" si="11"/>
        <v>6.3277774482472265E-2</v>
      </c>
      <c r="BR9" s="83">
        <f t="shared" si="12"/>
        <v>75.173407363305586</v>
      </c>
      <c r="BS9" s="84">
        <f t="shared" si="13"/>
        <v>67.354682214291998</v>
      </c>
      <c r="BT9" s="85">
        <f t="shared" si="27"/>
        <v>-7.8187251490135878</v>
      </c>
      <c r="BU9" s="81">
        <f t="shared" si="14"/>
        <v>8.7336244541484712E-3</v>
      </c>
      <c r="BV9" s="85">
        <f>IFERROR((D9*2)-(E9*((homedefinitions!$K$15)*2))+(G9*3)-(H9*((homedefinitions!$L$15)*3))+(J9)-(K9*(homedefinitions!$M$15))+S9+T9+V9+W9-U9, 0)</f>
        <v>0.81999999999999984</v>
      </c>
      <c r="BX9" s="26">
        <v>4</v>
      </c>
      <c r="BY9" s="25" t="s">
        <v>21</v>
      </c>
      <c r="BZ9" s="47">
        <f t="shared" si="28"/>
        <v>1</v>
      </c>
      <c r="CA9" s="39">
        <f t="shared" si="46"/>
        <v>0.36666666666666664</v>
      </c>
      <c r="CB9" s="45">
        <f t="shared" si="47"/>
        <v>0.55072463768115942</v>
      </c>
      <c r="CC9" s="45">
        <f t="shared" si="29"/>
        <v>0.88426243458698106</v>
      </c>
      <c r="CD9" s="45">
        <f t="shared" si="30"/>
        <v>4.2352941176470586E-2</v>
      </c>
      <c r="CE9" s="36">
        <f t="shared" si="31"/>
        <v>0.58717660292463447</v>
      </c>
      <c r="CF9" s="45">
        <f t="shared" si="48"/>
        <v>1.513791978688086</v>
      </c>
      <c r="CG9" s="45">
        <f t="shared" si="49"/>
        <v>2.513791978688086</v>
      </c>
      <c r="CH9" s="45">
        <f t="shared" si="32"/>
        <v>0.37749234557427436</v>
      </c>
      <c r="CI9" s="51">
        <f t="shared" si="50"/>
        <v>23.28</v>
      </c>
      <c r="CJ9" s="47">
        <f t="shared" si="33"/>
        <v>2.9299280757934718</v>
      </c>
      <c r="CK9" s="45">
        <f t="shared" si="34"/>
        <v>0.12457230970049479</v>
      </c>
      <c r="CL9" s="45">
        <f t="shared" si="35"/>
        <v>4.8485757121439272</v>
      </c>
      <c r="CM9" s="36">
        <f t="shared" si="36"/>
        <v>0.91685472949380065</v>
      </c>
      <c r="CN9" s="45">
        <f t="shared" si="51"/>
        <v>32.488888888888887</v>
      </c>
      <c r="CO9" s="45">
        <f t="shared" si="52"/>
        <v>0.45709112460783091</v>
      </c>
      <c r="CP9" s="45">
        <f t="shared" si="53"/>
        <v>0.41025641025641024</v>
      </c>
      <c r="CQ9" s="45">
        <f t="shared" si="54"/>
        <v>0.36935981001465312</v>
      </c>
      <c r="CR9" s="45">
        <f t="shared" si="37"/>
        <v>0</v>
      </c>
      <c r="CS9" s="45">
        <f t="shared" si="38"/>
        <v>7.131757986355848</v>
      </c>
      <c r="CT9" s="45">
        <f t="shared" si="39"/>
        <v>0.97664269193115727</v>
      </c>
      <c r="CU9" s="45">
        <f t="shared" si="40"/>
        <v>1.5978260869565217</v>
      </c>
      <c r="CV9" s="45">
        <f t="shared" si="41"/>
        <v>0</v>
      </c>
      <c r="CW9" s="45">
        <f t="shared" si="42"/>
        <v>0</v>
      </c>
      <c r="CX9" s="45">
        <f t="shared" si="43"/>
        <v>1.6830769230769231</v>
      </c>
      <c r="CY9" s="45">
        <f t="shared" si="44"/>
        <v>0</v>
      </c>
      <c r="CZ9" s="43">
        <f t="shared" si="45"/>
        <v>4.0434907989342221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3</v>
      </c>
      <c r="F10" s="131">
        <f t="shared" si="15"/>
        <v>0.33333333333333331</v>
      </c>
      <c r="G10" s="18">
        <v>0</v>
      </c>
      <c r="H10" s="19">
        <v>2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5</v>
      </c>
      <c r="O10" s="137">
        <f t="shared" si="18"/>
        <v>0.2</v>
      </c>
      <c r="P10" s="20">
        <f t="shared" si="19"/>
        <v>2</v>
      </c>
      <c r="Q10" s="18">
        <v>1</v>
      </c>
      <c r="R10" s="19">
        <v>2</v>
      </c>
      <c r="S10" s="20">
        <f t="shared" si="20"/>
        <v>3</v>
      </c>
      <c r="T10" s="18">
        <v>0</v>
      </c>
      <c r="U10" s="19">
        <v>2</v>
      </c>
      <c r="V10" s="19">
        <v>0</v>
      </c>
      <c r="W10" s="19">
        <v>1</v>
      </c>
      <c r="X10" s="19">
        <v>0</v>
      </c>
      <c r="Y10" s="19">
        <v>0</v>
      </c>
      <c r="Z10" s="19">
        <v>2</v>
      </c>
      <c r="AA10" s="153">
        <v>8.1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0.2</v>
      </c>
      <c r="BI10" s="117">
        <f t="shared" si="3"/>
        <v>0.18382352941176469</v>
      </c>
      <c r="BJ10" s="118">
        <f t="shared" si="4"/>
        <v>0.33415862429050247</v>
      </c>
      <c r="BK10" s="86">
        <f t="shared" si="5"/>
        <v>0</v>
      </c>
      <c r="BL10" s="117">
        <f t="shared" si="6"/>
        <v>0</v>
      </c>
      <c r="BM10" s="119">
        <f t="shared" si="7"/>
        <v>0.26881720430107525</v>
      </c>
      <c r="BN10" s="87">
        <f t="shared" si="8"/>
        <v>0</v>
      </c>
      <c r="BO10" s="86">
        <f t="shared" si="9"/>
        <v>0.1013105413105413</v>
      </c>
      <c r="BP10" s="117">
        <f t="shared" si="10"/>
        <v>0.26340740740740742</v>
      </c>
      <c r="BQ10" s="120">
        <f t="shared" si="11"/>
        <v>0.17178743961352655</v>
      </c>
      <c r="BR10" s="88">
        <f t="shared" si="12"/>
        <v>70.222310101915539</v>
      </c>
      <c r="BS10" s="89">
        <f t="shared" si="13"/>
        <v>36.95306668957717</v>
      </c>
      <c r="BT10" s="90">
        <f t="shared" si="27"/>
        <v>-33.269243412338369</v>
      </c>
      <c r="BU10" s="86">
        <f t="shared" si="14"/>
        <v>-1.3100436681222707E-2</v>
      </c>
      <c r="BV10" s="85">
        <f>IFERROR((D10*2)-(E10*((homedefinitions!$K$15)*2))+(G10*3)-(H10*((homedefinitions!$L$15)*3))+(J10)-(K10*(homedefinitions!$M$15))+S10+T10+V10+W10-U10, 0)</f>
        <v>-0.58000000000000007</v>
      </c>
      <c r="BX10" s="26">
        <v>5</v>
      </c>
      <c r="BY10" s="25" t="s">
        <v>22</v>
      </c>
      <c r="BZ10" s="47">
        <f t="shared" si="28"/>
        <v>4.3478260869565215</v>
      </c>
      <c r="CA10" s="39">
        <f t="shared" si="46"/>
        <v>0.36666666666666664</v>
      </c>
      <c r="CB10" s="45">
        <f t="shared" si="47"/>
        <v>0.55072463768115942</v>
      </c>
      <c r="CC10" s="45">
        <f t="shared" si="29"/>
        <v>1.0446267586116953</v>
      </c>
      <c r="CD10" s="45">
        <f t="shared" si="30"/>
        <v>0.16941176470588235</v>
      </c>
      <c r="CE10" s="36">
        <f t="shared" si="31"/>
        <v>0.69366329208848898</v>
      </c>
      <c r="CF10" s="45">
        <f t="shared" si="48"/>
        <v>1.9077018154060665</v>
      </c>
      <c r="CG10" s="45">
        <f t="shared" si="49"/>
        <v>6.255527902362588</v>
      </c>
      <c r="CH10" s="45">
        <f t="shared" si="32"/>
        <v>0.79517516678534106</v>
      </c>
      <c r="CI10" s="51">
        <f t="shared" si="50"/>
        <v>23.28</v>
      </c>
      <c r="CJ10" s="47">
        <f t="shared" si="33"/>
        <v>12.865203154433699</v>
      </c>
      <c r="CK10" s="45">
        <f t="shared" si="34"/>
        <v>0.53879320783170803</v>
      </c>
      <c r="CL10" s="45">
        <f t="shared" si="35"/>
        <v>1.6312316715542523</v>
      </c>
      <c r="CM10" s="36">
        <f t="shared" si="36"/>
        <v>0.91685472949380065</v>
      </c>
      <c r="CN10" s="45">
        <f t="shared" si="51"/>
        <v>32.488888888888887</v>
      </c>
      <c r="CO10" s="45">
        <f t="shared" si="52"/>
        <v>0.45709112460783091</v>
      </c>
      <c r="CP10" s="45">
        <f t="shared" si="53"/>
        <v>0.41025641025641024</v>
      </c>
      <c r="CQ10" s="45">
        <f t="shared" si="54"/>
        <v>0.36935981001465312</v>
      </c>
      <c r="CR10" s="45">
        <f t="shared" si="37"/>
        <v>1.8188027923231107</v>
      </c>
      <c r="CS10" s="45">
        <f t="shared" si="38"/>
        <v>16.943637082316407</v>
      </c>
      <c r="CT10" s="45">
        <f t="shared" si="39"/>
        <v>6.4326015772168494</v>
      </c>
      <c r="CU10" s="45">
        <f t="shared" si="40"/>
        <v>0.40322580645161288</v>
      </c>
      <c r="CV10" s="45">
        <f t="shared" si="41"/>
        <v>1.0666666666666667</v>
      </c>
      <c r="CW10" s="45">
        <f t="shared" si="42"/>
        <v>0.84415545472266285</v>
      </c>
      <c r="CX10" s="45">
        <f t="shared" si="43"/>
        <v>1.6830769230769231</v>
      </c>
      <c r="CY10" s="45">
        <f t="shared" si="44"/>
        <v>0.13333333333333336</v>
      </c>
      <c r="CZ10" s="43">
        <f t="shared" si="45"/>
        <v>11.906004755979302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2</v>
      </c>
      <c r="I11" s="133">
        <f t="shared" si="16"/>
        <v>0.5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2</v>
      </c>
      <c r="O11" s="136">
        <f t="shared" si="18"/>
        <v>0.5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4.5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0.75</v>
      </c>
      <c r="BI11" s="113">
        <f t="shared" si="3"/>
        <v>0.75</v>
      </c>
      <c r="BJ11" s="114">
        <f t="shared" si="4"/>
        <v>0.16168965691475923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95.944907815786323</v>
      </c>
      <c r="BS11" s="84">
        <f t="shared" si="13"/>
        <v>167.62289168304045</v>
      </c>
      <c r="BT11" s="85">
        <f t="shared" si="27"/>
        <v>71.677983867254127</v>
      </c>
      <c r="BU11" s="81">
        <f t="shared" si="14"/>
        <v>1.7467248908296942E-2</v>
      </c>
      <c r="BV11" s="85">
        <f>IFERROR((D11*2)-(E11*((homedefinitions!$K$15)*2))+(G11*3)-(H11*((homedefinitions!$L$15)*3))+(J11)-(K11*(homedefinitions!$M$15))+S11+T11+V11+W11-U11, 0)</f>
        <v>1.3199999999999998</v>
      </c>
      <c r="BX11" s="26">
        <v>10</v>
      </c>
      <c r="BY11" s="25" t="s">
        <v>23</v>
      </c>
      <c r="BZ11" s="47">
        <f t="shared" si="28"/>
        <v>1.4492753623188406</v>
      </c>
      <c r="CA11" s="39">
        <f t="shared" si="46"/>
        <v>0.36666666666666664</v>
      </c>
      <c r="CB11" s="45">
        <f t="shared" si="47"/>
        <v>0.55072463768115942</v>
      </c>
      <c r="CC11" s="45">
        <f t="shared" si="29"/>
        <v>0.4138980616553366</v>
      </c>
      <c r="CD11" s="45">
        <f t="shared" si="30"/>
        <v>0</v>
      </c>
      <c r="CE11" s="36">
        <f t="shared" si="31"/>
        <v>0.27484064491938509</v>
      </c>
      <c r="CF11" s="45">
        <f t="shared" si="48"/>
        <v>0.68873870657472169</v>
      </c>
      <c r="CG11" s="45">
        <f t="shared" si="49"/>
        <v>2.138014068893562</v>
      </c>
      <c r="CH11" s="45">
        <f t="shared" si="32"/>
        <v>0.68592582695723958</v>
      </c>
      <c r="CI11" s="51">
        <f t="shared" si="50"/>
        <v>23.28</v>
      </c>
      <c r="CJ11" s="47">
        <f t="shared" si="33"/>
        <v>1.8642720922551264</v>
      </c>
      <c r="CK11" s="45">
        <f t="shared" si="34"/>
        <v>0.54291163097949491</v>
      </c>
      <c r="CL11" s="45">
        <f t="shared" si="35"/>
        <v>0</v>
      </c>
      <c r="CM11" s="36">
        <f t="shared" si="36"/>
        <v>0.91685472949380065</v>
      </c>
      <c r="CN11" s="45">
        <f t="shared" si="51"/>
        <v>32.488888888888887</v>
      </c>
      <c r="CO11" s="45">
        <f t="shared" si="52"/>
        <v>0.45709112460783091</v>
      </c>
      <c r="CP11" s="45">
        <f t="shared" si="53"/>
        <v>0.41025641025641024</v>
      </c>
      <c r="CQ11" s="45">
        <f t="shared" si="54"/>
        <v>0.36935981001465312</v>
      </c>
      <c r="CR11" s="45">
        <f t="shared" si="37"/>
        <v>0</v>
      </c>
      <c r="CS11" s="45">
        <f t="shared" si="38"/>
        <v>1.7092666848474156</v>
      </c>
      <c r="CT11" s="45">
        <f t="shared" si="39"/>
        <v>0.93213604612756318</v>
      </c>
      <c r="CU11" s="45">
        <f t="shared" si="40"/>
        <v>0</v>
      </c>
      <c r="CV11" s="45">
        <f t="shared" si="41"/>
        <v>0</v>
      </c>
      <c r="CW11" s="45">
        <f t="shared" si="42"/>
        <v>0</v>
      </c>
      <c r="CX11" s="45">
        <f t="shared" si="43"/>
        <v>1.6830769230769231</v>
      </c>
      <c r="CY11" s="45">
        <f t="shared" si="44"/>
        <v>0</v>
      </c>
      <c r="CZ11" s="43">
        <f t="shared" si="45"/>
        <v>2.5377102655006309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1</v>
      </c>
      <c r="H12" s="19">
        <v>1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3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2</v>
      </c>
      <c r="Z12" s="19">
        <v>0</v>
      </c>
      <c r="AA12" s="153">
        <v>5.33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1.5</v>
      </c>
      <c r="BI12" s="117">
        <f t="shared" si="3"/>
        <v>1.5</v>
      </c>
      <c r="BJ12" s="118">
        <f t="shared" si="4"/>
        <v>6.8255483688219196E-2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95.944907815786323</v>
      </c>
      <c r="BS12" s="89">
        <f t="shared" si="13"/>
        <v>300</v>
      </c>
      <c r="BT12" s="90">
        <f t="shared" si="27"/>
        <v>204.05509218421366</v>
      </c>
      <c r="BU12" s="86">
        <f t="shared" si="14"/>
        <v>2.6200873362445413E-2</v>
      </c>
      <c r="BV12" s="85">
        <f>IFERROR((D12*2)-(E12*((homedefinitions!$K$15)*2))+(G12*3)-(H12*((homedefinitions!$L$15)*3))+(J12)-(K12*(homedefinitions!$M$15))+S12+T12+V12+W12-U12, 0)</f>
        <v>2.16</v>
      </c>
      <c r="BX12" s="26">
        <v>11</v>
      </c>
      <c r="BY12" s="25" t="s">
        <v>24</v>
      </c>
      <c r="BZ12" s="47">
        <f t="shared" si="28"/>
        <v>1.8985507246376812</v>
      </c>
      <c r="CA12" s="39">
        <f t="shared" si="46"/>
        <v>0.36666666666666664</v>
      </c>
      <c r="CB12" s="45">
        <f t="shared" si="47"/>
        <v>0.55072463768115942</v>
      </c>
      <c r="CC12" s="45">
        <f t="shared" si="29"/>
        <v>0.45737712133809361</v>
      </c>
      <c r="CD12" s="45">
        <f t="shared" si="30"/>
        <v>8.4705882352941173E-2</v>
      </c>
      <c r="CE12" s="36">
        <f t="shared" si="31"/>
        <v>0.30371203599550056</v>
      </c>
      <c r="CF12" s="45">
        <f t="shared" si="48"/>
        <v>0.84579503968653535</v>
      </c>
      <c r="CG12" s="45">
        <f t="shared" si="49"/>
        <v>2.7443457643242164</v>
      </c>
      <c r="CH12" s="45">
        <f t="shared" si="32"/>
        <v>0.79675423488527808</v>
      </c>
      <c r="CI12" s="51">
        <f t="shared" si="50"/>
        <v>23.28</v>
      </c>
      <c r="CJ12" s="47">
        <f t="shared" si="33"/>
        <v>1.8927857303112661</v>
      </c>
      <c r="CK12" s="45">
        <f t="shared" si="34"/>
        <v>0.53607134844366944</v>
      </c>
      <c r="CL12" s="45">
        <f t="shared" si="35"/>
        <v>0</v>
      </c>
      <c r="CM12" s="36">
        <f t="shared" si="36"/>
        <v>0.91685472949380065</v>
      </c>
      <c r="CN12" s="45">
        <f t="shared" si="51"/>
        <v>32.488888888888887</v>
      </c>
      <c r="CO12" s="45">
        <f t="shared" si="52"/>
        <v>0.45709112460783091</v>
      </c>
      <c r="CP12" s="45">
        <f t="shared" si="53"/>
        <v>0.41025641025641024</v>
      </c>
      <c r="CQ12" s="45">
        <f t="shared" si="54"/>
        <v>0.36935981001465312</v>
      </c>
      <c r="CR12" s="45">
        <f t="shared" si="37"/>
        <v>0.36376055846462213</v>
      </c>
      <c r="CS12" s="45">
        <f t="shared" si="38"/>
        <v>2.099170107218884</v>
      </c>
      <c r="CT12" s="45">
        <f t="shared" si="39"/>
        <v>0.94639286515563303</v>
      </c>
      <c r="CU12" s="45">
        <f t="shared" si="40"/>
        <v>0</v>
      </c>
      <c r="CV12" s="45">
        <f t="shared" si="41"/>
        <v>0</v>
      </c>
      <c r="CW12" s="45">
        <f t="shared" si="42"/>
        <v>0.16883109094453255</v>
      </c>
      <c r="CX12" s="45">
        <f t="shared" si="43"/>
        <v>2.244102564102564</v>
      </c>
      <c r="CY12" s="45">
        <f t="shared" si="44"/>
        <v>0.4</v>
      </c>
      <c r="CZ12" s="43">
        <f t="shared" si="45"/>
        <v>5.6806384294242278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4</v>
      </c>
      <c r="F13" s="130">
        <f t="shared" si="15"/>
        <v>0.75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3</v>
      </c>
      <c r="N13" s="16">
        <f t="shared" si="0"/>
        <v>6</v>
      </c>
      <c r="O13" s="136">
        <f t="shared" si="18"/>
        <v>0.5</v>
      </c>
      <c r="P13" s="17">
        <f t="shared" si="19"/>
        <v>6</v>
      </c>
      <c r="Q13" s="15">
        <v>3</v>
      </c>
      <c r="R13" s="16">
        <v>3</v>
      </c>
      <c r="S13" s="17">
        <f t="shared" si="20"/>
        <v>6</v>
      </c>
      <c r="T13" s="15">
        <v>0</v>
      </c>
      <c r="U13" s="16">
        <v>1</v>
      </c>
      <c r="V13" s="16">
        <v>2</v>
      </c>
      <c r="W13" s="16">
        <v>2</v>
      </c>
      <c r="X13" s="16">
        <v>0</v>
      </c>
      <c r="Y13" s="16">
        <v>2</v>
      </c>
      <c r="Z13" s="16">
        <v>2</v>
      </c>
      <c r="AA13" s="152">
        <v>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0.46583850931677018</v>
      </c>
      <c r="BJ13" s="114">
        <f t="shared" si="4"/>
        <v>0.16916780354706687</v>
      </c>
      <c r="BK13" s="81">
        <f t="shared" si="5"/>
        <v>0</v>
      </c>
      <c r="BL13" s="113">
        <f t="shared" si="6"/>
        <v>0</v>
      </c>
      <c r="BM13" s="115">
        <f t="shared" si="7"/>
        <v>0.13440860215053763</v>
      </c>
      <c r="BN13" s="82">
        <f t="shared" si="8"/>
        <v>0</v>
      </c>
      <c r="BO13" s="81">
        <f t="shared" si="9"/>
        <v>0.15386538461538457</v>
      </c>
      <c r="BP13" s="113">
        <f t="shared" si="10"/>
        <v>0.20002499999999998</v>
      </c>
      <c r="BQ13" s="116">
        <f t="shared" si="11"/>
        <v>0.1739347826086956</v>
      </c>
      <c r="BR13" s="83">
        <f t="shared" si="12"/>
        <v>69.012182544684023</v>
      </c>
      <c r="BS13" s="84">
        <f t="shared" si="13"/>
        <v>97.797297712151192</v>
      </c>
      <c r="BT13" s="85">
        <f t="shared" si="27"/>
        <v>28.785115167467168</v>
      </c>
      <c r="BU13" s="81">
        <f t="shared" si="14"/>
        <v>7.4235807860262015E-2</v>
      </c>
      <c r="BV13" s="85">
        <f>IFERROR((D13*2)-(E13*((homedefinitions!$K$15)*2))+(G13*3)-(H13*((homedefinitions!$L$15)*3))+(J13)-(K13*(homedefinitions!$M$15))+S13+T13+V13+W13-U13, 0)</f>
        <v>9.67</v>
      </c>
      <c r="BX13" s="26">
        <v>12</v>
      </c>
      <c r="BY13" s="25" t="s">
        <v>25</v>
      </c>
      <c r="BZ13" s="47">
        <f t="shared" si="28"/>
        <v>0</v>
      </c>
      <c r="CA13" s="39">
        <f t="shared" si="46"/>
        <v>0.36666666666666664</v>
      </c>
      <c r="CB13" s="45">
        <f t="shared" si="47"/>
        <v>0.55072463768115942</v>
      </c>
      <c r="CC13" s="45">
        <f t="shared" si="29"/>
        <v>0.25409840074338536</v>
      </c>
      <c r="CD13" s="45">
        <f t="shared" si="30"/>
        <v>0</v>
      </c>
      <c r="CE13" s="36">
        <f t="shared" si="31"/>
        <v>0.16872890888638922</v>
      </c>
      <c r="CF13" s="45">
        <f t="shared" si="48"/>
        <v>0.42282730962977455</v>
      </c>
      <c r="CG13" s="45">
        <f t="shared" si="49"/>
        <v>0.42282730962977455</v>
      </c>
      <c r="CH13" s="45">
        <f t="shared" si="32"/>
        <v>0.22096377836709383</v>
      </c>
      <c r="CI13" s="51">
        <f t="shared" si="50"/>
        <v>23.28</v>
      </c>
      <c r="CJ13" s="47">
        <f t="shared" si="33"/>
        <v>2.3244696185739806</v>
      </c>
      <c r="CK13" s="45">
        <f t="shared" si="34"/>
        <v>0.60047145015646186</v>
      </c>
      <c r="CL13" s="45">
        <f t="shared" si="35"/>
        <v>0</v>
      </c>
      <c r="CM13" s="36">
        <f t="shared" si="36"/>
        <v>0.91685472949380065</v>
      </c>
      <c r="CN13" s="45">
        <f t="shared" si="51"/>
        <v>32.488888888888887</v>
      </c>
      <c r="CO13" s="45">
        <f t="shared" si="52"/>
        <v>0.45709112460783091</v>
      </c>
      <c r="CP13" s="45">
        <f t="shared" si="53"/>
        <v>0.41025641025641024</v>
      </c>
      <c r="CQ13" s="45">
        <f t="shared" si="54"/>
        <v>0.36935981001465312</v>
      </c>
      <c r="CR13" s="45">
        <f t="shared" si="37"/>
        <v>0</v>
      </c>
      <c r="CS13" s="45">
        <f t="shared" si="38"/>
        <v>2.1312009633542051</v>
      </c>
      <c r="CT13" s="45">
        <f t="shared" si="39"/>
        <v>0.77482320619132683</v>
      </c>
      <c r="CU13" s="45">
        <f t="shared" si="40"/>
        <v>0</v>
      </c>
      <c r="CV13" s="45">
        <f t="shared" si="41"/>
        <v>0</v>
      </c>
      <c r="CW13" s="45">
        <f t="shared" si="42"/>
        <v>0</v>
      </c>
      <c r="CX13" s="45">
        <f t="shared" si="43"/>
        <v>0.56102564102564101</v>
      </c>
      <c r="CY13" s="45">
        <f t="shared" si="44"/>
        <v>0</v>
      </c>
      <c r="CZ13" s="43">
        <f t="shared" si="45"/>
        <v>1.2714259621437094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1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1</v>
      </c>
      <c r="X14" s="19">
        <v>0</v>
      </c>
      <c r="Y14" s="19">
        <v>0</v>
      </c>
      <c r="Z14" s="19">
        <v>0</v>
      </c>
      <c r="AA14" s="153">
        <v>4.0999999999999996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0.12777426546434634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0.20015009380863036</v>
      </c>
      <c r="BP14" s="117">
        <f t="shared" si="10"/>
        <v>0</v>
      </c>
      <c r="BQ14" s="120">
        <f t="shared" si="11"/>
        <v>0.11312831389183456</v>
      </c>
      <c r="BR14" s="88">
        <f t="shared" si="12"/>
        <v>70.321488830783437</v>
      </c>
      <c r="BS14" s="89">
        <f t="shared" si="13"/>
        <v>32.195281770841795</v>
      </c>
      <c r="BT14" s="90">
        <f t="shared" si="27"/>
        <v>-38.126207059941642</v>
      </c>
      <c r="BU14" s="86">
        <f t="shared" si="14"/>
        <v>-4.3668122270742356E-3</v>
      </c>
      <c r="BV14" s="85">
        <f>IFERROR((D14*2)-(E14*((homedefinitions!$K$15)*2))+(G14*3)-(H14*((homedefinitions!$L$15)*3))+(J14)-(K14*(homedefinitions!$M$15))+S14+T14+V14+W14-U14, 0)</f>
        <v>0.50999999999999979</v>
      </c>
      <c r="BX14" s="26">
        <v>24</v>
      </c>
      <c r="BY14" s="25" t="s">
        <v>26</v>
      </c>
      <c r="BZ14" s="47">
        <f t="shared" si="28"/>
        <v>0</v>
      </c>
      <c r="CA14" s="39">
        <f t="shared" si="46"/>
        <v>0.36666666666666664</v>
      </c>
      <c r="CB14" s="45">
        <f t="shared" si="47"/>
        <v>0.55072463768115942</v>
      </c>
      <c r="CC14" s="45">
        <f t="shared" si="29"/>
        <v>0.30096543910272089</v>
      </c>
      <c r="CD14" s="45">
        <f t="shared" si="30"/>
        <v>0</v>
      </c>
      <c r="CE14" s="36">
        <f t="shared" si="31"/>
        <v>0.19985001874765657</v>
      </c>
      <c r="CF14" s="45">
        <f t="shared" si="48"/>
        <v>0.5008154578503774</v>
      </c>
      <c r="CG14" s="45">
        <f t="shared" si="49"/>
        <v>0.5008154578503774</v>
      </c>
      <c r="CH14" s="45">
        <f t="shared" si="32"/>
        <v>0.2209637783670938</v>
      </c>
      <c r="CI14" s="51">
        <f t="shared" si="50"/>
        <v>23.28</v>
      </c>
      <c r="CJ14" s="47">
        <f t="shared" si="33"/>
        <v>1.7065302886351066</v>
      </c>
      <c r="CK14" s="45">
        <f t="shared" si="34"/>
        <v>0.57487542727328589</v>
      </c>
      <c r="CL14" s="45">
        <f t="shared" si="35"/>
        <v>0</v>
      </c>
      <c r="CM14" s="36">
        <f t="shared" si="36"/>
        <v>0.91685472949380065</v>
      </c>
      <c r="CN14" s="45">
        <f t="shared" si="51"/>
        <v>32.488888888888887</v>
      </c>
      <c r="CO14" s="45">
        <f t="shared" si="52"/>
        <v>0.45709112460783091</v>
      </c>
      <c r="CP14" s="45">
        <f t="shared" si="53"/>
        <v>0.41025641025641024</v>
      </c>
      <c r="CQ14" s="45">
        <f t="shared" si="54"/>
        <v>0.36935981001465312</v>
      </c>
      <c r="CR14" s="45">
        <f t="shared" si="37"/>
        <v>0</v>
      </c>
      <c r="CS14" s="45">
        <f t="shared" si="38"/>
        <v>1.5646403661595183</v>
      </c>
      <c r="CT14" s="45">
        <f t="shared" si="39"/>
        <v>0.56884342954503553</v>
      </c>
      <c r="CU14" s="45">
        <f t="shared" si="40"/>
        <v>0</v>
      </c>
      <c r="CV14" s="45">
        <f t="shared" si="41"/>
        <v>0</v>
      </c>
      <c r="CW14" s="45">
        <f t="shared" si="42"/>
        <v>0</v>
      </c>
      <c r="CX14" s="45">
        <f t="shared" si="43"/>
        <v>0</v>
      </c>
      <c r="CY14" s="45">
        <f t="shared" si="44"/>
        <v>0</v>
      </c>
      <c r="CZ14" s="43">
        <f t="shared" si="45"/>
        <v>0.52154678871983939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52">
        <v>8.15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4.4638248841497946E-2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0.10068900424728644</v>
      </c>
      <c r="BP15" s="113">
        <f t="shared" si="10"/>
        <v>0</v>
      </c>
      <c r="BQ15" s="116">
        <f t="shared" si="11"/>
        <v>5.6911176313683635E-2</v>
      </c>
      <c r="BR15" s="83">
        <f t="shared" si="12"/>
        <v>95.944907815786323</v>
      </c>
      <c r="BS15" s="84">
        <f t="shared" si="13"/>
        <v>49.839994964859436</v>
      </c>
      <c r="BT15" s="85">
        <f t="shared" si="27"/>
        <v>-46.104912850926887</v>
      </c>
      <c r="BU15" s="81">
        <f t="shared" si="14"/>
        <v>-4.3668122270742356E-3</v>
      </c>
      <c r="BV15" s="85">
        <f>IFERROR((D15*2)-(E15*((homedefinitions!$K$15)*2))+(G15*3)-(H15*((homedefinitions!$L$15)*3))+(J15)-(K15*(homedefinitions!$M$15))+S15+T15+V15+W15-U15, 0)</f>
        <v>0.25</v>
      </c>
      <c r="BX15" s="26">
        <v>30</v>
      </c>
      <c r="BY15" s="25" t="s">
        <v>27</v>
      </c>
      <c r="BZ15" s="47">
        <f t="shared" si="28"/>
        <v>4.0171400966183572</v>
      </c>
      <c r="CA15" s="39">
        <f t="shared" si="46"/>
        <v>0.36666666666666664</v>
      </c>
      <c r="CB15" s="45">
        <f t="shared" si="47"/>
        <v>0.55072463768115942</v>
      </c>
      <c r="CC15" s="45">
        <f t="shared" si="29"/>
        <v>0.90346098042092571</v>
      </c>
      <c r="CD15" s="45">
        <f t="shared" si="30"/>
        <v>8.4705882352941173E-2</v>
      </c>
      <c r="CE15" s="36">
        <f t="shared" si="31"/>
        <v>0.59992500937382831</v>
      </c>
      <c r="CF15" s="45">
        <f t="shared" si="48"/>
        <v>1.5880918721476951</v>
      </c>
      <c r="CG15" s="45">
        <f t="shared" si="49"/>
        <v>5.6052319687660521</v>
      </c>
      <c r="CH15" s="45">
        <f t="shared" si="32"/>
        <v>0.82384247482022976</v>
      </c>
      <c r="CI15" s="51">
        <f t="shared" si="50"/>
        <v>23.28</v>
      </c>
      <c r="CJ15" s="47">
        <f t="shared" si="33"/>
        <v>5.163481514090404</v>
      </c>
      <c r="CK15" s="45">
        <f t="shared" si="34"/>
        <v>0.55767899060639747</v>
      </c>
      <c r="CL15" s="45">
        <f t="shared" si="35"/>
        <v>0</v>
      </c>
      <c r="CM15" s="36">
        <f t="shared" si="36"/>
        <v>0.91685472949380065</v>
      </c>
      <c r="CN15" s="45">
        <f t="shared" si="51"/>
        <v>32.488888888888887</v>
      </c>
      <c r="CO15" s="45">
        <f t="shared" si="52"/>
        <v>0.45709112460783091</v>
      </c>
      <c r="CP15" s="45">
        <f t="shared" si="53"/>
        <v>0.41025641025641024</v>
      </c>
      <c r="CQ15" s="45">
        <f t="shared" si="54"/>
        <v>0.36935981001465312</v>
      </c>
      <c r="CR15" s="45">
        <f t="shared" si="37"/>
        <v>1.0912816753938663</v>
      </c>
      <c r="CS15" s="45">
        <f t="shared" si="38"/>
        <v>5.8254441222414641</v>
      </c>
      <c r="CT15" s="45">
        <f t="shared" si="39"/>
        <v>2.581740757045202</v>
      </c>
      <c r="CU15" s="45">
        <f t="shared" si="40"/>
        <v>0</v>
      </c>
      <c r="CV15" s="45">
        <f t="shared" si="41"/>
        <v>0</v>
      </c>
      <c r="CW15" s="45">
        <f t="shared" si="42"/>
        <v>0.50649327283359769</v>
      </c>
      <c r="CX15" s="45">
        <f t="shared" si="43"/>
        <v>1.6830769230769231</v>
      </c>
      <c r="CY15" s="45">
        <f t="shared" si="44"/>
        <v>0.4</v>
      </c>
      <c r="CZ15" s="43">
        <f t="shared" si="45"/>
        <v>5.9566514193343201</v>
      </c>
    </row>
    <row r="16" spans="2:104" ht="23.1" x14ac:dyDescent="0.85">
      <c r="B16" s="12">
        <v>34</v>
      </c>
      <c r="C16" s="12" t="s">
        <v>30</v>
      </c>
      <c r="D16" s="18">
        <v>2</v>
      </c>
      <c r="E16" s="19">
        <v>6</v>
      </c>
      <c r="F16" s="131">
        <f t="shared" si="15"/>
        <v>0.33333333333333331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2</v>
      </c>
      <c r="N16" s="19">
        <f t="shared" si="0"/>
        <v>6</v>
      </c>
      <c r="O16" s="137">
        <f t="shared" si="18"/>
        <v>0.33333333333333331</v>
      </c>
      <c r="P16" s="20">
        <f t="shared" si="19"/>
        <v>4</v>
      </c>
      <c r="Q16" s="18">
        <v>3</v>
      </c>
      <c r="R16" s="19">
        <v>5</v>
      </c>
      <c r="S16" s="20">
        <f t="shared" si="20"/>
        <v>8</v>
      </c>
      <c r="T16" s="18">
        <v>0</v>
      </c>
      <c r="U16" s="19">
        <v>1</v>
      </c>
      <c r="V16" s="19">
        <v>2</v>
      </c>
      <c r="W16" s="19">
        <v>2</v>
      </c>
      <c r="X16" s="19">
        <v>0</v>
      </c>
      <c r="Y16" s="19">
        <v>1</v>
      </c>
      <c r="Z16" s="19">
        <v>1</v>
      </c>
      <c r="AA16" s="153">
        <v>15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0.3105590062111801</v>
      </c>
      <c r="BJ16" s="118">
        <f t="shared" si="4"/>
        <v>0.18044565711687133</v>
      </c>
      <c r="BK16" s="86">
        <f t="shared" si="5"/>
        <v>0</v>
      </c>
      <c r="BL16" s="117">
        <f t="shared" si="6"/>
        <v>0</v>
      </c>
      <c r="BM16" s="119">
        <f t="shared" si="7"/>
        <v>0.13440860215053763</v>
      </c>
      <c r="BN16" s="87">
        <f t="shared" si="8"/>
        <v>0</v>
      </c>
      <c r="BO16" s="86">
        <f t="shared" si="9"/>
        <v>0.1641230769230769</v>
      </c>
      <c r="BP16" s="117">
        <f t="shared" si="10"/>
        <v>0.35559999999999997</v>
      </c>
      <c r="BQ16" s="120">
        <f t="shared" si="11"/>
        <v>0.24737391304347819</v>
      </c>
      <c r="BR16" s="88">
        <f t="shared" si="12"/>
        <v>61.22008555243751</v>
      </c>
      <c r="BS16" s="89">
        <f t="shared" si="13"/>
        <v>76.113261227069771</v>
      </c>
      <c r="BT16" s="90">
        <f t="shared" si="27"/>
        <v>14.893175674632261</v>
      </c>
      <c r="BU16" s="86">
        <f t="shared" si="14"/>
        <v>6.5502183406113537E-2</v>
      </c>
      <c r="BV16" s="85">
        <f>IFERROR((D16*2)-(E16*((homedefinitions!$K$15)*2))+(G16*3)-(H16*((homedefinitions!$L$15)*3))+(J16)-(K16*(homedefinitions!$M$15))+S16+T16+V16+W16-U16, 0)</f>
        <v>9.85</v>
      </c>
      <c r="BX16" s="26">
        <v>32</v>
      </c>
      <c r="BY16" s="25" t="s">
        <v>28</v>
      </c>
      <c r="BZ16" s="47">
        <f t="shared" si="28"/>
        <v>1</v>
      </c>
      <c r="CA16" s="39">
        <f t="shared" si="46"/>
        <v>0.36666666666666664</v>
      </c>
      <c r="CB16" s="45">
        <f t="shared" si="47"/>
        <v>0.55072463768115942</v>
      </c>
      <c r="CC16" s="45">
        <f t="shared" si="29"/>
        <v>0.23151187623286218</v>
      </c>
      <c r="CD16" s="45">
        <f t="shared" si="30"/>
        <v>0</v>
      </c>
      <c r="CE16" s="36">
        <f t="shared" si="31"/>
        <v>0.15373078365204348</v>
      </c>
      <c r="CF16" s="45">
        <f t="shared" si="48"/>
        <v>0.38524265988490569</v>
      </c>
      <c r="CG16" s="45">
        <f t="shared" si="49"/>
        <v>1.3852426598849057</v>
      </c>
      <c r="CH16" s="45">
        <f t="shared" si="32"/>
        <v>0.79453415718523535</v>
      </c>
      <c r="CI16" s="51">
        <f t="shared" si="50"/>
        <v>23.28</v>
      </c>
      <c r="CJ16" s="47">
        <f t="shared" si="33"/>
        <v>0</v>
      </c>
      <c r="CK16" s="45">
        <f t="shared" si="34"/>
        <v>0.47503645377661119</v>
      </c>
      <c r="CL16" s="45">
        <f t="shared" si="35"/>
        <v>0</v>
      </c>
      <c r="CM16" s="36">
        <f t="shared" si="36"/>
        <v>0.91685472949380065</v>
      </c>
      <c r="CN16" s="45">
        <f t="shared" si="51"/>
        <v>32.488888888888887</v>
      </c>
      <c r="CO16" s="45">
        <f t="shared" si="52"/>
        <v>0.45709112460783091</v>
      </c>
      <c r="CP16" s="45">
        <f t="shared" si="53"/>
        <v>0.41025641025641024</v>
      </c>
      <c r="CQ16" s="45">
        <f t="shared" si="54"/>
        <v>0.36935981001465312</v>
      </c>
      <c r="CR16" s="45">
        <f t="shared" si="37"/>
        <v>0.36376055846462213</v>
      </c>
      <c r="CS16" s="45">
        <f t="shared" si="38"/>
        <v>0.36376055846462213</v>
      </c>
      <c r="CT16" s="45">
        <f t="shared" si="39"/>
        <v>0</v>
      </c>
      <c r="CU16" s="45">
        <f t="shared" si="40"/>
        <v>0</v>
      </c>
      <c r="CV16" s="45">
        <f t="shared" si="41"/>
        <v>0</v>
      </c>
      <c r="CW16" s="45">
        <f t="shared" si="42"/>
        <v>0.16883109094453255</v>
      </c>
      <c r="CX16" s="45">
        <f t="shared" si="43"/>
        <v>0.56102564102564101</v>
      </c>
      <c r="CY16" s="45">
        <f t="shared" si="44"/>
        <v>0.4</v>
      </c>
      <c r="CZ16" s="43">
        <f t="shared" si="45"/>
        <v>1.1298567319701736</v>
      </c>
    </row>
    <row r="17" spans="2:104" ht="23.4" thickBot="1" x14ac:dyDescent="0.9">
      <c r="B17" s="12">
        <v>55</v>
      </c>
      <c r="C17" s="12" t="s">
        <v>32</v>
      </c>
      <c r="D17" s="18">
        <v>2</v>
      </c>
      <c r="E17" s="19">
        <v>5</v>
      </c>
      <c r="F17" s="131">
        <f t="shared" si="15"/>
        <v>0.4</v>
      </c>
      <c r="G17" s="18">
        <v>0</v>
      </c>
      <c r="H17" s="19">
        <v>1</v>
      </c>
      <c r="I17" s="134">
        <f t="shared" si="16"/>
        <v>0</v>
      </c>
      <c r="J17" s="34">
        <v>0</v>
      </c>
      <c r="K17" s="34">
        <v>0</v>
      </c>
      <c r="L17" s="32">
        <f t="shared" si="17"/>
        <v>0</v>
      </c>
      <c r="M17" s="22">
        <f t="shared" si="0"/>
        <v>2</v>
      </c>
      <c r="N17" s="19">
        <f t="shared" si="0"/>
        <v>6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1</v>
      </c>
      <c r="S17" s="20">
        <f t="shared" si="20"/>
        <v>1</v>
      </c>
      <c r="T17" s="18">
        <v>1</v>
      </c>
      <c r="U17" s="19">
        <v>0</v>
      </c>
      <c r="V17" s="19">
        <v>0</v>
      </c>
      <c r="W17" s="19">
        <v>2</v>
      </c>
      <c r="X17" s="19">
        <v>0</v>
      </c>
      <c r="Y17" s="19">
        <v>3</v>
      </c>
      <c r="Z17" s="19">
        <v>1</v>
      </c>
      <c r="AA17" s="153">
        <v>9.1999999999999993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0.33333333333333331</v>
      </c>
      <c r="BJ17" s="122">
        <f t="shared" si="4"/>
        <v>0.23726199655970109</v>
      </c>
      <c r="BK17" s="95">
        <f t="shared" si="5"/>
        <v>0.15096796105513416</v>
      </c>
      <c r="BL17" s="121">
        <f t="shared" si="6"/>
        <v>0.14285714285714285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0.11595652173913043</v>
      </c>
      <c r="BQ17" s="124">
        <f t="shared" si="11"/>
        <v>5.0415879017013228E-2</v>
      </c>
      <c r="BR17" s="97">
        <f>IFERROR($BR$18+0.2*(100*($AR$18/CI20)*(1-CH20)-$BR$18), 0)</f>
        <v>67.492674391988004</v>
      </c>
      <c r="BS17" s="98">
        <f>IFERROR((CS20/CZ20)*100, 0)</f>
        <v>97.80251189924256</v>
      </c>
      <c r="BT17" s="99">
        <f t="shared" si="27"/>
        <v>30.309837507254556</v>
      </c>
      <c r="BU17" s="95">
        <f t="shared" si="14"/>
        <v>3.4934497816593885E-2</v>
      </c>
      <c r="BV17" s="85">
        <f>IFERROR((D17*2)-(E17*((homedefinitions!$K$15)*2))+(G17*3)-(H17*((homedefinitions!$L$15)*3))+(J17)-(K17*(homedefinitions!$M$15))+S17+T17+V17+W17-U17, 0)</f>
        <v>3.41</v>
      </c>
      <c r="BX17" s="55">
        <v>33</v>
      </c>
      <c r="BY17" s="58" t="s">
        <v>29</v>
      </c>
      <c r="BZ17" s="47">
        <f t="shared" si="28"/>
        <v>0</v>
      </c>
      <c r="CA17" s="39">
        <f t="shared" si="46"/>
        <v>0.36666666666666664</v>
      </c>
      <c r="CB17" s="45">
        <f t="shared" si="47"/>
        <v>0.55072463768115942</v>
      </c>
      <c r="CC17" s="45">
        <f t="shared" si="29"/>
        <v>0.46020043690190904</v>
      </c>
      <c r="CD17" s="45">
        <f t="shared" si="30"/>
        <v>0</v>
      </c>
      <c r="CE17" s="36">
        <f t="shared" si="31"/>
        <v>0.30558680164979379</v>
      </c>
      <c r="CF17" s="45">
        <f t="shared" si="48"/>
        <v>0.76578723855170283</v>
      </c>
      <c r="CG17" s="45">
        <f t="shared" si="49"/>
        <v>0.76578723855170283</v>
      </c>
      <c r="CH17" s="45">
        <f t="shared" si="32"/>
        <v>0.2209637783670938</v>
      </c>
      <c r="CI17" s="51">
        <f t="shared" si="50"/>
        <v>23.28</v>
      </c>
      <c r="CJ17" s="47">
        <f t="shared" si="33"/>
        <v>0</v>
      </c>
      <c r="CK17" s="45">
        <f t="shared" si="34"/>
        <v>0.48330417031204426</v>
      </c>
      <c r="CL17" s="45">
        <f t="shared" si="35"/>
        <v>0</v>
      </c>
      <c r="CM17" s="36">
        <f t="shared" si="36"/>
        <v>0.91685472949380065</v>
      </c>
      <c r="CN17" s="45">
        <f t="shared" si="51"/>
        <v>32.488888888888887</v>
      </c>
      <c r="CO17" s="45">
        <f t="shared" si="52"/>
        <v>0.45709112460783091</v>
      </c>
      <c r="CP17" s="45">
        <f t="shared" si="53"/>
        <v>0.41025641025641024</v>
      </c>
      <c r="CQ17" s="45">
        <f t="shared" si="54"/>
        <v>0.36935981001465312</v>
      </c>
      <c r="CR17" s="45">
        <f t="shared" si="37"/>
        <v>0.36376055846462213</v>
      </c>
      <c r="CS17" s="45">
        <f t="shared" si="38"/>
        <v>0.36376055846462213</v>
      </c>
      <c r="CT17" s="45">
        <f t="shared" si="39"/>
        <v>0</v>
      </c>
      <c r="CU17" s="45">
        <f t="shared" si="40"/>
        <v>0</v>
      </c>
      <c r="CV17" s="45">
        <f t="shared" si="41"/>
        <v>0</v>
      </c>
      <c r="CW17" s="45">
        <f t="shared" si="42"/>
        <v>0.16883109094453255</v>
      </c>
      <c r="CX17" s="45">
        <f t="shared" si="43"/>
        <v>0.56102564102564101</v>
      </c>
      <c r="CY17" s="45">
        <f t="shared" si="44"/>
        <v>0</v>
      </c>
      <c r="CZ17" s="43">
        <f t="shared" si="45"/>
        <v>0.72985673197017353</v>
      </c>
    </row>
    <row r="18" spans="2:104" ht="23.4" thickBot="1" x14ac:dyDescent="0.9">
      <c r="B18" s="11">
        <v>99</v>
      </c>
      <c r="C18" s="11" t="s">
        <v>43</v>
      </c>
      <c r="D18" s="8">
        <f>SUM(D3:D17)</f>
        <v>24</v>
      </c>
      <c r="E18" s="6">
        <f>SUM(E3:E17)</f>
        <v>44</v>
      </c>
      <c r="F18" s="132">
        <f t="shared" si="15"/>
        <v>0.54545454545454541</v>
      </c>
      <c r="G18" s="8">
        <f>SUM(G3:G17)</f>
        <v>6</v>
      </c>
      <c r="H18" s="6">
        <f>SUM(H3:H17)</f>
        <v>29</v>
      </c>
      <c r="I18" s="135">
        <f t="shared" si="16"/>
        <v>0.20689655172413793</v>
      </c>
      <c r="J18" s="35">
        <f>SUM(J3:J17)</f>
        <v>4</v>
      </c>
      <c r="K18" s="35">
        <f>SUM(K3:K17)</f>
        <v>9</v>
      </c>
      <c r="L18" s="31">
        <f t="shared" si="17"/>
        <v>0.44444444444444442</v>
      </c>
      <c r="M18" s="30">
        <f>SUM(M3:M17)</f>
        <v>30</v>
      </c>
      <c r="N18" s="6">
        <f>SUM(N3:N17)</f>
        <v>73</v>
      </c>
      <c r="O18" s="138">
        <f t="shared" si="18"/>
        <v>0.41095890410958902</v>
      </c>
      <c r="P18" s="9">
        <f>(D18*2)+(G18*3)+(J18)</f>
        <v>70</v>
      </c>
      <c r="Q18" s="8">
        <f>SUM(Q3:Q17)</f>
        <v>16</v>
      </c>
      <c r="R18" s="6">
        <f>SUM(R3:R17)</f>
        <v>19</v>
      </c>
      <c r="S18" s="9">
        <f t="shared" si="20"/>
        <v>35</v>
      </c>
      <c r="T18" s="8">
        <f t="shared" ref="T18:AA18" si="55">SUM(T3:T17)</f>
        <v>14</v>
      </c>
      <c r="U18" s="6">
        <f t="shared" si="55"/>
        <v>11</v>
      </c>
      <c r="V18" s="6">
        <f t="shared" si="55"/>
        <v>4</v>
      </c>
      <c r="W18" s="6">
        <f t="shared" si="55"/>
        <v>19</v>
      </c>
      <c r="X18" s="6">
        <f t="shared" si="55"/>
        <v>0</v>
      </c>
      <c r="Y18" s="6">
        <f t="shared" si="55"/>
        <v>17</v>
      </c>
      <c r="Z18" s="6">
        <f t="shared" si="55"/>
        <v>17</v>
      </c>
      <c r="AA18" s="154">
        <f t="shared" si="55"/>
        <v>160.01999999999998</v>
      </c>
      <c r="AD18" s="11"/>
      <c r="AE18" s="11" t="s">
        <v>43</v>
      </c>
      <c r="AF18" s="8">
        <v>16</v>
      </c>
      <c r="AG18" s="6">
        <v>35</v>
      </c>
      <c r="AH18" s="132">
        <f t="shared" si="21"/>
        <v>0.45714285714285713</v>
      </c>
      <c r="AI18" s="8">
        <v>6</v>
      </c>
      <c r="AJ18" s="6">
        <v>18</v>
      </c>
      <c r="AK18" s="135">
        <f t="shared" si="22"/>
        <v>0.33333333333333331</v>
      </c>
      <c r="AL18" s="35">
        <v>2</v>
      </c>
      <c r="AM18" s="35">
        <v>5</v>
      </c>
      <c r="AN18" s="31">
        <f t="shared" si="23"/>
        <v>0.4</v>
      </c>
      <c r="AO18" s="30">
        <v>22</v>
      </c>
      <c r="AP18" s="6">
        <v>53</v>
      </c>
      <c r="AQ18" s="138">
        <f t="shared" si="24"/>
        <v>0.41509433962264153</v>
      </c>
      <c r="AR18" s="9">
        <f>(AF18*2)+(AI18*3)+(AL18)</f>
        <v>52</v>
      </c>
      <c r="AS18" s="8">
        <v>11</v>
      </c>
      <c r="AT18" s="6">
        <v>23</v>
      </c>
      <c r="AU18" s="9">
        <f t="shared" si="26"/>
        <v>34</v>
      </c>
      <c r="AV18" s="8">
        <v>12</v>
      </c>
      <c r="AW18" s="6">
        <v>25</v>
      </c>
      <c r="AX18" s="6">
        <v>4</v>
      </c>
      <c r="AY18" s="6">
        <v>6</v>
      </c>
      <c r="AZ18" s="6">
        <v>1</v>
      </c>
      <c r="BA18" s="6">
        <v>1</v>
      </c>
      <c r="BB18" s="6">
        <v>10</v>
      </c>
      <c r="BC18" s="6">
        <v>160</v>
      </c>
      <c r="BF18" s="100"/>
      <c r="BG18" s="101" t="s">
        <v>43</v>
      </c>
      <c r="BH18" s="102">
        <f t="shared" si="2"/>
        <v>0.45205479452054792</v>
      </c>
      <c r="BI18" s="125">
        <f t="shared" si="3"/>
        <v>0.45478170478170482</v>
      </c>
      <c r="BJ18" s="126">
        <v>0</v>
      </c>
      <c r="BK18" s="102">
        <f>IFERROR(T18/M18, 0)</f>
        <v>0.46666666666666667</v>
      </c>
      <c r="BL18" s="125">
        <f>IFERROR(T18/(N18+(0.44*K18)+U18), 0)</f>
        <v>0.15916325602546613</v>
      </c>
      <c r="BM18" s="127">
        <f>IFERROR(U18/(N18+(0.44*K18)+U18), 0)</f>
        <v>0.12505684402000911</v>
      </c>
      <c r="BN18" s="103">
        <f t="shared" si="8"/>
        <v>1.2727272727272727</v>
      </c>
      <c r="BO18" s="105">
        <f>IFERROR(Q18/(Q18+AT18), 0)</f>
        <v>0.41025641025641024</v>
      </c>
      <c r="BP18" s="128">
        <f>IFERROR(R18/(R18+AS18), 0)</f>
        <v>0.6333333333333333</v>
      </c>
      <c r="BQ18" s="129">
        <f>IFERROR(S18/(S18+AU18), 0)</f>
        <v>0.50724637681159424</v>
      </c>
      <c r="BR18" s="111">
        <f>IFERROR(($AR$18/$BD$3)*100, 0)</f>
        <v>76.428252977517346</v>
      </c>
      <c r="BS18" s="112">
        <f>IFERROR(($P$18/$AB$3)*100, 0)</f>
        <v>101.32577163472247</v>
      </c>
      <c r="BT18" s="104">
        <f t="shared" si="27"/>
        <v>24.897518657205126</v>
      </c>
      <c r="BU18" s="102">
        <f>IFERROR(SUM(BU3:BU17), 0)</f>
        <v>0.63755458515283847</v>
      </c>
      <c r="BV18" s="85">
        <f>IFERROR((D18*2)-(E18*((homedefinitions!$K$15)*2))+(G18*3)-(H18*((homedefinitions!$L$15)*3))+(J18)-(K18*(homedefinitions!$M$15))+S18+T18+V18+W18-U18, 0)</f>
        <v>67.789999999999992</v>
      </c>
      <c r="BX18" s="55">
        <v>34</v>
      </c>
      <c r="BY18" s="58" t="s">
        <v>30</v>
      </c>
      <c r="BZ18" s="47">
        <f t="shared" si="28"/>
        <v>4.9156908212560388</v>
      </c>
      <c r="CA18" s="39">
        <f t="shared" si="46"/>
        <v>0.36666666666666664</v>
      </c>
      <c r="CB18" s="45">
        <f t="shared" si="47"/>
        <v>0.55072463768115942</v>
      </c>
      <c r="CC18" s="45">
        <f t="shared" si="29"/>
        <v>0.84699466914461785</v>
      </c>
      <c r="CD18" s="45">
        <f t="shared" si="30"/>
        <v>4.2352941176470586E-2</v>
      </c>
      <c r="CE18" s="36">
        <f t="shared" si="31"/>
        <v>0.56242969628796402</v>
      </c>
      <c r="CF18" s="45">
        <f t="shared" si="48"/>
        <v>1.4517773066090525</v>
      </c>
      <c r="CG18" s="45">
        <f t="shared" si="49"/>
        <v>6.3674681278650915</v>
      </c>
      <c r="CH18" s="45">
        <f t="shared" si="32"/>
        <v>0.99826556903128627</v>
      </c>
      <c r="CI18" s="51">
        <f t="shared" si="50"/>
        <v>23.28</v>
      </c>
      <c r="CJ18" s="47">
        <f t="shared" si="33"/>
        <v>3.6410641886203945</v>
      </c>
      <c r="CK18" s="45">
        <f t="shared" si="34"/>
        <v>0.53840371706940848</v>
      </c>
      <c r="CL18" s="45">
        <f t="shared" si="35"/>
        <v>0</v>
      </c>
      <c r="CM18" s="36">
        <f t="shared" si="36"/>
        <v>0.91685472949380065</v>
      </c>
      <c r="CN18" s="45">
        <f t="shared" si="51"/>
        <v>32.488888888888887</v>
      </c>
      <c r="CO18" s="45">
        <f t="shared" si="52"/>
        <v>0.45709112460783091</v>
      </c>
      <c r="CP18" s="45">
        <f t="shared" si="53"/>
        <v>0.41025641025641024</v>
      </c>
      <c r="CQ18" s="45">
        <f t="shared" si="54"/>
        <v>0.36935981001465312</v>
      </c>
      <c r="CR18" s="45">
        <f t="shared" si="37"/>
        <v>1.0912816753938663</v>
      </c>
      <c r="CS18" s="45">
        <f t="shared" si="38"/>
        <v>4.4296085971209829</v>
      </c>
      <c r="CT18" s="45">
        <f t="shared" si="39"/>
        <v>1.8205320943101972</v>
      </c>
      <c r="CU18" s="45">
        <f t="shared" si="40"/>
        <v>0</v>
      </c>
      <c r="CV18" s="45">
        <f t="shared" si="41"/>
        <v>0</v>
      </c>
      <c r="CW18" s="45">
        <f t="shared" si="42"/>
        <v>0.50649327283359769</v>
      </c>
      <c r="CX18" s="45">
        <f t="shared" si="43"/>
        <v>2.244102564102564</v>
      </c>
      <c r="CY18" s="45">
        <f t="shared" si="44"/>
        <v>0.4</v>
      </c>
      <c r="CZ18" s="43">
        <f t="shared" si="45"/>
        <v>5.8197592977997203</v>
      </c>
    </row>
    <row r="19" spans="2:104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6"/>
        <v>0.36666666666666664</v>
      </c>
      <c r="CB19" s="45">
        <f t="shared" si="47"/>
        <v>0.55072463768115942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8"/>
        <v>0</v>
      </c>
      <c r="CG19" s="45">
        <f t="shared" si="49"/>
        <v>0</v>
      </c>
      <c r="CH19" s="45">
        <f>IFERROR(CG19/($BD$3*(#REF!/$BC$18)),0)</f>
        <v>0</v>
      </c>
      <c r="CI19" s="51">
        <f t="shared" si="50"/>
        <v>23.28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6"/>
        <v>0.91685472949380065</v>
      </c>
      <c r="CN19" s="45">
        <f t="shared" si="51"/>
        <v>32.488888888888887</v>
      </c>
      <c r="CO19" s="45">
        <f t="shared" si="52"/>
        <v>0.45709112460783091</v>
      </c>
      <c r="CP19" s="45">
        <f t="shared" si="53"/>
        <v>0.41025641025641024</v>
      </c>
      <c r="CQ19" s="45">
        <f t="shared" si="54"/>
        <v>0.36935981001465312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</row>
    <row r="20" spans="2:104" ht="14.7" thickBot="1" x14ac:dyDescent="0.6">
      <c r="BX20" s="56">
        <v>55</v>
      </c>
      <c r="BY20" s="59" t="s">
        <v>32</v>
      </c>
      <c r="BZ20" s="48">
        <f>IFERROR(W17+((V17*CB20)*(1-(1.07*CA20)))+(R17*(1-CB20)), 0)</f>
        <v>2.4492753623188408</v>
      </c>
      <c r="CA20" s="41">
        <f t="shared" si="46"/>
        <v>0.36666666666666664</v>
      </c>
      <c r="CB20" s="46">
        <f t="shared" si="47"/>
        <v>0.55072463768115942</v>
      </c>
      <c r="CC20" s="46">
        <f>IFERROR(((($AP$18-$AO$18-$V$18)*CB20*(1-1.07*CA20))/$AA$18)*AA17, 0)</f>
        <v>0.51949006374203222</v>
      </c>
      <c r="CD20" s="46">
        <f>IFERROR((Z17/$Z$18)*0.4*$AM$18*((1-$AN$18)^2), 0)</f>
        <v>4.2352941176470586E-2</v>
      </c>
      <c r="CE20" s="42">
        <f>IFERROR((($AW$18-$W$18)/$AA$18)*AA17, 0)</f>
        <v>0.34495688038995126</v>
      </c>
      <c r="CF20" s="46">
        <f t="shared" si="48"/>
        <v>0.90679988530845412</v>
      </c>
      <c r="CG20" s="46">
        <f t="shared" si="49"/>
        <v>3.3560752476272948</v>
      </c>
      <c r="CH20" s="46">
        <f>IFERROR(CG20/($BD$3*(AA17/$BC$18)),0)</f>
        <v>0.85785608039211747</v>
      </c>
      <c r="CI20" s="52">
        <f t="shared" si="50"/>
        <v>23.28</v>
      </c>
      <c r="CJ20" s="48">
        <f>IFERROR(2*(M17+0.5*G17)*(1-(0.5*((P17-J17)/(2*N17)))*CK20), 0)</f>
        <v>3.6884315479785879</v>
      </c>
      <c r="CK20" s="46">
        <f>IFERROR(((5*AA17/$AA$18)*1.14*(($T$18-T17)/$M$18))+((1-(5*AA17/$AA$18))*(((($T$18/$AA$18)*AA17*5)-T17)/((($M$18/$AA$18)*AA17*5)-M17))), 0)</f>
        <v>0.46735267803211838</v>
      </c>
      <c r="CL20" s="46">
        <f>IFERROR(2*((($M$18)+0.5*($H$18-G17))/($M$18-M17))*0.5*((($P$18-$J$18)-(P17-J17))/(2*($N$18-N17)))*T17, 0)</f>
        <v>0.73534115138592748</v>
      </c>
      <c r="CM20" s="42">
        <f t="shared" si="36"/>
        <v>0.91685472949380065</v>
      </c>
      <c r="CN20" s="46">
        <f t="shared" si="51"/>
        <v>32.488888888888887</v>
      </c>
      <c r="CO20" s="46">
        <f t="shared" si="52"/>
        <v>0.45709112460783091</v>
      </c>
      <c r="CP20" s="46">
        <f t="shared" si="53"/>
        <v>0.41025641025641024</v>
      </c>
      <c r="CQ20" s="46">
        <f t="shared" si="54"/>
        <v>0.36935981001465312</v>
      </c>
      <c r="CR20" s="46">
        <f>IFERROR(Q17*CO20*CQ20*($P$18/($M$18+(1-(1-($J$18/$K$18))^2)*0.4*$K$18)), 0)</f>
        <v>0</v>
      </c>
      <c r="CS20" s="46">
        <f>IFERROR((CJ20+CL20+J17)*CM20+CR20, 0)</f>
        <v>4.0559569216179128</v>
      </c>
      <c r="CT20" s="46">
        <f>IFERROR(M17*(1-(0.5*((P17-J17)/(2*N17)))*CK20), 0)</f>
        <v>1.8442157739892939</v>
      </c>
      <c r="CU20" s="46">
        <f>IFERROR(0.5*((($P$18-$J$18)-(P17-J17))/(2*($N$18-N17)))*T17, 0)</f>
        <v>0.23134328358208955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2.244102564102564</v>
      </c>
      <c r="CY20" s="46">
        <f>IFERROR(((1-(J17/K17))^2)*0.4*K17, 0)</f>
        <v>0</v>
      </c>
      <c r="CZ20" s="44">
        <f>IFERROR(((CT20+CU20+CV20)*CM20)+CW20+CX20+CY20+U17, 0)</f>
        <v>4.1470887023805822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190B-F56D-4190-AB6D-5BF1B81A3174}">
  <dimension ref="B1:CZ20"/>
  <sheetViews>
    <sheetView topLeftCell="AT1" zoomScale="71" zoomScaleNormal="60" workbookViewId="0">
      <selection activeCell="BT18" sqref="BT18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4.10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6835937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5.26171875" customWidth="1"/>
    <col min="68" max="68" width="14.734375" bestFit="1" customWidth="1"/>
    <col min="69" max="69" width="16.1015625" customWidth="1"/>
  </cols>
  <sheetData>
    <row r="1" spans="2:104" ht="23.4" thickBot="1" x14ac:dyDescent="0.9">
      <c r="B1" s="11"/>
      <c r="C1" s="11" t="s">
        <v>111</v>
      </c>
      <c r="D1" s="176" t="s">
        <v>1</v>
      </c>
      <c r="E1" s="177"/>
      <c r="F1" s="178"/>
      <c r="G1" s="179" t="s">
        <v>5</v>
      </c>
      <c r="H1" s="180"/>
      <c r="I1" s="181"/>
      <c r="J1" s="182" t="s">
        <v>38</v>
      </c>
      <c r="K1" s="183"/>
      <c r="L1" s="184"/>
      <c r="M1" s="185" t="s">
        <v>6</v>
      </c>
      <c r="N1" s="185"/>
      <c r="O1" s="185"/>
      <c r="P1" s="186"/>
      <c r="Q1" s="187" t="s">
        <v>8</v>
      </c>
      <c r="R1" s="188"/>
      <c r="S1" s="189"/>
      <c r="T1" s="174"/>
      <c r="U1" s="175"/>
      <c r="V1" s="175"/>
      <c r="W1" s="175"/>
      <c r="X1" s="175"/>
      <c r="Y1" s="175"/>
      <c r="Z1" s="37"/>
      <c r="AD1" s="11" t="s">
        <v>110</v>
      </c>
      <c r="AE1" s="11"/>
      <c r="AF1" s="176" t="s">
        <v>1</v>
      </c>
      <c r="AG1" s="177"/>
      <c r="AH1" s="178"/>
      <c r="AI1" s="179" t="s">
        <v>5</v>
      </c>
      <c r="AJ1" s="180"/>
      <c r="AK1" s="181"/>
      <c r="AL1" s="182" t="s">
        <v>38</v>
      </c>
      <c r="AM1" s="183"/>
      <c r="AN1" s="184"/>
      <c r="AO1" s="185" t="s">
        <v>6</v>
      </c>
      <c r="AP1" s="185"/>
      <c r="AQ1" s="185"/>
      <c r="AR1" s="186"/>
      <c r="AS1" s="187" t="s">
        <v>8</v>
      </c>
      <c r="AT1" s="188"/>
      <c r="AU1" s="189"/>
      <c r="AV1" s="174"/>
      <c r="AW1" s="175"/>
      <c r="AX1" s="175"/>
      <c r="AY1" s="175"/>
      <c r="AZ1" s="175"/>
      <c r="BA1" s="175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6" t="s">
        <v>64</v>
      </c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7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0</v>
      </c>
      <c r="S3" s="17">
        <f>Q3+R3</f>
        <v>0</v>
      </c>
      <c r="T3" s="15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5.33</v>
      </c>
      <c r="AB3" s="60">
        <f>IFERROR($N$18+0.44*$K$18-(1.07*($Q$18/($Q$18+$AT$18))*($N$18-$M$18))+U18, 0)</f>
        <v>56.693333333333328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46.052187500000002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</v>
      </c>
      <c r="BR3" s="83">
        <f t="shared" ref="BR3:BR16" si="12">IFERROR($BR$18+0.2*(100*($AR$18/CI5)*(1-CH5)-$BR$18), 0)</f>
        <v>106.44073181166726</v>
      </c>
      <c r="BS3" s="84">
        <f t="shared" ref="BS3:BS16" si="13">IFERROR((CS5/CZ5)*100, 0)</f>
        <v>0</v>
      </c>
      <c r="BT3" s="85">
        <f>BS3-BR3</f>
        <v>-106.44073181166726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8.771929824561403E-3</v>
      </c>
      <c r="BV3" s="85">
        <f>IFERROR((D3*2)-(E3*((homedefinitions!$K$15)*2))+(G3*3)-(H3*((homedefinitions!$L$15)*3))+(J3)-(K3*(homedefinitions!$M$15))+S3+T3+V3+W3-U3, 0)</f>
        <v>1</v>
      </c>
      <c r="BX3" s="54"/>
      <c r="BY3" s="57"/>
      <c r="BZ3" s="168" t="s">
        <v>75</v>
      </c>
      <c r="CA3" s="169"/>
      <c r="CB3" s="169"/>
      <c r="CC3" s="169"/>
      <c r="CD3" s="169"/>
      <c r="CE3" s="169"/>
      <c r="CF3" s="169"/>
      <c r="CG3" s="169"/>
      <c r="CH3" s="169"/>
      <c r="CI3" s="170"/>
      <c r="CJ3" s="171" t="s">
        <v>92</v>
      </c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3"/>
    </row>
    <row r="4" spans="2:104" ht="23.1" x14ac:dyDescent="0.85">
      <c r="B4" s="11">
        <v>1</v>
      </c>
      <c r="C4" s="11" t="s">
        <v>18</v>
      </c>
      <c r="D4" s="18">
        <v>3</v>
      </c>
      <c r="E4" s="19">
        <v>7</v>
      </c>
      <c r="F4" s="131">
        <f t="shared" ref="F4:F18" si="15">IFERROR(D4/E4,0)</f>
        <v>0.42857142857142855</v>
      </c>
      <c r="G4" s="18">
        <v>1</v>
      </c>
      <c r="H4" s="19">
        <v>2</v>
      </c>
      <c r="I4" s="134">
        <f t="shared" ref="I4:I18" si="16">IFERROR(G4/H4,0)</f>
        <v>0.5</v>
      </c>
      <c r="J4" s="34">
        <v>2</v>
      </c>
      <c r="K4" s="34">
        <v>2</v>
      </c>
      <c r="L4" s="32">
        <f t="shared" ref="L4:L18" si="17">IFERROR(J4/K4, 0)</f>
        <v>1</v>
      </c>
      <c r="M4" s="22">
        <f t="shared" si="0"/>
        <v>4</v>
      </c>
      <c r="N4" s="19">
        <f t="shared" si="0"/>
        <v>9</v>
      </c>
      <c r="O4" s="137">
        <f t="shared" ref="O4:O18" si="18">IFERROR(M4/N4,0)</f>
        <v>0.44444444444444442</v>
      </c>
      <c r="P4" s="20">
        <f t="shared" ref="P4:P17" si="19">(D4*2)+(G4*3)+(J4)</f>
        <v>11</v>
      </c>
      <c r="Q4" s="18">
        <v>1</v>
      </c>
      <c r="R4" s="19">
        <v>3</v>
      </c>
      <c r="S4" s="20">
        <f t="shared" ref="S4:S18" si="20">Q4+R4</f>
        <v>4</v>
      </c>
      <c r="T4" s="18">
        <v>4</v>
      </c>
      <c r="U4" s="19">
        <v>3</v>
      </c>
      <c r="V4" s="19">
        <v>0</v>
      </c>
      <c r="W4" s="19">
        <v>0</v>
      </c>
      <c r="X4" s="19">
        <v>0</v>
      </c>
      <c r="Y4" s="19">
        <v>1</v>
      </c>
      <c r="Z4" s="19">
        <v>1</v>
      </c>
      <c r="AA4" s="153">
        <v>23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</v>
      </c>
      <c r="BI4" s="117">
        <f t="shared" si="3"/>
        <v>0.55668016194331982</v>
      </c>
      <c r="BJ4" s="118">
        <f t="shared" si="4"/>
        <v>0.25253664036076662</v>
      </c>
      <c r="BK4" s="86">
        <f t="shared" si="5"/>
        <v>0.27223215045528038</v>
      </c>
      <c r="BL4" s="117">
        <f t="shared" si="6"/>
        <v>0.23696682464454974</v>
      </c>
      <c r="BM4" s="119">
        <f t="shared" si="7"/>
        <v>0.1777251184834123</v>
      </c>
      <c r="BN4" s="87">
        <f t="shared" si="8"/>
        <v>1.3333333333333333</v>
      </c>
      <c r="BO4" s="86">
        <f t="shared" si="9"/>
        <v>7.7270531400966166E-2</v>
      </c>
      <c r="BP4" s="117">
        <f t="shared" si="10"/>
        <v>0.13039402173913042</v>
      </c>
      <c r="BQ4" s="120">
        <f t="shared" si="11"/>
        <v>0.1112695652173913</v>
      </c>
      <c r="BR4" s="88">
        <f t="shared" si="12"/>
        <v>131.61192182188321</v>
      </c>
      <c r="BS4" s="89">
        <f t="shared" si="13"/>
        <v>126.84100581930058</v>
      </c>
      <c r="BT4" s="90">
        <f t="shared" ref="BT4:BT18" si="27">BS4-BR4</f>
        <v>-4.7709160025826378</v>
      </c>
      <c r="BU4" s="86">
        <f t="shared" si="14"/>
        <v>9.2105263157894732E-2</v>
      </c>
      <c r="BV4" s="90">
        <f>IFERROR((D4*2)-(E4*((homedefinitions!$K$15)*2))+(G4*3)-(H4*((homedefinitions!$L$15)*3))+(J4)-(K4*(homedefinitions!$M$15))+S4+T4+V4+W4-U4, 0)</f>
        <v>7.77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4</v>
      </c>
      <c r="F5" s="130">
        <f t="shared" si="15"/>
        <v>0.5</v>
      </c>
      <c r="G5" s="15">
        <v>1</v>
      </c>
      <c r="H5" s="16">
        <v>3</v>
      </c>
      <c r="I5" s="133">
        <f t="shared" si="16"/>
        <v>0.33333333333333331</v>
      </c>
      <c r="J5" s="33">
        <v>0</v>
      </c>
      <c r="K5" s="33">
        <v>0</v>
      </c>
      <c r="L5" s="31">
        <f t="shared" si="17"/>
        <v>0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7</v>
      </c>
      <c r="Q5" s="15">
        <v>0</v>
      </c>
      <c r="R5" s="16">
        <v>4</v>
      </c>
      <c r="S5" s="17">
        <f t="shared" si="20"/>
        <v>4</v>
      </c>
      <c r="T5" s="15">
        <v>2</v>
      </c>
      <c r="U5" s="16">
        <v>0</v>
      </c>
      <c r="V5" s="16">
        <v>0</v>
      </c>
      <c r="W5" s="16">
        <v>1</v>
      </c>
      <c r="X5" s="16">
        <v>0</v>
      </c>
      <c r="Y5" s="16">
        <v>1</v>
      </c>
      <c r="Z5" s="16">
        <v>2</v>
      </c>
      <c r="AA5" s="152">
        <v>16.5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</v>
      </c>
      <c r="BJ5" s="114">
        <f t="shared" si="4"/>
        <v>0.1913156366369444</v>
      </c>
      <c r="BK5" s="81">
        <f t="shared" si="5"/>
        <v>0.19211482449028616</v>
      </c>
      <c r="BL5" s="113">
        <f t="shared" si="6"/>
        <v>0.22222222222222221</v>
      </c>
      <c r="BM5" s="115">
        <f t="shared" si="7"/>
        <v>0</v>
      </c>
      <c r="BN5" s="82">
        <f t="shared" si="8"/>
        <v>0</v>
      </c>
      <c r="BO5" s="81">
        <f t="shared" si="9"/>
        <v>0</v>
      </c>
      <c r="BP5" s="113">
        <f t="shared" si="10"/>
        <v>0.24234848484848484</v>
      </c>
      <c r="BQ5" s="116">
        <f t="shared" si="11"/>
        <v>0.1551030303030303</v>
      </c>
      <c r="BR5" s="83">
        <f t="shared" si="12"/>
        <v>115.62814137787853</v>
      </c>
      <c r="BS5" s="84">
        <f t="shared" si="13"/>
        <v>158.65879902347706</v>
      </c>
      <c r="BT5" s="85">
        <f t="shared" si="27"/>
        <v>43.030657645598524</v>
      </c>
      <c r="BU5" s="81">
        <f t="shared" si="14"/>
        <v>8.771929824561403E-2</v>
      </c>
      <c r="BV5" s="85">
        <f>IFERROR((D5*2)-(E5*((homedefinitions!$K$15)*2))+(G5*3)-(H5*((homedefinitions!$L$15)*3))+(J5)-(K5*(homedefinitions!$M$15))+S5+T5+V5+W5-U5, 0)</f>
        <v>8.48</v>
      </c>
      <c r="BX5" s="26">
        <v>0</v>
      </c>
      <c r="BY5" s="25" t="s">
        <v>17</v>
      </c>
      <c r="BZ5" s="47">
        <f t="shared" ref="BZ5:BZ18" si="28">IFERROR(W3+((V3*CB5)*(1-(1.07*CA5)))+(R3*(1-CB5)), 0)</f>
        <v>1</v>
      </c>
      <c r="CA5" s="39">
        <f>IFERROR(($AS$18/($AS$18+$R$18)), 0)</f>
        <v>0.21875</v>
      </c>
      <c r="CB5" s="45">
        <f>IFERROR(($AQ$18*(1-CA5))/($AQ$18*(1-CA5)+(CA5*(1-$AQ$18))), 0)</f>
        <v>0.70058997050147487</v>
      </c>
      <c r="CC5" s="45">
        <f t="shared" ref="CC5:CC18" si="29">IFERROR(((($AP$18-$AO$18-$V$18)*CB5*(1-1.07*CA5))/$AA$18)*AA3, 0)</f>
        <v>0.50067769553261943</v>
      </c>
      <c r="CD5" s="45">
        <f t="shared" ref="CD5:CD18" si="30">IFERROR((Z3/$Z$18)*0.4*$AM$18*((1-$AN$18)^2), 0)</f>
        <v>0</v>
      </c>
      <c r="CE5" s="36">
        <f t="shared" ref="CE5:CE18" si="31">IFERROR((($AW$18-$W$18)/$AA$18)*AA3, 0)</f>
        <v>-0.19993748046264459</v>
      </c>
      <c r="CF5" s="45">
        <f>IFERROR(CC5+CE5+CD5, 0)</f>
        <v>0.30074021506997484</v>
      </c>
      <c r="CG5" s="45">
        <f>IFERROR(BZ5+CF5, 0)</f>
        <v>1.3007402150699749</v>
      </c>
      <c r="CH5" s="45">
        <f t="shared" ref="CH5:CH18" si="32">IFERROR(CG5/($BD$3*(AA3/$BC$18)),0)</f>
        <v>0.8478774343501938</v>
      </c>
      <c r="CI5" s="51">
        <f>IFERROR($AO$18+(1-((1-$AN$18)^2))*0.4*$AM$18, 0)</f>
        <v>23.363636363636363</v>
      </c>
      <c r="CJ5" s="47">
        <f t="shared" ref="CJ5:CJ18" si="33">IFERROR(2*(M3+0.5*G3)*(1-(0.5*((P3-J3)/(2*N3)))*CK5), 0)</f>
        <v>0</v>
      </c>
      <c r="CK5" s="45">
        <f t="shared" ref="CK5:CK18" si="34">IFERROR(((5*AA3/$AA$18)*1.14*(($T$18-T3)/$M$18))+((1-(5*AA3/$AA$18))*(((($T$18/$AA$18)*AA3*5)-T3)/((($M$18/$AA$18)*AA3*5)-M3))), 0)</f>
        <v>0.59038040733883179</v>
      </c>
      <c r="CL5" s="45">
        <f t="shared" ref="CL5:CL18" si="35">IFERROR(2*((($M$18)+0.5*($H$18-G3))/($M$18-M3))*0.5*((($P$18-$J$18)-(P3-J3))/(2*($N$18-N3)))*T3, 0)</f>
        <v>0</v>
      </c>
      <c r="CM5" s="45">
        <f t="shared" ref="CM5:CM20" si="36">IFERROR(1-($Q$18/CN5)*CO5*CQ5, 0)</f>
        <v>0.94877574808205623</v>
      </c>
      <c r="CN5" s="45">
        <f>IFERROR($M$18+(1-(1-($J$18/$K$18))^2)*$K$18*0.4, 0)</f>
        <v>29.555555555555557</v>
      </c>
      <c r="CO5" s="45">
        <f>IFERROR(((1-CP5)*CQ5)/((1-CP5)*CQ5+(1-CQ5)*CP5), 0)</f>
        <v>0.36348729160972937</v>
      </c>
      <c r="CP5" s="45">
        <f>IFERROR($Q$18/($Q$18+$AT$18), 0)</f>
        <v>0.55555555555555558</v>
      </c>
      <c r="CQ5" s="45">
        <f>IFERROR(CN5/($N$18+0.44*$K$18+$U$18), 0)</f>
        <v>0.41651008392834771</v>
      </c>
      <c r="CR5" s="45">
        <f t="shared" ref="CR5:CR18" si="37">IFERROR(Q3*CO5*CQ5*($P$18/($M$18+(1-(1-($J$18/$K$18))^2)*0.4*$K$18)), 0)</f>
        <v>0</v>
      </c>
      <c r="CS5" s="45">
        <f t="shared" ref="CS5:CS18" si="38">IFERROR((CJ5+CL5+J3)*CM5+CR5, 0)</f>
        <v>0</v>
      </c>
      <c r="CT5" s="45">
        <f t="shared" ref="CT5:CT18" si="39">IFERROR(M3*(1-(0.5*((P3-J3)/(2*N3)))*CK5), 0)</f>
        <v>0</v>
      </c>
      <c r="CU5" s="45">
        <f t="shared" ref="CU5:CU18" si="40">IFERROR(0.5*((($P$18-$J$18)-(P3-J3))/(2*($N$18-N3)))*T3, 0)</f>
        <v>0</v>
      </c>
      <c r="CV5" s="45">
        <f t="shared" ref="CV5:CV18" si="41">IFERROR((1-(1-(J3/K3))^2)*0.4*K3, 0)</f>
        <v>0</v>
      </c>
      <c r="CW5" s="45">
        <f t="shared" ref="CW5:CW18" si="42">IFERROR(Q3*CO5*CQ5, 0)</f>
        <v>0</v>
      </c>
      <c r="CX5" s="45">
        <f t="shared" ref="CX5:CX18" si="43">IFERROR((N3-M3)*(1-(1.07*CP5)), 0)</f>
        <v>0</v>
      </c>
      <c r="CY5" s="45">
        <f t="shared" ref="CY5:CY18" si="44">IFERROR(((1-(J3/K3))^2)*0.4*K3, 0)</f>
        <v>0</v>
      </c>
      <c r="CZ5" s="43">
        <f t="shared" ref="CZ5:CZ18" si="45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1</v>
      </c>
      <c r="H6" s="19">
        <v>2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3</v>
      </c>
      <c r="O6" s="137">
        <f t="shared" si="18"/>
        <v>0.66666666666666663</v>
      </c>
      <c r="P6" s="20">
        <f t="shared" si="19"/>
        <v>5</v>
      </c>
      <c r="Q6" s="18">
        <v>0</v>
      </c>
      <c r="R6" s="19">
        <v>1</v>
      </c>
      <c r="S6" s="20">
        <f t="shared" si="20"/>
        <v>1</v>
      </c>
      <c r="T6" s="18">
        <v>0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2</v>
      </c>
      <c r="AA6" s="153">
        <v>8.15</v>
      </c>
      <c r="AB6" s="60">
        <f>IFERROR((AB3/32)*40, 0)</f>
        <v>70.86666666666666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57.565234375000003</v>
      </c>
      <c r="BF6" s="67">
        <v>3</v>
      </c>
      <c r="BG6" s="68" t="s">
        <v>20</v>
      </c>
      <c r="BH6" s="86">
        <f t="shared" si="2"/>
        <v>0.83333333333333337</v>
      </c>
      <c r="BI6" s="117">
        <f t="shared" si="3"/>
        <v>0.83333333333333337</v>
      </c>
      <c r="BJ6" s="118">
        <f t="shared" si="4"/>
        <v>0.22132922029865609</v>
      </c>
      <c r="BK6" s="86">
        <f t="shared" si="5"/>
        <v>0</v>
      </c>
      <c r="BL6" s="117">
        <f t="shared" si="6"/>
        <v>0</v>
      </c>
      <c r="BM6" s="119">
        <f t="shared" si="7"/>
        <v>0.25</v>
      </c>
      <c r="BN6" s="87">
        <f t="shared" si="8"/>
        <v>0</v>
      </c>
      <c r="BO6" s="86">
        <f t="shared" si="9"/>
        <v>0</v>
      </c>
      <c r="BP6" s="117">
        <f t="shared" si="10"/>
        <v>0.12266104294478526</v>
      </c>
      <c r="BQ6" s="120">
        <f t="shared" si="11"/>
        <v>7.850306748466257E-2</v>
      </c>
      <c r="BR6" s="88">
        <f t="shared" si="12"/>
        <v>131.93903829890374</v>
      </c>
      <c r="BS6" s="89">
        <f t="shared" si="13"/>
        <v>119.06376560101988</v>
      </c>
      <c r="BT6" s="90">
        <f t="shared" si="27"/>
        <v>-12.875272697883858</v>
      </c>
      <c r="BU6" s="86">
        <f t="shared" si="14"/>
        <v>3.5087719298245612E-2</v>
      </c>
      <c r="BV6" s="90">
        <f>IFERROR((D6*2)-(E6*((homedefinitions!$K$15)*2))+(G6*3)-(H6*((homedefinitions!$L$15)*3))+(J6)-(K6*(homedefinitions!$M$15))+S6+T6+V6+W6-U6, 0)</f>
        <v>2.57</v>
      </c>
      <c r="BX6" s="26">
        <v>1</v>
      </c>
      <c r="BY6" s="25" t="s">
        <v>18</v>
      </c>
      <c r="BZ6" s="47">
        <f t="shared" si="28"/>
        <v>0.8982300884955754</v>
      </c>
      <c r="CA6" s="39">
        <f t="shared" ref="CA6:CA20" si="46">IFERROR(($AS$18/($AS$18+$R$18)), 0)</f>
        <v>0.21875</v>
      </c>
      <c r="CB6" s="45">
        <f t="shared" ref="CB6:CB20" si="47">IFERROR(($AQ$18*(1-CA6))/($AQ$18*(1-CA6)+(CA6*(1-$AQ$18))), 0)</f>
        <v>0.70058997050147487</v>
      </c>
      <c r="CC6" s="45">
        <f t="shared" si="29"/>
        <v>2.1605228887899148</v>
      </c>
      <c r="CD6" s="45">
        <f t="shared" si="30"/>
        <v>1.9138755980861255E-3</v>
      </c>
      <c r="CE6" s="36">
        <f t="shared" si="31"/>
        <v>-0.86276961550484532</v>
      </c>
      <c r="CF6" s="45">
        <f t="shared" ref="CF6:CF20" si="48">IFERROR(CC6+CE6+CD6, 0)</f>
        <v>1.2996671488831555</v>
      </c>
      <c r="CG6" s="45">
        <f t="shared" ref="CG6:CG20" si="49">IFERROR(BZ6+CF6, 0)</f>
        <v>2.1978972373787311</v>
      </c>
      <c r="CH6" s="45">
        <f t="shared" si="32"/>
        <v>0.33200854817591174</v>
      </c>
      <c r="CI6" s="51">
        <f t="shared" ref="CI6:CI20" si="50">IFERROR($AO$18+(1-((1-$AN$18)^2))*0.4*$AM$18, 0)</f>
        <v>23.363636363636363</v>
      </c>
      <c r="CJ6" s="47">
        <f t="shared" si="33"/>
        <v>7.9278077693229569</v>
      </c>
      <c r="CK6" s="45">
        <f t="shared" si="34"/>
        <v>0.47652988030090809</v>
      </c>
      <c r="CL6" s="45">
        <f t="shared" si="35"/>
        <v>3.6396895787139689</v>
      </c>
      <c r="CM6" s="36">
        <f t="shared" si="36"/>
        <v>0.94877574808205623</v>
      </c>
      <c r="CN6" s="45">
        <f t="shared" ref="CN6:CN20" si="51">IFERROR($M$18+(1-(1-($J$18/$K$18))^2)*$K$18*0.4, 0)</f>
        <v>29.555555555555557</v>
      </c>
      <c r="CO6" s="45">
        <f t="shared" ref="CO6:CO20" si="52">IFERROR(((1-CP6)*CQ6)/((1-CP6)*CQ6+(1-CQ6)*CP6), 0)</f>
        <v>0.36348729160972937</v>
      </c>
      <c r="CP6" s="45">
        <f t="shared" ref="CP6:CP20" si="53">IFERROR($Q$18/($Q$18+$AT$18), 0)</f>
        <v>0.55555555555555558</v>
      </c>
      <c r="CQ6" s="45">
        <f t="shared" ref="CQ6:CQ20" si="54">IFERROR(CN6/($N$18+0.44*$K$18+$U$18), 0)</f>
        <v>0.41651008392834771</v>
      </c>
      <c r="CR6" s="45">
        <f t="shared" si="37"/>
        <v>0.33808006265842916</v>
      </c>
      <c r="CS6" s="45">
        <f t="shared" si="38"/>
        <v>13.210592508643478</v>
      </c>
      <c r="CT6" s="45">
        <f t="shared" si="39"/>
        <v>3.5234701196990921</v>
      </c>
      <c r="CU6" s="45">
        <f t="shared" si="40"/>
        <v>1.1951219512195121</v>
      </c>
      <c r="CV6" s="45">
        <f t="shared" si="41"/>
        <v>0.8</v>
      </c>
      <c r="CW6" s="45">
        <f t="shared" si="42"/>
        <v>0.15139612233525618</v>
      </c>
      <c r="CX6" s="45">
        <f t="shared" si="43"/>
        <v>2.0277777777777772</v>
      </c>
      <c r="CY6" s="45">
        <f t="shared" si="44"/>
        <v>0</v>
      </c>
      <c r="CZ6" s="43">
        <f t="shared" si="45"/>
        <v>10.415080220558536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0</v>
      </c>
      <c r="H7" s="16">
        <v>2</v>
      </c>
      <c r="I7" s="133">
        <f t="shared" si="16"/>
        <v>0</v>
      </c>
      <c r="J7" s="33">
        <v>0</v>
      </c>
      <c r="K7" s="33">
        <v>0</v>
      </c>
      <c r="L7" s="31">
        <f t="shared" si="17"/>
        <v>0</v>
      </c>
      <c r="M7" s="21">
        <f t="shared" si="0"/>
        <v>0</v>
      </c>
      <c r="N7" s="16">
        <f t="shared" si="0"/>
        <v>4</v>
      </c>
      <c r="O7" s="136">
        <f t="shared" si="18"/>
        <v>0</v>
      </c>
      <c r="P7" s="17">
        <f t="shared" si="19"/>
        <v>0</v>
      </c>
      <c r="Q7" s="15">
        <v>0</v>
      </c>
      <c r="R7" s="16">
        <v>3</v>
      </c>
      <c r="S7" s="17">
        <f t="shared" si="20"/>
        <v>3</v>
      </c>
      <c r="T7" s="15">
        <v>5</v>
      </c>
      <c r="U7" s="16">
        <v>3</v>
      </c>
      <c r="V7" s="16">
        <v>0</v>
      </c>
      <c r="W7" s="16">
        <v>0</v>
      </c>
      <c r="X7" s="16">
        <v>0</v>
      </c>
      <c r="Y7" s="16">
        <v>0</v>
      </c>
      <c r="Z7" s="16">
        <v>2</v>
      </c>
      <c r="AA7" s="152">
        <v>22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</v>
      </c>
      <c r="BI7" s="113">
        <f t="shared" si="3"/>
        <v>0</v>
      </c>
      <c r="BJ7" s="114">
        <f t="shared" si="4"/>
        <v>0.1434867274777083</v>
      </c>
      <c r="BK7" s="81">
        <f t="shared" si="5"/>
        <v>0.27963286713286711</v>
      </c>
      <c r="BL7" s="113">
        <f t="shared" si="6"/>
        <v>0.41666666666666669</v>
      </c>
      <c r="BM7" s="115">
        <f t="shared" si="7"/>
        <v>0.25</v>
      </c>
      <c r="BN7" s="82">
        <f t="shared" si="8"/>
        <v>1.6666666666666667</v>
      </c>
      <c r="BO7" s="81">
        <f t="shared" si="9"/>
        <v>0</v>
      </c>
      <c r="BP7" s="113">
        <f t="shared" si="10"/>
        <v>0.13632102272727273</v>
      </c>
      <c r="BQ7" s="116">
        <f t="shared" si="11"/>
        <v>8.7245454545454543E-2</v>
      </c>
      <c r="BR7" s="83">
        <f>IFERROR($BR$18+0.2*(100*($AR$18/CI9)*(1-CH9)-$BR$18), 0)</f>
        <v>131.29559891767533</v>
      </c>
      <c r="BS7" s="84">
        <f t="shared" si="13"/>
        <v>63.929306125301608</v>
      </c>
      <c r="BT7" s="85">
        <f t="shared" si="27"/>
        <v>-67.366292792373727</v>
      </c>
      <c r="BU7" s="81">
        <f t="shared" si="14"/>
        <v>8.771929824561403E-3</v>
      </c>
      <c r="BV7" s="85">
        <f>IFERROR((D7*2)-(E7*((homedefinitions!$K$15)*2))+(G7*3)-(H7*((homedefinitions!$L$15)*3))+(J7)-(K7*(homedefinitions!$M$15))+S7+T7+V7+W7-U7, 0)</f>
        <v>1.8200000000000003</v>
      </c>
      <c r="BX7" s="26">
        <v>2</v>
      </c>
      <c r="BY7" s="25" t="s">
        <v>19</v>
      </c>
      <c r="BZ7" s="47">
        <f t="shared" si="28"/>
        <v>2.1976401179941005</v>
      </c>
      <c r="CA7" s="39">
        <f t="shared" si="46"/>
        <v>0.21875</v>
      </c>
      <c r="CB7" s="45">
        <f t="shared" si="47"/>
        <v>0.70058997050147487</v>
      </c>
      <c r="CC7" s="45">
        <f t="shared" si="29"/>
        <v>1.5499403332623303</v>
      </c>
      <c r="CD7" s="45">
        <f t="shared" si="30"/>
        <v>3.8277511961722511E-3</v>
      </c>
      <c r="CE7" s="36">
        <f t="shared" si="31"/>
        <v>-0.61894341981869339</v>
      </c>
      <c r="CF7" s="45">
        <f t="shared" si="48"/>
        <v>0.93482466463980918</v>
      </c>
      <c r="CG7" s="45">
        <f t="shared" si="49"/>
        <v>3.1324647826339098</v>
      </c>
      <c r="CH7" s="45">
        <f t="shared" si="32"/>
        <v>0.65958682362321641</v>
      </c>
      <c r="CI7" s="51">
        <f t="shared" si="50"/>
        <v>23.363636363636363</v>
      </c>
      <c r="CJ7" s="47">
        <f t="shared" si="33"/>
        <v>6.0185480247638043</v>
      </c>
      <c r="CK7" s="45">
        <f t="shared" si="34"/>
        <v>0.56082970013496891</v>
      </c>
      <c r="CL7" s="45">
        <f t="shared" si="35"/>
        <v>1.7275025278058647</v>
      </c>
      <c r="CM7" s="36">
        <f t="shared" si="36"/>
        <v>0.94877574808205623</v>
      </c>
      <c r="CN7" s="45">
        <f t="shared" si="51"/>
        <v>29.555555555555557</v>
      </c>
      <c r="CO7" s="45">
        <f t="shared" si="52"/>
        <v>0.36348729160972937</v>
      </c>
      <c r="CP7" s="45">
        <f t="shared" si="53"/>
        <v>0.55555555555555558</v>
      </c>
      <c r="CQ7" s="45">
        <f t="shared" si="54"/>
        <v>0.41651008392834771</v>
      </c>
      <c r="CR7" s="45">
        <f t="shared" si="37"/>
        <v>0</v>
      </c>
      <c r="CS7" s="45">
        <f t="shared" si="38"/>
        <v>7.3492649076957122</v>
      </c>
      <c r="CT7" s="45">
        <f t="shared" si="39"/>
        <v>2.5793777248987735</v>
      </c>
      <c r="CU7" s="45">
        <f t="shared" si="40"/>
        <v>0.59302325581395354</v>
      </c>
      <c r="CV7" s="45">
        <f t="shared" si="41"/>
        <v>0</v>
      </c>
      <c r="CW7" s="45">
        <f t="shared" si="42"/>
        <v>0</v>
      </c>
      <c r="CX7" s="45">
        <f t="shared" si="43"/>
        <v>1.6222222222222218</v>
      </c>
      <c r="CY7" s="45">
        <f t="shared" si="44"/>
        <v>0</v>
      </c>
      <c r="CZ7" s="43">
        <f t="shared" si="45"/>
        <v>4.6321193359141883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1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8</v>
      </c>
      <c r="N8" s="19">
        <f t="shared" si="0"/>
        <v>10</v>
      </c>
      <c r="O8" s="137">
        <f t="shared" si="18"/>
        <v>0.8</v>
      </c>
      <c r="P8" s="20">
        <f t="shared" si="19"/>
        <v>16</v>
      </c>
      <c r="Q8" s="18">
        <v>5</v>
      </c>
      <c r="R8" s="19">
        <v>6</v>
      </c>
      <c r="S8" s="20">
        <f t="shared" si="20"/>
        <v>11</v>
      </c>
      <c r="T8" s="18">
        <v>2</v>
      </c>
      <c r="U8" s="19">
        <v>6</v>
      </c>
      <c r="V8" s="19">
        <v>0</v>
      </c>
      <c r="W8" s="19">
        <v>3</v>
      </c>
      <c r="X8" s="19">
        <v>0</v>
      </c>
      <c r="Y8" s="19">
        <v>0</v>
      </c>
      <c r="Z8" s="19">
        <v>3</v>
      </c>
      <c r="AA8" s="153">
        <v>21.33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0.8</v>
      </c>
      <c r="BI8" s="117">
        <f t="shared" si="3"/>
        <v>0.8</v>
      </c>
      <c r="BJ8" s="118">
        <f t="shared" si="4"/>
        <v>0.33827156970164973</v>
      </c>
      <c r="BK8" s="86">
        <f t="shared" si="5"/>
        <v>0.2142235317752629</v>
      </c>
      <c r="BL8" s="117">
        <f t="shared" si="6"/>
        <v>0.1111111111111111</v>
      </c>
      <c r="BM8" s="119">
        <f t="shared" si="7"/>
        <v>0.33333333333333331</v>
      </c>
      <c r="BN8" s="87">
        <f t="shared" si="8"/>
        <v>0.33333333333333331</v>
      </c>
      <c r="BO8" s="86">
        <f t="shared" si="9"/>
        <v>0.41660155232588431</v>
      </c>
      <c r="BP8" s="117">
        <f t="shared" si="10"/>
        <v>0.28120604781997188</v>
      </c>
      <c r="BQ8" s="120">
        <f t="shared" si="11"/>
        <v>0.32994842944210034</v>
      </c>
      <c r="BR8" s="88">
        <f t="shared" si="12"/>
        <v>100.07995727396616</v>
      </c>
      <c r="BS8" s="89">
        <f t="shared" si="13"/>
        <v>107.88502283701507</v>
      </c>
      <c r="BT8" s="90">
        <f t="shared" si="27"/>
        <v>7.8050655630489132</v>
      </c>
      <c r="BU8" s="86">
        <f t="shared" si="14"/>
        <v>0.18859649122807018</v>
      </c>
      <c r="BV8" s="90">
        <f>IFERROR((D8*2)-(E8*((homedefinitions!$K$15)*2))+(G8*3)-(H8*((homedefinitions!$L$15)*3))+(J8)-(K8*(homedefinitions!$M$15))+S8+T8+V8+W8-U8, 0)</f>
        <v>18.41</v>
      </c>
      <c r="BX8" s="26">
        <v>3</v>
      </c>
      <c r="BY8" s="25" t="s">
        <v>20</v>
      </c>
      <c r="BZ8" s="47">
        <f t="shared" si="28"/>
        <v>0.29941002949852513</v>
      </c>
      <c r="CA8" s="39">
        <f t="shared" si="46"/>
        <v>0.21875</v>
      </c>
      <c r="CB8" s="45">
        <f t="shared" si="47"/>
        <v>0.70058997050147487</v>
      </c>
      <c r="CC8" s="45">
        <f t="shared" si="29"/>
        <v>0.76557658885381774</v>
      </c>
      <c r="CD8" s="45">
        <f t="shared" si="30"/>
        <v>3.8277511961722511E-3</v>
      </c>
      <c r="CE8" s="36">
        <f t="shared" si="31"/>
        <v>-0.30572053766802126</v>
      </c>
      <c r="CF8" s="45">
        <f t="shared" si="48"/>
        <v>0.46368380238196871</v>
      </c>
      <c r="CG8" s="45">
        <f t="shared" si="49"/>
        <v>0.76309383188049384</v>
      </c>
      <c r="CH8" s="45">
        <f t="shared" si="32"/>
        <v>0.32530448640603321</v>
      </c>
      <c r="CI8" s="51">
        <f t="shared" si="50"/>
        <v>23.363636363636363</v>
      </c>
      <c r="CJ8" s="47">
        <f t="shared" si="33"/>
        <v>3.3677839013049624</v>
      </c>
      <c r="CK8" s="45">
        <f t="shared" si="34"/>
        <v>0.7834637273736178</v>
      </c>
      <c r="CL8" s="45">
        <f t="shared" si="35"/>
        <v>0</v>
      </c>
      <c r="CM8" s="36">
        <f t="shared" si="36"/>
        <v>0.94877574808205623</v>
      </c>
      <c r="CN8" s="45">
        <f t="shared" si="51"/>
        <v>29.555555555555557</v>
      </c>
      <c r="CO8" s="45">
        <f t="shared" si="52"/>
        <v>0.36348729160972937</v>
      </c>
      <c r="CP8" s="45">
        <f t="shared" si="53"/>
        <v>0.55555555555555558</v>
      </c>
      <c r="CQ8" s="45">
        <f t="shared" si="54"/>
        <v>0.41651008392834771</v>
      </c>
      <c r="CR8" s="45">
        <f t="shared" si="37"/>
        <v>0</v>
      </c>
      <c r="CS8" s="45">
        <f t="shared" si="38"/>
        <v>3.1952716903393217</v>
      </c>
      <c r="CT8" s="45">
        <f t="shared" si="39"/>
        <v>1.3471135605219851</v>
      </c>
      <c r="CU8" s="45">
        <f t="shared" si="40"/>
        <v>0</v>
      </c>
      <c r="CV8" s="45">
        <f t="shared" si="41"/>
        <v>0</v>
      </c>
      <c r="CW8" s="45">
        <f t="shared" si="42"/>
        <v>0</v>
      </c>
      <c r="CX8" s="45">
        <f t="shared" si="43"/>
        <v>0.40555555555555545</v>
      </c>
      <c r="CY8" s="45">
        <f t="shared" si="44"/>
        <v>0</v>
      </c>
      <c r="CZ8" s="43">
        <f t="shared" si="45"/>
        <v>2.6836642316912842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0</v>
      </c>
      <c r="F9" s="130">
        <f t="shared" si="15"/>
        <v>0</v>
      </c>
      <c r="G9" s="15">
        <v>1</v>
      </c>
      <c r="H9" s="16">
        <v>1</v>
      </c>
      <c r="I9" s="133">
        <f t="shared" si="16"/>
        <v>1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1</v>
      </c>
      <c r="O9" s="136">
        <f t="shared" si="18"/>
        <v>1</v>
      </c>
      <c r="P9" s="17">
        <f t="shared" si="19"/>
        <v>3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1</v>
      </c>
      <c r="V9" s="16">
        <v>0</v>
      </c>
      <c r="W9" s="16">
        <v>0</v>
      </c>
      <c r="X9" s="16">
        <v>0</v>
      </c>
      <c r="Y9" s="16">
        <v>1</v>
      </c>
      <c r="Z9" s="16">
        <v>1</v>
      </c>
      <c r="AA9" s="152">
        <v>4.75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1.5</v>
      </c>
      <c r="BI9" s="113">
        <f t="shared" si="3"/>
        <v>1.5</v>
      </c>
      <c r="BJ9" s="114">
        <f t="shared" si="4"/>
        <v>0.18987717320358391</v>
      </c>
      <c r="BK9" s="81">
        <f t="shared" si="5"/>
        <v>0</v>
      </c>
      <c r="BL9" s="113">
        <f t="shared" si="6"/>
        <v>0</v>
      </c>
      <c r="BM9" s="115">
        <f t="shared" si="7"/>
        <v>0.5</v>
      </c>
      <c r="BN9" s="82">
        <f t="shared" si="8"/>
        <v>0</v>
      </c>
      <c r="BO9" s="81">
        <f t="shared" si="9"/>
        <v>0</v>
      </c>
      <c r="BP9" s="113">
        <f t="shared" si="10"/>
        <v>0.21046052631578946</v>
      </c>
      <c r="BQ9" s="116">
        <f t="shared" si="11"/>
        <v>0.13469473684210526</v>
      </c>
      <c r="BR9" s="83">
        <f t="shared" si="12"/>
        <v>127.49247471550684</v>
      </c>
      <c r="BS9" s="84">
        <f t="shared" si="13"/>
        <v>86.857792050802459</v>
      </c>
      <c r="BT9" s="85">
        <f t="shared" si="27"/>
        <v>-40.634682664704386</v>
      </c>
      <c r="BU9" s="81">
        <f t="shared" si="14"/>
        <v>2.6315789473684209E-2</v>
      </c>
      <c r="BV9" s="85">
        <f>IFERROR((D9*2)-(E9*((homedefinitions!$K$15)*2))+(G9*3)-(H9*((homedefinitions!$L$15)*3))+(J9)-(K9*(homedefinitions!$M$15))+S9+T9+V9+W9-U9, 0)</f>
        <v>2.16</v>
      </c>
      <c r="BX9" s="26">
        <v>4</v>
      </c>
      <c r="BY9" s="25" t="s">
        <v>21</v>
      </c>
      <c r="BZ9" s="47">
        <f t="shared" si="28"/>
        <v>0.8982300884955754</v>
      </c>
      <c r="CA9" s="39">
        <f t="shared" si="46"/>
        <v>0.21875</v>
      </c>
      <c r="CB9" s="45">
        <f t="shared" si="47"/>
        <v>0.70058997050147487</v>
      </c>
      <c r="CC9" s="45">
        <f t="shared" si="29"/>
        <v>2.0665871110164402</v>
      </c>
      <c r="CD9" s="45">
        <f t="shared" si="30"/>
        <v>3.8277511961722511E-3</v>
      </c>
      <c r="CE9" s="36">
        <f t="shared" si="31"/>
        <v>-0.82525789309159114</v>
      </c>
      <c r="CF9" s="45">
        <f t="shared" si="48"/>
        <v>1.2451569691210214</v>
      </c>
      <c r="CG9" s="45">
        <f t="shared" si="49"/>
        <v>2.1433870576165965</v>
      </c>
      <c r="CH9" s="45">
        <f t="shared" si="32"/>
        <v>0.33849140195433458</v>
      </c>
      <c r="CI9" s="51">
        <f t="shared" si="50"/>
        <v>23.363636363636363</v>
      </c>
      <c r="CJ9" s="47">
        <f t="shared" si="33"/>
        <v>0</v>
      </c>
      <c r="CK9" s="45">
        <f t="shared" si="34"/>
        <v>0.39437583751041083</v>
      </c>
      <c r="CL9" s="45">
        <f t="shared" si="35"/>
        <v>4.1220735785953178</v>
      </c>
      <c r="CM9" s="36">
        <f t="shared" si="36"/>
        <v>0.94877574808205623</v>
      </c>
      <c r="CN9" s="45">
        <f t="shared" si="51"/>
        <v>29.555555555555557</v>
      </c>
      <c r="CO9" s="45">
        <f t="shared" si="52"/>
        <v>0.36348729160972937</v>
      </c>
      <c r="CP9" s="45">
        <f t="shared" si="53"/>
        <v>0.55555555555555558</v>
      </c>
      <c r="CQ9" s="45">
        <f t="shared" si="54"/>
        <v>0.41651008392834771</v>
      </c>
      <c r="CR9" s="45">
        <f t="shared" si="37"/>
        <v>0</v>
      </c>
      <c r="CS9" s="45">
        <f t="shared" si="38"/>
        <v>3.9109234431810513</v>
      </c>
      <c r="CT9" s="45">
        <f t="shared" si="39"/>
        <v>0</v>
      </c>
      <c r="CU9" s="45">
        <f t="shared" si="40"/>
        <v>1.5760869565217392</v>
      </c>
      <c r="CV9" s="45">
        <f t="shared" si="41"/>
        <v>0</v>
      </c>
      <c r="CW9" s="45">
        <f t="shared" si="42"/>
        <v>0</v>
      </c>
      <c r="CX9" s="45">
        <f t="shared" si="43"/>
        <v>1.6222222222222218</v>
      </c>
      <c r="CY9" s="45">
        <f t="shared" si="44"/>
        <v>0</v>
      </c>
      <c r="CZ9" s="43">
        <f t="shared" si="45"/>
        <v>6.1175753034385059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0</v>
      </c>
      <c r="R10" s="19">
        <v>0</v>
      </c>
      <c r="S10" s="20">
        <f t="shared" si="20"/>
        <v>0</v>
      </c>
      <c r="T10" s="18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53">
        <v>6.33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1</v>
      </c>
      <c r="BJ10" s="118">
        <f t="shared" si="4"/>
        <v>7.1241435443682749E-2</v>
      </c>
      <c r="BK10" s="86">
        <f t="shared" si="5"/>
        <v>0</v>
      </c>
      <c r="BL10" s="117">
        <f t="shared" si="6"/>
        <v>0</v>
      </c>
      <c r="BM10" s="119">
        <f t="shared" si="7"/>
        <v>0</v>
      </c>
      <c r="BN10" s="87">
        <f t="shared" si="8"/>
        <v>0</v>
      </c>
      <c r="BO10" s="86">
        <f t="shared" si="9"/>
        <v>0</v>
      </c>
      <c r="BP10" s="117">
        <f t="shared" si="10"/>
        <v>0</v>
      </c>
      <c r="BQ10" s="120">
        <f t="shared" si="11"/>
        <v>0</v>
      </c>
      <c r="BR10" s="88">
        <f t="shared" si="12"/>
        <v>138.24657567087829</v>
      </c>
      <c r="BS10" s="89">
        <f t="shared" si="13"/>
        <v>200</v>
      </c>
      <c r="BT10" s="90">
        <f t="shared" si="27"/>
        <v>61.753424329121714</v>
      </c>
      <c r="BU10" s="86">
        <f t="shared" si="14"/>
        <v>1.7543859649122806E-2</v>
      </c>
      <c r="BV10" s="90">
        <f>IFERROR((D10*2)-(E10*((homedefinitions!$K$15)*2))+(G10*3)-(H10*((homedefinitions!$L$15)*3))+(J10)-(K10*(homedefinitions!$M$15))+S10+T10+V10+W10-U10, 0)</f>
        <v>1.25</v>
      </c>
      <c r="BX10" s="26">
        <v>5</v>
      </c>
      <c r="BY10" s="25" t="s">
        <v>22</v>
      </c>
      <c r="BZ10" s="47">
        <f t="shared" si="28"/>
        <v>4.7964601769911503</v>
      </c>
      <c r="CA10" s="39">
        <f t="shared" si="46"/>
        <v>0.21875</v>
      </c>
      <c r="CB10" s="45">
        <f t="shared" si="47"/>
        <v>0.70058997050147487</v>
      </c>
      <c r="CC10" s="45">
        <f t="shared" si="29"/>
        <v>2.0036501399082121</v>
      </c>
      <c r="CD10" s="45">
        <f t="shared" si="30"/>
        <v>5.7416267942583775E-3</v>
      </c>
      <c r="CE10" s="36">
        <f t="shared" si="31"/>
        <v>-0.80012503907471078</v>
      </c>
      <c r="CF10" s="45">
        <f t="shared" si="48"/>
        <v>1.2092667276277596</v>
      </c>
      <c r="CG10" s="45">
        <f t="shared" si="49"/>
        <v>6.0057269046189097</v>
      </c>
      <c r="CH10" s="45">
        <f t="shared" si="32"/>
        <v>0.97823780565714635</v>
      </c>
      <c r="CI10" s="51">
        <f t="shared" si="50"/>
        <v>23.363636363636363</v>
      </c>
      <c r="CJ10" s="47">
        <f t="shared" si="33"/>
        <v>11.739793478872716</v>
      </c>
      <c r="CK10" s="45">
        <f t="shared" si="34"/>
        <v>0.66565726892613819</v>
      </c>
      <c r="CL10" s="45">
        <f t="shared" si="35"/>
        <v>1.9833333333333334</v>
      </c>
      <c r="CM10" s="36">
        <f t="shared" si="36"/>
        <v>0.94877574808205623</v>
      </c>
      <c r="CN10" s="45">
        <f t="shared" si="51"/>
        <v>29.555555555555557</v>
      </c>
      <c r="CO10" s="45">
        <f t="shared" si="52"/>
        <v>0.36348729160972937</v>
      </c>
      <c r="CP10" s="45">
        <f t="shared" si="53"/>
        <v>0.55555555555555558</v>
      </c>
      <c r="CQ10" s="45">
        <f t="shared" si="54"/>
        <v>0.41651008392834771</v>
      </c>
      <c r="CR10" s="45">
        <f t="shared" si="37"/>
        <v>1.6904003132921457</v>
      </c>
      <c r="CS10" s="45">
        <f t="shared" si="38"/>
        <v>14.710570220567865</v>
      </c>
      <c r="CT10" s="45">
        <f t="shared" si="39"/>
        <v>5.8698967394363581</v>
      </c>
      <c r="CU10" s="45">
        <f t="shared" si="40"/>
        <v>0.52500000000000002</v>
      </c>
      <c r="CV10" s="45">
        <f t="shared" si="41"/>
        <v>0</v>
      </c>
      <c r="CW10" s="45">
        <f t="shared" si="42"/>
        <v>0.75698061167628083</v>
      </c>
      <c r="CX10" s="45">
        <f t="shared" si="43"/>
        <v>0.81111111111111089</v>
      </c>
      <c r="CY10" s="45">
        <f t="shared" si="44"/>
        <v>0</v>
      </c>
      <c r="CZ10" s="43">
        <f t="shared" si="45"/>
        <v>13.635414660653625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0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0</v>
      </c>
      <c r="O11" s="136">
        <f t="shared" si="18"/>
        <v>0</v>
      </c>
      <c r="P11" s="17">
        <f t="shared" si="19"/>
        <v>0</v>
      </c>
      <c r="Q11" s="15">
        <v>0</v>
      </c>
      <c r="R11" s="16">
        <v>0</v>
      </c>
      <c r="S11" s="17">
        <f t="shared" si="20"/>
        <v>0</v>
      </c>
      <c r="T11" s="15">
        <v>1</v>
      </c>
      <c r="U11" s="16">
        <v>1</v>
      </c>
      <c r="V11" s="16">
        <v>0</v>
      </c>
      <c r="W11" s="16">
        <v>1</v>
      </c>
      <c r="X11" s="16">
        <v>0</v>
      </c>
      <c r="Y11" s="16">
        <v>0</v>
      </c>
      <c r="Z11" s="16">
        <v>2</v>
      </c>
      <c r="AA11" s="152">
        <v>3.15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0.1431613607487339</v>
      </c>
      <c r="BK11" s="81">
        <f t="shared" si="5"/>
        <v>0.39059829059829054</v>
      </c>
      <c r="BL11" s="113">
        <f t="shared" si="6"/>
        <v>0.5</v>
      </c>
      <c r="BM11" s="115">
        <f t="shared" si="7"/>
        <v>0.5</v>
      </c>
      <c r="BN11" s="82">
        <f t="shared" si="8"/>
        <v>1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84.223068414766828</v>
      </c>
      <c r="BS11" s="84">
        <f t="shared" si="13"/>
        <v>56.433576746182709</v>
      </c>
      <c r="BT11" s="85">
        <f t="shared" si="27"/>
        <v>-27.78949166858412</v>
      </c>
      <c r="BU11" s="81">
        <f t="shared" si="14"/>
        <v>8.771929824561403E-3</v>
      </c>
      <c r="BV11" s="85">
        <f>IFERROR((D11*2)-(E11*((homedefinitions!$K$15)*2))+(G11*3)-(H11*((homedefinitions!$L$15)*3))+(J11)-(K11*(homedefinitions!$M$15))+S11+T11+V11+W11-U11, 0)</f>
        <v>1</v>
      </c>
      <c r="BX11" s="26">
        <v>10</v>
      </c>
      <c r="BY11" s="25" t="s">
        <v>23</v>
      </c>
      <c r="BZ11" s="47">
        <f t="shared" si="28"/>
        <v>0.29941002949852513</v>
      </c>
      <c r="CA11" s="39">
        <f t="shared" si="46"/>
        <v>0.21875</v>
      </c>
      <c r="CB11" s="45">
        <f t="shared" si="47"/>
        <v>0.70058997050147487</v>
      </c>
      <c r="CC11" s="45">
        <f t="shared" si="29"/>
        <v>0.44619494442400415</v>
      </c>
      <c r="CD11" s="45">
        <f t="shared" si="30"/>
        <v>1.9138755980861255E-3</v>
      </c>
      <c r="CE11" s="36">
        <f t="shared" si="31"/>
        <v>-0.17818068146295718</v>
      </c>
      <c r="CF11" s="45">
        <f t="shared" si="48"/>
        <v>0.26992813855913311</v>
      </c>
      <c r="CG11" s="45">
        <f t="shared" si="49"/>
        <v>0.56933816805765824</v>
      </c>
      <c r="CH11" s="45">
        <f t="shared" si="32"/>
        <v>0.41643421853785167</v>
      </c>
      <c r="CI11" s="51">
        <f t="shared" si="50"/>
        <v>23.363636363636363</v>
      </c>
      <c r="CJ11" s="47">
        <f t="shared" si="33"/>
        <v>1.2885373290402649</v>
      </c>
      <c r="CK11" s="45">
        <f t="shared" si="34"/>
        <v>0.76065007598210443</v>
      </c>
      <c r="CL11" s="45">
        <f t="shared" si="35"/>
        <v>0</v>
      </c>
      <c r="CM11" s="36">
        <f t="shared" si="36"/>
        <v>0.94877574808205623</v>
      </c>
      <c r="CN11" s="45">
        <f t="shared" si="51"/>
        <v>29.555555555555557</v>
      </c>
      <c r="CO11" s="45">
        <f t="shared" si="52"/>
        <v>0.36348729160972937</v>
      </c>
      <c r="CP11" s="45">
        <f t="shared" si="53"/>
        <v>0.55555555555555558</v>
      </c>
      <c r="CQ11" s="45">
        <f t="shared" si="54"/>
        <v>0.41651008392834771</v>
      </c>
      <c r="CR11" s="45">
        <f t="shared" si="37"/>
        <v>0</v>
      </c>
      <c r="CS11" s="45">
        <f t="shared" si="38"/>
        <v>1.222532968291832</v>
      </c>
      <c r="CT11" s="45">
        <f t="shared" si="39"/>
        <v>0.42951244301342162</v>
      </c>
      <c r="CU11" s="45">
        <f t="shared" si="40"/>
        <v>0</v>
      </c>
      <c r="CV11" s="45">
        <f t="shared" si="41"/>
        <v>0</v>
      </c>
      <c r="CW11" s="45">
        <f t="shared" si="42"/>
        <v>0</v>
      </c>
      <c r="CX11" s="45">
        <f t="shared" si="43"/>
        <v>0</v>
      </c>
      <c r="CY11" s="45">
        <f t="shared" si="44"/>
        <v>0</v>
      </c>
      <c r="CZ11" s="43">
        <f t="shared" si="45"/>
        <v>1.4075109894306106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0</v>
      </c>
      <c r="H12" s="19">
        <v>1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1</v>
      </c>
      <c r="O12" s="137">
        <f t="shared" si="18"/>
        <v>0</v>
      </c>
      <c r="P12" s="20">
        <f t="shared" si="19"/>
        <v>0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53">
        <v>9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5.0106476262056866E-2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138.24657567087829</v>
      </c>
      <c r="BS12" s="89">
        <f t="shared" si="13"/>
        <v>0</v>
      </c>
      <c r="BT12" s="90">
        <f t="shared" si="27"/>
        <v>-138.24657567087829</v>
      </c>
      <c r="BU12" s="86">
        <f t="shared" si="14"/>
        <v>-8.771929824561403E-3</v>
      </c>
      <c r="BV12" s="90">
        <f>IFERROR((D12*2)-(E12*((homedefinitions!$K$15)*2))+(G12*3)-(H12*((homedefinitions!$L$15)*3))+(J12)-(K12*(homedefinitions!$M$15))+S12+T12+V12+W12-U12, 0)</f>
        <v>-0.84000000000000008</v>
      </c>
      <c r="BX12" s="26">
        <v>11</v>
      </c>
      <c r="BY12" s="25" t="s">
        <v>24</v>
      </c>
      <c r="BZ12" s="47">
        <f t="shared" si="28"/>
        <v>0</v>
      </c>
      <c r="CA12" s="39">
        <f t="shared" si="46"/>
        <v>0.21875</v>
      </c>
      <c r="CB12" s="45">
        <f t="shared" si="47"/>
        <v>0.70058997050147487</v>
      </c>
      <c r="CC12" s="45">
        <f t="shared" si="29"/>
        <v>0.59461347330609393</v>
      </c>
      <c r="CD12" s="45">
        <f t="shared" si="30"/>
        <v>0</v>
      </c>
      <c r="CE12" s="36">
        <f t="shared" si="31"/>
        <v>-0.23744920287589874</v>
      </c>
      <c r="CF12" s="45">
        <f t="shared" si="48"/>
        <v>0.35716427043019516</v>
      </c>
      <c r="CG12" s="45">
        <f t="shared" si="49"/>
        <v>0.35716427043019516</v>
      </c>
      <c r="CH12" s="45">
        <f t="shared" si="32"/>
        <v>0.19603517981931401</v>
      </c>
      <c r="CI12" s="51">
        <f t="shared" si="50"/>
        <v>23.363636363636363</v>
      </c>
      <c r="CJ12" s="47">
        <f t="shared" si="33"/>
        <v>1.2954434630276381</v>
      </c>
      <c r="CK12" s="45">
        <f t="shared" si="34"/>
        <v>0.70455653697236176</v>
      </c>
      <c r="CL12" s="45">
        <f t="shared" si="35"/>
        <v>0</v>
      </c>
      <c r="CM12" s="36">
        <f t="shared" si="36"/>
        <v>0.94877574808205623</v>
      </c>
      <c r="CN12" s="45">
        <f t="shared" si="51"/>
        <v>29.555555555555557</v>
      </c>
      <c r="CO12" s="45">
        <f t="shared" si="52"/>
        <v>0.36348729160972937</v>
      </c>
      <c r="CP12" s="45">
        <f t="shared" si="53"/>
        <v>0.55555555555555558</v>
      </c>
      <c r="CQ12" s="45">
        <f t="shared" si="54"/>
        <v>0.41651008392834771</v>
      </c>
      <c r="CR12" s="45">
        <f t="shared" si="37"/>
        <v>0</v>
      </c>
      <c r="CS12" s="45">
        <f t="shared" si="38"/>
        <v>1.229085340732057</v>
      </c>
      <c r="CT12" s="45">
        <f t="shared" si="39"/>
        <v>0.64772173151381907</v>
      </c>
      <c r="CU12" s="45">
        <f t="shared" si="40"/>
        <v>0</v>
      </c>
      <c r="CV12" s="45">
        <f t="shared" si="41"/>
        <v>0</v>
      </c>
      <c r="CW12" s="45">
        <f t="shared" si="42"/>
        <v>0</v>
      </c>
      <c r="CX12" s="45">
        <f t="shared" si="43"/>
        <v>0</v>
      </c>
      <c r="CY12" s="45">
        <f t="shared" si="44"/>
        <v>0</v>
      </c>
      <c r="CZ12" s="43">
        <f t="shared" si="45"/>
        <v>0.6145426703660285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7</v>
      </c>
      <c r="F13" s="130">
        <f t="shared" si="15"/>
        <v>0.5714285714285714</v>
      </c>
      <c r="G13" s="15">
        <v>1</v>
      </c>
      <c r="H13" s="16">
        <v>2</v>
      </c>
      <c r="I13" s="133">
        <f t="shared" si="16"/>
        <v>0.5</v>
      </c>
      <c r="J13" s="33">
        <v>2</v>
      </c>
      <c r="K13" s="33">
        <v>3</v>
      </c>
      <c r="L13" s="31">
        <f t="shared" si="17"/>
        <v>0.66666666666666663</v>
      </c>
      <c r="M13" s="21">
        <f t="shared" si="0"/>
        <v>5</v>
      </c>
      <c r="N13" s="16">
        <f t="shared" si="0"/>
        <v>9</v>
      </c>
      <c r="O13" s="136">
        <f t="shared" si="18"/>
        <v>0.55555555555555558</v>
      </c>
      <c r="P13" s="17">
        <f t="shared" si="19"/>
        <v>13</v>
      </c>
      <c r="Q13" s="15">
        <v>3</v>
      </c>
      <c r="R13" s="16">
        <v>5</v>
      </c>
      <c r="S13" s="17">
        <f t="shared" si="20"/>
        <v>8</v>
      </c>
      <c r="T13" s="15">
        <v>0</v>
      </c>
      <c r="U13" s="16">
        <v>1</v>
      </c>
      <c r="V13" s="16">
        <v>1</v>
      </c>
      <c r="W13" s="16">
        <v>0</v>
      </c>
      <c r="X13" s="16">
        <v>1</v>
      </c>
      <c r="Y13" s="16">
        <v>1</v>
      </c>
      <c r="Z13" s="16">
        <v>3</v>
      </c>
      <c r="AA13" s="152">
        <v>20.75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0.61111111111111116</v>
      </c>
      <c r="BI13" s="113">
        <f t="shared" si="3"/>
        <v>0.62984496124031009</v>
      </c>
      <c r="BJ13" s="114">
        <f t="shared" si="4"/>
        <v>0.24601676152184837</v>
      </c>
      <c r="BK13" s="81">
        <f t="shared" si="5"/>
        <v>0</v>
      </c>
      <c r="BL13" s="113">
        <f t="shared" si="6"/>
        <v>0</v>
      </c>
      <c r="BM13" s="115">
        <f t="shared" si="7"/>
        <v>8.8339222614840993E-2</v>
      </c>
      <c r="BN13" s="82">
        <f t="shared" si="8"/>
        <v>0</v>
      </c>
      <c r="BO13" s="81">
        <f t="shared" si="9"/>
        <v>0.2569477911646586</v>
      </c>
      <c r="BP13" s="113">
        <f t="shared" si="10"/>
        <v>0.24088855421686747</v>
      </c>
      <c r="BQ13" s="116">
        <f t="shared" si="11"/>
        <v>0.24666987951807232</v>
      </c>
      <c r="BR13" s="83">
        <f t="shared" si="12"/>
        <v>121.58490963591228</v>
      </c>
      <c r="BS13" s="84">
        <f t="shared" si="13"/>
        <v>139.59132521646725</v>
      </c>
      <c r="BT13" s="85">
        <f t="shared" si="27"/>
        <v>18.006415580554972</v>
      </c>
      <c r="BU13" s="81">
        <f t="shared" si="14"/>
        <v>0.12280701754385964</v>
      </c>
      <c r="BV13" s="85">
        <f>IFERROR((D13*2)-(E13*((homedefinitions!$K$15)*2))+(G13*3)-(H13*((homedefinitions!$L$15)*3))+(J13)-(K13*(homedefinitions!$M$15))+S13+T13+V13+W13-U13, 0)</f>
        <v>12.120000000000001</v>
      </c>
      <c r="BX13" s="26">
        <v>12</v>
      </c>
      <c r="BY13" s="25" t="s">
        <v>25</v>
      </c>
      <c r="BZ13" s="47">
        <f t="shared" si="28"/>
        <v>1</v>
      </c>
      <c r="CA13" s="39">
        <f t="shared" si="46"/>
        <v>0.21875</v>
      </c>
      <c r="CB13" s="45">
        <f t="shared" si="47"/>
        <v>0.70058997050147487</v>
      </c>
      <c r="CC13" s="45">
        <f t="shared" si="29"/>
        <v>0.29589769998644483</v>
      </c>
      <c r="CD13" s="45">
        <f t="shared" si="30"/>
        <v>3.8277511961722511E-3</v>
      </c>
      <c r="CE13" s="36">
        <f t="shared" si="31"/>
        <v>-0.11816192560175055</v>
      </c>
      <c r="CF13" s="45">
        <f t="shared" si="48"/>
        <v>0.18156352558086655</v>
      </c>
      <c r="CG13" s="45">
        <f t="shared" si="49"/>
        <v>1.1815635255808665</v>
      </c>
      <c r="CH13" s="45">
        <f t="shared" si="32"/>
        <v>1.3032155119421724</v>
      </c>
      <c r="CI13" s="51">
        <f t="shared" si="50"/>
        <v>23.363636363636363</v>
      </c>
      <c r="CJ13" s="47">
        <f t="shared" si="33"/>
        <v>0</v>
      </c>
      <c r="CK13" s="45">
        <f t="shared" si="34"/>
        <v>0.22842207634330172</v>
      </c>
      <c r="CL13" s="45">
        <f t="shared" si="35"/>
        <v>0.75846153846153841</v>
      </c>
      <c r="CM13" s="36">
        <f t="shared" si="36"/>
        <v>0.94877574808205623</v>
      </c>
      <c r="CN13" s="45">
        <f t="shared" si="51"/>
        <v>29.555555555555557</v>
      </c>
      <c r="CO13" s="45">
        <f t="shared" si="52"/>
        <v>0.36348729160972937</v>
      </c>
      <c r="CP13" s="45">
        <f t="shared" si="53"/>
        <v>0.55555555555555558</v>
      </c>
      <c r="CQ13" s="45">
        <f t="shared" si="54"/>
        <v>0.41651008392834771</v>
      </c>
      <c r="CR13" s="45">
        <f t="shared" si="37"/>
        <v>0</v>
      </c>
      <c r="CS13" s="45">
        <f t="shared" si="38"/>
        <v>0.71960991354531334</v>
      </c>
      <c r="CT13" s="45">
        <f t="shared" si="39"/>
        <v>0</v>
      </c>
      <c r="CU13" s="45">
        <f t="shared" si="40"/>
        <v>0.28999999999999998</v>
      </c>
      <c r="CV13" s="45">
        <f t="shared" si="41"/>
        <v>0</v>
      </c>
      <c r="CW13" s="45">
        <f t="shared" si="42"/>
        <v>0</v>
      </c>
      <c r="CX13" s="45">
        <f t="shared" si="43"/>
        <v>0</v>
      </c>
      <c r="CY13" s="45">
        <f t="shared" si="44"/>
        <v>0</v>
      </c>
      <c r="CZ13" s="43">
        <f t="shared" si="45"/>
        <v>1.2751449669437962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1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0.5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2.4607692307692304</v>
      </c>
      <c r="BL14" s="117">
        <f t="shared" si="6"/>
        <v>1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138.24657567087829</v>
      </c>
      <c r="BS14" s="89">
        <f t="shared" si="13"/>
        <v>261.53846153846149</v>
      </c>
      <c r="BT14" s="90">
        <f t="shared" si="27"/>
        <v>123.2918858675832</v>
      </c>
      <c r="BU14" s="86">
        <f t="shared" si="14"/>
        <v>8.771929824561403E-3</v>
      </c>
      <c r="BV14" s="90">
        <f>IFERROR((D14*2)-(E14*((homedefinitions!$K$15)*2))+(G14*3)-(H14*((homedefinitions!$L$15)*3))+(J14)-(K14*(homedefinitions!$M$15))+S14+T14+V14+W14-U14, 0)</f>
        <v>1</v>
      </c>
      <c r="BX14" s="26">
        <v>24</v>
      </c>
      <c r="BY14" s="25" t="s">
        <v>26</v>
      </c>
      <c r="BZ14" s="47">
        <f t="shared" si="28"/>
        <v>0</v>
      </c>
      <c r="CA14" s="39">
        <f t="shared" si="46"/>
        <v>0.21875</v>
      </c>
      <c r="CB14" s="45">
        <f t="shared" si="47"/>
        <v>0.70058997050147487</v>
      </c>
      <c r="CC14" s="45">
        <f t="shared" si="29"/>
        <v>0.8454219999612711</v>
      </c>
      <c r="CD14" s="45">
        <f t="shared" si="30"/>
        <v>0</v>
      </c>
      <c r="CE14" s="36">
        <f t="shared" si="31"/>
        <v>-0.33760550171928727</v>
      </c>
      <c r="CF14" s="45">
        <f t="shared" si="48"/>
        <v>0.50781649824198383</v>
      </c>
      <c r="CG14" s="45">
        <f t="shared" si="49"/>
        <v>0.50781649824198383</v>
      </c>
      <c r="CH14" s="45">
        <f t="shared" si="32"/>
        <v>0.19603517981931406</v>
      </c>
      <c r="CI14" s="51">
        <f t="shared" si="50"/>
        <v>23.363636363636363</v>
      </c>
      <c r="CJ14" s="47">
        <f t="shared" si="33"/>
        <v>0</v>
      </c>
      <c r="CK14" s="45">
        <f t="shared" si="34"/>
        <v>0.59964652415418274</v>
      </c>
      <c r="CL14" s="45">
        <f t="shared" si="35"/>
        <v>0</v>
      </c>
      <c r="CM14" s="36">
        <f t="shared" si="36"/>
        <v>0.94877574808205623</v>
      </c>
      <c r="CN14" s="45">
        <f t="shared" si="51"/>
        <v>29.555555555555557</v>
      </c>
      <c r="CO14" s="45">
        <f t="shared" si="52"/>
        <v>0.36348729160972937</v>
      </c>
      <c r="CP14" s="45">
        <f t="shared" si="53"/>
        <v>0.55555555555555558</v>
      </c>
      <c r="CQ14" s="45">
        <f t="shared" si="54"/>
        <v>0.41651008392834771</v>
      </c>
      <c r="CR14" s="45">
        <f t="shared" si="37"/>
        <v>0</v>
      </c>
      <c r="CS14" s="45">
        <f t="shared" si="38"/>
        <v>0</v>
      </c>
      <c r="CT14" s="45">
        <f t="shared" si="39"/>
        <v>0</v>
      </c>
      <c r="CU14" s="45">
        <f t="shared" si="40"/>
        <v>0</v>
      </c>
      <c r="CV14" s="45">
        <f t="shared" si="41"/>
        <v>0</v>
      </c>
      <c r="CW14" s="45">
        <f t="shared" si="42"/>
        <v>0</v>
      </c>
      <c r="CX14" s="45">
        <f t="shared" si="43"/>
        <v>0.40555555555555545</v>
      </c>
      <c r="CY14" s="45">
        <f t="shared" si="44"/>
        <v>0</v>
      </c>
      <c r="CZ14" s="43">
        <f t="shared" si="45"/>
        <v>0.40555555555555545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0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0</v>
      </c>
      <c r="R15" s="16">
        <v>0</v>
      </c>
      <c r="S15" s="17">
        <f t="shared" si="20"/>
        <v>0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52">
        <v>3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0.15031942878617061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</v>
      </c>
      <c r="BP15" s="113">
        <f t="shared" si="10"/>
        <v>0</v>
      </c>
      <c r="BQ15" s="116">
        <f t="shared" si="11"/>
        <v>0</v>
      </c>
      <c r="BR15" s="83">
        <f t="shared" si="12"/>
        <v>138.13842565635224</v>
      </c>
      <c r="BS15" s="84">
        <f t="shared" si="13"/>
        <v>0</v>
      </c>
      <c r="BT15" s="85">
        <f t="shared" si="27"/>
        <v>-138.13842565635224</v>
      </c>
      <c r="BU15" s="81">
        <f t="shared" si="14"/>
        <v>-8.771929824561403E-3</v>
      </c>
      <c r="BV15" s="85">
        <f>IFERROR((D15*2)-(E15*((homedefinitions!$K$15)*2))+(G15*3)-(H15*((homedefinitions!$L$15)*3))+(J15)-(K15*(homedefinitions!$M$15))+S15+T15+V15+W15-U15, 0)</f>
        <v>-0.84000000000000008</v>
      </c>
      <c r="BX15" s="26">
        <v>30</v>
      </c>
      <c r="BY15" s="25" t="s">
        <v>27</v>
      </c>
      <c r="BZ15" s="47">
        <f t="shared" si="28"/>
        <v>2.0336582780235988</v>
      </c>
      <c r="CA15" s="39">
        <f t="shared" si="46"/>
        <v>0.21875</v>
      </c>
      <c r="CB15" s="45">
        <f t="shared" si="47"/>
        <v>0.70058997050147487</v>
      </c>
      <c r="CC15" s="45">
        <f t="shared" si="29"/>
        <v>1.9491673887995971</v>
      </c>
      <c r="CD15" s="45">
        <f t="shared" si="30"/>
        <v>5.7416267942583775E-3</v>
      </c>
      <c r="CE15" s="36">
        <f t="shared" si="31"/>
        <v>-0.77836824007502348</v>
      </c>
      <c r="CF15" s="45">
        <f t="shared" si="48"/>
        <v>1.176540775518832</v>
      </c>
      <c r="CG15" s="45">
        <f t="shared" si="49"/>
        <v>3.2101990535424307</v>
      </c>
      <c r="CH15" s="45">
        <f t="shared" si="32"/>
        <v>0.53750632583097779</v>
      </c>
      <c r="CI15" s="51">
        <f t="shared" si="50"/>
        <v>23.363636363636363</v>
      </c>
      <c r="CJ15" s="47">
        <f t="shared" si="33"/>
        <v>8.5976851757818231</v>
      </c>
      <c r="CK15" s="45">
        <f t="shared" si="34"/>
        <v>0.71473829480871398</v>
      </c>
      <c r="CL15" s="45">
        <f t="shared" si="35"/>
        <v>0</v>
      </c>
      <c r="CM15" s="36">
        <f t="shared" si="36"/>
        <v>0.94877574808205623</v>
      </c>
      <c r="CN15" s="45">
        <f t="shared" si="51"/>
        <v>29.555555555555557</v>
      </c>
      <c r="CO15" s="45">
        <f t="shared" si="52"/>
        <v>0.36348729160972937</v>
      </c>
      <c r="CP15" s="45">
        <f t="shared" si="53"/>
        <v>0.55555555555555558</v>
      </c>
      <c r="CQ15" s="45">
        <f t="shared" si="54"/>
        <v>0.41651008392834771</v>
      </c>
      <c r="CR15" s="45">
        <f t="shared" si="37"/>
        <v>1.0142401879752876</v>
      </c>
      <c r="CS15" s="45">
        <f t="shared" si="38"/>
        <v>11.069066868565805</v>
      </c>
      <c r="CT15" s="45">
        <f t="shared" si="39"/>
        <v>3.908038716264465</v>
      </c>
      <c r="CU15" s="45">
        <f t="shared" si="40"/>
        <v>0</v>
      </c>
      <c r="CV15" s="45">
        <f t="shared" si="41"/>
        <v>1.0666666666666667</v>
      </c>
      <c r="CW15" s="45">
        <f t="shared" si="42"/>
        <v>0.45418836700576853</v>
      </c>
      <c r="CX15" s="45">
        <f t="shared" si="43"/>
        <v>1.6222222222222218</v>
      </c>
      <c r="CY15" s="45">
        <f t="shared" si="44"/>
        <v>0.13333333333333336</v>
      </c>
      <c r="CZ15" s="43">
        <f t="shared" si="45"/>
        <v>7.92962374373964</v>
      </c>
    </row>
    <row r="16" spans="2:104" ht="23.1" x14ac:dyDescent="0.85">
      <c r="B16" s="12">
        <v>34</v>
      </c>
      <c r="C16" s="12" t="s">
        <v>30</v>
      </c>
      <c r="D16" s="18">
        <v>0</v>
      </c>
      <c r="E16" s="19">
        <v>0</v>
      </c>
      <c r="F16" s="131">
        <f t="shared" si="15"/>
        <v>0</v>
      </c>
      <c r="G16" s="18">
        <v>1</v>
      </c>
      <c r="H16" s="19">
        <v>1</v>
      </c>
      <c r="I16" s="134">
        <f t="shared" si="16"/>
        <v>1</v>
      </c>
      <c r="J16" s="34">
        <v>2</v>
      </c>
      <c r="K16" s="34">
        <v>2</v>
      </c>
      <c r="L16" s="32">
        <f t="shared" si="17"/>
        <v>1</v>
      </c>
      <c r="M16" s="22">
        <f t="shared" si="0"/>
        <v>1</v>
      </c>
      <c r="N16" s="19">
        <f t="shared" si="0"/>
        <v>1</v>
      </c>
      <c r="O16" s="137">
        <f t="shared" si="18"/>
        <v>1</v>
      </c>
      <c r="P16" s="20">
        <f t="shared" si="19"/>
        <v>5</v>
      </c>
      <c r="Q16" s="18">
        <v>1</v>
      </c>
      <c r="R16" s="19">
        <v>2</v>
      </c>
      <c r="S16" s="20">
        <f t="shared" si="20"/>
        <v>3</v>
      </c>
      <c r="T16" s="18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53">
        <v>5.5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1.5</v>
      </c>
      <c r="BI16" s="117">
        <f t="shared" si="3"/>
        <v>1.3297872340425532</v>
      </c>
      <c r="BJ16" s="118">
        <f t="shared" si="4"/>
        <v>0.15414574151890947</v>
      </c>
      <c r="BK16" s="86">
        <f t="shared" si="5"/>
        <v>0</v>
      </c>
      <c r="BL16" s="117">
        <f t="shared" si="6"/>
        <v>0</v>
      </c>
      <c r="BM16" s="119">
        <f t="shared" si="7"/>
        <v>0</v>
      </c>
      <c r="BN16" s="87">
        <f t="shared" si="8"/>
        <v>0</v>
      </c>
      <c r="BO16" s="86">
        <f t="shared" si="9"/>
        <v>0.3231313131313131</v>
      </c>
      <c r="BP16" s="117">
        <f t="shared" si="10"/>
        <v>0.36352272727272728</v>
      </c>
      <c r="BQ16" s="120">
        <f t="shared" si="11"/>
        <v>0.34898181818181817</v>
      </c>
      <c r="BR16" s="88">
        <f t="shared" si="12"/>
        <v>119.78929221835604</v>
      </c>
      <c r="BS16" s="89">
        <f t="shared" si="13"/>
        <v>263.03615573347861</v>
      </c>
      <c r="BT16" s="90">
        <f t="shared" si="27"/>
        <v>143.24686351512258</v>
      </c>
      <c r="BU16" s="86">
        <f t="shared" si="14"/>
        <v>6.5789473684210523E-2</v>
      </c>
      <c r="BV16" s="90">
        <f>IFERROR((D16*2)-(E16*((homedefinitions!$K$15)*2))+(G16*3)-(H16*((homedefinitions!$L$15)*3))+(J16)-(K16*(homedefinitions!$M$15))+S16+T16+V16+W16-U16, 0)</f>
        <v>5.86</v>
      </c>
      <c r="BX16" s="26">
        <v>32</v>
      </c>
      <c r="BY16" s="25" t="s">
        <v>28</v>
      </c>
      <c r="BZ16" s="47">
        <f t="shared" si="28"/>
        <v>0</v>
      </c>
      <c r="CA16" s="39">
        <f t="shared" si="46"/>
        <v>0.21875</v>
      </c>
      <c r="CB16" s="45">
        <f t="shared" si="47"/>
        <v>0.70058997050147487</v>
      </c>
      <c r="CC16" s="45">
        <f t="shared" si="29"/>
        <v>4.696788888673728E-2</v>
      </c>
      <c r="CD16" s="45">
        <f t="shared" si="30"/>
        <v>0</v>
      </c>
      <c r="CE16" s="36">
        <f t="shared" si="31"/>
        <v>-1.8755861206627072E-2</v>
      </c>
      <c r="CF16" s="45">
        <f t="shared" si="48"/>
        <v>2.8212027680110208E-2</v>
      </c>
      <c r="CG16" s="45">
        <f t="shared" si="49"/>
        <v>2.8212027680110208E-2</v>
      </c>
      <c r="CH16" s="45">
        <f t="shared" si="32"/>
        <v>0.19603517981931404</v>
      </c>
      <c r="CI16" s="51">
        <f t="shared" si="50"/>
        <v>23.363636363636363</v>
      </c>
      <c r="CJ16" s="47">
        <f t="shared" si="33"/>
        <v>0</v>
      </c>
      <c r="CK16" s="45">
        <f t="shared" si="34"/>
        <v>-1.8448075119628731</v>
      </c>
      <c r="CL16" s="45">
        <f t="shared" si="35"/>
        <v>0.75846153846153841</v>
      </c>
      <c r="CM16" s="36">
        <f t="shared" si="36"/>
        <v>0.94877574808205623</v>
      </c>
      <c r="CN16" s="45">
        <f t="shared" si="51"/>
        <v>29.555555555555557</v>
      </c>
      <c r="CO16" s="45">
        <f t="shared" si="52"/>
        <v>0.36348729160972937</v>
      </c>
      <c r="CP16" s="45">
        <f t="shared" si="53"/>
        <v>0.55555555555555558</v>
      </c>
      <c r="CQ16" s="45">
        <f t="shared" si="54"/>
        <v>0.41651008392834771</v>
      </c>
      <c r="CR16" s="45">
        <f t="shared" si="37"/>
        <v>0</v>
      </c>
      <c r="CS16" s="45">
        <f t="shared" si="38"/>
        <v>0.71960991354531334</v>
      </c>
      <c r="CT16" s="45">
        <f t="shared" si="39"/>
        <v>0</v>
      </c>
      <c r="CU16" s="45">
        <f t="shared" si="40"/>
        <v>0.28999999999999998</v>
      </c>
      <c r="CV16" s="45">
        <f t="shared" si="41"/>
        <v>0</v>
      </c>
      <c r="CW16" s="45">
        <f t="shared" si="42"/>
        <v>0</v>
      </c>
      <c r="CX16" s="45">
        <f t="shared" si="43"/>
        <v>0</v>
      </c>
      <c r="CY16" s="45">
        <f t="shared" si="44"/>
        <v>0</v>
      </c>
      <c r="CZ16" s="43">
        <f t="shared" si="45"/>
        <v>0.27514496694379631</v>
      </c>
    </row>
    <row r="17" spans="2:104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2</v>
      </c>
      <c r="K17" s="34">
        <v>2</v>
      </c>
      <c r="L17" s="32">
        <f t="shared" si="17"/>
        <v>1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0</v>
      </c>
      <c r="S17" s="20">
        <f t="shared" si="20"/>
        <v>0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0</v>
      </c>
      <c r="Z17" s="19">
        <v>2</v>
      </c>
      <c r="AA17" s="153">
        <v>10.66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0.51546391752577325</v>
      </c>
      <c r="BJ17" s="122">
        <f t="shared" si="4"/>
        <v>0.2064424425356039</v>
      </c>
      <c r="BK17" s="95">
        <f t="shared" si="5"/>
        <v>0</v>
      </c>
      <c r="BL17" s="121">
        <f t="shared" si="6"/>
        <v>0</v>
      </c>
      <c r="BM17" s="123">
        <f t="shared" si="7"/>
        <v>0.20491803278688525</v>
      </c>
      <c r="BN17" s="96">
        <f t="shared" si="8"/>
        <v>0</v>
      </c>
      <c r="BO17" s="95">
        <f t="shared" si="9"/>
        <v>0</v>
      </c>
      <c r="BP17" s="121">
        <f t="shared" si="10"/>
        <v>0</v>
      </c>
      <c r="BQ17" s="124">
        <f t="shared" si="11"/>
        <v>0</v>
      </c>
      <c r="BR17" s="97">
        <f>IFERROR($BR$18+0.2*(100*($AR$18/CI20)*(1-CH20)-$BR$18), 0)</f>
        <v>138.18570324243962</v>
      </c>
      <c r="BS17" s="98">
        <f>IFERROR((CS20/CZ20)*100, 0)</f>
        <v>105.05855229047935</v>
      </c>
      <c r="BT17" s="99">
        <f t="shared" si="27"/>
        <v>-33.12715095196026</v>
      </c>
      <c r="BU17" s="95">
        <f t="shared" si="14"/>
        <v>8.771929824561403E-3</v>
      </c>
      <c r="BV17" s="85">
        <f>IFERROR((D17*2)-(E17*((homedefinitions!$K$15)*2))+(G17*3)-(H17*((homedefinitions!$L$15)*3))+(J17)-(K17*(homedefinitions!$M$15))+S17+T17+V17+W17-U17, 0)</f>
        <v>-0.55000000000000004</v>
      </c>
      <c r="BX17" s="55">
        <v>33</v>
      </c>
      <c r="BY17" s="58" t="s">
        <v>29</v>
      </c>
      <c r="BZ17" s="47">
        <f t="shared" si="28"/>
        <v>0</v>
      </c>
      <c r="CA17" s="39">
        <f t="shared" si="46"/>
        <v>0.21875</v>
      </c>
      <c r="CB17" s="45">
        <f t="shared" si="47"/>
        <v>0.70058997050147487</v>
      </c>
      <c r="CC17" s="45">
        <f t="shared" si="29"/>
        <v>0.28180733332042368</v>
      </c>
      <c r="CD17" s="45">
        <f t="shared" si="30"/>
        <v>1.9138755980861255E-3</v>
      </c>
      <c r="CE17" s="36">
        <f t="shared" si="31"/>
        <v>-0.11253516723976242</v>
      </c>
      <c r="CF17" s="45">
        <f t="shared" si="48"/>
        <v>0.17118604167874737</v>
      </c>
      <c r="CG17" s="45">
        <f t="shared" si="49"/>
        <v>0.17118604167874737</v>
      </c>
      <c r="CH17" s="45">
        <f t="shared" si="32"/>
        <v>0.19825165140888318</v>
      </c>
      <c r="CI17" s="51">
        <f t="shared" si="50"/>
        <v>23.363636363636363</v>
      </c>
      <c r="CJ17" s="47">
        <f t="shared" si="33"/>
        <v>0</v>
      </c>
      <c r="CK17" s="45">
        <f t="shared" si="34"/>
        <v>0.5844975593334456</v>
      </c>
      <c r="CL17" s="45">
        <f t="shared" si="35"/>
        <v>0</v>
      </c>
      <c r="CM17" s="36">
        <f t="shared" si="36"/>
        <v>0.94877574808205623</v>
      </c>
      <c r="CN17" s="45">
        <f t="shared" si="51"/>
        <v>29.555555555555557</v>
      </c>
      <c r="CO17" s="45">
        <f t="shared" si="52"/>
        <v>0.36348729160972937</v>
      </c>
      <c r="CP17" s="45">
        <f t="shared" si="53"/>
        <v>0.55555555555555558</v>
      </c>
      <c r="CQ17" s="45">
        <f t="shared" si="54"/>
        <v>0.41651008392834771</v>
      </c>
      <c r="CR17" s="45">
        <f t="shared" si="37"/>
        <v>0</v>
      </c>
      <c r="CS17" s="45">
        <f t="shared" si="38"/>
        <v>0</v>
      </c>
      <c r="CT17" s="45">
        <f t="shared" si="39"/>
        <v>0</v>
      </c>
      <c r="CU17" s="45">
        <f t="shared" si="40"/>
        <v>0</v>
      </c>
      <c r="CV17" s="45">
        <f t="shared" si="41"/>
        <v>0</v>
      </c>
      <c r="CW17" s="45">
        <f t="shared" si="42"/>
        <v>0</v>
      </c>
      <c r="CX17" s="45">
        <f t="shared" si="43"/>
        <v>0.40555555555555545</v>
      </c>
      <c r="CY17" s="45">
        <f t="shared" si="44"/>
        <v>0</v>
      </c>
      <c r="CZ17" s="43">
        <f t="shared" si="45"/>
        <v>0.40555555555555545</v>
      </c>
    </row>
    <row r="18" spans="2:104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34</v>
      </c>
      <c r="F18" s="132">
        <f t="shared" si="15"/>
        <v>0.58823529411764708</v>
      </c>
      <c r="G18" s="8">
        <f>SUM(G3:G17)</f>
        <v>6</v>
      </c>
      <c r="H18" s="6">
        <f>SUM(H3:H17)</f>
        <v>16</v>
      </c>
      <c r="I18" s="135">
        <f t="shared" si="16"/>
        <v>0.375</v>
      </c>
      <c r="J18" s="35">
        <f>SUM(J3:J17)</f>
        <v>8</v>
      </c>
      <c r="K18" s="35">
        <f>SUM(K3:K17)</f>
        <v>9</v>
      </c>
      <c r="L18" s="31">
        <f t="shared" si="17"/>
        <v>0.88888888888888884</v>
      </c>
      <c r="M18" s="30">
        <f>SUM(M3:M17)</f>
        <v>26</v>
      </c>
      <c r="N18" s="6">
        <f>SUM(N3:N17)</f>
        <v>50</v>
      </c>
      <c r="O18" s="138">
        <f t="shared" si="18"/>
        <v>0.52</v>
      </c>
      <c r="P18" s="9">
        <f>(D18*2)+(G18*3)+(J18)</f>
        <v>66</v>
      </c>
      <c r="Q18" s="8">
        <f>SUM(Q3:Q17)</f>
        <v>10</v>
      </c>
      <c r="R18" s="6">
        <f>SUM(R3:R17)</f>
        <v>25</v>
      </c>
      <c r="S18" s="9">
        <f t="shared" si="20"/>
        <v>35</v>
      </c>
      <c r="T18" s="8">
        <f t="shared" ref="T18:AA18" si="55">SUM(T3:T17)</f>
        <v>15</v>
      </c>
      <c r="U18" s="6">
        <f t="shared" si="55"/>
        <v>17</v>
      </c>
      <c r="V18" s="6">
        <f t="shared" si="55"/>
        <v>1</v>
      </c>
      <c r="W18" s="6">
        <f t="shared" si="55"/>
        <v>6</v>
      </c>
      <c r="X18" s="6">
        <f t="shared" si="55"/>
        <v>1</v>
      </c>
      <c r="Y18" s="6">
        <f t="shared" si="55"/>
        <v>5</v>
      </c>
      <c r="Z18" s="6">
        <f t="shared" si="55"/>
        <v>19</v>
      </c>
      <c r="AA18" s="154">
        <f t="shared" si="55"/>
        <v>159.94999999999999</v>
      </c>
      <c r="AD18" s="11"/>
      <c r="AE18" s="11" t="s">
        <v>43</v>
      </c>
      <c r="AF18" s="8">
        <v>10</v>
      </c>
      <c r="AG18" s="6">
        <v>28</v>
      </c>
      <c r="AH18" s="132">
        <f t="shared" si="21"/>
        <v>0.35714285714285715</v>
      </c>
      <c r="AI18" s="8">
        <v>9</v>
      </c>
      <c r="AJ18" s="6">
        <v>20</v>
      </c>
      <c r="AK18" s="135">
        <f t="shared" si="22"/>
        <v>0.45</v>
      </c>
      <c r="AL18" s="35">
        <v>10</v>
      </c>
      <c r="AM18" s="35">
        <v>11</v>
      </c>
      <c r="AN18" s="31">
        <f t="shared" si="23"/>
        <v>0.90909090909090906</v>
      </c>
      <c r="AO18" s="30">
        <v>19</v>
      </c>
      <c r="AP18" s="6">
        <v>48</v>
      </c>
      <c r="AQ18" s="138">
        <f t="shared" si="24"/>
        <v>0.39583333333333331</v>
      </c>
      <c r="AR18" s="9">
        <f>(AF18*2)+(AI18*3)+(AL18)</f>
        <v>57</v>
      </c>
      <c r="AS18" s="8">
        <v>7</v>
      </c>
      <c r="AT18" s="6">
        <v>8</v>
      </c>
      <c r="AU18" s="9">
        <f t="shared" si="26"/>
        <v>15</v>
      </c>
      <c r="AV18" s="8">
        <f t="shared" ref="AV18:BA18" si="56">SUM(AV3:AV17)</f>
        <v>0</v>
      </c>
      <c r="AW18" s="6">
        <f t="shared" si="56"/>
        <v>0</v>
      </c>
      <c r="AX18" s="6">
        <f t="shared" si="56"/>
        <v>0</v>
      </c>
      <c r="AY18" s="6">
        <f t="shared" si="56"/>
        <v>0</v>
      </c>
      <c r="AZ18" s="6">
        <f t="shared" si="56"/>
        <v>0</v>
      </c>
      <c r="BA18" s="6">
        <f t="shared" si="56"/>
        <v>0</v>
      </c>
      <c r="BB18" s="6">
        <v>18</v>
      </c>
      <c r="BC18" s="6">
        <v>160</v>
      </c>
      <c r="BF18" s="100"/>
      <c r="BG18" s="101" t="s">
        <v>43</v>
      </c>
      <c r="BH18" s="102">
        <f t="shared" si="2"/>
        <v>0.57999999999999996</v>
      </c>
      <c r="BI18" s="125">
        <f t="shared" si="3"/>
        <v>0.6115641215715345</v>
      </c>
      <c r="BJ18" s="126">
        <v>0</v>
      </c>
      <c r="BK18" s="102">
        <f>IFERROR(T18/M18, 0)</f>
        <v>0.57692307692307687</v>
      </c>
      <c r="BL18" s="125">
        <f>IFERROR(T18/(N18+(0.44*K18)+U18), 0)</f>
        <v>0.21138669673055241</v>
      </c>
      <c r="BM18" s="127">
        <f>IFERROR(U18/(N18+(0.44*K18)+U18), 0)</f>
        <v>0.23957158962795938</v>
      </c>
      <c r="BN18" s="103">
        <f t="shared" si="8"/>
        <v>0.88235294117647056</v>
      </c>
      <c r="BO18" s="105">
        <f>IFERROR(Q18/(Q18+AT18), 0)</f>
        <v>0.55555555555555558</v>
      </c>
      <c r="BP18" s="128">
        <f>IFERROR(R18/(R18+AS18), 0)</f>
        <v>0.78125</v>
      </c>
      <c r="BQ18" s="129">
        <f>IFERROR(S18/(S18+AU18), 0)</f>
        <v>0.7</v>
      </c>
      <c r="BR18" s="111">
        <f>IFERROR(($AR$18/$BD$3)*100, 0)</f>
        <v>123.77262209314162</v>
      </c>
      <c r="BS18" s="112">
        <f>IFERROR(($P$18/$AB$3)*100, 0)</f>
        <v>116.41580432737537</v>
      </c>
      <c r="BT18" s="104">
        <f t="shared" si="27"/>
        <v>-7.3568177657662517</v>
      </c>
      <c r="BU18" s="102">
        <f>IFERROR(SUM(BU3:BU17), 0)</f>
        <v>0.6622807017543858</v>
      </c>
      <c r="BV18" s="85">
        <f>IFERROR((D18*2)-(E18*((homedefinitions!$K$15)*2))+(G18*3)-(H18*((homedefinitions!$L$15)*3))+(J18)-(K18*(homedefinitions!$M$15))+S18+T18+V18+W18-U18, 0)</f>
        <v>61.209999999999994</v>
      </c>
      <c r="BX18" s="55">
        <v>34</v>
      </c>
      <c r="BY18" s="58" t="s">
        <v>30</v>
      </c>
      <c r="BZ18" s="47">
        <f t="shared" si="28"/>
        <v>0.59882005899705026</v>
      </c>
      <c r="CA18" s="39">
        <f t="shared" si="46"/>
        <v>0.21875</v>
      </c>
      <c r="CB18" s="45">
        <f t="shared" si="47"/>
        <v>0.70058997050147487</v>
      </c>
      <c r="CC18" s="45">
        <f t="shared" si="29"/>
        <v>0.51664677775411005</v>
      </c>
      <c r="CD18" s="45">
        <f t="shared" si="30"/>
        <v>0</v>
      </c>
      <c r="CE18" s="36">
        <f t="shared" si="31"/>
        <v>-0.20631447327289779</v>
      </c>
      <c r="CF18" s="45">
        <f t="shared" si="48"/>
        <v>0.3103323044812123</v>
      </c>
      <c r="CG18" s="45">
        <f t="shared" si="49"/>
        <v>0.90915236347826256</v>
      </c>
      <c r="CH18" s="45">
        <f t="shared" si="32"/>
        <v>0.57430645950816717</v>
      </c>
      <c r="CI18" s="51">
        <f t="shared" si="50"/>
        <v>23.363636363636363</v>
      </c>
      <c r="CJ18" s="47">
        <f t="shared" si="33"/>
        <v>1.3609219394277645</v>
      </c>
      <c r="CK18" s="45">
        <f t="shared" si="34"/>
        <v>0.72847913803210462</v>
      </c>
      <c r="CL18" s="45">
        <f t="shared" si="35"/>
        <v>0</v>
      </c>
      <c r="CM18" s="36">
        <f t="shared" si="36"/>
        <v>0.94877574808205623</v>
      </c>
      <c r="CN18" s="45">
        <f t="shared" si="51"/>
        <v>29.555555555555557</v>
      </c>
      <c r="CO18" s="45">
        <f t="shared" si="52"/>
        <v>0.36348729160972937</v>
      </c>
      <c r="CP18" s="45">
        <f t="shared" si="53"/>
        <v>0.55555555555555558</v>
      </c>
      <c r="CQ18" s="45">
        <f t="shared" si="54"/>
        <v>0.41651008392834771</v>
      </c>
      <c r="CR18" s="45">
        <f t="shared" si="37"/>
        <v>0.33808006265842916</v>
      </c>
      <c r="CS18" s="45">
        <f t="shared" si="38"/>
        <v>3.5268412899844015</v>
      </c>
      <c r="CT18" s="45">
        <f t="shared" si="39"/>
        <v>0.45364064647592151</v>
      </c>
      <c r="CU18" s="45">
        <f t="shared" si="40"/>
        <v>0</v>
      </c>
      <c r="CV18" s="45">
        <f t="shared" si="41"/>
        <v>0.8</v>
      </c>
      <c r="CW18" s="45">
        <f t="shared" si="42"/>
        <v>0.15139612233525618</v>
      </c>
      <c r="CX18" s="45">
        <f t="shared" si="43"/>
        <v>0</v>
      </c>
      <c r="CY18" s="45">
        <f t="shared" si="44"/>
        <v>0</v>
      </c>
      <c r="CZ18" s="43">
        <f t="shared" si="45"/>
        <v>1.3408199645215213</v>
      </c>
    </row>
    <row r="19" spans="2:104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6"/>
        <v>0.21875</v>
      </c>
      <c r="CB19" s="45">
        <f t="shared" si="47"/>
        <v>0.70058997050147487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8"/>
        <v>0</v>
      </c>
      <c r="CG19" s="45">
        <f t="shared" si="49"/>
        <v>0</v>
      </c>
      <c r="CH19" s="45">
        <f>IFERROR(CG19/($BD$3*(#REF!/$BC$18)),0)</f>
        <v>0</v>
      </c>
      <c r="CI19" s="51">
        <f t="shared" si="50"/>
        <v>23.363636363636363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6"/>
        <v>0.94877574808205623</v>
      </c>
      <c r="CN19" s="45">
        <f t="shared" si="51"/>
        <v>29.555555555555557</v>
      </c>
      <c r="CO19" s="45">
        <f t="shared" si="52"/>
        <v>0.36348729160972937</v>
      </c>
      <c r="CP19" s="45">
        <f t="shared" si="53"/>
        <v>0.55555555555555558</v>
      </c>
      <c r="CQ19" s="45">
        <f t="shared" si="54"/>
        <v>0.41651008392834771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</row>
    <row r="20" spans="2:104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6"/>
        <v>0.21875</v>
      </c>
      <c r="CB20" s="46">
        <f t="shared" si="47"/>
        <v>0.70058997050147487</v>
      </c>
      <c r="CC20" s="46">
        <f>IFERROR(((($AP$18-$AO$18-$V$18)*CB20*(1-1.07*CA20))/$AA$18)*AA17, 0)</f>
        <v>1.0013553910652389</v>
      </c>
      <c r="CD20" s="46">
        <f>IFERROR((Z17/$Z$18)*0.4*$AM$18*((1-$AN$18)^2), 0)</f>
        <v>3.8277511961722511E-3</v>
      </c>
      <c r="CE20" s="42">
        <f>IFERROR((($AW$18-$W$18)/$AA$18)*AA17, 0)</f>
        <v>-0.39987496092528918</v>
      </c>
      <c r="CF20" s="46">
        <f t="shared" si="48"/>
        <v>0.60530818133612196</v>
      </c>
      <c r="CG20" s="46">
        <f t="shared" si="49"/>
        <v>0.60530818133612196</v>
      </c>
      <c r="CH20" s="46">
        <f>IFERROR(CG20/($BD$3*(AA17/$BC$18)),0)</f>
        <v>0.19728272480406214</v>
      </c>
      <c r="CI20" s="52">
        <f t="shared" si="50"/>
        <v>23.363636363636363</v>
      </c>
      <c r="CJ20" s="48">
        <f>IFERROR(2*(M17+0.5*G17)*(1-(0.5*((P17-J17)/(2*N17)))*CK20), 0)</f>
        <v>1.7819898201301665</v>
      </c>
      <c r="CK20" s="46">
        <f>IFERROR(((5*AA17/$AA$18)*1.14*(($T$18-T17)/$M$18))+((1-(5*AA17/$AA$18))*(((($T$18/$AA$18)*AA17*5)-T17)/((($M$18/$AA$18)*AA17*5)-M17))), 0)</f>
        <v>0.65403053960950053</v>
      </c>
      <c r="CL20" s="46">
        <f>IFERROR(2*((($M$18)+0.5*($H$18-G17))/($M$18-M17))*0.5*((($P$18-$J$18)-(P17-J17))/(2*($N$18-N17)))*T17, 0)</f>
        <v>0</v>
      </c>
      <c r="CM20" s="42">
        <f t="shared" si="36"/>
        <v>0.94877574808205623</v>
      </c>
      <c r="CN20" s="46">
        <f t="shared" si="51"/>
        <v>29.555555555555557</v>
      </c>
      <c r="CO20" s="46">
        <f t="shared" si="52"/>
        <v>0.36348729160972937</v>
      </c>
      <c r="CP20" s="46">
        <f t="shared" si="53"/>
        <v>0.55555555555555558</v>
      </c>
      <c r="CQ20" s="46">
        <f t="shared" si="54"/>
        <v>0.41651008392834771</v>
      </c>
      <c r="CR20" s="46">
        <f>IFERROR(Q17*CO20*CQ20*($P$18/($M$18+(1-(1-($J$18/$K$18))^2)*0.4*$K$18)), 0)</f>
        <v>0</v>
      </c>
      <c r="CS20" s="46">
        <f>IFERROR((CJ20+CL20+J17)*CM20+CR20, 0)</f>
        <v>3.5882602208327201</v>
      </c>
      <c r="CT20" s="46">
        <f>IFERROR(M17*(1-(0.5*((P17-J17)/(2*N17)))*CK20), 0)</f>
        <v>0.89099491006508325</v>
      </c>
      <c r="CU20" s="46">
        <f>IFERROR(0.5*((($P$18-$J$18)-(P17-J17))/(2*($N$18-N17)))*T17, 0)</f>
        <v>0</v>
      </c>
      <c r="CV20" s="46">
        <f>IFERROR((1-(1-(J17/K17))^2)*0.4*K17, 0)</f>
        <v>0.8</v>
      </c>
      <c r="CW20" s="46">
        <f>IFERROR(Q17*CO20*CQ20, 0)</f>
        <v>0</v>
      </c>
      <c r="CX20" s="46">
        <f>IFERROR((N17-M17)*(1-(1.07*CP20)), 0)</f>
        <v>0.81111111111111089</v>
      </c>
      <c r="CY20" s="46">
        <f>IFERROR(((1-(J17/K17))^2)*0.4*K17, 0)</f>
        <v>0</v>
      </c>
      <c r="CZ20" s="44">
        <f>IFERROR(((CT20+CU20+CV20)*CM20)+CW20+CX20+CY20+U17, 0)</f>
        <v>3.4154860719110598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4A232546AEF94092C06361CBAE13A3" ma:contentTypeVersion="7" ma:contentTypeDescription="Create a new document." ma:contentTypeScope="" ma:versionID="89565fd382af429bd6ac9598e7bd1991">
  <xsd:schema xmlns:xsd="http://www.w3.org/2001/XMLSchema" xmlns:xs="http://www.w3.org/2001/XMLSchema" xmlns:p="http://schemas.microsoft.com/office/2006/metadata/properties" xmlns:ns3="009cf74e-d7fa-4307-95ed-f4ee0bf18ab8" xmlns:ns4="e4e83fe6-34f6-4fa4-bce1-18512f419e66" targetNamespace="http://schemas.microsoft.com/office/2006/metadata/properties" ma:root="true" ma:fieldsID="026f4128003650d2215a8b0f317dc705" ns3:_="" ns4:_="">
    <xsd:import namespace="009cf74e-d7fa-4307-95ed-f4ee0bf18ab8"/>
    <xsd:import namespace="e4e83fe6-34f6-4fa4-bce1-18512f419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cf74e-d7fa-4307-95ed-f4ee0bf18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83fe6-34f6-4fa4-bce1-18512f419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J U H A A B Q S w M E F A A C A A g A A n + 9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n +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/ v V j O b s Z x j w Q A A G 8 e A A A T A B w A R m 9 y b X V s Y X M v U 2 V j d G l v b j E u b S C i G A A o o B Q A A A A A A A A A A A A A A A A A A A A A A A A A A A D t m N t u K j c U h u 8 j 5 R 2 s Q U i g 0 h Q Y D j O t c k E I J K j K D o L Z 7 U W I L A M G R h g b j U 0 U h P L u 9 X B I g e V V q Q d t d U v k J t I / P q x v e d n + j e Y j E y t J + r v / p V + u r 6 6 v 9 I w l f E w a v 7 V 6 j Y d W n 9 w S w c 3 1 F b F / f b V K R t w q r f c R F z e / q 2 Q + V G q e a 8 e C 3 z S V N F w a n f O a P w + + a p 7 o w U g J v h g 8 S 3 6 f x G 9 8 c M / 1 3 K j l 4 P G x T + 6 Y n n M z Z E I M G p K J t Y l H e t B N m A 1 k x L c t n u 7 u S H O 1 W A l m b G d y + E b 6 h h l 9 8 y 7 0 u 5 c v E L k S o k B M s u L 5 w i 7 I Q + C 0 P + P c 2 G B 3 U W 9 e O o Y v b r 3 D Z 6 / w a y z H t 9 6 2 l f f 6 8 X L P D H v d j 5 H x u o l a K G P z 8 M j Z 2 L J 4 d q C I D S 3 n / s t e z 5 1 O V y A v + + 8 N I f o j J l i i b 9 P o X v O f Q z d n T E 7 t y N F 6 y f 8 c N k q Y 1 B O V L J p K r B Y y / a h z j j g K m 4 1 n 0 + N Z a N u E M L n + K J C N t + t V P s i G v 5 u t X v 5 x a d x t K 2 6 5 e i 7 7 6 A h 1 t x y c y + 3 I 3 b B U R P T S u R 4 p w w T S 2 E d 0 h K 8 E A H t 8 q F Z y r J H 2 C G U J Y O 7 1 E F k a B L Y M Y P d 6 G d E R 3 j L C W w a 8 e 7 2 G 6 A h v G f A + L 5 f u p n 7 R W Y Y U I f U R U h + Q p q V I s d Y I p w 8 4 2 x F F c u g j a + q D N d 0 W J E V S X k F A K 0 j o F R D O o S Q p A l X B d G R R K 8 i i V h D g C l L E V a S I q w h x F S G u I g t Q x Q 4 l h L e K 8 F Y R 3 m o A K r M / U 8 r E c k q y t u 2 Y f N V s y t 2 d a w h 8 D c A 3 t I 6 1 2 Y 4 X r R K p 3 r Y H t 7 M v k o g a k o g a d n q R L r e X n D Q 2 e m w q J C c 1 U A N d w d Y 8 I T 2 W 5 g U Z r Y 4 k o w 6 S 0 V k s 7 c 2 9 T U Z r M o l H M Z e j N d L 5 J B s f + e u r W D p v z W O j k v H e N L F n k Z I W 3 / v u 7 M p J + D s T 4 Q H T c k z 4 H / k W 1 7 z f x r 3 s 7 8 n z E j g y N R f 3 c n E v F / d y c S 8 X 9 3 J x L 9 + r e z n S k W z U k b K o 1 8 A y 7 z 8 g O a g j + 6 C O 7 I M A o Q + Q f R A g + y B A g A M E O E C A A 2 Q f B N g V j f A G C G + I 8 I Y I b 4 j w h g h v i P C G C G + I 8 I Y I b 4 j w h g h v q Y h Z k y J C X C o i y K X i P 7 P k D 2 z B N f m B N O z h k R 5 J T l u + s 4 5 N t R j G k u c 2 p 0 a + 8 P l D 3 k f + 7 7 v b 3 R z f x s 9 m b K w d a W q V m 7 T Z 0 R k E r u 4 H q D T O p S x s A 6 2 H 7 Q e d R B Y a A + h d 2 x G Y s R 2 5 5 g Q 1 n c 4 J C j p L Q S 1 H X W C 1 J p N z 6 Z 4 D y e m S Q b D R 8 7 l y J + b n U t 9 A u z 2 b O m K g Y M e 1 B b g y n g D Q l 9 W C q A n p K o 3 c L 9 B u Z i h y U d H P T f x 5 2 q c r D n Z w m n 7 4 t M j S E q i D t D u s h L Q 7 W F P b H S y p N Z g l h + u 0 3 W G y I j s A f D D Z + c H J t K 1 Y A J W l 8 A E R d S l 8 P d g S o v D t k K 4 g f D n s 3 C 1 8 O d g A Y L E + U / h k s B V F 4 Q r a o q J l e O L O p t Q H X G l g P t y 1 Q l P 4 X H j q U v h W O K o w 6 m O 2 E t B k K H x H 7 K v M h 6 a C t x / A x o / 6 Q N p 6 S g L k h r W I T j E 1 X g r m 2 a 3 b D j / B L W 1 X m 1 h n C M e 3 e X V / s G u O 9 u g Z s P X t B A 7 1 C z c O t d t p A a n V + 7 d W r y P H 8 V s 8 X j F B T g w r a T I x 2 v 6 I p K Q G S 3 b x g R c f + H / w g c c f K i d V + l c O 8 Q 9 Q S w E C L Q A U A A I A C A A C f 7 1 Y P s r c 6 K Q A A A D 2 A A A A E g A A A A A A A A A A A A A A A A A A A A A A Q 2 9 u Z m l n L 1 B h Y 2 t h Z 2 U u e G 1 s U E s B A i 0 A F A A C A A g A A n + 9 W A / K 6 a u k A A A A 6 Q A A A B M A A A A A A A A A A A A A A A A A 8 A A A A F t D b 2 5 0 Z W 5 0 X 1 R 5 c G V z X S 5 4 b W x Q S w E C L Q A U A A I A C A A C f 7 1 Y z m 7 G c Y 8 E A A B v H g A A E w A A A A A A A A A A A A A A A A D h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s g A A A A A A A G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k V S Q U d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W Z m M j A z L T J j M G E t N D N l Y S 0 5 N G N i L T M x O T l i Z W M w M D Z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h I U y Z x d W 9 0 O y w m c X V v d D t D b 2 x 1 b W 4 y J n F 1 b 3 Q 7 L C Z x d W 9 0 O z I t c H Q m c X V v d D s s J n F 1 b 3 Q 7 Q 2 9 s d W 1 u N C Z x d W 9 0 O y w m c X V v d D t D b 2 x 1 b W 4 1 J n F 1 b 3 Q 7 L C Z x d W 9 0 O z M t c H Q m c X V v d D s s J n F 1 b 3 Q 7 Q 2 9 s d W 1 u N y Z x d W 9 0 O y w m c X V v d D t D b 2 x 1 b W 4 4 J n F 1 b 3 Q 7 L C Z x d W 9 0 O 0 Z U J n F 1 b 3 Q 7 L C Z x d W 9 0 O 0 N v b H V t b j E w J n F 1 b 3 Q 7 L C Z x d W 9 0 O 0 N v b H V t b j E x J n F 1 b 3 Q 7 L C Z x d W 9 0 O 1 R v d G F s J n F 1 b 3 Q 7 L C Z x d W 9 0 O 0 N v b H V t b j E z J n F 1 b 3 Q 7 L C Z x d W 9 0 O 0 N v b H V t b j E 0 J n F 1 b 3 Q 7 L C Z x d W 9 0 O 0 N v b H V t b j E 1 J n F 1 b 3 Q 7 L C Z x d W 9 0 O 1 J l Y m 9 1 b m R z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9 w c C Z x d W 9 0 O y w m c X V v d D t D b 2 x 1 b W 4 z M C Z x d W 9 0 O y w m c X V v d D s y L X B 0 X z E m c X V v d D s s J n F 1 b 3 Q 7 Q 2 9 s d W 1 u M z I m c X V v d D s s J n F 1 b 3 Q 7 Q 2 9 s d W 1 u M z M m c X V v d D s s J n F 1 b 3 Q 7 M y 1 w d F 8 y J n F 1 b 3 Q 7 L C Z x d W 9 0 O 0 N v b H V t b j M 1 J n F 1 b 3 Q 7 L C Z x d W 9 0 O 0 N v b H V t b j M 2 J n F 1 b 3 Q 7 L C Z x d W 9 0 O 0 Z U X z M m c X V v d D s s J n F 1 b 3 Q 7 Q 2 9 s d W 1 u M z g m c X V v d D s s J n F 1 b 3 Q 7 Q 2 9 s d W 1 u M z k m c X V v d D s s J n F 1 b 3 Q 7 V G 9 0 Y W x f N C Z x d W 9 0 O y w m c X V v d D t D b 2 x 1 b W 4 0 M S Z x d W 9 0 O y w m c X V v d D t D b 2 x 1 b W 4 0 M i Z x d W 9 0 O y w m c X V v d D t D b 2 x 1 b W 4 0 M y Z x d W 9 0 O y w m c X V v d D t S Z W J v d W 5 k c 1 8 1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1 N o b 2 9 0 a W 5 n I C U g Y W 5 k I F V z Y W d l J n F 1 b 3 Q 7 L C Z x d W 9 0 O 0 N v b H V t b j Y w J n F 1 b 3 Q 7 L C Z x d W 9 0 O 0 N v b H V t b j Y x J n F 1 b 3 Q 7 L C Z x d W 9 0 O 0 F z c 2 l z d C B h b m Q g V H V y b m 9 2 Z X J z J n F 1 b 3 Q 7 L C Z x d W 9 0 O 0 N v b H V t b j Y z J n F 1 b 3 Q 7 L C Z x d W 9 0 O 0 N v b H V t b j Y 0 J n F 1 b 3 Q 7 L C Z x d W 9 0 O 0 N v b H V t b j Y 1 J n F 1 b 3 Q 7 L C Z x d W 9 0 O 1 J l Y m 9 1 b m Q g U G V y Y 2 V u d G F n Z X M m c X V v d D s s J n F 1 b 3 Q 7 Q 2 9 s d W 1 u N j c m c X V v d D s s J n F 1 b 3 Q 7 Q 2 9 s d W 1 u N j g m c X V v d D s s J n F 1 b 3 Q 7 U G x h e W V y I F J h d G l u Z 3 M m c X V v d D s s J n F 1 b 3 Q 7 Q 2 9 s d W 1 u N z A m c X V v d D s s J n F 1 b 3 Q 7 Q 2 9 s d W 1 u N z E m c X V v d D s s J n F 1 b 3 Q 7 S W 1 w Y W N 0 I G F u Z C B F Z m Z p Y 2 l l b m N 5 J n F 1 b 3 Q 7 L C Z x d W 9 0 O 0 N v b H V t b j c z J n F 1 b 3 Q 7 X S I g L z 4 8 R W 5 0 c n k g V H l w Z T 0 i R m l s b E N v b H V t b l R 5 c G V z I i B W Y W x 1 Z T 0 i c 0 F B W U F B Q U F B Q U F B Q U F B Q U F B Q U F B Q U F B Q U F B Q U F B Q U F B Q U F B Q U F B Q U d B Q U F B Q U F B Q U F B Q U F B Q U F B Q U F B Q U F B Q U F B Q U F B Q U F B Q U F B Q U F C Z 0 F B Q U F B Q U F B Q U F B Q U F B Q U F B Q U F B P T 0 i I C 8 + P E V u d H J 5 I F R 5 c G U 9 I k Z p b G x M Y X N 0 V X B k Y X R l Z C I g V m F s d W U 9 I m Q y M D I 0 L T A 1 L T I 3 V D E 4 O j A 4 O j U 0 L j Y 0 N z Q y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Q 2 9 s d W 1 u Q 2 9 1 b n Q m c X V v d D s 6 N z M s J n F 1 b 3 Q 7 S 2 V 5 Q 2 9 s d W 1 u T m F t Z X M m c X V v d D s 6 W 1 0 s J n F 1 b 3 Q 7 Q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F W R V J B R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V T L 0 F W R V J B R 0 V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N 2 Q z M W J l L W U 0 N z M t N G Y 3 N S 1 h M j c 5 L T Q 2 M z M 1 N j F l Y j U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h I U y Z x d W 9 0 O y w m c X V v d D s y L X B 0 J n F 1 b 3 Q 7 L C Z x d W 9 0 O 0 N v b H V t b j Q m c X V v d D s s J n F 1 b 3 Q 7 Q 2 9 s d W 1 u N S Z x d W 9 0 O y w m c X V v d D s z L X B 0 J n F 1 b 3 Q 7 L C Z x d W 9 0 O 0 N v b H V t b j c m c X V v d D s s J n F 1 b 3 Q 7 Q 2 9 s d W 1 u O C Z x d W 9 0 O y w m c X V v d D t G V C Z x d W 9 0 O y w m c X V v d D t D b 2 x 1 b W 4 x M C Z x d W 9 0 O y w m c X V v d D t D b 2 x 1 b W 4 x M S Z x d W 9 0 O y w m c X V v d D t U b 3 R h b C Z x d W 9 0 O y w m c X V v d D t D b 2 x 1 b W 4 x M y Z x d W 9 0 O y w m c X V v d D t D b 2 x 1 b W 4 x N C Z x d W 9 0 O y w m c X V v d D t D b 2 x 1 b W 4 x N S Z x d W 9 0 O y w m c X V v d D t S Z W J v d W 5 k c y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P c H A m c X V v d D s s J n F 1 b 3 Q 7 Q 2 9 s d W 1 u M z A m c X V v d D s s J n F 1 b 3 Q 7 M i 1 w d F 8 x J n F 1 b 3 Q 7 L C Z x d W 9 0 O 0 N v b H V t b j M y J n F 1 b 3 Q 7 L C Z x d W 9 0 O 0 N v b H V t b j M z J n F 1 b 3 Q 7 L C Z x d W 9 0 O z M t c H R f M i Z x d W 9 0 O y w m c X V v d D t D b 2 x 1 b W 4 z N S Z x d W 9 0 O y w m c X V v d D t D b 2 x 1 b W 4 z N i Z x d W 9 0 O y w m c X V v d D t G V F 8 z J n F 1 b 3 Q 7 L C Z x d W 9 0 O 0 N v b H V t b j M 4 J n F 1 b 3 Q 7 L C Z x d W 9 0 O 0 N v b H V t b j M 5 J n F 1 b 3 Q 7 L C Z x d W 9 0 O 1 R v d G F s X z Q m c X V v d D s s J n F 1 b 3 Q 7 Q 2 9 s d W 1 u N D E m c X V v d D s s J n F 1 b 3 Q 7 Q 2 9 s d W 1 u N D I m c X V v d D s s J n F 1 b 3 Q 7 Q 2 9 s d W 1 u N D M m c X V v d D s s J n F 1 b 3 Q 7 U m V i b 3 V u Z H N f N S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T a G 9 v d G l u Z y A l I G F u Z C B V c 2 F n Z S Z x d W 9 0 O y w m c X V v d D t D b 2 x 1 b W 4 2 M C Z x d W 9 0 O y w m c X V v d D t D b 2 x 1 b W 4 2 M S Z x d W 9 0 O y w m c X V v d D t B c 3 N p c 3 Q g Y W 5 k I F R 1 c m 5 v d m V y c y Z x d W 9 0 O y w m c X V v d D t D b 2 x 1 b W 4 2 M y Z x d W 9 0 O y w m c X V v d D t D b 2 x 1 b W 4 2 N C Z x d W 9 0 O y w m c X V v d D t D b 2 x 1 b W 4 2 N S Z x d W 9 0 O y w m c X V v d D t S Z W J v d W 5 k I F B l c m N l b n R h Z 2 V z J n F 1 b 3 Q 7 L C Z x d W 9 0 O 0 N v b H V t b j Y 3 J n F 1 b 3 Q 7 L C Z x d W 9 0 O 0 N v b H V t b j Y 4 J n F 1 b 3 Q 7 L C Z x d W 9 0 O 1 B s Y X l l c i B S Y X R p b m d z J n F 1 b 3 Q 7 L C Z x d W 9 0 O 0 N v b H V t b j c w J n F 1 b 3 Q 7 L C Z x d W 9 0 O 0 N v b H V t b j c x J n F 1 b 3 Q 7 L C Z x d W 9 0 O 0 l t c G F j d C B h b m Q g R W Z m a W N p Z W 5 j e S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t d I i A v P j x F b n R y e S B U e X B l P S J G a W x s Q 2 9 s d W 1 u V H l w Z X M i I F Z h b H V l P S J z Q U F Z Q U F B Q U F B Q U F B Q U F B Q U F B Q U F B Q U F B Q U F B Q U F B Q U F B Q U F B Q U F B R 0 F B Q U F B Q U F B Q U F B Q U F B Q U F B Q U F B Q U F B Q U F B Q U F B Q U F B Q U F B Q U J n Q U F B Q U F B Q U F B Q U F B Q U F B Q U F B Q U F B Q U J n Q U F B Q U F B Q U F B Q U F B Q U F B Q U F B Q U F B Q U F B Q U F B Q U F B Q U F B Q U F B P T 0 i I C 8 + P E V u d H J 5 I F R 5 c G U 9 I k Z p b G x M Y X N 0 V X B k Y X R l Z C I g V m F s d W U 9 I m Q y M D I 0 L T A 1 L T I 3 V D E 4 O j A 4 O j U 0 L j Y 1 O D c 5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I E 9 w c G 9 u Z W 5 0 L 0 N o Y W 5 n Z W Q g V H l w Z S 5 7 Q 2 9 s d W 1 u M S w w f S Z x d W 9 0 O y w m c X V v d D t T Z W N 0 a W 9 u M S 9 2 c y B P c H B v b m V u d C 9 D a G F u Z 2 V k I F R 5 c G U u e 0 h I U y w x f S Z x d W 9 0 O y w m c X V v d D t T Z W N 0 a W 9 u M S 9 2 c y B P c H B v b m V u d C 9 D a G F u Z 2 V k I F R 5 c G U u e z I t c H Q s M n 0 m c X V v d D s s J n F 1 b 3 Q 7 U 2 V j d G l v b j E v d n M g T 3 B w b 2 5 l b n Q v Q 2 h h b m d l Z C B U e X B l L n t D b 2 x 1 b W 4 0 L D N 9 J n F 1 b 3 Q 7 L C Z x d W 9 0 O 1 N l Y 3 R p b 2 4 x L 3 Z z I E 9 w c G 9 u Z W 5 0 L 0 N o Y W 5 n Z W Q g V H l w Z S 5 7 Q 2 9 s d W 1 u N S w 0 f S Z x d W 9 0 O y w m c X V v d D t T Z W N 0 a W 9 u M S 9 2 c y B P c H B v b m V u d C 9 D a G F u Z 2 V k I F R 5 c G U u e z M t c H Q s N X 0 m c X V v d D s s J n F 1 b 3 Q 7 U 2 V j d G l v b j E v d n M g T 3 B w b 2 5 l b n Q v Q 2 h h b m d l Z C B U e X B l L n t D b 2 x 1 b W 4 3 L D Z 9 J n F 1 b 3 Q 7 L C Z x d W 9 0 O 1 N l Y 3 R p b 2 4 x L 3 Z z I E 9 w c G 9 u Z W 5 0 L 0 N o Y W 5 n Z W Q g V H l w Z S 5 7 Q 2 9 s d W 1 u O C w 3 f S Z x d W 9 0 O y w m c X V v d D t T Z W N 0 a W 9 u M S 9 2 c y B P c H B v b m V u d C 9 D a G F u Z 2 V k I F R 5 c G U u e 0 Z U L D h 9 J n F 1 b 3 Q 7 L C Z x d W 9 0 O 1 N l Y 3 R p b 2 4 x L 3 Z z I E 9 w c G 9 u Z W 5 0 L 0 N o Y W 5 n Z W Q g V H l w Z S 5 7 Q 2 9 s d W 1 u M T A s O X 0 m c X V v d D s s J n F 1 b 3 Q 7 U 2 V j d G l v b j E v d n M g T 3 B w b 2 5 l b n Q v Q 2 h h b m d l Z C B U e X B l L n t D b 2 x 1 b W 4 x M S w x M H 0 m c X V v d D s s J n F 1 b 3 Q 7 U 2 V j d G l v b j E v d n M g T 3 B w b 2 5 l b n Q v Q 2 h h b m d l Z C B U e X B l L n t U b 3 R h b C w x M X 0 m c X V v d D s s J n F 1 b 3 Q 7 U 2 V j d G l v b j E v d n M g T 3 B w b 2 5 l b n Q v Q 2 h h b m d l Z C B U e X B l L n t D b 2 x 1 b W 4 x M y w x M n 0 m c X V v d D s s J n F 1 b 3 Q 7 U 2 V j d G l v b j E v d n M g T 3 B w b 2 5 l b n Q v Q 2 h h b m d l Z C B U e X B l L n t D b 2 x 1 b W 4 x N C w x M 3 0 m c X V v d D s s J n F 1 b 3 Q 7 U 2 V j d G l v b j E v d n M g T 3 B w b 2 5 l b n Q v Q 2 h h b m d l Z C B U e X B l L n t D b 2 x 1 b W 4 x N S w x N H 0 m c X V v d D s s J n F 1 b 3 Q 7 U 2 V j d G l v b j E v d n M g T 3 B w b 2 5 l b n Q v Q 2 h h b m d l Z C B U e X B l L n t S Z W J v d W 5 k c y w x N X 0 m c X V v d D s s J n F 1 b 3 Q 7 U 2 V j d G l v b j E v d n M g T 3 B w b 2 5 l b n Q v Q 2 h h b m d l Z C B U e X B l L n t D b 2 x 1 b W 4 x N y w x N n 0 m c X V v d D s s J n F 1 b 3 Q 7 U 2 V j d G l v b j E v d n M g T 3 B w b 2 5 l b n Q v Q 2 h h b m d l Z C B U e X B l L n t D b 2 x 1 b W 4 x O C w x N 3 0 m c X V v d D s s J n F 1 b 3 Q 7 U 2 V j d G l v b j E v d n M g T 3 B w b 2 5 l b n Q v Q 2 h h b m d l Z C B U e X B l L n t D b 2 x 1 b W 4 x O S w x O H 0 m c X V v d D s s J n F 1 b 3 Q 7 U 2 V j d G l v b j E v d n M g T 3 B w b 2 5 l b n Q v Q 2 h h b m d l Z C B U e X B l L n t D b 2 x 1 b W 4 y M C w x O X 0 m c X V v d D s s J n F 1 b 3 Q 7 U 2 V j d G l v b j E v d n M g T 3 B w b 2 5 l b n Q v Q 2 h h b m d l Z C B U e X B l L n t D b 2 x 1 b W 4 y M S w y M H 0 m c X V v d D s s J n F 1 b 3 Q 7 U 2 V j d G l v b j E v d n M g T 3 B w b 2 5 l b n Q v Q 2 h h b m d l Z C B U e X B l L n t D b 2 x 1 b W 4 y M i w y M X 0 m c X V v d D s s J n F 1 b 3 Q 7 U 2 V j d G l v b j E v d n M g T 3 B w b 2 5 l b n Q v Q 2 h h b m d l Z C B U e X B l L n t D b 2 x 1 b W 4 y M y w y M n 0 m c X V v d D s s J n F 1 b 3 Q 7 U 2 V j d G l v b j E v d n M g T 3 B w b 2 5 l b n Q v Q 2 h h b m d l Z C B U e X B l L n t D b 2 x 1 b W 4 y N C w y M 3 0 m c X V v d D s s J n F 1 b 3 Q 7 U 2 V j d G l v b j E v d n M g T 3 B w b 2 5 l b n Q v Q 2 h h b m d l Z C B U e X B l L n t D b 2 x 1 b W 4 y N S w y N H 0 m c X V v d D s s J n F 1 b 3 Q 7 U 2 V j d G l v b j E v d n M g T 3 B w b 2 5 l b n Q v Q 2 h h b m d l Z C B U e X B l L n t D b 2 x 1 b W 4 y N i w y N X 0 m c X V v d D s s J n F 1 b 3 Q 7 U 2 V j d G l v b j E v d n M g T 3 B w b 2 5 l b n Q v Q 2 h h b m d l Z C B U e X B l L n t D b 2 x 1 b W 4 y N y w y N n 0 m c X V v d D s s J n F 1 b 3 Q 7 U 2 V j d G l v b j E v d n M g T 3 B w b 2 5 l b n Q v Q 2 h h b m d l Z C B U e X B l L n t D b 2 x 1 b W 4 y O C w y N 3 0 m c X V v d D s s J n F 1 b 3 Q 7 U 2 V j d G l v b j E v d n M g T 3 B w b 2 5 l b n Q v Q 2 h h b m d l Z C B U e X B l L n t P c H A s M j h 9 J n F 1 b 3 Q 7 L C Z x d W 9 0 O 1 N l Y 3 R p b 2 4 x L 3 Z z I E 9 w c G 9 u Z W 5 0 L 0 N o Y W 5 n Z W Q g V H l w Z S 5 7 Q 2 9 s d W 1 u M z A s M j l 9 J n F 1 b 3 Q 7 L C Z x d W 9 0 O 1 N l Y 3 R p b 2 4 x L 3 Z z I E 9 w c G 9 u Z W 5 0 L 0 N o Y W 5 n Z W Q g V H l w Z S 5 7 M i 1 w d F 8 x L D M w f S Z x d W 9 0 O y w m c X V v d D t T Z W N 0 a W 9 u M S 9 2 c y B P c H B v b m V u d C 9 D a G F u Z 2 V k I F R 5 c G U u e 0 N v b H V t b j M y L D M x f S Z x d W 9 0 O y w m c X V v d D t T Z W N 0 a W 9 u M S 9 2 c y B P c H B v b m V u d C 9 D a G F u Z 2 V k I F R 5 c G U u e 0 N v b H V t b j M z L D M y f S Z x d W 9 0 O y w m c X V v d D t T Z W N 0 a W 9 u M S 9 2 c y B P c H B v b m V u d C 9 D a G F u Z 2 V k I F R 5 c G U u e z M t c H R f M i w z M 3 0 m c X V v d D s s J n F 1 b 3 Q 7 U 2 V j d G l v b j E v d n M g T 3 B w b 2 5 l b n Q v Q 2 h h b m d l Z C B U e X B l L n t D b 2 x 1 b W 4 z N S w z N H 0 m c X V v d D s s J n F 1 b 3 Q 7 U 2 V j d G l v b j E v d n M g T 3 B w b 2 5 l b n Q v Q 2 h h b m d l Z C B U e X B l L n t D b 2 x 1 b W 4 z N i w z N X 0 m c X V v d D s s J n F 1 b 3 Q 7 U 2 V j d G l v b j E v d n M g T 3 B w b 2 5 l b n Q v Q 2 h h b m d l Z C B U e X B l L n t G V F 8 z L D M 2 f S Z x d W 9 0 O y w m c X V v d D t T Z W N 0 a W 9 u M S 9 2 c y B P c H B v b m V u d C 9 D a G F u Z 2 V k I F R 5 c G U u e 0 N v b H V t b j M 4 L D M 3 f S Z x d W 9 0 O y w m c X V v d D t T Z W N 0 a W 9 u M S 9 2 c y B P c H B v b m V u d C 9 D a G F u Z 2 V k I F R 5 c G U u e 0 N v b H V t b j M 5 L D M 4 f S Z x d W 9 0 O y w m c X V v d D t T Z W N 0 a W 9 u M S 9 2 c y B P c H B v b m V u d C 9 D a G F u Z 2 V k I F R 5 c G U u e 1 R v d G F s X z Q s M z l 9 J n F 1 b 3 Q 7 L C Z x d W 9 0 O 1 N l Y 3 R p b 2 4 x L 3 Z z I E 9 w c G 9 u Z W 5 0 L 0 N o Y W 5 n Z W Q g V H l w Z S 5 7 Q 2 9 s d W 1 u N D E s N D B 9 J n F 1 b 3 Q 7 L C Z x d W 9 0 O 1 N l Y 3 R p b 2 4 x L 3 Z z I E 9 w c G 9 u Z W 5 0 L 0 N o Y W 5 n Z W Q g V H l w Z S 5 7 Q 2 9 s d W 1 u N D I s N D F 9 J n F 1 b 3 Q 7 L C Z x d W 9 0 O 1 N l Y 3 R p b 2 4 x L 3 Z z I E 9 w c G 9 u Z W 5 0 L 0 N o Y W 5 n Z W Q g V H l w Z S 5 7 Q 2 9 s d W 1 u N D M s N D J 9 J n F 1 b 3 Q 7 L C Z x d W 9 0 O 1 N l Y 3 R p b 2 4 x L 3 Z z I E 9 w c G 9 u Z W 5 0 L 0 N o Y W 5 n Z W Q g V H l w Z S 5 7 U m V i b 3 V u Z H N f N S w 0 M 3 0 m c X V v d D s s J n F 1 b 3 Q 7 U 2 V j d G l v b j E v d n M g T 3 B w b 2 5 l b n Q v Q 2 h h b m d l Z C B U e X B l L n t D b 2 x 1 b W 4 0 N S w 0 N H 0 m c X V v d D s s J n F 1 b 3 Q 7 U 2 V j d G l v b j E v d n M g T 3 B w b 2 5 l b n Q v Q 2 h h b m d l Z C B U e X B l L n t D b 2 x 1 b W 4 0 N i w 0 N X 0 m c X V v d D s s J n F 1 b 3 Q 7 U 2 V j d G l v b j E v d n M g T 3 B w b 2 5 l b n Q v Q 2 h h b m d l Z C B U e X B l L n t D b 2 x 1 b W 4 0 N y w 0 N n 0 m c X V v d D s s J n F 1 b 3 Q 7 U 2 V j d G l v b j E v d n M g T 3 B w b 2 5 l b n Q v Q 2 h h b m d l Z C B U e X B l L n t D b 2 x 1 b W 4 0 O C w 0 N 3 0 m c X V v d D s s J n F 1 b 3 Q 7 U 2 V j d G l v b j E v d n M g T 3 B w b 2 5 l b n Q v Q 2 h h b m d l Z C B U e X B l L n t D b 2 x 1 b W 4 0 O S w 0 O H 0 m c X V v d D s s J n F 1 b 3 Q 7 U 2 V j d G l v b j E v d n M g T 3 B w b 2 5 l b n Q v Q 2 h h b m d l Z C B U e X B l L n t D b 2 x 1 b W 4 1 M C w 0 O X 0 m c X V v d D s s J n F 1 b 3 Q 7 U 2 V j d G l v b j E v d n M g T 3 B w b 2 5 l b n Q v Q 2 h h b m d l Z C B U e X B l L n t D b 2 x 1 b W 4 1 M S w 1 M H 0 m c X V v d D s s J n F 1 b 3 Q 7 U 2 V j d G l v b j E v d n M g T 3 B w b 2 5 l b n Q v Q 2 h h b m d l Z C B U e X B l L n t D b 2 x 1 b W 4 1 M i w 1 M X 0 m c X V v d D s s J n F 1 b 3 Q 7 U 2 V j d G l v b j E v d n M g T 3 B w b 2 5 l b n Q v Q 2 h h b m d l Z C B U e X B l L n t D b 2 x 1 b W 4 1 M y w 1 M n 0 m c X V v d D s s J n F 1 b 3 Q 7 U 2 V j d G l v b j E v d n M g T 3 B w b 2 5 l b n Q v Q 2 h h b m d l Z C B U e X B l L n t D b 2 x 1 b W 4 1 N C w 1 M 3 0 m c X V v d D s s J n F 1 b 3 Q 7 U 2 V j d G l v b j E v d n M g T 3 B w b 2 5 l b n Q v Q 2 h h b m d l Z C B U e X B l L n t D b 2 x 1 b W 4 1 N S w 1 N H 0 m c X V v d D s s J n F 1 b 3 Q 7 U 2 V j d G l v b j E v d n M g T 3 B w b 2 5 l b n Q v Q 2 h h b m d l Z C B U e X B l L n t D b 2 x 1 b W 4 1 N i w 1 N X 0 m c X V v d D s s J n F 1 b 3 Q 7 U 2 V j d G l v b j E v d n M g T 3 B w b 2 5 l b n Q v Q 2 h h b m d l Z C B U e X B l L n t D b 2 x 1 b W 4 1 N y w 1 N n 0 m c X V v d D s s J n F 1 b 3 Q 7 U 2 V j d G l v b j E v d n M g T 3 B w b 2 5 l b n Q v Q 2 h h b m d l Z C B U e X B l L n t D b 2 x 1 b W 4 1 O C w 1 N 3 0 m c X V v d D s s J n F 1 b 3 Q 7 U 2 V j d G l v b j E v d n M g T 3 B w b 2 5 l b n Q v Q 2 h h b m d l Z C B U e X B l L n t T a G 9 v d G l u Z y A l I G F u Z C B V c 2 F n Z S w 1 O H 0 m c X V v d D s s J n F 1 b 3 Q 7 U 2 V j d G l v b j E v d n M g T 3 B w b 2 5 l b n Q v Q 2 h h b m d l Z C B U e X B l L n t D b 2 x 1 b W 4 2 M C w 1 O X 0 m c X V v d D s s J n F 1 b 3 Q 7 U 2 V j d G l v b j E v d n M g T 3 B w b 2 5 l b n Q v Q 2 h h b m d l Z C B U e X B l L n t D b 2 x 1 b W 4 2 M S w 2 M H 0 m c X V v d D s s J n F 1 b 3 Q 7 U 2 V j d G l v b j E v d n M g T 3 B w b 2 5 l b n Q v Q 2 h h b m d l Z C B U e X B l L n t B c 3 N p c 3 Q g Y W 5 k I F R 1 c m 5 v d m V y c y w 2 M X 0 m c X V v d D s s J n F 1 b 3 Q 7 U 2 V j d G l v b j E v d n M g T 3 B w b 2 5 l b n Q v Q 2 h h b m d l Z C B U e X B l L n t D b 2 x 1 b W 4 2 M y w 2 M n 0 m c X V v d D s s J n F 1 b 3 Q 7 U 2 V j d G l v b j E v d n M g T 3 B w b 2 5 l b n Q v Q 2 h h b m d l Z C B U e X B l L n t D b 2 x 1 b W 4 2 N C w 2 M 3 0 m c X V v d D s s J n F 1 b 3 Q 7 U 2 V j d G l v b j E v d n M g T 3 B w b 2 5 l b n Q v Q 2 h h b m d l Z C B U e X B l L n t D b 2 x 1 b W 4 2 N S w 2 N H 0 m c X V v d D s s J n F 1 b 3 Q 7 U 2 V j d G l v b j E v d n M g T 3 B w b 2 5 l b n Q v Q 2 h h b m d l Z C B U e X B l L n t S Z W J v d W 5 k I F B l c m N l b n R h Z 2 V z L D Y 1 f S Z x d W 9 0 O y w m c X V v d D t T Z W N 0 a W 9 u M S 9 2 c y B P c H B v b m V u d C 9 D a G F u Z 2 V k I F R 5 c G U u e 0 N v b H V t b j Y 3 L D Y 2 f S Z x d W 9 0 O y w m c X V v d D t T Z W N 0 a W 9 u M S 9 2 c y B P c H B v b m V u d C 9 D a G F u Z 2 V k I F R 5 c G U u e 0 N v b H V t b j Y 4 L D Y 3 f S Z x d W 9 0 O y w m c X V v d D t T Z W N 0 a W 9 u M S 9 2 c y B P c H B v b m V u d C 9 D a G F u Z 2 V k I F R 5 c G U u e 1 B s Y X l l c i B S Y X R p b m d z L D Y 4 f S Z x d W 9 0 O y w m c X V v d D t T Z W N 0 a W 9 u M S 9 2 c y B P c H B v b m V u d C 9 D a G F u Z 2 V k I F R 5 c G U u e 0 N v b H V t b j c w L D Y 5 f S Z x d W 9 0 O y w m c X V v d D t T Z W N 0 a W 9 u M S 9 2 c y B P c H B v b m V u d C 9 D a G F u Z 2 V k I F R 5 c G U u e 0 N v b H V t b j c x L D c w f S Z x d W 9 0 O y w m c X V v d D t T Z W N 0 a W 9 u M S 9 2 c y B P c H B v b m V u d C 9 D a G F u Z 2 V k I F R 5 c G U u e 0 l t c G F j d C B h b m Q g R W Z m a W N p Z W 5 j e S w 3 M X 0 m c X V v d D s s J n F 1 b 3 Q 7 U 2 V j d G l v b j E v d n M g T 3 B w b 2 5 l b n Q v Q 2 h h b m d l Z C B U e X B l L n t D b 2 x 1 b W 4 3 M y w 3 M n 0 m c X V v d D s s J n F 1 b 3 Q 7 U 2 V j d G l v b j E v d n M g T 3 B w b 2 5 l b n Q v Q 2 h h b m d l Z C B U e X B l L n t D b 2 x 1 b W 4 3 N C w 3 M 3 0 m c X V v d D s s J n F 1 b 3 Q 7 U 2 V j d G l v b j E v d n M g T 3 B w b 2 5 l b n Q v Q 2 h h b m d l Z C B U e X B l L n t D b 2 x 1 b W 4 3 N S w 3 N H 0 m c X V v d D s s J n F 1 b 3 Q 7 U 2 V j d G l v b j E v d n M g T 3 B w b 2 5 l b n Q v Q 2 h h b m d l Z C B U e X B l L n t D b 2 x 1 b W 4 3 N i w 3 N X 0 m c X V v d D s s J n F 1 b 3 Q 7 U 2 V j d G l v b j E v d n M g T 3 B w b 2 5 l b n Q v Q 2 h h b m d l Z C B U e X B l L n t D b 2 x 1 b W 4 3 N y w 3 N n 0 m c X V v d D s s J n F 1 b 3 Q 7 U 2 V j d G l v b j E v d n M g T 3 B w b 2 5 l b n Q v Q 2 h h b m d l Z C B U e X B l L n t D b 2 x 1 b W 4 3 O C w 3 N 3 0 m c X V v d D s s J n F 1 b 3 Q 7 U 2 V j d G l v b j E v d n M g T 3 B w b 2 5 l b n Q v Q 2 h h b m d l Z C B U e X B l L n t D b 2 x 1 b W 4 3 O S w 3 O H 0 m c X V v d D s s J n F 1 b 3 Q 7 U 2 V j d G l v b j E v d n M g T 3 B w b 2 5 l b n Q v Q 2 h h b m d l Z C B U e X B l L n t D b 2 x 1 b W 4 4 M C w 3 O X 0 m c X V v d D s s J n F 1 b 3 Q 7 U 2 V j d G l v b j E v d n M g T 3 B w b 2 5 l b n Q v Q 2 h h b m d l Z C B U e X B l L n t D b 2 x 1 b W 4 4 M S w 4 M H 0 m c X V v d D s s J n F 1 b 3 Q 7 U 2 V j d G l v b j E v d n M g T 3 B w b 2 5 l b n Q v Q 2 h h b m d l Z C B U e X B l L n t D b 2 x 1 b W 4 4 M i w 4 M X 0 m c X V v d D s s J n F 1 b 3 Q 7 U 2 V j d G l v b j E v d n M g T 3 B w b 2 5 l b n Q v Q 2 h h b m d l Z C B U e X B l L n t D b 2 x 1 b W 4 4 M y w 4 M n 0 m c X V v d D s s J n F 1 b 3 Q 7 U 2 V j d G l v b j E v d n M g T 3 B w b 2 5 l b n Q v Q 2 h h b m d l Z C B U e X B l L n t D b 2 x 1 b W 4 4 N C w 4 M 3 0 m c X V v d D s s J n F 1 b 3 Q 7 U 2 V j d G l v b j E v d n M g T 3 B w b 2 5 l b n Q v Q 2 h h b m d l Z C B U e X B l L n t D b 2 x 1 b W 4 4 N S w 4 N H 0 m c X V v d D s s J n F 1 b 3 Q 7 U 2 V j d G l v b j E v d n M g T 3 B w b 2 5 l b n Q v Q 2 h h b m d l Z C B U e X B l L n t D b 2 x 1 b W 4 4 N i w 4 N X 0 m c X V v d D s s J n F 1 b 3 Q 7 U 2 V j d G l v b j E v d n M g T 3 B w b 2 5 l b n Q v Q 2 h h b m d l Z C B U e X B l L n t D b 2 x 1 b W 4 4 N y w 4 N n 0 m c X V v d D s s J n F 1 b 3 Q 7 U 2 V j d G l v b j E v d n M g T 3 B w b 2 5 l b n Q v Q 2 h h b m d l Z C B U e X B l L n t D b 2 x 1 b W 4 4 O C w 4 N 3 0 m c X V v d D s s J n F 1 b 3 Q 7 U 2 V j d G l v b j E v d n M g T 3 B w b 2 5 l b n Q v Q 2 h h b m d l Z C B U e X B l L n t D b 2 x 1 b W 4 4 O S w 4 O H 0 m c X V v d D s s J n F 1 b 3 Q 7 U 2 V j d G l v b j E v d n M g T 3 B w b 2 5 l b n Q v Q 2 h h b m d l Z C B U e X B l L n t D b 2 x 1 b W 4 5 M C w 4 O X 0 m c X V v d D s s J n F 1 b 3 Q 7 U 2 V j d G l v b j E v d n M g T 3 B w b 2 5 l b n Q v Q 2 h h b m d l Z C B U e X B l L n t D b 2 x 1 b W 4 5 M S w 5 M H 0 m c X V v d D s s J n F 1 b 3 Q 7 U 2 V j d G l v b j E v d n M g T 3 B w b 2 5 l b n Q v Q 2 h h b m d l Z C B U e X B l L n t D b 2 x 1 b W 4 5 M i w 5 M X 0 m c X V v d D s s J n F 1 b 3 Q 7 U 2 V j d G l v b j E v d n M g T 3 B w b 2 5 l b n Q v Q 2 h h b m d l Z C B U e X B l L n t D b 2 x 1 b W 4 5 M y w 5 M n 0 m c X V v d D s s J n F 1 b 3 Q 7 U 2 V j d G l v b j E v d n M g T 3 B w b 2 5 l b n Q v Q 2 h h b m d l Z C B U e X B l L n t D b 2 x 1 b W 4 5 N C w 5 M 3 0 m c X V v d D s s J n F 1 b 3 Q 7 U 2 V j d G l v b j E v d n M g T 3 B w b 2 5 l b n Q v Q 2 h h b m d l Z C B U e X B l L n t D b 2 x 1 b W 4 5 N S w 5 N H 0 m c X V v d D s s J n F 1 b 3 Q 7 U 2 V j d G l v b j E v d n M g T 3 B w b 2 5 l b n Q v Q 2 h h b m d l Z C B U e X B l L n t D b 2 x 1 b W 4 5 N i w 5 N X 0 m c X V v d D s s J n F 1 b 3 Q 7 U 2 V j d G l v b j E v d n M g T 3 B w b 2 5 l b n Q v Q 2 h h b m d l Z C B U e X B l L n t D b 2 x 1 b W 4 5 N y w 5 N n 0 m c X V v d D s s J n F 1 b 3 Q 7 U 2 V j d G l v b j E v d n M g T 3 B w b 2 5 l b n Q v Q 2 h h b m d l Z C B U e X B l L n t D b 2 x 1 b W 4 5 O C w 5 N 3 0 m c X V v d D s s J n F 1 b 3 Q 7 U 2 V j d G l v b j E v d n M g T 3 B w b 2 5 l b n Q v Q 2 h h b m d l Z C B U e X B l L n t D b 2 x 1 b W 4 5 O S w 5 O H 0 m c X V v d D s s J n F 1 b 3 Q 7 U 2 V j d G l v b j E v d n M g T 3 B w b 2 5 l b n Q v Q 2 h h b m d l Z C B U e X B l L n t D b 2 x 1 b W 4 x M D A s O T l 9 J n F 1 b 3 Q 7 L C Z x d W 9 0 O 1 N l Y 3 R p b 2 4 x L 3 Z z I E 9 w c G 9 u Z W 5 0 L 0 N o Y W 5 n Z W Q g V H l w Z S 5 7 Q 2 9 s d W 1 u M T A x L D E w M H 0 m c X V v d D s s J n F 1 b 3 Q 7 U 2 V j d G l v b j E v d n M g T 3 B w b 2 5 l b n Q v Q 2 h h b m d l Z C B U e X B l L n t D b 2 x 1 b W 4 x M D I s M T A x f S Z x d W 9 0 O y w m c X V v d D t T Z W N 0 a W 9 u M S 9 2 c y B P c H B v b m V u d C 9 D a G F u Z 2 V k I F R 5 c G U u e 0 N v b H V t b j E w M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d n M g T 3 B w b 2 5 l b n Q v Q 2 h h b m d l Z C B U e X B l L n t D b 2 x 1 b W 4 x L D B 9 J n F 1 b 3 Q 7 L C Z x d W 9 0 O 1 N l Y 3 R p b 2 4 x L 3 Z z I E 9 w c G 9 u Z W 5 0 L 0 N o Y W 5 n Z W Q g V H l w Z S 5 7 S E h T L D F 9 J n F 1 b 3 Q 7 L C Z x d W 9 0 O 1 N l Y 3 R p b 2 4 x L 3 Z z I E 9 w c G 9 u Z W 5 0 L 0 N o Y W 5 n Z W Q g V H l w Z S 5 7 M i 1 w d C w y f S Z x d W 9 0 O y w m c X V v d D t T Z W N 0 a W 9 u M S 9 2 c y B P c H B v b m V u d C 9 D a G F u Z 2 V k I F R 5 c G U u e 0 N v b H V t b j Q s M 3 0 m c X V v d D s s J n F 1 b 3 Q 7 U 2 V j d G l v b j E v d n M g T 3 B w b 2 5 l b n Q v Q 2 h h b m d l Z C B U e X B l L n t D b 2 x 1 b W 4 1 L D R 9 J n F 1 b 3 Q 7 L C Z x d W 9 0 O 1 N l Y 3 R p b 2 4 x L 3 Z z I E 9 w c G 9 u Z W 5 0 L 0 N o Y W 5 n Z W Q g V H l w Z S 5 7 M y 1 w d C w 1 f S Z x d W 9 0 O y w m c X V v d D t T Z W N 0 a W 9 u M S 9 2 c y B P c H B v b m V u d C 9 D a G F u Z 2 V k I F R 5 c G U u e 0 N v b H V t b j c s N n 0 m c X V v d D s s J n F 1 b 3 Q 7 U 2 V j d G l v b j E v d n M g T 3 B w b 2 5 l b n Q v Q 2 h h b m d l Z C B U e X B l L n t D b 2 x 1 b W 4 4 L D d 9 J n F 1 b 3 Q 7 L C Z x d W 9 0 O 1 N l Y 3 R p b 2 4 x L 3 Z z I E 9 w c G 9 u Z W 5 0 L 0 N o Y W 5 n Z W Q g V H l w Z S 5 7 R l Q s O H 0 m c X V v d D s s J n F 1 b 3 Q 7 U 2 V j d G l v b j E v d n M g T 3 B w b 2 5 l b n Q v Q 2 h h b m d l Z C B U e X B l L n t D b 2 x 1 b W 4 x M C w 5 f S Z x d W 9 0 O y w m c X V v d D t T Z W N 0 a W 9 u M S 9 2 c y B P c H B v b m V u d C 9 D a G F u Z 2 V k I F R 5 c G U u e 0 N v b H V t b j E x L D E w f S Z x d W 9 0 O y w m c X V v d D t T Z W N 0 a W 9 u M S 9 2 c y B P c H B v b m V u d C 9 D a G F u Z 2 V k I F R 5 c G U u e 1 R v d G F s L D E x f S Z x d W 9 0 O y w m c X V v d D t T Z W N 0 a W 9 u M S 9 2 c y B P c H B v b m V u d C 9 D a G F u Z 2 V k I F R 5 c G U u e 0 N v b H V t b j E z L D E y f S Z x d W 9 0 O y w m c X V v d D t T Z W N 0 a W 9 u M S 9 2 c y B P c H B v b m V u d C 9 D a G F u Z 2 V k I F R 5 c G U u e 0 N v b H V t b j E 0 L D E z f S Z x d W 9 0 O y w m c X V v d D t T Z W N 0 a W 9 u M S 9 2 c y B P c H B v b m V u d C 9 D a G F u Z 2 V k I F R 5 c G U u e 0 N v b H V t b j E 1 L D E 0 f S Z x d W 9 0 O y w m c X V v d D t T Z W N 0 a W 9 u M S 9 2 c y B P c H B v b m V u d C 9 D a G F u Z 2 V k I F R 5 c G U u e 1 J l Y m 9 1 b m R z L D E 1 f S Z x d W 9 0 O y w m c X V v d D t T Z W N 0 a W 9 u M S 9 2 c y B P c H B v b m V u d C 9 D a G F u Z 2 V k I F R 5 c G U u e 0 N v b H V t b j E 3 L D E 2 f S Z x d W 9 0 O y w m c X V v d D t T Z W N 0 a W 9 u M S 9 2 c y B P c H B v b m V u d C 9 D a G F u Z 2 V k I F R 5 c G U u e 0 N v b H V t b j E 4 L D E 3 f S Z x d W 9 0 O y w m c X V v d D t T Z W N 0 a W 9 u M S 9 2 c y B P c H B v b m V u d C 9 D a G F u Z 2 V k I F R 5 c G U u e 0 N v b H V t b j E 5 L D E 4 f S Z x d W 9 0 O y w m c X V v d D t T Z W N 0 a W 9 u M S 9 2 c y B P c H B v b m V u d C 9 D a G F u Z 2 V k I F R 5 c G U u e 0 N v b H V t b j I w L D E 5 f S Z x d W 9 0 O y w m c X V v d D t T Z W N 0 a W 9 u M S 9 2 c y B P c H B v b m V u d C 9 D a G F u Z 2 V k I F R 5 c G U u e 0 N v b H V t b j I x L D I w f S Z x d W 9 0 O y w m c X V v d D t T Z W N 0 a W 9 u M S 9 2 c y B P c H B v b m V u d C 9 D a G F u Z 2 V k I F R 5 c G U u e 0 N v b H V t b j I y L D I x f S Z x d W 9 0 O y w m c X V v d D t T Z W N 0 a W 9 u M S 9 2 c y B P c H B v b m V u d C 9 D a G F u Z 2 V k I F R 5 c G U u e 0 N v b H V t b j I z L D I y f S Z x d W 9 0 O y w m c X V v d D t T Z W N 0 a W 9 u M S 9 2 c y B P c H B v b m V u d C 9 D a G F u Z 2 V k I F R 5 c G U u e 0 N v b H V t b j I 0 L D I z f S Z x d W 9 0 O y w m c X V v d D t T Z W N 0 a W 9 u M S 9 2 c y B P c H B v b m V u d C 9 D a G F u Z 2 V k I F R 5 c G U u e 0 N v b H V t b j I 1 L D I 0 f S Z x d W 9 0 O y w m c X V v d D t T Z W N 0 a W 9 u M S 9 2 c y B P c H B v b m V u d C 9 D a G F u Z 2 V k I F R 5 c G U u e 0 N v b H V t b j I 2 L D I 1 f S Z x d W 9 0 O y w m c X V v d D t T Z W N 0 a W 9 u M S 9 2 c y B P c H B v b m V u d C 9 D a G F u Z 2 V k I F R 5 c G U u e 0 N v b H V t b j I 3 L D I 2 f S Z x d W 9 0 O y w m c X V v d D t T Z W N 0 a W 9 u M S 9 2 c y B P c H B v b m V u d C 9 D a G F u Z 2 V k I F R 5 c G U u e 0 N v b H V t b j I 4 L D I 3 f S Z x d W 9 0 O y w m c X V v d D t T Z W N 0 a W 9 u M S 9 2 c y B P c H B v b m V u d C 9 D a G F u Z 2 V k I F R 5 c G U u e 0 9 w c C w y O H 0 m c X V v d D s s J n F 1 b 3 Q 7 U 2 V j d G l v b j E v d n M g T 3 B w b 2 5 l b n Q v Q 2 h h b m d l Z C B U e X B l L n t D b 2 x 1 b W 4 z M C w y O X 0 m c X V v d D s s J n F 1 b 3 Q 7 U 2 V j d G l v b j E v d n M g T 3 B w b 2 5 l b n Q v Q 2 h h b m d l Z C B U e X B l L n s y L X B 0 X z E s M z B 9 J n F 1 b 3 Q 7 L C Z x d W 9 0 O 1 N l Y 3 R p b 2 4 x L 3 Z z I E 9 w c G 9 u Z W 5 0 L 0 N o Y W 5 n Z W Q g V H l w Z S 5 7 Q 2 9 s d W 1 u M z I s M z F 9 J n F 1 b 3 Q 7 L C Z x d W 9 0 O 1 N l Y 3 R p b 2 4 x L 3 Z z I E 9 w c G 9 u Z W 5 0 L 0 N o Y W 5 n Z W Q g V H l w Z S 5 7 Q 2 9 s d W 1 u M z M s M z J 9 J n F 1 b 3 Q 7 L C Z x d W 9 0 O 1 N l Y 3 R p b 2 4 x L 3 Z z I E 9 w c G 9 u Z W 5 0 L 0 N o Y W 5 n Z W Q g V H l w Z S 5 7 M y 1 w d F 8 y L D M z f S Z x d W 9 0 O y w m c X V v d D t T Z W N 0 a W 9 u M S 9 2 c y B P c H B v b m V u d C 9 D a G F u Z 2 V k I F R 5 c G U u e 0 N v b H V t b j M 1 L D M 0 f S Z x d W 9 0 O y w m c X V v d D t T Z W N 0 a W 9 u M S 9 2 c y B P c H B v b m V u d C 9 D a G F u Z 2 V k I F R 5 c G U u e 0 N v b H V t b j M 2 L D M 1 f S Z x d W 9 0 O y w m c X V v d D t T Z W N 0 a W 9 u M S 9 2 c y B P c H B v b m V u d C 9 D a G F u Z 2 V k I F R 5 c G U u e 0 Z U X z M s M z Z 9 J n F 1 b 3 Q 7 L C Z x d W 9 0 O 1 N l Y 3 R p b 2 4 x L 3 Z z I E 9 w c G 9 u Z W 5 0 L 0 N o Y W 5 n Z W Q g V H l w Z S 5 7 Q 2 9 s d W 1 u M z g s M z d 9 J n F 1 b 3 Q 7 L C Z x d W 9 0 O 1 N l Y 3 R p b 2 4 x L 3 Z z I E 9 w c G 9 u Z W 5 0 L 0 N o Y W 5 n Z W Q g V H l w Z S 5 7 Q 2 9 s d W 1 u M z k s M z h 9 J n F 1 b 3 Q 7 L C Z x d W 9 0 O 1 N l Y 3 R p b 2 4 x L 3 Z z I E 9 w c G 9 u Z W 5 0 L 0 N o Y W 5 n Z W Q g V H l w Z S 5 7 V G 9 0 Y W x f N C w z O X 0 m c X V v d D s s J n F 1 b 3 Q 7 U 2 V j d G l v b j E v d n M g T 3 B w b 2 5 l b n Q v Q 2 h h b m d l Z C B U e X B l L n t D b 2 x 1 b W 4 0 M S w 0 M H 0 m c X V v d D s s J n F 1 b 3 Q 7 U 2 V j d G l v b j E v d n M g T 3 B w b 2 5 l b n Q v Q 2 h h b m d l Z C B U e X B l L n t D b 2 x 1 b W 4 0 M i w 0 M X 0 m c X V v d D s s J n F 1 b 3 Q 7 U 2 V j d G l v b j E v d n M g T 3 B w b 2 5 l b n Q v Q 2 h h b m d l Z C B U e X B l L n t D b 2 x 1 b W 4 0 M y w 0 M n 0 m c X V v d D s s J n F 1 b 3 Q 7 U 2 V j d G l v b j E v d n M g T 3 B w b 2 5 l b n Q v Q 2 h h b m d l Z C B U e X B l L n t S Z W J v d W 5 k c 1 8 1 L D Q z f S Z x d W 9 0 O y w m c X V v d D t T Z W N 0 a W 9 u M S 9 2 c y B P c H B v b m V u d C 9 D a G F u Z 2 V k I F R 5 c G U u e 0 N v b H V t b j Q 1 L D Q 0 f S Z x d W 9 0 O y w m c X V v d D t T Z W N 0 a W 9 u M S 9 2 c y B P c H B v b m V u d C 9 D a G F u Z 2 V k I F R 5 c G U u e 0 N v b H V t b j Q 2 L D Q 1 f S Z x d W 9 0 O y w m c X V v d D t T Z W N 0 a W 9 u M S 9 2 c y B P c H B v b m V u d C 9 D a G F u Z 2 V k I F R 5 c G U u e 0 N v b H V t b j Q 3 L D Q 2 f S Z x d W 9 0 O y w m c X V v d D t T Z W N 0 a W 9 u M S 9 2 c y B P c H B v b m V u d C 9 D a G F u Z 2 V k I F R 5 c G U u e 0 N v b H V t b j Q 4 L D Q 3 f S Z x d W 9 0 O y w m c X V v d D t T Z W N 0 a W 9 u M S 9 2 c y B P c H B v b m V u d C 9 D a G F u Z 2 V k I F R 5 c G U u e 0 N v b H V t b j Q 5 L D Q 4 f S Z x d W 9 0 O y w m c X V v d D t T Z W N 0 a W 9 u M S 9 2 c y B P c H B v b m V u d C 9 D a G F u Z 2 V k I F R 5 c G U u e 0 N v b H V t b j U w L D Q 5 f S Z x d W 9 0 O y w m c X V v d D t T Z W N 0 a W 9 u M S 9 2 c y B P c H B v b m V u d C 9 D a G F u Z 2 V k I F R 5 c G U u e 0 N v b H V t b j U x L D U w f S Z x d W 9 0 O y w m c X V v d D t T Z W N 0 a W 9 u M S 9 2 c y B P c H B v b m V u d C 9 D a G F u Z 2 V k I F R 5 c G U u e 0 N v b H V t b j U y L D U x f S Z x d W 9 0 O y w m c X V v d D t T Z W N 0 a W 9 u M S 9 2 c y B P c H B v b m V u d C 9 D a G F u Z 2 V k I F R 5 c G U u e 0 N v b H V t b j U z L D U y f S Z x d W 9 0 O y w m c X V v d D t T Z W N 0 a W 9 u M S 9 2 c y B P c H B v b m V u d C 9 D a G F u Z 2 V k I F R 5 c G U u e 0 N v b H V t b j U 0 L D U z f S Z x d W 9 0 O y w m c X V v d D t T Z W N 0 a W 9 u M S 9 2 c y B P c H B v b m V u d C 9 D a G F u Z 2 V k I F R 5 c G U u e 0 N v b H V t b j U 1 L D U 0 f S Z x d W 9 0 O y w m c X V v d D t T Z W N 0 a W 9 u M S 9 2 c y B P c H B v b m V u d C 9 D a G F u Z 2 V k I F R 5 c G U u e 0 N v b H V t b j U 2 L D U 1 f S Z x d W 9 0 O y w m c X V v d D t T Z W N 0 a W 9 u M S 9 2 c y B P c H B v b m V u d C 9 D a G F u Z 2 V k I F R 5 c G U u e 0 N v b H V t b j U 3 L D U 2 f S Z x d W 9 0 O y w m c X V v d D t T Z W N 0 a W 9 u M S 9 2 c y B P c H B v b m V u d C 9 D a G F u Z 2 V k I F R 5 c G U u e 0 N v b H V t b j U 4 L D U 3 f S Z x d W 9 0 O y w m c X V v d D t T Z W N 0 a W 9 u M S 9 2 c y B P c H B v b m V u d C 9 D a G F u Z 2 V k I F R 5 c G U u e 1 N o b 2 9 0 a W 5 n I C U g Y W 5 k I F V z Y W d l L D U 4 f S Z x d W 9 0 O y w m c X V v d D t T Z W N 0 a W 9 u M S 9 2 c y B P c H B v b m V u d C 9 D a G F u Z 2 V k I F R 5 c G U u e 0 N v b H V t b j Y w L D U 5 f S Z x d W 9 0 O y w m c X V v d D t T Z W N 0 a W 9 u M S 9 2 c y B P c H B v b m V u d C 9 D a G F u Z 2 V k I F R 5 c G U u e 0 N v b H V t b j Y x L D Y w f S Z x d W 9 0 O y w m c X V v d D t T Z W N 0 a W 9 u M S 9 2 c y B P c H B v b m V u d C 9 D a G F u Z 2 V k I F R 5 c G U u e 0 F z c 2 l z d C B h b m Q g V H V y b m 9 2 Z X J z L D Y x f S Z x d W 9 0 O y w m c X V v d D t T Z W N 0 a W 9 u M S 9 2 c y B P c H B v b m V u d C 9 D a G F u Z 2 V k I F R 5 c G U u e 0 N v b H V t b j Y z L D Y y f S Z x d W 9 0 O y w m c X V v d D t T Z W N 0 a W 9 u M S 9 2 c y B P c H B v b m V u d C 9 D a G F u Z 2 V k I F R 5 c G U u e 0 N v b H V t b j Y 0 L D Y z f S Z x d W 9 0 O y w m c X V v d D t T Z W N 0 a W 9 u M S 9 2 c y B P c H B v b m V u d C 9 D a G F u Z 2 V k I F R 5 c G U u e 0 N v b H V t b j Y 1 L D Y 0 f S Z x d W 9 0 O y w m c X V v d D t T Z W N 0 a W 9 u M S 9 2 c y B P c H B v b m V u d C 9 D a G F u Z 2 V k I F R 5 c G U u e 1 J l Y m 9 1 b m Q g U G V y Y 2 V u d G F n Z X M s N j V 9 J n F 1 b 3 Q 7 L C Z x d W 9 0 O 1 N l Y 3 R p b 2 4 x L 3 Z z I E 9 w c G 9 u Z W 5 0 L 0 N o Y W 5 n Z W Q g V H l w Z S 5 7 Q 2 9 s d W 1 u N j c s N j Z 9 J n F 1 b 3 Q 7 L C Z x d W 9 0 O 1 N l Y 3 R p b 2 4 x L 3 Z z I E 9 w c G 9 u Z W 5 0 L 0 N o Y W 5 n Z W Q g V H l w Z S 5 7 Q 2 9 s d W 1 u N j g s N j d 9 J n F 1 b 3 Q 7 L C Z x d W 9 0 O 1 N l Y 3 R p b 2 4 x L 3 Z z I E 9 w c G 9 u Z W 5 0 L 0 N o Y W 5 n Z W Q g V H l w Z S 5 7 U G x h e W V y I F J h d G l u Z 3 M s N j h 9 J n F 1 b 3 Q 7 L C Z x d W 9 0 O 1 N l Y 3 R p b 2 4 x L 3 Z z I E 9 w c G 9 u Z W 5 0 L 0 N o Y W 5 n Z W Q g V H l w Z S 5 7 Q 2 9 s d W 1 u N z A s N j l 9 J n F 1 b 3 Q 7 L C Z x d W 9 0 O 1 N l Y 3 R p b 2 4 x L 3 Z z I E 9 w c G 9 u Z W 5 0 L 0 N o Y W 5 n Z W Q g V H l w Z S 5 7 Q 2 9 s d W 1 u N z E s N z B 9 J n F 1 b 3 Q 7 L C Z x d W 9 0 O 1 N l Y 3 R p b 2 4 x L 3 Z z I E 9 w c G 9 u Z W 5 0 L 0 N o Y W 5 n Z W Q g V H l w Z S 5 7 S W 1 w Y W N 0 I G F u Z C B F Z m Z p Y 2 l l b m N 5 L D c x f S Z x d W 9 0 O y w m c X V v d D t T Z W N 0 a W 9 u M S 9 2 c y B P c H B v b m V u d C 9 D a G F u Z 2 V k I F R 5 c G U u e 0 N v b H V t b j c z L D c y f S Z x d W 9 0 O y w m c X V v d D t T Z W N 0 a W 9 u M S 9 2 c y B P c H B v b m V u d C 9 D a G F u Z 2 V k I F R 5 c G U u e 0 N v b H V t b j c 0 L D c z f S Z x d W 9 0 O y w m c X V v d D t T Z W N 0 a W 9 u M S 9 2 c y B P c H B v b m V u d C 9 D a G F u Z 2 V k I F R 5 c G U u e 0 N v b H V t b j c 1 L D c 0 f S Z x d W 9 0 O y w m c X V v d D t T Z W N 0 a W 9 u M S 9 2 c y B P c H B v b m V u d C 9 D a G F u Z 2 V k I F R 5 c G U u e 0 N v b H V t b j c 2 L D c 1 f S Z x d W 9 0 O y w m c X V v d D t T Z W N 0 a W 9 u M S 9 2 c y B P c H B v b m V u d C 9 D a G F u Z 2 V k I F R 5 c G U u e 0 N v b H V t b j c 3 L D c 2 f S Z x d W 9 0 O y w m c X V v d D t T Z W N 0 a W 9 u M S 9 2 c y B P c H B v b m V u d C 9 D a G F u Z 2 V k I F R 5 c G U u e 0 N v b H V t b j c 4 L D c 3 f S Z x d W 9 0 O y w m c X V v d D t T Z W N 0 a W 9 u M S 9 2 c y B P c H B v b m V u d C 9 D a G F u Z 2 V k I F R 5 c G U u e 0 N v b H V t b j c 5 L D c 4 f S Z x d W 9 0 O y w m c X V v d D t T Z W N 0 a W 9 u M S 9 2 c y B P c H B v b m V u d C 9 D a G F u Z 2 V k I F R 5 c G U u e 0 N v b H V t b j g w L D c 5 f S Z x d W 9 0 O y w m c X V v d D t T Z W N 0 a W 9 u M S 9 2 c y B P c H B v b m V u d C 9 D a G F u Z 2 V k I F R 5 c G U u e 0 N v b H V t b j g x L D g w f S Z x d W 9 0 O y w m c X V v d D t T Z W N 0 a W 9 u M S 9 2 c y B P c H B v b m V u d C 9 D a G F u Z 2 V k I F R 5 c G U u e 0 N v b H V t b j g y L D g x f S Z x d W 9 0 O y w m c X V v d D t T Z W N 0 a W 9 u M S 9 2 c y B P c H B v b m V u d C 9 D a G F u Z 2 V k I F R 5 c G U u e 0 N v b H V t b j g z L D g y f S Z x d W 9 0 O y w m c X V v d D t T Z W N 0 a W 9 u M S 9 2 c y B P c H B v b m V u d C 9 D a G F u Z 2 V k I F R 5 c G U u e 0 N v b H V t b j g 0 L D g z f S Z x d W 9 0 O y w m c X V v d D t T Z W N 0 a W 9 u M S 9 2 c y B P c H B v b m V u d C 9 D a G F u Z 2 V k I F R 5 c G U u e 0 N v b H V t b j g 1 L D g 0 f S Z x d W 9 0 O y w m c X V v d D t T Z W N 0 a W 9 u M S 9 2 c y B P c H B v b m V u d C 9 D a G F u Z 2 V k I F R 5 c G U u e 0 N v b H V t b j g 2 L D g 1 f S Z x d W 9 0 O y w m c X V v d D t T Z W N 0 a W 9 u M S 9 2 c y B P c H B v b m V u d C 9 D a G F u Z 2 V k I F R 5 c G U u e 0 N v b H V t b j g 3 L D g 2 f S Z x d W 9 0 O y w m c X V v d D t T Z W N 0 a W 9 u M S 9 2 c y B P c H B v b m V u d C 9 D a G F u Z 2 V k I F R 5 c G U u e 0 N v b H V t b j g 4 L D g 3 f S Z x d W 9 0 O y w m c X V v d D t T Z W N 0 a W 9 u M S 9 2 c y B P c H B v b m V u d C 9 D a G F u Z 2 V k I F R 5 c G U u e 0 N v b H V t b j g 5 L D g 4 f S Z x d W 9 0 O y w m c X V v d D t T Z W N 0 a W 9 u M S 9 2 c y B P c H B v b m V u d C 9 D a G F u Z 2 V k I F R 5 c G U u e 0 N v b H V t b j k w L D g 5 f S Z x d W 9 0 O y w m c X V v d D t T Z W N 0 a W 9 u M S 9 2 c y B P c H B v b m V u d C 9 D a G F u Z 2 V k I F R 5 c G U u e 0 N v b H V t b j k x L D k w f S Z x d W 9 0 O y w m c X V v d D t T Z W N 0 a W 9 u M S 9 2 c y B P c H B v b m V u d C 9 D a G F u Z 2 V k I F R 5 c G U u e 0 N v b H V t b j k y L D k x f S Z x d W 9 0 O y w m c X V v d D t T Z W N 0 a W 9 u M S 9 2 c y B P c H B v b m V u d C 9 D a G F u Z 2 V k I F R 5 c G U u e 0 N v b H V t b j k z L D k y f S Z x d W 9 0 O y w m c X V v d D t T Z W N 0 a W 9 u M S 9 2 c y B P c H B v b m V u d C 9 D a G F u Z 2 V k I F R 5 c G U u e 0 N v b H V t b j k 0 L D k z f S Z x d W 9 0 O y w m c X V v d D t T Z W N 0 a W 9 u M S 9 2 c y B P c H B v b m V u d C 9 D a G F u Z 2 V k I F R 5 c G U u e 0 N v b H V t b j k 1 L D k 0 f S Z x d W 9 0 O y w m c X V v d D t T Z W N 0 a W 9 u M S 9 2 c y B P c H B v b m V u d C 9 D a G F u Z 2 V k I F R 5 c G U u e 0 N v b H V t b j k 2 L D k 1 f S Z x d W 9 0 O y w m c X V v d D t T Z W N 0 a W 9 u M S 9 2 c y B P c H B v b m V u d C 9 D a G F u Z 2 V k I F R 5 c G U u e 0 N v b H V t b j k 3 L D k 2 f S Z x d W 9 0 O y w m c X V v d D t T Z W N 0 a W 9 u M S 9 2 c y B P c H B v b m V u d C 9 D a G F u Z 2 V k I F R 5 c G U u e 0 N v b H V t b j k 4 L D k 3 f S Z x d W 9 0 O y w m c X V v d D t T Z W N 0 a W 9 u M S 9 2 c y B P c H B v b m V u d C 9 D a G F u Z 2 V k I F R 5 c G U u e 0 N v b H V t b j k 5 L D k 4 f S Z x d W 9 0 O y w m c X V v d D t T Z W N 0 a W 9 u M S 9 2 c y B P c H B v b m V u d C 9 D a G F u Z 2 V k I F R 5 c G U u e 0 N v b H V t b j E w M C w 5 O X 0 m c X V v d D s s J n F 1 b 3 Q 7 U 2 V j d G l v b j E v d n M g T 3 B w b 2 5 l b n Q v Q 2 h h b m d l Z C B U e X B l L n t D b 2 x 1 b W 4 x M D E s M T A w f S Z x d W 9 0 O y w m c X V v d D t T Z W N 0 a W 9 u M S 9 2 c y B P c H B v b m V u d C 9 D a G F u Z 2 V k I F R 5 c G U u e 0 N v b H V t b j E w M i w x M D F 9 J n F 1 b 3 Q 7 L C Z x d W 9 0 O 1 N l Y 3 R p b 2 4 x L 3 Z z I E 9 w c G 9 u Z W 5 0 L 0 N o Y W 5 n Z W Q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J T I w T 3 B w b 2 5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2 c y U y M E 9 w c G 9 u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y U y M E 9 w c G 9 u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1 l c y U y M C U y Q i U y M E F 2 Z X J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V h N z I w N y 0 w Y j R l L T R l Y W E t Y W U 4 N y 1 m Y W E 2 N z E x M 2 E w O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Q b G F 5 Z X I m c X V v d D s s J n F 1 b 3 Q 7 R k c m c X V v d D s s J n F 1 b 3 Q 7 R k d B J n F 1 b 3 Q 7 L C Z x d W 9 0 O y U m c X V v d D s s J n F 1 b 3 Q 7 R k d f M S Z x d W 9 0 O y w m c X V v d D t G R 0 F f M i Z x d W 9 0 O y w m c X V v d D s l X z M m c X V v d D s s J n F 1 b 3 Q 7 R l Q m c X V v d D s s J n F 1 b 3 Q 7 R l R B J n F 1 b 3 Q 7 L C Z x d W 9 0 O 0 Z U J S Z x d W 9 0 O y w m c X V v d D t G R 1 8 0 J n F 1 b 3 Q 7 L C Z x d W 9 0 O 0 Z H Q V 8 1 J n F 1 b 3 Q 7 L C Z x d W 9 0 O y V f N i Z x d W 9 0 O y w m c X V v d D t U U C Z x d W 9 0 O y w m c X V v d D t P Z m Y m c X V v d D s s J n F 1 b 3 Q 7 R G V m J n F 1 b 3 Q 7 L C Z x d W 9 0 O 1 R v d G F s J n F 1 b 3 Q 7 L C Z x d W 9 0 O 0 E m c X V v d D s s J n F 1 b 3 Q 7 V E 8 m c X V v d D s s J n F 1 b 3 Q 7 Q m x r J n F 1 b 3 Q 7 L C Z x d W 9 0 O 1 N 0 b C Z x d W 9 0 O y w m c X V v d D t D a G c m c X V v d D s s J n F 1 b 3 Q 7 R G V m X z c m c X V v d D s s J n F 1 b 3 Q 7 R m x z J n F 1 b 3 Q 7 L C Z x d W 9 0 O 0 1 Q J n F 1 b 3 Q 7 L C Z x d W 9 0 O 0 5 1 b S B v Z i B Q b 3 N z J n F 1 b 3 Q 7 L C Z x d W 9 0 O 0 N v b H V t b j I 4 J n F 1 b 3 Q 7 L C Z x d W 9 0 O y N f O C Z x d W 9 0 O y w m c X V v d D t Q b G F 5 Z X J f O S Z x d W 9 0 O y w m c X V v d D t G R 1 8 x M C Z x d W 9 0 O y w m c X V v d D t G R 0 F f M T E m c X V v d D s s J n F 1 b 3 Q 7 J V 8 x M i Z x d W 9 0 O y w m c X V v d D t G R 1 8 x M y Z x d W 9 0 O y w m c X V v d D t G R 0 F f M T Q m c X V v d D s s J n F 1 b 3 Q 7 J V 8 x N S Z x d W 9 0 O y w m c X V v d D t G V F 8 x N i Z x d W 9 0 O y w m c X V v d D t G V E F f M T c m c X V v d D s s J n F 1 b 3 Q 7 R l Q l X z E 4 J n F 1 b 3 Q 7 L C Z x d W 9 0 O 0 Z H X z E 5 J n F 1 b 3 Q 7 L C Z x d W 9 0 O 0 Z H Q V 8 y M C Z x d W 9 0 O y w m c X V v d D s l X z I x J n F 1 b 3 Q 7 L C Z x d W 9 0 O 1 R Q X z I y J n F 1 b 3 Q 7 L C Z x d W 9 0 O 0 9 m Z l 8 y M y Z x d W 9 0 O y w m c X V v d D t E Z W Z f M j Q m c X V v d D s s J n F 1 b 3 Q 7 V G 9 0 Y W x f M j U m c X V v d D s s J n F 1 b 3 Q 7 Q V 8 y N i Z x d W 9 0 O y w m c X V v d D t U T 1 8 y N y Z x d W 9 0 O y w m c X V v d D t C b G t f M j g m c X V v d D s s J n F 1 b 3 Q 7 U 3 R s X z I 5 J n F 1 b 3 Q 7 L C Z x d W 9 0 O 0 N o Z 1 8 z M C Z x d W 9 0 O y w m c X V v d D t E Z W Z f M z E m c X V v d D s s J n F 1 b 3 Q 7 R m x z X z M y J n F 1 b 3 Q 7 L C Z x d W 9 0 O 0 1 Q X z M z J n F 1 b 3 Q 7 L C Z x d W 9 0 O 0 5 1 b S B v Z i B Q b 3 N z X z M 0 J n F 1 b 3 Q 7 L C Z x d W 9 0 O 0 N v b H V t b j U 2 J n F 1 b 3 Q 7 L C Z x d W 9 0 O y N f M z U m c X V v d D s s J n F 1 b 3 Q 7 U G x h e W V y X z M 2 J n F 1 b 3 Q 7 L C Z x d W 9 0 O 2 V G R y U m c X V v d D s s J n F 1 b 3 Q 7 V F M l J n F 1 b 3 Q 7 L C Z x d W 9 0 O 1 V z Y W d l I C U m c X V v d D s s J n F 1 b 3 Q 7 Q X N 0 I C U m c X V v d D s s J n F 1 b 3 Q 7 Q X N 0 I F J h d G l v J n F 1 b 3 Q 7 L C Z x d W 9 0 O 1 R P I F J h d G l v J n F 1 b 3 Q 7 L C Z x d W 9 0 O 0 F z d C 9 U T y Z x d W 9 0 O y w m c X V v d D t P Z m Y g U m V i I C U m c X V v d D s s J n F 1 b 3 Q 7 R G V m I F J l Y i A l J n F 1 b 3 Q 7 L C Z x d W 9 0 O 1 R v d C B S Z W I g J S Z x d W 9 0 O y w m c X V v d D t E Z W Z S d G c m c X V v d D s s J n F 1 b 3 Q 7 T 2 Z m U n R n J n F 1 b 3 Q 7 L C Z x d W 9 0 O 0 5 l d F J 0 Z y Z x d W 9 0 O y w m c X V v d D t Q S U U m c X V v d D s s J n F 1 b 3 Q 7 U E V S J n F 1 b 3 Q 7 L C Z x d W 9 0 O 0 N v b H V t b j c 0 J n F 1 b 3 Q 7 L C Z x d W 9 0 O 0 N v b H V t b j c 1 J n F 1 b 3 Q 7 L C Z x d W 9 0 O 0 l u Z G l 2 a W R 1 Y W w g U G x h e W V y I F J h d G l u Z y B D Y W x j d W x h d G l v b n M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1 0 i I C 8 + P E V u d H J 5 I F R 5 c G U 9 I k Z p b G x D b 2 x 1 b W 5 U e X B l c y I g V m F s d W U 9 I n N B d 0 F B Q U F B Q U F B Q U F B Q U F B Q U F B Q U F B Q U F B Q U F B Q U F B Q U F B Q U F B Q U F H Q U F B Q U F B Q U F B Q U F B Q U F B Q U F B Q U F B Q U F B Q U F B Q U F B Q U F B Q U F B Q m d B Q U F B Q U F B Q U F B Q U F B Q U F B Q U F B Q U F B Q m d B Q U F B Q U F B Q U F B Q U F B Q U F B Q U F B Q U F B Q U F B Q U F B Q U F B Q U F B Q U F Z P S I g L z 4 8 R W 5 0 c n k g V H l w Z T 0 i R m l s b E x h c 3 R V c G R h d G V k I i B W Y W x 1 Z T 0 i Z D I w M j Q t M D U t M j d U M T g 6 M D g 6 N T Q u N j Y 2 O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1 l c y U y M C U y Q i U y M E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t Z X M l M j A l M k I l M j B B d m V y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W V z J T I w J T J C J T I w Q X Z l c m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Z 4 s 4 e 5 Q u T r X w D x V W n + o V A A A A A A I A A A A A A B B m A A A A A Q A A I A A A A N V W T d u B 2 6 x l 2 u h + l y W i G s c B f s j P i k l s t f R K 2 1 x j B g A t A A A A A A 6 A A A A A A g A A I A A A A B x A 7 S 4 E 3 t V o + O U i z h y F x X F l 3 P D a i 3 j j y 9 Y g O H A T Y t A A U A A A A O H o l L j z 4 y T M / E X c H K n S U Z w W w f O d B 4 4 D C 3 G 0 J 7 7 c n J C p s N b Y f 9 b + t j O r a 9 D V F O m t S 9 C b O 0 a q Z R o 3 9 i N M A M F H e L l / F A L Z e c J M M 7 H Q F z x c v o x s Q A A A A N K t K j 5 F 9 p a e o 5 A t a a K i M i G 7 D z n C A n f K z L V i 1 B i t U 6 G U J x E 5 G 0 6 s s 6 n k K q i N l n 1 r d G H 6 U k t P u i X g J d o Q z R K E R 5 A = < / D a t a M a s h u p > 
</file>

<file path=customXml/itemProps1.xml><?xml version="1.0" encoding="utf-8"?>
<ds:datastoreItem xmlns:ds="http://schemas.openxmlformats.org/officeDocument/2006/customXml" ds:itemID="{7A2A0BD0-9F2B-40C9-B095-B53E241577B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e4e83fe6-34f6-4fa4-bce1-18512f419e66"/>
    <ds:schemaRef ds:uri="009cf74e-d7fa-4307-95ed-f4ee0bf18ab8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AC6253F-66C5-4F02-855E-A1B395191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9cf74e-d7fa-4307-95ed-f4ee0bf18ab8"/>
    <ds:schemaRef ds:uri="e4e83fe6-34f6-4fa4-bce1-18512f419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93CE40-5DAF-4242-8625-ACE87081F0B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A0E5908-E58F-4187-901C-41A7FD4896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homedefinitions</vt:lpstr>
      <vt:lpstr>speedofplay</vt:lpstr>
      <vt:lpstr>alladvanceddata</vt:lpstr>
      <vt:lpstr>allstats</vt:lpstr>
      <vt:lpstr>averageadvanced</vt:lpstr>
      <vt:lpstr>Template</vt:lpstr>
      <vt:lpstr>6-6-24 vs Brentwood Academy</vt:lpstr>
      <vt:lpstr>6-6-24 vs Ensworth</vt:lpstr>
      <vt:lpstr>6-7-24 vs Chrsistian Brothers</vt:lpstr>
      <vt:lpstr>6-7-24 vs Sparkman</vt:lpstr>
      <vt:lpstr>6-7-24 vs MBA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Cole Davis</cp:lastModifiedBy>
  <dcterms:created xsi:type="dcterms:W3CDTF">2022-06-09T18:11:20Z</dcterms:created>
  <dcterms:modified xsi:type="dcterms:W3CDTF">2024-06-08T22:23:26Z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0x0101005F4A232546AEF94092C06361CBAE13A3</vt:lpwstr>
  </property>
</Properties>
</file>