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ileycd2\Desktop\Colin_Desktop\Thesis Work\Chapter 2 Kinetics\"/>
    </mc:Choice>
  </mc:AlternateContent>
  <xr:revisionPtr revIDLastSave="0" documentId="8_{EFBA997B-F42B-49C5-9FD2-2A08B5FD21BD}" xr6:coauthVersionLast="47" xr6:coauthVersionMax="47" xr10:uidLastSave="{00000000-0000-0000-0000-000000000000}"/>
  <bookViews>
    <workbookView xWindow="-120" yWindow="-120" windowWidth="29040" windowHeight="15720" xr2:uid="{6A2E9D83-4E35-41BB-9AEF-479386A67B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G14" i="1"/>
  <c r="G43" i="1" s="1"/>
  <c r="F14" i="1"/>
  <c r="E14" i="1"/>
  <c r="G9" i="1"/>
  <c r="G16" i="1" s="1"/>
  <c r="F9" i="1"/>
  <c r="F16" i="1" s="1"/>
  <c r="E9" i="1"/>
  <c r="E16" i="1" s="1"/>
  <c r="D9" i="1"/>
  <c r="D16" i="1" s="1"/>
  <c r="D45" i="1" s="1"/>
  <c r="C9" i="1"/>
  <c r="C16" i="1" s="1"/>
  <c r="C45" i="1" s="1"/>
  <c r="B9" i="1"/>
  <c r="G8" i="1"/>
  <c r="F8" i="1"/>
  <c r="E8" i="1"/>
  <c r="D8" i="1"/>
  <c r="C8" i="1"/>
  <c r="B8" i="1"/>
  <c r="G7" i="1"/>
  <c r="F7" i="1"/>
  <c r="E7" i="1"/>
  <c r="D7" i="1"/>
  <c r="C7" i="1"/>
  <c r="B7" i="1"/>
  <c r="B14" i="1" s="1"/>
  <c r="G6" i="1"/>
  <c r="G13" i="1" s="1"/>
  <c r="F6" i="1"/>
  <c r="F13" i="1" s="1"/>
  <c r="E6" i="1"/>
  <c r="E13" i="1" s="1"/>
  <c r="D6" i="1"/>
  <c r="D13" i="1" s="1"/>
  <c r="C6" i="1"/>
  <c r="C13" i="1" s="1"/>
  <c r="B6" i="1"/>
  <c r="B13" i="1" s="1"/>
  <c r="B42" i="1" s="1"/>
  <c r="G5" i="1"/>
  <c r="G12" i="1" s="1"/>
  <c r="G41" i="1" s="1"/>
  <c r="F5" i="1"/>
  <c r="E5" i="1"/>
  <c r="D5" i="1"/>
  <c r="C5" i="1"/>
  <c r="B5" i="1"/>
  <c r="E3" i="1"/>
  <c r="F3" i="1" s="1"/>
  <c r="G3" i="1" s="1"/>
  <c r="B3" i="1"/>
  <c r="C3" i="1" s="1"/>
  <c r="E2" i="1"/>
  <c r="F2" i="1" s="1"/>
  <c r="G2" i="1" s="1"/>
  <c r="C2" i="1"/>
  <c r="C1" i="1"/>
  <c r="B1" i="1"/>
  <c r="G15" i="1" s="1"/>
  <c r="C14" i="1" l="1"/>
  <c r="G26" i="1"/>
  <c r="F42" i="1"/>
  <c r="F27" i="1"/>
  <c r="G42" i="1"/>
  <c r="G27" i="1"/>
  <c r="B43" i="1"/>
  <c r="B28" i="1"/>
  <c r="G44" i="1"/>
  <c r="G29" i="1"/>
  <c r="D14" i="1"/>
  <c r="B27" i="1"/>
  <c r="C30" i="1"/>
  <c r="C42" i="1"/>
  <c r="C27" i="1"/>
  <c r="E45" i="1"/>
  <c r="E30" i="1"/>
  <c r="E42" i="1"/>
  <c r="E27" i="1"/>
  <c r="G45" i="1"/>
  <c r="G30" i="1"/>
  <c r="F28" i="1"/>
  <c r="F43" i="1"/>
  <c r="F12" i="1"/>
  <c r="E12" i="1"/>
  <c r="C12" i="1"/>
  <c r="B12" i="1"/>
  <c r="D12" i="1"/>
  <c r="D42" i="1"/>
  <c r="D27" i="1"/>
  <c r="F45" i="1"/>
  <c r="F30" i="1"/>
  <c r="E28" i="1"/>
  <c r="E43" i="1"/>
  <c r="D30" i="1"/>
  <c r="B16" i="1"/>
  <c r="F15" i="1"/>
  <c r="E15" i="1"/>
  <c r="D15" i="1"/>
  <c r="C15" i="1"/>
  <c r="B15" i="1"/>
  <c r="G28" i="1"/>
  <c r="F44" i="1" l="1"/>
  <c r="F29" i="1"/>
  <c r="D26" i="1"/>
  <c r="D41" i="1"/>
  <c r="B26" i="1"/>
  <c r="B41" i="1"/>
  <c r="C26" i="1"/>
  <c r="C41" i="1"/>
  <c r="B45" i="1"/>
  <c r="B30" i="1"/>
  <c r="E26" i="1"/>
  <c r="E41" i="1"/>
  <c r="E46" i="1" s="1"/>
  <c r="F26" i="1"/>
  <c r="F41" i="1"/>
  <c r="F46" i="1" s="1"/>
  <c r="C44" i="1"/>
  <c r="C29" i="1"/>
  <c r="D44" i="1"/>
  <c r="D29" i="1"/>
  <c r="G37" i="1"/>
  <c r="G33" i="1"/>
  <c r="G36" i="1" s="1"/>
  <c r="G32" i="1"/>
  <c r="E44" i="1"/>
  <c r="E29" i="1"/>
  <c r="D28" i="1"/>
  <c r="D43" i="1"/>
  <c r="B44" i="1"/>
  <c r="B29" i="1"/>
  <c r="C28" i="1"/>
  <c r="C43" i="1"/>
  <c r="F32" i="1" l="1"/>
  <c r="F37" i="1"/>
  <c r="F33" i="1"/>
  <c r="F36" i="1" s="1"/>
  <c r="E32" i="1"/>
  <c r="E37" i="1"/>
  <c r="E33" i="1"/>
  <c r="E36" i="1" s="1"/>
  <c r="C46" i="1"/>
  <c r="C32" i="1"/>
  <c r="C33" i="1"/>
  <c r="C36" i="1" s="1"/>
  <c r="C37" i="1"/>
  <c r="B46" i="1"/>
  <c r="B37" i="1"/>
  <c r="B33" i="1"/>
  <c r="B36" i="1" s="1"/>
  <c r="B32" i="1"/>
  <c r="D46" i="1"/>
  <c r="D32" i="1"/>
  <c r="D33" i="1"/>
  <c r="D36" i="1" s="1"/>
  <c r="D37" i="1"/>
  <c r="G38" i="1"/>
  <c r="G39" i="1"/>
  <c r="C39" i="1" l="1"/>
  <c r="C38" i="1"/>
  <c r="D39" i="1"/>
  <c r="D38" i="1"/>
  <c r="B39" i="1"/>
  <c r="B38" i="1"/>
  <c r="E39" i="1"/>
  <c r="E38" i="1"/>
  <c r="F38" i="1"/>
  <c r="F39" i="1"/>
</calcChain>
</file>

<file path=xl/sharedStrings.xml><?xml version="1.0" encoding="utf-8"?>
<sst xmlns="http://schemas.openxmlformats.org/spreadsheetml/2006/main" count="40" uniqueCount="25">
  <si>
    <t>1.8 M HBA Concentration</t>
  </si>
  <si>
    <t>0.9 M HBA Concentration</t>
  </si>
  <si>
    <t>Experimental Data</t>
  </si>
  <si>
    <t>HBA</t>
  </si>
  <si>
    <t>Sulf</t>
  </si>
  <si>
    <t>MONO</t>
  </si>
  <si>
    <t>DIPBA</t>
  </si>
  <si>
    <t>Esterified</t>
  </si>
  <si>
    <t>isopropoxy</t>
  </si>
  <si>
    <t>1.8 M 80 C 15 Min</t>
  </si>
  <si>
    <t>1.8 M 90 C 10 Min</t>
  </si>
  <si>
    <t>0.9 M 80 C 15 Min</t>
  </si>
  <si>
    <t>0.9 M 70 C 20 Min</t>
  </si>
  <si>
    <t>0.9 M 84 C 17 Min</t>
  </si>
  <si>
    <t>Experimental Data Yield</t>
  </si>
  <si>
    <t>Simulation Data</t>
  </si>
  <si>
    <t>Percent Difference</t>
  </si>
  <si>
    <t>Average</t>
  </si>
  <si>
    <t>STD Deviation</t>
  </si>
  <si>
    <t>Confidence Interval</t>
  </si>
  <si>
    <t>Standard Error</t>
  </si>
  <si>
    <t>Mean</t>
  </si>
  <si>
    <t xml:space="preserve">Upper </t>
  </si>
  <si>
    <t>Lower</t>
  </si>
  <si>
    <t>Relative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</si>
</sst>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543F2-296D-4078-A4FB-4FB24CF0AE64}">
  <dimension ref="A1:G46"/>
  <sheetViews>
    <sheetView tabSelected="1" workbookViewId="0">
      <selection activeCell="K17" sqref="K17"/>
    </sheetView>
  </sheetViews>
  <sheetFormatPr defaultRowHeight="15" x14ac:dyDescent="0.25"/>
  <sheetData>
    <row r="1" spans="1:7" x14ac:dyDescent="0.25">
      <c r="B1">
        <f>60.428/138.12</f>
        <v>0.43750362004054444</v>
      </c>
      <c r="C1">
        <f>31.077/138.12</f>
        <v>0.22500000000000001</v>
      </c>
    </row>
    <row r="2" spans="1:7" x14ac:dyDescent="0.25">
      <c r="A2" t="s">
        <v>0</v>
      </c>
      <c r="B2">
        <v>0.61</v>
      </c>
      <c r="C2">
        <f>6.72*B2</f>
        <v>4.0991999999999997</v>
      </c>
      <c r="E2">
        <f>((7028.59*1*0.827)/4729.63)*100</f>
        <v>122.89849163676652</v>
      </c>
      <c r="F2">
        <f>E2/138.12</f>
        <v>0.88979504515469532</v>
      </c>
      <c r="G2">
        <f>(F2*250)/469</f>
        <v>0.47430439507179922</v>
      </c>
    </row>
    <row r="3" spans="1:7" x14ac:dyDescent="0.25">
      <c r="A3" t="s">
        <v>1</v>
      </c>
      <c r="B3">
        <f>B2/2</f>
        <v>0.30499999999999999</v>
      </c>
      <c r="C3">
        <f>13.4*B3</f>
        <v>4.0869999999999997</v>
      </c>
      <c r="E3">
        <f>((7383.16*1*0.827)/4729.63)*50</f>
        <v>64.549164733816383</v>
      </c>
      <c r="F3">
        <f>E3/138.12</f>
        <v>0.46734118689412379</v>
      </c>
      <c r="G3">
        <f>(F3*250)/469</f>
        <v>0.24911577126552439</v>
      </c>
    </row>
    <row r="4" spans="1:7" x14ac:dyDescent="0.25">
      <c r="A4" s="1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</row>
    <row r="5" spans="1:7" x14ac:dyDescent="0.25">
      <c r="A5" t="s">
        <v>9</v>
      </c>
      <c r="B5">
        <f>((((0.827*9.56*1)/4729.63623)*100)/138.12)</f>
        <v>1.2102611514932273E-3</v>
      </c>
      <c r="C5">
        <f>((((382.53*0.72*1)/4729.63623)*100)/260.26)</f>
        <v>2.2374989092200918E-2</v>
      </c>
      <c r="D5">
        <f>((((56.1*0.885*1)/4729.63623)*100)/180.2)</f>
        <v>5.8253712236242816E-3</v>
      </c>
      <c r="E5">
        <f>((((3791.78*1)/4729.63623)*100)/222.28)</f>
        <v>0.36067413942656762</v>
      </c>
      <c r="F5">
        <f>((((395.85*1.025*0.842)/4729.63623)*100)/264.37)</f>
        <v>2.7322893917487469E-2</v>
      </c>
      <c r="G5">
        <f>(((0*1.025*0.569)/4869.78271)*100)/180.2</f>
        <v>0</v>
      </c>
    </row>
    <row r="6" spans="1:7" x14ac:dyDescent="0.25">
      <c r="A6" t="s">
        <v>10</v>
      </c>
      <c r="B6">
        <f>(((((0.827*0*1.025)/4869.78271)*100)/138.12))</f>
        <v>0</v>
      </c>
      <c r="C6">
        <f>(((359.63*0.72*1)/4729.63623)*100)/260.26</f>
        <v>2.103551963827208E-2</v>
      </c>
      <c r="D6">
        <f>(((57.89*0.885*1)/4729.63623)*100)/180.2</f>
        <v>6.0112431396721856E-3</v>
      </c>
      <c r="E6">
        <f>((((3234.38*1)/4729.63623)*100)/222.28)</f>
        <v>0.30765424763000537</v>
      </c>
      <c r="F6">
        <f>((((314.97*1*0.842)/4729.63623)*100)/264.37)</f>
        <v>2.1210034343363687E-2</v>
      </c>
      <c r="G6">
        <f t="shared" ref="G6:G9" si="0">(((0*1.025*0.569)/4869.78271)*100)/180.2</f>
        <v>0</v>
      </c>
    </row>
    <row r="7" spans="1:7" x14ac:dyDescent="0.25">
      <c r="A7" t="s">
        <v>11</v>
      </c>
      <c r="B7">
        <f>(((((0.827*0*1)/4729.63623)*100)/138.12))</f>
        <v>0</v>
      </c>
      <c r="C7">
        <f>((((481.85*0.72*1)/4729.63623)*40)/260.26)</f>
        <v>1.1273770417041293E-2</v>
      </c>
      <c r="D7">
        <f>((((85.52*0.885*1)/4729.63623)*40)/180.2)</f>
        <v>3.5521265386406309E-3</v>
      </c>
      <c r="E7">
        <f>((((4427.5918*1)/4729.63623)*40)/222.28)</f>
        <v>0.16846102486928327</v>
      </c>
      <c r="F7">
        <f>((((521.04*1*0.842)/4729.63623)*40)/264.37)</f>
        <v>1.4034703361293093E-2</v>
      </c>
      <c r="G7">
        <f t="shared" si="0"/>
        <v>0</v>
      </c>
    </row>
    <row r="8" spans="1:7" x14ac:dyDescent="0.25">
      <c r="A8" t="s">
        <v>12</v>
      </c>
      <c r="B8">
        <f>(((((0.827*63.66*1)/4729.63623)*50)/138.12))</f>
        <v>4.0295619719696038E-3</v>
      </c>
      <c r="C8">
        <f>((((340.88*0.72*1)/4729.63623)*50)/260.26)</f>
        <v>9.9693962326476999E-3</v>
      </c>
      <c r="D8">
        <f>((((112.59*0.885*1)/4729.63623)*50)/180.2)</f>
        <v>5.845619840176986E-3</v>
      </c>
      <c r="E8">
        <f>((((3637.87451*1)/4729.63623)*50)/222.28)</f>
        <v>0.17301732408474335</v>
      </c>
      <c r="F8">
        <f>((((517.71*1*0.842)/4729.63623)*50)/264.37)</f>
        <v>1.743125834191005E-2</v>
      </c>
      <c r="G8">
        <f t="shared" si="0"/>
        <v>0</v>
      </c>
    </row>
    <row r="9" spans="1:7" x14ac:dyDescent="0.25">
      <c r="A9" t="s">
        <v>13</v>
      </c>
      <c r="B9">
        <f>(((((0.827*20.23*1)/4729.63623)*25)/138.12))</f>
        <v>6.4026106419215446E-4</v>
      </c>
      <c r="C9">
        <f>((((557.41*0.72*1)/4729.63623)*25)/260.26)</f>
        <v>8.1510225798523735E-3</v>
      </c>
      <c r="D9">
        <f>((((371.17*0.885*1)/4729.63623)*25)/180.2)</f>
        <v>9.6354859049582204E-3</v>
      </c>
      <c r="E9">
        <f>((((6052.59*1)/4729.63623)*25)/222.28)</f>
        <v>0.14393060050634851</v>
      </c>
      <c r="F9">
        <f>((((1170.39*1*0.842)/4729.63623)*25)/264.37)</f>
        <v>1.9703473422174673E-2</v>
      </c>
      <c r="G9">
        <f t="shared" si="0"/>
        <v>0</v>
      </c>
    </row>
    <row r="11" spans="1:7" x14ac:dyDescent="0.25">
      <c r="A11" s="1" t="s">
        <v>14</v>
      </c>
    </row>
    <row r="12" spans="1:7" x14ac:dyDescent="0.25">
      <c r="A12" t="s">
        <v>9</v>
      </c>
      <c r="B12">
        <f t="shared" ref="B12:D13" si="1">(B5/$G$2)*100</f>
        <v>0.25516549373530906</v>
      </c>
      <c r="C12">
        <f t="shared" si="1"/>
        <v>4.7174323756400867</v>
      </c>
      <c r="D12">
        <f t="shared" si="1"/>
        <v>1.2281925455787626</v>
      </c>
      <c r="E12">
        <f>(E5/$G$2)*100</f>
        <v>76.042757177480823</v>
      </c>
      <c r="F12">
        <f>(F5/$G$2)*100</f>
        <v>5.7606242323247683</v>
      </c>
      <c r="G12">
        <f t="shared" ref="G12:G16" si="2">(G5/$B$1)*100</f>
        <v>0</v>
      </c>
    </row>
    <row r="13" spans="1:7" x14ac:dyDescent="0.25">
      <c r="A13" t="s">
        <v>10</v>
      </c>
      <c r="B13">
        <f t="shared" si="1"/>
        <v>0</v>
      </c>
      <c r="C13">
        <f t="shared" si="1"/>
        <v>4.4350252405077892</v>
      </c>
      <c r="D13">
        <f t="shared" si="1"/>
        <v>1.2673808638779778</v>
      </c>
      <c r="E13">
        <f>(E6/$G$2)*100</f>
        <v>64.864304616750033</v>
      </c>
      <c r="F13">
        <f t="shared" ref="F13" si="3">(F6/$G$2)*100</f>
        <v>4.4718190604480812</v>
      </c>
      <c r="G13">
        <f t="shared" si="2"/>
        <v>0</v>
      </c>
    </row>
    <row r="14" spans="1:7" x14ac:dyDescent="0.25">
      <c r="A14" t="s">
        <v>11</v>
      </c>
      <c r="B14">
        <f t="shared" ref="B14:F16" si="4">(B7/$G$3)*100</f>
        <v>0</v>
      </c>
      <c r="C14">
        <f t="shared" si="4"/>
        <v>4.525514526747866</v>
      </c>
      <c r="D14">
        <f t="shared" si="4"/>
        <v>1.4258938808231996</v>
      </c>
      <c r="E14">
        <f t="shared" si="4"/>
        <v>67.623588829197871</v>
      </c>
      <c r="F14">
        <f t="shared" si="4"/>
        <v>5.6338076429267741</v>
      </c>
      <c r="G14">
        <f t="shared" si="2"/>
        <v>0</v>
      </c>
    </row>
    <row r="15" spans="1:7" x14ac:dyDescent="0.25">
      <c r="A15" t="s">
        <v>12</v>
      </c>
      <c r="B15">
        <f t="shared" si="4"/>
        <v>1.617545911083496</v>
      </c>
      <c r="C15">
        <f t="shared" si="4"/>
        <v>4.0019129186412066</v>
      </c>
      <c r="D15">
        <f t="shared" si="4"/>
        <v>2.3465474748872199</v>
      </c>
      <c r="E15">
        <f t="shared" si="4"/>
        <v>69.452577492707121</v>
      </c>
      <c r="F15">
        <f t="shared" si="4"/>
        <v>6.9972520219647754</v>
      </c>
      <c r="G15">
        <f t="shared" si="2"/>
        <v>0</v>
      </c>
    </row>
    <row r="16" spans="1:7" x14ac:dyDescent="0.25">
      <c r="A16" t="s">
        <v>13</v>
      </c>
      <c r="B16">
        <f t="shared" si="4"/>
        <v>0.25701346042427842</v>
      </c>
      <c r="C16">
        <f t="shared" si="4"/>
        <v>3.2719817530799618</v>
      </c>
      <c r="D16">
        <f t="shared" si="4"/>
        <v>3.8678747058081964</v>
      </c>
      <c r="E16">
        <f t="shared" si="4"/>
        <v>57.776591090628926</v>
      </c>
      <c r="F16">
        <f t="shared" si="4"/>
        <v>7.9093641169644711</v>
      </c>
      <c r="G16">
        <f t="shared" si="2"/>
        <v>0</v>
      </c>
    </row>
    <row r="18" spans="1:7" x14ac:dyDescent="0.25">
      <c r="A18" s="1" t="s">
        <v>15</v>
      </c>
    </row>
    <row r="19" spans="1:7" x14ac:dyDescent="0.25">
      <c r="A19" t="s">
        <v>9</v>
      </c>
      <c r="B19">
        <v>0</v>
      </c>
      <c r="C19">
        <v>6.78</v>
      </c>
      <c r="D19">
        <v>0</v>
      </c>
      <c r="E19">
        <v>71.599999999999994</v>
      </c>
      <c r="F19">
        <v>21.62</v>
      </c>
      <c r="G19">
        <v>0</v>
      </c>
    </row>
    <row r="20" spans="1:7" x14ac:dyDescent="0.25">
      <c r="A20" t="s">
        <v>10</v>
      </c>
      <c r="B20">
        <v>0</v>
      </c>
      <c r="C20">
        <v>6.38</v>
      </c>
      <c r="D20">
        <v>0</v>
      </c>
      <c r="E20">
        <v>72.58</v>
      </c>
      <c r="F20">
        <v>21.04</v>
      </c>
      <c r="G20">
        <v>0</v>
      </c>
    </row>
    <row r="21" spans="1:7" x14ac:dyDescent="0.25">
      <c r="A21" t="s">
        <v>11</v>
      </c>
      <c r="B21">
        <v>0</v>
      </c>
      <c r="C21">
        <v>6.12</v>
      </c>
      <c r="D21">
        <v>0</v>
      </c>
      <c r="E21">
        <v>63.8</v>
      </c>
      <c r="F21">
        <v>30.08</v>
      </c>
      <c r="G21">
        <v>0</v>
      </c>
    </row>
    <row r="22" spans="1:7" x14ac:dyDescent="0.25">
      <c r="A22" t="s">
        <v>12</v>
      </c>
      <c r="B22">
        <v>0</v>
      </c>
      <c r="C22">
        <v>6.65</v>
      </c>
      <c r="D22">
        <v>0</v>
      </c>
      <c r="E22">
        <v>62.42</v>
      </c>
      <c r="F22">
        <v>30.93</v>
      </c>
      <c r="G22">
        <v>0</v>
      </c>
    </row>
    <row r="23" spans="1:7" x14ac:dyDescent="0.25">
      <c r="A23" t="s">
        <v>13</v>
      </c>
      <c r="B23">
        <v>0</v>
      </c>
      <c r="C23">
        <v>5.96</v>
      </c>
      <c r="D23">
        <v>0</v>
      </c>
      <c r="E23">
        <v>65.61</v>
      </c>
      <c r="F23">
        <v>28.42</v>
      </c>
      <c r="G23">
        <v>0</v>
      </c>
    </row>
    <row r="25" spans="1:7" x14ac:dyDescent="0.25">
      <c r="A25" s="1" t="s">
        <v>16</v>
      </c>
    </row>
    <row r="26" spans="1:7" x14ac:dyDescent="0.25">
      <c r="A26" t="s">
        <v>9</v>
      </c>
      <c r="B26">
        <f>(B12-B19)</f>
        <v>0.25516549373530906</v>
      </c>
      <c r="C26">
        <f t="shared" ref="C26:G26" si="5">(C12-C19)</f>
        <v>-2.0625676243599136</v>
      </c>
      <c r="D26">
        <f t="shared" si="5"/>
        <v>1.2281925455787626</v>
      </c>
      <c r="E26">
        <f>(E12-E19)</f>
        <v>4.4427571774808285</v>
      </c>
      <c r="F26">
        <f t="shared" si="5"/>
        <v>-15.859375767675232</v>
      </c>
      <c r="G26">
        <f t="shared" si="5"/>
        <v>0</v>
      </c>
    </row>
    <row r="27" spans="1:7" x14ac:dyDescent="0.25">
      <c r="A27" t="s">
        <v>10</v>
      </c>
      <c r="B27">
        <f t="shared" ref="B27:G30" si="6">(B13-B20)</f>
        <v>0</v>
      </c>
      <c r="C27">
        <f t="shared" si="6"/>
        <v>-1.9449747594922107</v>
      </c>
      <c r="D27">
        <f t="shared" si="6"/>
        <v>1.2673808638779778</v>
      </c>
      <c r="E27">
        <f t="shared" si="6"/>
        <v>-7.7156953832499653</v>
      </c>
      <c r="F27">
        <f t="shared" si="6"/>
        <v>-16.568180939551919</v>
      </c>
      <c r="G27">
        <f t="shared" si="6"/>
        <v>0</v>
      </c>
    </row>
    <row r="28" spans="1:7" x14ac:dyDescent="0.25">
      <c r="A28" s="2" t="s">
        <v>11</v>
      </c>
      <c r="B28">
        <f t="shared" si="6"/>
        <v>0</v>
      </c>
      <c r="C28">
        <f t="shared" si="6"/>
        <v>-1.5944854732521341</v>
      </c>
      <c r="D28">
        <f t="shared" si="6"/>
        <v>1.4258938808231996</v>
      </c>
      <c r="E28">
        <f t="shared" si="6"/>
        <v>3.8235888291978739</v>
      </c>
      <c r="F28">
        <f t="shared" si="6"/>
        <v>-24.446192357073222</v>
      </c>
      <c r="G28">
        <f t="shared" si="6"/>
        <v>0</v>
      </c>
    </row>
    <row r="29" spans="1:7" x14ac:dyDescent="0.25">
      <c r="A29" t="s">
        <v>12</v>
      </c>
      <c r="B29">
        <f t="shared" si="6"/>
        <v>1.617545911083496</v>
      </c>
      <c r="C29">
        <f t="shared" si="6"/>
        <v>-2.6480870813587938</v>
      </c>
      <c r="D29">
        <f t="shared" si="6"/>
        <v>2.3465474748872199</v>
      </c>
      <c r="E29">
        <f t="shared" si="6"/>
        <v>7.0325774927071194</v>
      </c>
      <c r="F29">
        <f t="shared" si="6"/>
        <v>-23.932747978035223</v>
      </c>
      <c r="G29">
        <f t="shared" si="6"/>
        <v>0</v>
      </c>
    </row>
    <row r="30" spans="1:7" x14ac:dyDescent="0.25">
      <c r="A30" t="s">
        <v>13</v>
      </c>
      <c r="B30">
        <f t="shared" si="6"/>
        <v>0.25701346042427842</v>
      </c>
      <c r="C30">
        <f t="shared" si="6"/>
        <v>-2.6880182469200382</v>
      </c>
      <c r="D30">
        <f t="shared" si="6"/>
        <v>3.8678747058081964</v>
      </c>
      <c r="E30">
        <f t="shared" si="6"/>
        <v>-7.833408909371073</v>
      </c>
      <c r="F30">
        <f t="shared" si="6"/>
        <v>-20.51063588303553</v>
      </c>
      <c r="G30">
        <f t="shared" si="6"/>
        <v>0</v>
      </c>
    </row>
    <row r="32" spans="1:7" x14ac:dyDescent="0.25">
      <c r="A32" s="1" t="s">
        <v>17</v>
      </c>
      <c r="B32">
        <f>AVERAGE(B26:B30)</f>
        <v>0.42594497304861667</v>
      </c>
      <c r="C32">
        <f t="shared" ref="C32:G32" si="7">AVERAGE(C26:C30)</f>
        <v>-2.187626637076618</v>
      </c>
      <c r="D32">
        <f t="shared" si="7"/>
        <v>2.0271778941950713</v>
      </c>
      <c r="E32">
        <f t="shared" si="7"/>
        <v>-5.0036158647043291E-2</v>
      </c>
      <c r="F32">
        <f t="shared" si="7"/>
        <v>-20.263426585074225</v>
      </c>
      <c r="G32">
        <f t="shared" si="7"/>
        <v>0</v>
      </c>
    </row>
    <row r="33" spans="1:7" x14ac:dyDescent="0.25">
      <c r="A33" t="s">
        <v>18</v>
      </c>
      <c r="B33">
        <f>STDEV(B26:B30)</f>
        <v>0.67832044827066229</v>
      </c>
      <c r="C33">
        <f t="shared" ref="C33:G33" si="8">STDEV(C26:C30)</f>
        <v>0.47136814554289858</v>
      </c>
      <c r="D33">
        <f t="shared" si="8"/>
        <v>1.1255413431625894</v>
      </c>
      <c r="E33">
        <f t="shared" si="8"/>
        <v>7.1536144948971971</v>
      </c>
      <c r="F33">
        <f t="shared" si="8"/>
        <v>4.0022201778584856</v>
      </c>
      <c r="G33">
        <f t="shared" si="8"/>
        <v>0</v>
      </c>
    </row>
    <row r="35" spans="1:7" x14ac:dyDescent="0.25">
      <c r="A35" s="1" t="s">
        <v>19</v>
      </c>
      <c r="B35">
        <f>_xlfn.T.INV.2T(0.05,4)</f>
        <v>2.7764451051977934</v>
      </c>
    </row>
    <row r="36" spans="1:7" x14ac:dyDescent="0.25">
      <c r="A36" t="s">
        <v>20</v>
      </c>
      <c r="B36">
        <f>B33/SQRT(4)</f>
        <v>0.33916022413533115</v>
      </c>
      <c r="C36">
        <f t="shared" ref="C36:G36" si="9">C33/SQRT(4)</f>
        <v>0.23568407277144929</v>
      </c>
      <c r="D36">
        <f t="shared" si="9"/>
        <v>0.56277067158129468</v>
      </c>
      <c r="E36">
        <f t="shared" si="9"/>
        <v>3.5768072474485986</v>
      </c>
      <c r="F36">
        <f t="shared" si="9"/>
        <v>2.0011100889292428</v>
      </c>
      <c r="G36">
        <f t="shared" si="9"/>
        <v>0</v>
      </c>
    </row>
    <row r="37" spans="1:7" x14ac:dyDescent="0.25">
      <c r="A37" t="s">
        <v>21</v>
      </c>
      <c r="B37">
        <f>SUM(B26:B30)/5</f>
        <v>0.42594497304861667</v>
      </c>
      <c r="C37">
        <f t="shared" ref="C37:G37" si="10">SUM(C26:C30)/5</f>
        <v>-2.187626637076618</v>
      </c>
      <c r="D37">
        <f t="shared" si="10"/>
        <v>2.0271778941950713</v>
      </c>
      <c r="E37">
        <f>SUM(E26:E30)/5</f>
        <v>-5.0036158647043291E-2</v>
      </c>
      <c r="F37">
        <f t="shared" si="10"/>
        <v>-20.263426585074225</v>
      </c>
      <c r="G37">
        <f t="shared" si="10"/>
        <v>0</v>
      </c>
    </row>
    <row r="38" spans="1:7" x14ac:dyDescent="0.25">
      <c r="A38" t="s">
        <v>22</v>
      </c>
      <c r="B38">
        <f>B37+($B$35*B36)</f>
        <v>1.3676047172269432</v>
      </c>
      <c r="C38">
        <f t="shared" ref="C38:G38" si="11">C37+($B$35*C36)</f>
        <v>-1.5332627468572471</v>
      </c>
      <c r="D38">
        <f t="shared" si="11"/>
        <v>3.5896797706558319</v>
      </c>
      <c r="E38">
        <f t="shared" si="11"/>
        <v>9.880772815767612</v>
      </c>
      <c r="F38">
        <f t="shared" si="11"/>
        <v>-14.707454273704707</v>
      </c>
      <c r="G38">
        <f t="shared" si="11"/>
        <v>0</v>
      </c>
    </row>
    <row r="39" spans="1:7" x14ac:dyDescent="0.25">
      <c r="A39" t="s">
        <v>23</v>
      </c>
      <c r="B39">
        <f>B37-($B$35*B36)</f>
        <v>-0.51571477112970998</v>
      </c>
      <c r="C39">
        <f t="shared" ref="C39:G39" si="12">C37-($B$35*C36)</f>
        <v>-2.8419905272959891</v>
      </c>
      <c r="D39">
        <f t="shared" si="12"/>
        <v>0.46467601773431078</v>
      </c>
      <c r="E39">
        <f t="shared" si="12"/>
        <v>-9.9808451330616972</v>
      </c>
      <c r="F39">
        <f t="shared" si="12"/>
        <v>-25.819398896443744</v>
      </c>
      <c r="G39">
        <f t="shared" si="12"/>
        <v>0</v>
      </c>
    </row>
    <row r="41" spans="1:7" x14ac:dyDescent="0.25">
      <c r="B41">
        <f>(ABS(B19-B12)/B12)*100</f>
        <v>100</v>
      </c>
      <c r="C41">
        <f t="shared" ref="C41:G41" si="13">(ABS(C19-C12)/C12)*100</f>
        <v>43.722251006937931</v>
      </c>
      <c r="D41">
        <f t="shared" si="13"/>
        <v>100</v>
      </c>
      <c r="E41">
        <f t="shared" si="13"/>
        <v>5.8424462005127022</v>
      </c>
      <c r="F41">
        <f t="shared" si="13"/>
        <v>275.30654887508592</v>
      </c>
      <c r="G41" t="e">
        <f t="shared" si="13"/>
        <v>#DIV/0!</v>
      </c>
    </row>
    <row r="42" spans="1:7" x14ac:dyDescent="0.25">
      <c r="B42" t="e">
        <f t="shared" ref="B42:G45" si="14">(ABS(B20-B13)/B13)*100</f>
        <v>#DIV/0!</v>
      </c>
      <c r="C42">
        <f t="shared" si="14"/>
        <v>43.854874640341848</v>
      </c>
      <c r="D42">
        <f t="shared" si="14"/>
        <v>100</v>
      </c>
      <c r="E42">
        <f t="shared" si="14"/>
        <v>11.895133122659772</v>
      </c>
      <c r="F42">
        <f t="shared" si="14"/>
        <v>370.50204213521482</v>
      </c>
      <c r="G42" t="e">
        <f t="shared" si="14"/>
        <v>#DIV/0!</v>
      </c>
    </row>
    <row r="43" spans="1:7" x14ac:dyDescent="0.25">
      <c r="B43" t="e">
        <f t="shared" si="14"/>
        <v>#DIV/0!</v>
      </c>
      <c r="C43">
        <f t="shared" si="14"/>
        <v>35.23324174141954</v>
      </c>
      <c r="D43">
        <f t="shared" si="14"/>
        <v>100</v>
      </c>
      <c r="E43">
        <f t="shared" si="14"/>
        <v>5.6542234675763927</v>
      </c>
      <c r="F43">
        <f t="shared" si="14"/>
        <v>433.91954263410702</v>
      </c>
      <c r="G43" t="e">
        <f t="shared" si="14"/>
        <v>#DIV/0!</v>
      </c>
    </row>
    <row r="44" spans="1:7" x14ac:dyDescent="0.25">
      <c r="B44">
        <f t="shared" si="14"/>
        <v>100</v>
      </c>
      <c r="C44">
        <f t="shared" si="14"/>
        <v>66.170532322775145</v>
      </c>
      <c r="D44">
        <f t="shared" si="14"/>
        <v>100</v>
      </c>
      <c r="E44">
        <f t="shared" si="14"/>
        <v>10.125725706069838</v>
      </c>
      <c r="F44">
        <f t="shared" si="14"/>
        <v>342.03067008175429</v>
      </c>
      <c r="G44" t="e">
        <f t="shared" si="14"/>
        <v>#DIV/0!</v>
      </c>
    </row>
    <row r="45" spans="1:7" x14ac:dyDescent="0.25">
      <c r="B45">
        <f t="shared" si="14"/>
        <v>100</v>
      </c>
      <c r="C45">
        <f t="shared" si="14"/>
        <v>82.152605050128088</v>
      </c>
      <c r="D45">
        <f t="shared" si="14"/>
        <v>100</v>
      </c>
      <c r="E45">
        <f t="shared" si="14"/>
        <v>13.558101579727181</v>
      </c>
      <c r="F45">
        <f t="shared" si="14"/>
        <v>259.32092112238337</v>
      </c>
      <c r="G45" t="e">
        <f t="shared" si="14"/>
        <v>#DIV/0!</v>
      </c>
    </row>
    <row r="46" spans="1:7" x14ac:dyDescent="0.25">
      <c r="A46" t="s">
        <v>24</v>
      </c>
      <c r="B46">
        <f>AVERAGE(B41,B44,B45)</f>
        <v>100</v>
      </c>
      <c r="C46">
        <f t="shared" ref="C46:F46" si="15">AVERAGE(C41:C45)</f>
        <v>54.226700952320513</v>
      </c>
      <c r="D46">
        <f t="shared" si="15"/>
        <v>100</v>
      </c>
      <c r="E46">
        <f t="shared" si="15"/>
        <v>9.4151260153091769</v>
      </c>
      <c r="F46">
        <f t="shared" si="15"/>
        <v>336.21594496970908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2333B466F80340A9D9A824F8B66A08" ma:contentTypeVersion="6" ma:contentTypeDescription="Create a new document." ma:contentTypeScope="" ma:versionID="31c738fb8d7f6c42d6e61b1fbb25bd32">
  <xsd:schema xmlns:xsd="http://www.w3.org/2001/XMLSchema" xmlns:xs="http://www.w3.org/2001/XMLSchema" xmlns:p="http://schemas.microsoft.com/office/2006/metadata/properties" xmlns:ns3="a16e6672-db2b-4e1c-8ddd-212f6f665287" targetNamespace="http://schemas.microsoft.com/office/2006/metadata/properties" ma:root="true" ma:fieldsID="8c2b59c011602445fba8dcb6a7ed7522" ns3:_="">
    <xsd:import namespace="a16e6672-db2b-4e1c-8ddd-212f6f6652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6e6672-db2b-4e1c-8ddd-212f6f6652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411FA1-426F-4C58-9358-2388847079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6e6672-db2b-4e1c-8ddd-212f6f6652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AAC7B3-DB77-4714-9FCA-4A1AC9A2E4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9FF3B6-0062-4F96-9EF8-7FB0F3FCA885}">
  <ds:schemaRefs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www.w3.org/XML/1998/namespace"/>
    <ds:schemaRef ds:uri="a16e6672-db2b-4e1c-8ddd-212f6f66528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Bailey</dc:creator>
  <cp:lastModifiedBy>Colin Bailey</cp:lastModifiedBy>
  <dcterms:created xsi:type="dcterms:W3CDTF">2025-09-24T19:32:04Z</dcterms:created>
  <dcterms:modified xsi:type="dcterms:W3CDTF">2025-09-24T19:32:47Z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0x010100662333B466F80340A9D9A824F8B66A08</vt:lpwstr>
  </property>
</Properties>
</file>