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aileycd2\Downloads\"/>
    </mc:Choice>
  </mc:AlternateContent>
  <xr:revisionPtr revIDLastSave="0" documentId="13_ncr:1_{69BF5250-958B-44F0-9699-60F3561D5947}" xr6:coauthVersionLast="47" xr6:coauthVersionMax="47" xr10:uidLastSave="{00000000-0000-0000-0000-000000000000}"/>
  <bookViews>
    <workbookView minimized="1" xWindow="-24255" yWindow="4290" windowWidth="21600" windowHeight="11295" xr2:uid="{76302E01-11A0-4ABA-97B1-74C3437F0B55}"/>
  </bookViews>
  <sheets>
    <sheet name="Concentration Calculations" sheetId="1" r:id="rId1"/>
    <sheet name="Average Calcs" sheetId="3" r:id="rId2"/>
    <sheet name="Calcs" sheetId="4" r:id="rId3"/>
    <sheet name="Inf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8" i="1" l="1"/>
  <c r="L168" i="1"/>
  <c r="M168" i="1" s="1"/>
  <c r="I168" i="1"/>
  <c r="F168" i="1"/>
  <c r="G168" i="1"/>
  <c r="D168" i="1"/>
  <c r="C168" i="1"/>
  <c r="K168" i="1"/>
  <c r="J168" i="1"/>
  <c r="H168" i="1"/>
  <c r="E168" i="1"/>
  <c r="H75" i="3"/>
  <c r="H74" i="3"/>
  <c r="H73" i="3"/>
  <c r="H70" i="3"/>
  <c r="H69" i="3"/>
  <c r="H68" i="3"/>
  <c r="H65" i="3"/>
  <c r="H64" i="3"/>
  <c r="H63" i="3"/>
  <c r="H60" i="3"/>
  <c r="H59" i="3"/>
  <c r="H58" i="3"/>
  <c r="H55" i="3"/>
  <c r="H54" i="3"/>
  <c r="H53" i="3"/>
  <c r="H50" i="3"/>
  <c r="H49" i="3"/>
  <c r="H48" i="3"/>
  <c r="H45" i="3"/>
  <c r="H44" i="3"/>
  <c r="H43" i="3"/>
  <c r="H40" i="3"/>
  <c r="L33" i="4" s="1"/>
  <c r="H39" i="3"/>
  <c r="L32" i="4" s="1"/>
  <c r="H38" i="3"/>
  <c r="H35" i="3"/>
  <c r="H34" i="3"/>
  <c r="H33" i="3"/>
  <c r="H30" i="3"/>
  <c r="H29" i="3"/>
  <c r="H28" i="3"/>
  <c r="H25" i="3"/>
  <c r="H24" i="3"/>
  <c r="H23" i="3"/>
  <c r="H20" i="3"/>
  <c r="H19" i="3"/>
  <c r="H18" i="3"/>
  <c r="H15" i="3"/>
  <c r="H14" i="3"/>
  <c r="H13" i="3"/>
  <c r="H9" i="3"/>
  <c r="H10" i="3"/>
  <c r="H8" i="3"/>
  <c r="H158" i="1"/>
  <c r="H159" i="1"/>
  <c r="H160" i="1"/>
  <c r="H161" i="1"/>
  <c r="H162" i="1"/>
  <c r="H163" i="1"/>
  <c r="H164" i="1"/>
  <c r="H165" i="1"/>
  <c r="H157" i="1"/>
  <c r="H149" i="1"/>
  <c r="H148" i="1"/>
  <c r="H147" i="1"/>
  <c r="H146" i="1"/>
  <c r="H150" i="1"/>
  <c r="H151" i="1"/>
  <c r="H152" i="1"/>
  <c r="H153" i="1"/>
  <c r="H154" i="1"/>
  <c r="H143" i="1"/>
  <c r="H142" i="1"/>
  <c r="H141" i="1"/>
  <c r="H140" i="1"/>
  <c r="H139" i="1"/>
  <c r="H138" i="1"/>
  <c r="H137" i="1"/>
  <c r="H136" i="1"/>
  <c r="H135" i="1"/>
  <c r="H132" i="1"/>
  <c r="H131" i="1"/>
  <c r="H130" i="1"/>
  <c r="H129" i="1"/>
  <c r="H128" i="1"/>
  <c r="H127" i="1"/>
  <c r="H126" i="1"/>
  <c r="H125" i="1"/>
  <c r="H124" i="1"/>
  <c r="H121" i="1"/>
  <c r="H120" i="1"/>
  <c r="H119" i="1"/>
  <c r="H118" i="1"/>
  <c r="H117" i="1"/>
  <c r="H116" i="1"/>
  <c r="H115" i="1"/>
  <c r="H114" i="1"/>
  <c r="H113" i="1"/>
  <c r="H110" i="1"/>
  <c r="H109" i="1"/>
  <c r="H108" i="1"/>
  <c r="H107" i="1"/>
  <c r="H106" i="1"/>
  <c r="H105" i="1"/>
  <c r="H104" i="1"/>
  <c r="H103" i="1"/>
  <c r="H102" i="1"/>
  <c r="H99" i="1"/>
  <c r="H98" i="1"/>
  <c r="H97" i="1"/>
  <c r="H96" i="1"/>
  <c r="H95" i="1"/>
  <c r="H94" i="1"/>
  <c r="H93" i="1"/>
  <c r="H92" i="1"/>
  <c r="H91" i="1"/>
  <c r="H88" i="1"/>
  <c r="H87" i="1"/>
  <c r="H86" i="1"/>
  <c r="H85" i="1"/>
  <c r="H84" i="1"/>
  <c r="H83" i="1"/>
  <c r="H82" i="1"/>
  <c r="H81" i="1"/>
  <c r="H80" i="1"/>
  <c r="H77" i="1"/>
  <c r="H76" i="1"/>
  <c r="H75" i="1"/>
  <c r="H74" i="1"/>
  <c r="H73" i="1"/>
  <c r="H72" i="1"/>
  <c r="H71" i="1"/>
  <c r="H70" i="1"/>
  <c r="H69" i="1"/>
  <c r="H59" i="1"/>
  <c r="H60" i="1"/>
  <c r="H61" i="1"/>
  <c r="H62" i="1"/>
  <c r="H63" i="1"/>
  <c r="H64" i="1"/>
  <c r="H65" i="1"/>
  <c r="H66" i="1"/>
  <c r="H58" i="1"/>
  <c r="H51" i="1"/>
  <c r="H52" i="1"/>
  <c r="H53" i="1"/>
  <c r="H54" i="1"/>
  <c r="H55" i="1"/>
  <c r="H50" i="1"/>
  <c r="H49" i="1"/>
  <c r="H48" i="1"/>
  <c r="H47" i="1"/>
  <c r="H41" i="1"/>
  <c r="H40" i="1"/>
  <c r="H39" i="1"/>
  <c r="H44" i="1"/>
  <c r="H43" i="1"/>
  <c r="H42" i="1"/>
  <c r="H38" i="1"/>
  <c r="H37" i="1"/>
  <c r="H36" i="1"/>
  <c r="H33" i="1"/>
  <c r="H32" i="1"/>
  <c r="H31" i="1"/>
  <c r="H30" i="1"/>
  <c r="H29" i="1"/>
  <c r="H28" i="1"/>
  <c r="H27" i="1"/>
  <c r="H26" i="1"/>
  <c r="H25" i="1"/>
  <c r="H22" i="1"/>
  <c r="H21" i="1"/>
  <c r="H20" i="1"/>
  <c r="H19" i="1"/>
  <c r="H18" i="1"/>
  <c r="H17" i="1"/>
  <c r="H16" i="1"/>
  <c r="H15" i="1"/>
  <c r="H14" i="1"/>
  <c r="H5" i="3"/>
  <c r="H4" i="3"/>
  <c r="H3" i="3"/>
  <c r="H11" i="1"/>
  <c r="H10" i="1"/>
  <c r="H9" i="1"/>
  <c r="H8" i="1"/>
  <c r="H7" i="1"/>
  <c r="H5" i="1"/>
  <c r="H4" i="1"/>
  <c r="H3" i="1"/>
  <c r="K114" i="1"/>
  <c r="K118" i="1" l="1"/>
  <c r="J118" i="1"/>
  <c r="I118" i="1"/>
  <c r="G118" i="1"/>
  <c r="F119" i="1"/>
  <c r="F118" i="1"/>
  <c r="E118" i="1"/>
  <c r="D118" i="1"/>
  <c r="C118" i="1"/>
  <c r="B118" i="1"/>
  <c r="B88" i="1"/>
  <c r="B86" i="1"/>
  <c r="B85" i="1"/>
  <c r="K44" i="1"/>
  <c r="J44" i="1"/>
  <c r="I44" i="1"/>
  <c r="G44" i="1"/>
  <c r="D44" i="1"/>
  <c r="C44" i="1"/>
  <c r="B44" i="1"/>
  <c r="K43" i="1"/>
  <c r="J43" i="1"/>
  <c r="I43" i="1"/>
  <c r="G43" i="1"/>
  <c r="D43" i="1"/>
  <c r="C43" i="1"/>
  <c r="B43" i="1"/>
  <c r="K42" i="1"/>
  <c r="J42" i="1"/>
  <c r="I42" i="1"/>
  <c r="G42" i="1"/>
  <c r="D42" i="1"/>
  <c r="C42" i="1"/>
  <c r="B42" i="1"/>
  <c r="K40" i="1"/>
  <c r="J40" i="1"/>
  <c r="I40" i="1"/>
  <c r="G40" i="1"/>
  <c r="D40" i="1"/>
  <c r="C40" i="1"/>
  <c r="B40" i="1"/>
  <c r="C14" i="1" l="1"/>
  <c r="E30" i="3" l="1"/>
  <c r="I25" i="4" s="1"/>
  <c r="F30" i="3"/>
  <c r="J25" i="4" s="1"/>
  <c r="L25" i="4"/>
  <c r="E29" i="3"/>
  <c r="I24" i="4" s="1"/>
  <c r="F29" i="3"/>
  <c r="J24" i="4" s="1"/>
  <c r="L24" i="4"/>
  <c r="E28" i="3"/>
  <c r="I23" i="4" s="1"/>
  <c r="F28" i="3"/>
  <c r="J23" i="4" s="1"/>
  <c r="L23" i="4"/>
  <c r="B30" i="3"/>
  <c r="F25" i="4" s="1"/>
  <c r="B29" i="3"/>
  <c r="F24" i="4" s="1"/>
  <c r="B28" i="3"/>
  <c r="F23" i="4" s="1"/>
  <c r="E25" i="3"/>
  <c r="I21" i="4" s="1"/>
  <c r="F25" i="3"/>
  <c r="J21" i="4" s="1"/>
  <c r="E24" i="3"/>
  <c r="I20" i="4" s="1"/>
  <c r="F24" i="3"/>
  <c r="J20" i="4" s="1"/>
  <c r="E23" i="3"/>
  <c r="I19" i="4" s="1"/>
  <c r="F23" i="3"/>
  <c r="J19" i="4" s="1"/>
  <c r="E18" i="3"/>
  <c r="I15" i="4" s="1"/>
  <c r="F18" i="3"/>
  <c r="J15" i="4" s="1"/>
  <c r="E19" i="3"/>
  <c r="I16" i="4" s="1"/>
  <c r="F19" i="3"/>
  <c r="J16" i="4" s="1"/>
  <c r="C20" i="3"/>
  <c r="G17" i="4" s="1"/>
  <c r="D20" i="3"/>
  <c r="H17" i="4" s="1"/>
  <c r="E20" i="3"/>
  <c r="I17" i="4" s="1"/>
  <c r="F20" i="3"/>
  <c r="J17" i="4" s="1"/>
  <c r="G20" i="3"/>
  <c r="K17" i="4" s="1"/>
  <c r="L17" i="4"/>
  <c r="I20" i="3"/>
  <c r="M17" i="4" s="1"/>
  <c r="J20" i="3"/>
  <c r="N17" i="4" s="1"/>
  <c r="K20" i="3"/>
  <c r="O17" i="4" s="1"/>
  <c r="B20" i="3"/>
  <c r="F17" i="4" s="1"/>
  <c r="K15" i="3"/>
  <c r="O13" i="4" s="1"/>
  <c r="K14" i="3"/>
  <c r="O12" i="4" s="1"/>
  <c r="K13" i="3"/>
  <c r="O11" i="4" s="1"/>
  <c r="K10" i="3"/>
  <c r="O9" i="4" s="1"/>
  <c r="J9" i="3"/>
  <c r="N8" i="4" s="1"/>
  <c r="K9" i="3"/>
  <c r="O8" i="4" s="1"/>
  <c r="J8" i="3"/>
  <c r="N7" i="4" s="1"/>
  <c r="K8" i="3"/>
  <c r="O7" i="4" s="1"/>
  <c r="C5" i="3"/>
  <c r="G5" i="4" s="1"/>
  <c r="J5" i="3"/>
  <c r="N5" i="4" s="1"/>
  <c r="K5" i="3"/>
  <c r="O5" i="4" s="1"/>
  <c r="C4" i="3"/>
  <c r="G4" i="4" s="1"/>
  <c r="I4" i="3"/>
  <c r="M4" i="4" s="1"/>
  <c r="J4" i="3"/>
  <c r="N4" i="4" s="1"/>
  <c r="K4" i="3"/>
  <c r="O4" i="4" s="1"/>
  <c r="C3" i="3"/>
  <c r="G3" i="4" s="1"/>
  <c r="I3" i="3"/>
  <c r="M3" i="4" s="1"/>
  <c r="J3" i="3"/>
  <c r="N3" i="4" s="1"/>
  <c r="K3" i="3"/>
  <c r="O3" i="4" s="1"/>
  <c r="K60" i="3"/>
  <c r="O49" i="4" s="1"/>
  <c r="J60" i="3"/>
  <c r="N49" i="4" s="1"/>
  <c r="I60" i="3"/>
  <c r="M49" i="4" s="1"/>
  <c r="L49" i="4"/>
  <c r="G60" i="3"/>
  <c r="K49" i="4" s="1"/>
  <c r="F60" i="3"/>
  <c r="J49" i="4" s="1"/>
  <c r="E60" i="3"/>
  <c r="I49" i="4" s="1"/>
  <c r="D60" i="3"/>
  <c r="H49" i="4" s="1"/>
  <c r="C60" i="3"/>
  <c r="G49" i="4" s="1"/>
  <c r="K59" i="3"/>
  <c r="O48" i="4" s="1"/>
  <c r="J59" i="3"/>
  <c r="N48" i="4" s="1"/>
  <c r="I59" i="3"/>
  <c r="M48" i="4" s="1"/>
  <c r="L48" i="4"/>
  <c r="G59" i="3"/>
  <c r="K48" i="4" s="1"/>
  <c r="F59" i="3"/>
  <c r="J48" i="4" s="1"/>
  <c r="E59" i="3"/>
  <c r="I48" i="4" s="1"/>
  <c r="D59" i="3"/>
  <c r="H48" i="4" s="1"/>
  <c r="C59" i="3"/>
  <c r="G48" i="4" s="1"/>
  <c r="K58" i="3"/>
  <c r="O47" i="4" s="1"/>
  <c r="J58" i="3"/>
  <c r="N47" i="4" s="1"/>
  <c r="I58" i="3"/>
  <c r="M47" i="4" s="1"/>
  <c r="L47" i="4"/>
  <c r="G58" i="3"/>
  <c r="K47" i="4" s="1"/>
  <c r="F58" i="3"/>
  <c r="J47" i="4" s="1"/>
  <c r="E58" i="3"/>
  <c r="I47" i="4" s="1"/>
  <c r="D58" i="3"/>
  <c r="H47" i="4" s="1"/>
  <c r="C58" i="3"/>
  <c r="G47" i="4" s="1"/>
  <c r="K7" i="3"/>
  <c r="K12" i="3" s="1"/>
  <c r="K17" i="3" s="1"/>
  <c r="K22" i="3" s="1"/>
  <c r="K27" i="3" s="1"/>
  <c r="K32" i="3" s="1"/>
  <c r="K37" i="3" s="1"/>
  <c r="K42" i="3" s="1"/>
  <c r="K47" i="3" s="1"/>
  <c r="K52" i="3" s="1"/>
  <c r="K57" i="3" s="1"/>
  <c r="K62" i="3" s="1"/>
  <c r="K67" i="3" s="1"/>
  <c r="K72" i="3" s="1"/>
  <c r="K13" i="1"/>
  <c r="K24" i="1" s="1"/>
  <c r="K35" i="1" s="1"/>
  <c r="K46" i="1" s="1"/>
  <c r="K57" i="1" s="1"/>
  <c r="K68" i="1" s="1"/>
  <c r="K79" i="1" s="1"/>
  <c r="K90" i="1" s="1"/>
  <c r="K101" i="1" s="1"/>
  <c r="K112" i="1" s="1"/>
  <c r="K123" i="1" s="1"/>
  <c r="K134" i="1" s="1"/>
  <c r="K145" i="1" s="1"/>
  <c r="K156" i="1" s="1"/>
  <c r="K165" i="1"/>
  <c r="J165" i="1"/>
  <c r="I165" i="1"/>
  <c r="G165" i="1"/>
  <c r="D165" i="1"/>
  <c r="C165" i="1"/>
  <c r="K164" i="1"/>
  <c r="J164" i="1"/>
  <c r="I164" i="1"/>
  <c r="G164" i="1"/>
  <c r="D164" i="1"/>
  <c r="C164" i="1"/>
  <c r="K163" i="1"/>
  <c r="J163" i="1"/>
  <c r="I163" i="1"/>
  <c r="G163" i="1"/>
  <c r="D163" i="1"/>
  <c r="C163" i="1"/>
  <c r="K162" i="1"/>
  <c r="J162" i="1"/>
  <c r="I162" i="1"/>
  <c r="G162" i="1"/>
  <c r="D162" i="1"/>
  <c r="C162" i="1"/>
  <c r="K161" i="1"/>
  <c r="J161" i="1"/>
  <c r="I161" i="1"/>
  <c r="G161" i="1"/>
  <c r="D161" i="1"/>
  <c r="C161" i="1"/>
  <c r="K160" i="1"/>
  <c r="J160" i="1"/>
  <c r="I160" i="1"/>
  <c r="G160" i="1"/>
  <c r="D160" i="1"/>
  <c r="C160" i="1"/>
  <c r="K159" i="1"/>
  <c r="J159" i="1"/>
  <c r="I159" i="1"/>
  <c r="G159" i="1"/>
  <c r="D159" i="1"/>
  <c r="C159" i="1"/>
  <c r="K158" i="1"/>
  <c r="J158" i="1"/>
  <c r="I158" i="1"/>
  <c r="G158" i="1"/>
  <c r="D158" i="1"/>
  <c r="C158" i="1"/>
  <c r="K157" i="1"/>
  <c r="J157" i="1"/>
  <c r="I157" i="1"/>
  <c r="G157" i="1"/>
  <c r="D157" i="1"/>
  <c r="C157" i="1"/>
  <c r="F158" i="1"/>
  <c r="F159" i="1"/>
  <c r="F160" i="1"/>
  <c r="F161" i="1"/>
  <c r="F162" i="1"/>
  <c r="F163" i="1"/>
  <c r="F164" i="1"/>
  <c r="F165" i="1"/>
  <c r="E158" i="1"/>
  <c r="E159" i="1"/>
  <c r="E160" i="1"/>
  <c r="E161" i="1"/>
  <c r="E162" i="1"/>
  <c r="E163" i="1"/>
  <c r="E164" i="1"/>
  <c r="E165" i="1"/>
  <c r="B158" i="1"/>
  <c r="B159" i="1"/>
  <c r="B160" i="1"/>
  <c r="B161" i="1"/>
  <c r="B162" i="1"/>
  <c r="B163" i="1"/>
  <c r="B164" i="1"/>
  <c r="B165" i="1"/>
  <c r="F157" i="1"/>
  <c r="E157" i="1"/>
  <c r="B157" i="1"/>
  <c r="K154" i="1"/>
  <c r="J154" i="1"/>
  <c r="I154" i="1"/>
  <c r="G154" i="1"/>
  <c r="E154" i="1"/>
  <c r="D154" i="1"/>
  <c r="C154" i="1"/>
  <c r="K153" i="1"/>
  <c r="J153" i="1"/>
  <c r="I153" i="1"/>
  <c r="G153" i="1"/>
  <c r="E153" i="1"/>
  <c r="D153" i="1"/>
  <c r="C153" i="1"/>
  <c r="K152" i="1"/>
  <c r="J152" i="1"/>
  <c r="I152" i="1"/>
  <c r="G152" i="1"/>
  <c r="E152" i="1"/>
  <c r="D152" i="1"/>
  <c r="C152" i="1"/>
  <c r="K151" i="1"/>
  <c r="J151" i="1"/>
  <c r="I151" i="1"/>
  <c r="G151" i="1"/>
  <c r="E151" i="1"/>
  <c r="D151" i="1"/>
  <c r="C151" i="1"/>
  <c r="K150" i="1"/>
  <c r="J150" i="1"/>
  <c r="I150" i="1"/>
  <c r="G150" i="1"/>
  <c r="E150" i="1"/>
  <c r="D150" i="1"/>
  <c r="C150" i="1"/>
  <c r="K149" i="1"/>
  <c r="J149" i="1"/>
  <c r="I149" i="1"/>
  <c r="G149" i="1"/>
  <c r="E149" i="1"/>
  <c r="D149" i="1"/>
  <c r="C149" i="1"/>
  <c r="K148" i="1"/>
  <c r="J148" i="1"/>
  <c r="I148" i="1"/>
  <c r="G148" i="1"/>
  <c r="E148" i="1"/>
  <c r="D148" i="1"/>
  <c r="C148" i="1"/>
  <c r="B148" i="1"/>
  <c r="K147" i="1"/>
  <c r="J147" i="1"/>
  <c r="I147" i="1"/>
  <c r="G147" i="1"/>
  <c r="E147" i="1"/>
  <c r="D147" i="1"/>
  <c r="C147" i="1"/>
  <c r="B147" i="1"/>
  <c r="K146" i="1"/>
  <c r="J146" i="1"/>
  <c r="I146" i="1"/>
  <c r="G146" i="1"/>
  <c r="E146" i="1"/>
  <c r="D146" i="1"/>
  <c r="C146" i="1"/>
  <c r="B146" i="1"/>
  <c r="B149" i="1"/>
  <c r="B150" i="1"/>
  <c r="B151" i="1"/>
  <c r="B152" i="1"/>
  <c r="B153" i="1"/>
  <c r="B154" i="1"/>
  <c r="F147" i="1"/>
  <c r="F148" i="1"/>
  <c r="F149" i="1"/>
  <c r="F150" i="1"/>
  <c r="F151" i="1"/>
  <c r="F152" i="1"/>
  <c r="F153" i="1"/>
  <c r="F154" i="1"/>
  <c r="F146" i="1"/>
  <c r="K143" i="1"/>
  <c r="J143" i="1"/>
  <c r="I143" i="1"/>
  <c r="G143" i="1"/>
  <c r="F143" i="1"/>
  <c r="E143" i="1"/>
  <c r="D143" i="1"/>
  <c r="C143" i="1"/>
  <c r="K142" i="1"/>
  <c r="J142" i="1"/>
  <c r="I142" i="1"/>
  <c r="G142" i="1"/>
  <c r="F142" i="1"/>
  <c r="E142" i="1"/>
  <c r="D142" i="1"/>
  <c r="C142" i="1"/>
  <c r="K141" i="1"/>
  <c r="J141" i="1"/>
  <c r="I141" i="1"/>
  <c r="G141" i="1"/>
  <c r="F141" i="1"/>
  <c r="E141" i="1"/>
  <c r="D141" i="1"/>
  <c r="C141" i="1"/>
  <c r="B143" i="1"/>
  <c r="B142" i="1"/>
  <c r="B141" i="1"/>
  <c r="K140" i="1"/>
  <c r="J140" i="1"/>
  <c r="I140" i="1"/>
  <c r="G140" i="1"/>
  <c r="F140" i="1"/>
  <c r="E140" i="1"/>
  <c r="D140" i="1"/>
  <c r="C140" i="1"/>
  <c r="B140" i="1"/>
  <c r="K139" i="1"/>
  <c r="J139" i="1"/>
  <c r="I139" i="1"/>
  <c r="G139" i="1"/>
  <c r="F139" i="1"/>
  <c r="E139" i="1"/>
  <c r="D139" i="1"/>
  <c r="C139" i="1"/>
  <c r="B139" i="1"/>
  <c r="K138" i="1"/>
  <c r="J138" i="1"/>
  <c r="I138" i="1"/>
  <c r="G138" i="1"/>
  <c r="F138" i="1"/>
  <c r="E138" i="1"/>
  <c r="D138" i="1"/>
  <c r="C138" i="1"/>
  <c r="B138" i="1"/>
  <c r="K137" i="1"/>
  <c r="J137" i="1"/>
  <c r="I137" i="1"/>
  <c r="G137" i="1"/>
  <c r="F137" i="1"/>
  <c r="E137" i="1"/>
  <c r="D137" i="1"/>
  <c r="C137" i="1"/>
  <c r="B137" i="1"/>
  <c r="K136" i="1"/>
  <c r="J136" i="1"/>
  <c r="I136" i="1"/>
  <c r="G136" i="1"/>
  <c r="F136" i="1"/>
  <c r="D136" i="1"/>
  <c r="C136" i="1"/>
  <c r="B136" i="1"/>
  <c r="K135" i="1"/>
  <c r="J135" i="1"/>
  <c r="I135" i="1"/>
  <c r="G135" i="1"/>
  <c r="F135" i="1"/>
  <c r="D135" i="1"/>
  <c r="C135" i="1"/>
  <c r="B135" i="1"/>
  <c r="E136" i="1"/>
  <c r="E135" i="1"/>
  <c r="K132" i="1"/>
  <c r="J132" i="1"/>
  <c r="I132" i="1"/>
  <c r="G132" i="1"/>
  <c r="F132" i="1"/>
  <c r="E132" i="1"/>
  <c r="D132" i="1"/>
  <c r="C132" i="1"/>
  <c r="B132" i="1"/>
  <c r="K131" i="1"/>
  <c r="J131" i="1"/>
  <c r="I131" i="1"/>
  <c r="G131" i="1"/>
  <c r="F131" i="1"/>
  <c r="E131" i="1"/>
  <c r="D131" i="1"/>
  <c r="C131" i="1"/>
  <c r="B131" i="1"/>
  <c r="K130" i="1"/>
  <c r="J130" i="1"/>
  <c r="I130" i="1"/>
  <c r="G130" i="1"/>
  <c r="F130" i="1"/>
  <c r="E130" i="1"/>
  <c r="D130" i="1"/>
  <c r="C130" i="1"/>
  <c r="B130" i="1"/>
  <c r="K129" i="1"/>
  <c r="J129" i="1"/>
  <c r="I129" i="1"/>
  <c r="G129" i="1"/>
  <c r="F129" i="1"/>
  <c r="E129" i="1"/>
  <c r="D129" i="1"/>
  <c r="C129" i="1"/>
  <c r="B129" i="1"/>
  <c r="K128" i="1"/>
  <c r="J128" i="1"/>
  <c r="I128" i="1"/>
  <c r="G128" i="1"/>
  <c r="F128" i="1"/>
  <c r="E128" i="1"/>
  <c r="D128" i="1"/>
  <c r="C128" i="1"/>
  <c r="B128" i="1"/>
  <c r="K127" i="1"/>
  <c r="J127" i="1"/>
  <c r="I127" i="1"/>
  <c r="G127" i="1"/>
  <c r="F127" i="1"/>
  <c r="E127" i="1"/>
  <c r="D127" i="1"/>
  <c r="C127" i="1"/>
  <c r="B127" i="1"/>
  <c r="K126" i="1"/>
  <c r="J126" i="1"/>
  <c r="I126" i="1"/>
  <c r="G126" i="1"/>
  <c r="F126" i="1"/>
  <c r="E126" i="1"/>
  <c r="D126" i="1"/>
  <c r="C126" i="1"/>
  <c r="B126" i="1"/>
  <c r="K125" i="1"/>
  <c r="J125" i="1"/>
  <c r="I125" i="1"/>
  <c r="G125" i="1"/>
  <c r="F125" i="1"/>
  <c r="E125" i="1"/>
  <c r="D125" i="1"/>
  <c r="C125" i="1"/>
  <c r="B125" i="1"/>
  <c r="K124" i="1"/>
  <c r="J124" i="1"/>
  <c r="I124" i="1"/>
  <c r="G124" i="1"/>
  <c r="F124" i="1"/>
  <c r="E124" i="1"/>
  <c r="D124" i="1"/>
  <c r="C124" i="1"/>
  <c r="B124" i="1"/>
  <c r="K121" i="1"/>
  <c r="J121" i="1"/>
  <c r="I121" i="1"/>
  <c r="G121" i="1"/>
  <c r="F121" i="1"/>
  <c r="E121" i="1"/>
  <c r="D121" i="1"/>
  <c r="C121" i="1"/>
  <c r="B121" i="1"/>
  <c r="K120" i="1"/>
  <c r="J120" i="1"/>
  <c r="I120" i="1"/>
  <c r="G120" i="1"/>
  <c r="F120" i="1"/>
  <c r="E120" i="1"/>
  <c r="D120" i="1"/>
  <c r="C120" i="1"/>
  <c r="B120" i="1"/>
  <c r="K119" i="1"/>
  <c r="J119" i="1"/>
  <c r="I119" i="1"/>
  <c r="G119" i="1"/>
  <c r="E119" i="1"/>
  <c r="D119" i="1"/>
  <c r="C119" i="1"/>
  <c r="B119" i="1"/>
  <c r="K117" i="1"/>
  <c r="J117" i="1"/>
  <c r="I117" i="1"/>
  <c r="G117" i="1"/>
  <c r="F117" i="1"/>
  <c r="E117" i="1"/>
  <c r="D117" i="1"/>
  <c r="C117" i="1"/>
  <c r="B117" i="1"/>
  <c r="K116" i="1"/>
  <c r="J116" i="1"/>
  <c r="I116" i="1"/>
  <c r="G116" i="1"/>
  <c r="F116" i="1"/>
  <c r="E116" i="1"/>
  <c r="D116" i="1"/>
  <c r="C116" i="1"/>
  <c r="B116" i="1"/>
  <c r="K115" i="1"/>
  <c r="J115" i="1"/>
  <c r="I115" i="1"/>
  <c r="G115" i="1"/>
  <c r="F115" i="1"/>
  <c r="E115" i="1"/>
  <c r="D115" i="1"/>
  <c r="C115" i="1"/>
  <c r="B115" i="1"/>
  <c r="J114" i="1"/>
  <c r="I114" i="1"/>
  <c r="G114" i="1"/>
  <c r="F114" i="1"/>
  <c r="E114" i="1"/>
  <c r="D114" i="1"/>
  <c r="C114" i="1"/>
  <c r="B114" i="1"/>
  <c r="K113" i="1"/>
  <c r="J113" i="1"/>
  <c r="I113" i="1"/>
  <c r="G113" i="1"/>
  <c r="F113" i="1"/>
  <c r="E113" i="1"/>
  <c r="D113" i="1"/>
  <c r="C113" i="1"/>
  <c r="B113" i="1"/>
  <c r="K110" i="1"/>
  <c r="J110" i="1"/>
  <c r="I110" i="1"/>
  <c r="G110" i="1"/>
  <c r="F110" i="1"/>
  <c r="E110" i="1"/>
  <c r="D110" i="1"/>
  <c r="C110" i="1"/>
  <c r="B110" i="1"/>
  <c r="K109" i="1"/>
  <c r="J109" i="1"/>
  <c r="I109" i="1"/>
  <c r="G109" i="1"/>
  <c r="F109" i="1"/>
  <c r="E109" i="1"/>
  <c r="D109" i="1"/>
  <c r="C109" i="1"/>
  <c r="B109" i="1"/>
  <c r="K108" i="1"/>
  <c r="J108" i="1"/>
  <c r="I108" i="1"/>
  <c r="G108" i="1"/>
  <c r="F108" i="1"/>
  <c r="E108" i="1"/>
  <c r="D108" i="1"/>
  <c r="C108" i="1"/>
  <c r="B108" i="1"/>
  <c r="J107" i="1"/>
  <c r="I107" i="1"/>
  <c r="G107" i="1"/>
  <c r="F107" i="1"/>
  <c r="E107" i="1"/>
  <c r="D107" i="1"/>
  <c r="C107" i="1"/>
  <c r="B107" i="1"/>
  <c r="J106" i="1"/>
  <c r="I106" i="1"/>
  <c r="G106" i="1"/>
  <c r="F106" i="1"/>
  <c r="E106" i="1"/>
  <c r="D106" i="1"/>
  <c r="C106" i="1"/>
  <c r="B106" i="1"/>
  <c r="J105" i="1"/>
  <c r="I105" i="1"/>
  <c r="G105" i="1"/>
  <c r="F105" i="1"/>
  <c r="E105" i="1"/>
  <c r="D105" i="1"/>
  <c r="C105" i="1"/>
  <c r="B105" i="1"/>
  <c r="J104" i="1"/>
  <c r="I104" i="1"/>
  <c r="G104" i="1"/>
  <c r="F104" i="1"/>
  <c r="E104" i="1"/>
  <c r="D104" i="1"/>
  <c r="C104" i="1"/>
  <c r="B104" i="1"/>
  <c r="J103" i="1"/>
  <c r="I103" i="1"/>
  <c r="G103" i="1"/>
  <c r="F103" i="1"/>
  <c r="E103" i="1"/>
  <c r="D103" i="1"/>
  <c r="C103" i="1"/>
  <c r="B103" i="1"/>
  <c r="J102" i="1"/>
  <c r="I102" i="1"/>
  <c r="G102" i="1"/>
  <c r="F102" i="1"/>
  <c r="E102" i="1"/>
  <c r="D102" i="1"/>
  <c r="C102" i="1"/>
  <c r="B102" i="1"/>
  <c r="K103" i="1"/>
  <c r="K104" i="1"/>
  <c r="K105" i="1"/>
  <c r="K106" i="1"/>
  <c r="K107" i="1"/>
  <c r="K102" i="1"/>
  <c r="J99" i="1"/>
  <c r="I99" i="1"/>
  <c r="G99" i="1"/>
  <c r="F99" i="1"/>
  <c r="E99" i="1"/>
  <c r="D99" i="1"/>
  <c r="C99" i="1"/>
  <c r="B99" i="1"/>
  <c r="J98" i="1"/>
  <c r="I98" i="1"/>
  <c r="G98" i="1"/>
  <c r="F98" i="1"/>
  <c r="E98" i="1"/>
  <c r="D98" i="1"/>
  <c r="C98" i="1"/>
  <c r="B98" i="1"/>
  <c r="J97" i="1"/>
  <c r="I97" i="1"/>
  <c r="G97" i="1"/>
  <c r="F97" i="1"/>
  <c r="E97" i="1"/>
  <c r="D97" i="1"/>
  <c r="C97" i="1"/>
  <c r="B97" i="1"/>
  <c r="I96" i="1"/>
  <c r="G96" i="1"/>
  <c r="F96" i="1"/>
  <c r="E96" i="1"/>
  <c r="D96" i="1"/>
  <c r="C96" i="1"/>
  <c r="B96" i="1"/>
  <c r="J96" i="1"/>
  <c r="J95" i="1"/>
  <c r="I95" i="1"/>
  <c r="G95" i="1"/>
  <c r="F95" i="1"/>
  <c r="E95" i="1"/>
  <c r="D95" i="1"/>
  <c r="C95" i="1"/>
  <c r="B95" i="1"/>
  <c r="J94" i="1"/>
  <c r="I94" i="1"/>
  <c r="G94" i="1"/>
  <c r="F94" i="1"/>
  <c r="E94" i="1"/>
  <c r="D94" i="1"/>
  <c r="C94" i="1"/>
  <c r="B94" i="1"/>
  <c r="J93" i="1"/>
  <c r="I93" i="1"/>
  <c r="G93" i="1"/>
  <c r="F93" i="1"/>
  <c r="E93" i="1"/>
  <c r="D93" i="1"/>
  <c r="C93" i="1"/>
  <c r="B93" i="1"/>
  <c r="J92" i="1"/>
  <c r="I92" i="1"/>
  <c r="G92" i="1"/>
  <c r="F92" i="1"/>
  <c r="E92" i="1"/>
  <c r="D92" i="1"/>
  <c r="C92" i="1"/>
  <c r="B92" i="1"/>
  <c r="K92" i="1"/>
  <c r="K93" i="1"/>
  <c r="K94" i="1"/>
  <c r="K95" i="1"/>
  <c r="K96" i="1"/>
  <c r="K97" i="1"/>
  <c r="K98" i="1"/>
  <c r="K99" i="1"/>
  <c r="J91" i="1"/>
  <c r="I91" i="1"/>
  <c r="G91" i="1"/>
  <c r="F91" i="1"/>
  <c r="E91" i="1"/>
  <c r="D91" i="1"/>
  <c r="C91" i="1"/>
  <c r="B91" i="1"/>
  <c r="K91" i="1"/>
  <c r="I84" i="1"/>
  <c r="G84" i="1"/>
  <c r="F84" i="1"/>
  <c r="E84" i="1"/>
  <c r="D84" i="1"/>
  <c r="C84" i="1"/>
  <c r="B84" i="1"/>
  <c r="I83" i="1"/>
  <c r="G83" i="1"/>
  <c r="F83" i="1"/>
  <c r="E83" i="1"/>
  <c r="D83" i="1"/>
  <c r="B83" i="1"/>
  <c r="B39" i="3" s="1"/>
  <c r="F32" i="4" s="1"/>
  <c r="C83" i="1"/>
  <c r="C39" i="3" s="1"/>
  <c r="G32" i="4" s="1"/>
  <c r="I82" i="1"/>
  <c r="G82" i="1"/>
  <c r="F82" i="1"/>
  <c r="E82" i="1"/>
  <c r="D82" i="1"/>
  <c r="C82" i="1"/>
  <c r="B82" i="1"/>
  <c r="J81" i="1"/>
  <c r="J82" i="1"/>
  <c r="J83" i="1"/>
  <c r="J39" i="3" s="1"/>
  <c r="N32" i="4" s="1"/>
  <c r="J84" i="1"/>
  <c r="J85" i="1"/>
  <c r="J86" i="1"/>
  <c r="J87" i="1"/>
  <c r="J40" i="3" s="1"/>
  <c r="N33" i="4" s="1"/>
  <c r="J88" i="1"/>
  <c r="I81" i="1"/>
  <c r="G81" i="1"/>
  <c r="F81" i="1"/>
  <c r="E81" i="1"/>
  <c r="D81" i="1"/>
  <c r="C81" i="1"/>
  <c r="B81" i="1"/>
  <c r="J80" i="1"/>
  <c r="I80" i="1"/>
  <c r="G80" i="1"/>
  <c r="F80" i="1"/>
  <c r="E80" i="1"/>
  <c r="D80" i="1"/>
  <c r="C80" i="1"/>
  <c r="B80" i="1"/>
  <c r="K81" i="1"/>
  <c r="K82" i="1"/>
  <c r="K83" i="1"/>
  <c r="K84" i="1"/>
  <c r="K85" i="1"/>
  <c r="K86" i="1"/>
  <c r="K87" i="1"/>
  <c r="K40" i="3" s="1"/>
  <c r="O33" i="4" s="1"/>
  <c r="K88" i="1"/>
  <c r="I85" i="1"/>
  <c r="I86" i="1"/>
  <c r="I87" i="1"/>
  <c r="I40" i="3" s="1"/>
  <c r="M33" i="4" s="1"/>
  <c r="I88" i="1"/>
  <c r="G85" i="1"/>
  <c r="G86" i="1"/>
  <c r="G87" i="1"/>
  <c r="G40" i="3" s="1"/>
  <c r="K33" i="4" s="1"/>
  <c r="G88" i="1"/>
  <c r="F85" i="1"/>
  <c r="F86" i="1"/>
  <c r="F87" i="1"/>
  <c r="F40" i="3" s="1"/>
  <c r="J33" i="4" s="1"/>
  <c r="F88" i="1"/>
  <c r="E85" i="1"/>
  <c r="E86" i="1"/>
  <c r="E87" i="1"/>
  <c r="E40" i="3" s="1"/>
  <c r="I33" i="4" s="1"/>
  <c r="E88" i="1"/>
  <c r="D85" i="1"/>
  <c r="D86" i="1"/>
  <c r="D87" i="1"/>
  <c r="D40" i="3" s="1"/>
  <c r="H33" i="4" s="1"/>
  <c r="D88" i="1"/>
  <c r="C85" i="1"/>
  <c r="C86" i="1"/>
  <c r="C87" i="1"/>
  <c r="C40" i="3" s="1"/>
  <c r="G33" i="4" s="1"/>
  <c r="C88" i="1"/>
  <c r="B87" i="1"/>
  <c r="B40" i="3" s="1"/>
  <c r="F33" i="4" s="1"/>
  <c r="K80" i="1"/>
  <c r="J77" i="1"/>
  <c r="I77" i="1"/>
  <c r="G77" i="1"/>
  <c r="F77" i="1"/>
  <c r="E77" i="1"/>
  <c r="D77" i="1"/>
  <c r="C77" i="1"/>
  <c r="B77" i="1"/>
  <c r="J76" i="1"/>
  <c r="I76" i="1"/>
  <c r="G76" i="1"/>
  <c r="F76" i="1"/>
  <c r="E76" i="1"/>
  <c r="D76" i="1"/>
  <c r="C76" i="1"/>
  <c r="B76" i="1"/>
  <c r="K77" i="1"/>
  <c r="K76" i="1"/>
  <c r="K75" i="1"/>
  <c r="J75" i="1"/>
  <c r="I75" i="1"/>
  <c r="G75" i="1"/>
  <c r="F75" i="1"/>
  <c r="E75" i="1"/>
  <c r="D75" i="1"/>
  <c r="C75" i="1"/>
  <c r="B75" i="1"/>
  <c r="K74" i="1"/>
  <c r="J74" i="1"/>
  <c r="I74" i="1"/>
  <c r="G74" i="1"/>
  <c r="F74" i="1"/>
  <c r="E74" i="1"/>
  <c r="D74" i="1"/>
  <c r="C74" i="1"/>
  <c r="B74" i="1"/>
  <c r="K73" i="1"/>
  <c r="J73" i="1"/>
  <c r="I73" i="1"/>
  <c r="G73" i="1"/>
  <c r="F73" i="1"/>
  <c r="E73" i="1"/>
  <c r="D73" i="1"/>
  <c r="C73" i="1"/>
  <c r="B73" i="1"/>
  <c r="K72" i="1"/>
  <c r="J72" i="1"/>
  <c r="I72" i="1"/>
  <c r="G72" i="1"/>
  <c r="F72" i="1"/>
  <c r="E72" i="1"/>
  <c r="D72" i="1"/>
  <c r="C72" i="1"/>
  <c r="B72" i="1"/>
  <c r="K71" i="1"/>
  <c r="J71" i="1"/>
  <c r="I71" i="1"/>
  <c r="G71" i="1"/>
  <c r="F71" i="1"/>
  <c r="E71" i="1"/>
  <c r="D71" i="1"/>
  <c r="C71" i="1"/>
  <c r="B71" i="1"/>
  <c r="K70" i="1"/>
  <c r="J70" i="1"/>
  <c r="I70" i="1"/>
  <c r="G70" i="1"/>
  <c r="F70" i="1"/>
  <c r="E70" i="1"/>
  <c r="D70" i="1"/>
  <c r="C70" i="1"/>
  <c r="B70" i="1"/>
  <c r="K69" i="1"/>
  <c r="J69" i="1"/>
  <c r="I69" i="1"/>
  <c r="G69" i="1"/>
  <c r="F69" i="1"/>
  <c r="E69" i="1"/>
  <c r="D69" i="1"/>
  <c r="C69" i="1"/>
  <c r="B69" i="1"/>
  <c r="K66" i="1"/>
  <c r="J66" i="1"/>
  <c r="I66" i="1"/>
  <c r="G66" i="1"/>
  <c r="D66" i="1"/>
  <c r="C66" i="1"/>
  <c r="K65" i="1"/>
  <c r="J65" i="1"/>
  <c r="I65" i="1"/>
  <c r="G65" i="1"/>
  <c r="D65" i="1"/>
  <c r="C65" i="1"/>
  <c r="K64" i="1"/>
  <c r="J64" i="1"/>
  <c r="I64" i="1"/>
  <c r="G64" i="1"/>
  <c r="D64" i="1"/>
  <c r="C64" i="1"/>
  <c r="K63" i="1"/>
  <c r="J63" i="1"/>
  <c r="I63" i="1"/>
  <c r="G63" i="1"/>
  <c r="D63" i="1"/>
  <c r="C63" i="1"/>
  <c r="K62" i="1"/>
  <c r="J62" i="1"/>
  <c r="I62" i="1"/>
  <c r="G62" i="1"/>
  <c r="D62" i="1"/>
  <c r="C62" i="1"/>
  <c r="K61" i="1"/>
  <c r="J61" i="1"/>
  <c r="I61" i="1"/>
  <c r="G61" i="1"/>
  <c r="D61" i="1"/>
  <c r="C61" i="1"/>
  <c r="K60" i="1"/>
  <c r="J60" i="1"/>
  <c r="I60" i="1"/>
  <c r="G60" i="1"/>
  <c r="D60" i="1"/>
  <c r="C60" i="1"/>
  <c r="K59" i="1"/>
  <c r="J59" i="1"/>
  <c r="I59" i="1"/>
  <c r="G59" i="1"/>
  <c r="D59" i="1"/>
  <c r="C59" i="1"/>
  <c r="K58" i="1"/>
  <c r="J58" i="1"/>
  <c r="I58" i="1"/>
  <c r="G58" i="1"/>
  <c r="D58" i="1"/>
  <c r="C58" i="1"/>
  <c r="K55" i="1"/>
  <c r="J55" i="1"/>
  <c r="I55" i="1"/>
  <c r="G55" i="1"/>
  <c r="D55" i="1"/>
  <c r="C55" i="1"/>
  <c r="K54" i="1"/>
  <c r="J54" i="1"/>
  <c r="I54" i="1"/>
  <c r="G54" i="1"/>
  <c r="D54" i="1"/>
  <c r="C54" i="1"/>
  <c r="K53" i="1"/>
  <c r="J53" i="1"/>
  <c r="I53" i="1"/>
  <c r="G53" i="1"/>
  <c r="D53" i="1"/>
  <c r="C53" i="1"/>
  <c r="B53" i="1"/>
  <c r="B25" i="3" s="1"/>
  <c r="F21" i="4" s="1"/>
  <c r="K52" i="1"/>
  <c r="J52" i="1"/>
  <c r="I52" i="1"/>
  <c r="G52" i="1"/>
  <c r="D52" i="1"/>
  <c r="C52" i="1"/>
  <c r="K51" i="1"/>
  <c r="J51" i="1"/>
  <c r="I51" i="1"/>
  <c r="G51" i="1"/>
  <c r="D51" i="1"/>
  <c r="C51" i="1"/>
  <c r="K50" i="1"/>
  <c r="J50" i="1"/>
  <c r="I50" i="1"/>
  <c r="G50" i="1"/>
  <c r="D50" i="1"/>
  <c r="C50" i="1"/>
  <c r="B50" i="1"/>
  <c r="B24" i="3" s="1"/>
  <c r="F20" i="4" s="1"/>
  <c r="K49" i="1"/>
  <c r="J49" i="1"/>
  <c r="I49" i="1"/>
  <c r="G49" i="1"/>
  <c r="D49" i="1"/>
  <c r="C49" i="1"/>
  <c r="B49" i="1"/>
  <c r="K48" i="1"/>
  <c r="J48" i="1"/>
  <c r="I48" i="1"/>
  <c r="G48" i="1"/>
  <c r="D48" i="1"/>
  <c r="C48" i="1"/>
  <c r="B48" i="1"/>
  <c r="K47" i="1"/>
  <c r="J47" i="1"/>
  <c r="I47" i="1"/>
  <c r="G47" i="1"/>
  <c r="D47" i="1"/>
  <c r="C47" i="1"/>
  <c r="B47" i="1"/>
  <c r="K41" i="1"/>
  <c r="J41" i="1"/>
  <c r="I41" i="1"/>
  <c r="G41" i="1"/>
  <c r="D41" i="1"/>
  <c r="C41" i="1"/>
  <c r="B41" i="1"/>
  <c r="K39" i="1"/>
  <c r="J39" i="1"/>
  <c r="I39" i="1"/>
  <c r="G39" i="1"/>
  <c r="D39" i="1"/>
  <c r="C39" i="1"/>
  <c r="B39" i="1"/>
  <c r="K38" i="1"/>
  <c r="J38" i="1"/>
  <c r="I38" i="1"/>
  <c r="G38" i="1"/>
  <c r="D38" i="1"/>
  <c r="C38" i="1"/>
  <c r="B38" i="1"/>
  <c r="K37" i="1"/>
  <c r="J37" i="1"/>
  <c r="I37" i="1"/>
  <c r="G37" i="1"/>
  <c r="D37" i="1"/>
  <c r="C37" i="1"/>
  <c r="B37" i="1"/>
  <c r="K36" i="1"/>
  <c r="J36" i="1"/>
  <c r="I36" i="1"/>
  <c r="G36" i="1"/>
  <c r="D36" i="1"/>
  <c r="C36" i="1"/>
  <c r="B36" i="1"/>
  <c r="G33" i="1"/>
  <c r="G32" i="1"/>
  <c r="G31" i="1"/>
  <c r="G30" i="1"/>
  <c r="G29" i="1"/>
  <c r="G28" i="1"/>
  <c r="G27" i="1"/>
  <c r="G26" i="1"/>
  <c r="G25" i="1"/>
  <c r="G22" i="1"/>
  <c r="G21" i="1"/>
  <c r="G20" i="1"/>
  <c r="G19" i="1"/>
  <c r="G18" i="1"/>
  <c r="G17" i="1"/>
  <c r="G16" i="1"/>
  <c r="G15" i="1"/>
  <c r="G14" i="1"/>
  <c r="G11" i="1"/>
  <c r="G3" i="1"/>
  <c r="J33" i="1"/>
  <c r="I33" i="1"/>
  <c r="F33" i="1"/>
  <c r="E33" i="1"/>
  <c r="D33" i="1"/>
  <c r="C33" i="1"/>
  <c r="B33" i="1"/>
  <c r="J32" i="1"/>
  <c r="I32" i="1"/>
  <c r="F32" i="1"/>
  <c r="E32" i="1"/>
  <c r="D32" i="1"/>
  <c r="C32" i="1"/>
  <c r="B32" i="1"/>
  <c r="J31" i="1"/>
  <c r="I31" i="1"/>
  <c r="F31" i="1"/>
  <c r="E31" i="1"/>
  <c r="D31" i="1"/>
  <c r="C31" i="1"/>
  <c r="B31" i="1"/>
  <c r="J30" i="1"/>
  <c r="I30" i="1"/>
  <c r="F30" i="1"/>
  <c r="E30" i="1"/>
  <c r="D30" i="1"/>
  <c r="C30" i="1"/>
  <c r="B30" i="1"/>
  <c r="J29" i="1"/>
  <c r="I29" i="1"/>
  <c r="F29" i="1"/>
  <c r="E29" i="1"/>
  <c r="D29" i="1"/>
  <c r="C29" i="1"/>
  <c r="B29" i="1"/>
  <c r="J28" i="1"/>
  <c r="I28" i="1"/>
  <c r="F28" i="1"/>
  <c r="E28" i="1"/>
  <c r="D28" i="1"/>
  <c r="C28" i="1"/>
  <c r="B28" i="1"/>
  <c r="J27" i="1"/>
  <c r="I27" i="1"/>
  <c r="F27" i="1"/>
  <c r="E27" i="1"/>
  <c r="D27" i="1"/>
  <c r="C27" i="1"/>
  <c r="B27" i="1"/>
  <c r="J26" i="1"/>
  <c r="I26" i="1"/>
  <c r="F26" i="1"/>
  <c r="E26" i="1"/>
  <c r="D26" i="1"/>
  <c r="C26" i="1"/>
  <c r="B26" i="1"/>
  <c r="J25" i="1"/>
  <c r="I25" i="1"/>
  <c r="F25" i="1"/>
  <c r="E25" i="1"/>
  <c r="D25" i="1"/>
  <c r="C25" i="1"/>
  <c r="B25" i="1"/>
  <c r="J22" i="1"/>
  <c r="I22" i="1"/>
  <c r="F22" i="1"/>
  <c r="E22" i="1"/>
  <c r="D22" i="1"/>
  <c r="C22" i="1"/>
  <c r="B22" i="1"/>
  <c r="J21" i="1"/>
  <c r="I21" i="1"/>
  <c r="F21" i="1"/>
  <c r="E21" i="1"/>
  <c r="D21" i="1"/>
  <c r="C21" i="1"/>
  <c r="B21" i="1"/>
  <c r="J20" i="1"/>
  <c r="I20" i="1"/>
  <c r="F20" i="1"/>
  <c r="E20" i="1"/>
  <c r="D20" i="1"/>
  <c r="C20" i="1"/>
  <c r="B20" i="1"/>
  <c r="I19" i="1"/>
  <c r="F19" i="1"/>
  <c r="E19" i="1"/>
  <c r="D19" i="1"/>
  <c r="C19" i="1"/>
  <c r="B19" i="1"/>
  <c r="I18" i="1"/>
  <c r="F18" i="1"/>
  <c r="E18" i="1"/>
  <c r="E17" i="1"/>
  <c r="D18" i="1"/>
  <c r="C18" i="1"/>
  <c r="B18" i="1"/>
  <c r="I17" i="1"/>
  <c r="F17" i="1"/>
  <c r="C17" i="1"/>
  <c r="B17" i="1"/>
  <c r="I16" i="1"/>
  <c r="F16" i="1"/>
  <c r="D16" i="1"/>
  <c r="D17" i="1"/>
  <c r="C16" i="1"/>
  <c r="B16" i="1"/>
  <c r="I15" i="1"/>
  <c r="F15" i="1"/>
  <c r="E15" i="1"/>
  <c r="E16" i="1"/>
  <c r="C15" i="1"/>
  <c r="D15" i="1"/>
  <c r="B15" i="1"/>
  <c r="I14" i="1"/>
  <c r="F14" i="1"/>
  <c r="E14" i="1"/>
  <c r="D14" i="1"/>
  <c r="B14" i="1"/>
  <c r="I10" i="1"/>
  <c r="G10" i="1"/>
  <c r="F10" i="1"/>
  <c r="E10" i="1"/>
  <c r="D10" i="1"/>
  <c r="B10" i="1"/>
  <c r="I9" i="1"/>
  <c r="G9" i="1"/>
  <c r="F9" i="1"/>
  <c r="E9" i="1"/>
  <c r="D9" i="1"/>
  <c r="B9" i="1"/>
  <c r="G8" i="1"/>
  <c r="F8" i="1"/>
  <c r="E8" i="1"/>
  <c r="D8" i="1"/>
  <c r="B8" i="1"/>
  <c r="G7" i="1"/>
  <c r="F7" i="1"/>
  <c r="E7" i="1"/>
  <c r="D7" i="1"/>
  <c r="B7" i="1"/>
  <c r="G6" i="1"/>
  <c r="F6" i="1"/>
  <c r="E6" i="1"/>
  <c r="D6" i="1"/>
  <c r="B6" i="1"/>
  <c r="G5" i="1"/>
  <c r="F5" i="1"/>
  <c r="E5" i="1"/>
  <c r="D5" i="1"/>
  <c r="B5" i="1"/>
  <c r="F11" i="1"/>
  <c r="F4" i="1"/>
  <c r="F3" i="1"/>
  <c r="E11" i="1"/>
  <c r="E3" i="1"/>
  <c r="E4" i="1"/>
  <c r="D11" i="1"/>
  <c r="D4" i="1"/>
  <c r="D3" i="1"/>
  <c r="B11" i="1"/>
  <c r="B4" i="1"/>
  <c r="B3" i="1"/>
  <c r="G4" i="1"/>
  <c r="D39" i="3" l="1"/>
  <c r="H32" i="4" s="1"/>
  <c r="E39" i="3"/>
  <c r="I32" i="4" s="1"/>
  <c r="F39" i="3"/>
  <c r="J32" i="4" s="1"/>
  <c r="G39" i="3"/>
  <c r="K32" i="4" s="1"/>
  <c r="I39" i="3"/>
  <c r="M32" i="4" s="1"/>
  <c r="K39" i="3"/>
  <c r="O32" i="4" s="1"/>
  <c r="I64" i="3"/>
  <c r="M52" i="4" s="1"/>
  <c r="I74" i="3"/>
  <c r="M60" i="4" s="1"/>
  <c r="J54" i="3"/>
  <c r="N44" i="4" s="1"/>
  <c r="K64" i="3"/>
  <c r="O52" i="4" s="1"/>
  <c r="D5" i="3"/>
  <c r="H5" i="4" s="1"/>
  <c r="L16" i="4"/>
  <c r="E5" i="3"/>
  <c r="I5" i="4" s="1"/>
  <c r="E55" i="3"/>
  <c r="I45" i="4" s="1"/>
  <c r="E35" i="3"/>
  <c r="I29" i="4" s="1"/>
  <c r="F33" i="3"/>
  <c r="J27" i="4" s="1"/>
  <c r="I50" i="3"/>
  <c r="M41" i="4" s="1"/>
  <c r="D8" i="3"/>
  <c r="H7" i="4" s="1"/>
  <c r="D25" i="3"/>
  <c r="H21" i="4" s="1"/>
  <c r="C45" i="3"/>
  <c r="G37" i="4" s="1"/>
  <c r="D35" i="3"/>
  <c r="H29" i="4" s="1"/>
  <c r="F43" i="3"/>
  <c r="J35" i="4" s="1"/>
  <c r="K53" i="3"/>
  <c r="O43" i="4" s="1"/>
  <c r="I5" i="3"/>
  <c r="M5" i="4" s="1"/>
  <c r="K25" i="3"/>
  <c r="O21" i="4" s="1"/>
  <c r="G34" i="3"/>
  <c r="K28" i="4" s="1"/>
  <c r="J50" i="3"/>
  <c r="N41" i="4" s="1"/>
  <c r="K54" i="3"/>
  <c r="O44" i="4" s="1"/>
  <c r="B58" i="3"/>
  <c r="F47" i="4" s="1"/>
  <c r="B60" i="3"/>
  <c r="F49" i="4" s="1"/>
  <c r="B64" i="3"/>
  <c r="F52" i="4" s="1"/>
  <c r="F68" i="3"/>
  <c r="J55" i="4" s="1"/>
  <c r="E48" i="3"/>
  <c r="I39" i="4" s="1"/>
  <c r="K65" i="3"/>
  <c r="O53" i="4" s="1"/>
  <c r="B68" i="3"/>
  <c r="F55" i="4" s="1"/>
  <c r="G43" i="3"/>
  <c r="K35" i="4" s="1"/>
  <c r="J68" i="3"/>
  <c r="N55" i="4" s="1"/>
  <c r="L35" i="4"/>
  <c r="G10" i="3"/>
  <c r="K9" i="4" s="1"/>
  <c r="G70" i="3"/>
  <c r="K57" i="4" s="1"/>
  <c r="G53" i="3"/>
  <c r="K43" i="4" s="1"/>
  <c r="B3" i="3"/>
  <c r="F3" i="4" s="1"/>
  <c r="C34" i="3"/>
  <c r="G28" i="4" s="1"/>
  <c r="F53" i="3"/>
  <c r="J43" i="4" s="1"/>
  <c r="G54" i="3"/>
  <c r="K44" i="4" s="1"/>
  <c r="L45" i="4"/>
  <c r="G63" i="3"/>
  <c r="K51" i="4" s="1"/>
  <c r="L52" i="4"/>
  <c r="F65" i="3"/>
  <c r="J53" i="4" s="1"/>
  <c r="B75" i="3"/>
  <c r="F61" i="4" s="1"/>
  <c r="E44" i="3"/>
  <c r="I36" i="4" s="1"/>
  <c r="B63" i="3"/>
  <c r="F51" i="4" s="1"/>
  <c r="B73" i="3"/>
  <c r="F59" i="4" s="1"/>
  <c r="L9" i="4"/>
  <c r="L11" i="4"/>
  <c r="F49" i="3"/>
  <c r="J40" i="4" s="1"/>
  <c r="I53" i="3"/>
  <c r="M43" i="4" s="1"/>
  <c r="F70" i="3"/>
  <c r="J57" i="4" s="1"/>
  <c r="G33" i="3"/>
  <c r="K27" i="4" s="1"/>
  <c r="G13" i="3"/>
  <c r="K11" i="4" s="1"/>
  <c r="K45" i="3"/>
  <c r="O37" i="4" s="1"/>
  <c r="B19" i="3"/>
  <c r="F16" i="4" s="1"/>
  <c r="K49" i="3"/>
  <c r="O40" i="4" s="1"/>
  <c r="E9" i="3"/>
  <c r="I8" i="4" s="1"/>
  <c r="I68" i="3"/>
  <c r="M55" i="4" s="1"/>
  <c r="I18" i="3"/>
  <c r="M15" i="4" s="1"/>
  <c r="K28" i="3"/>
  <c r="O23" i="4" s="1"/>
  <c r="D3" i="3"/>
  <c r="H3" i="4" s="1"/>
  <c r="D19" i="3"/>
  <c r="H16" i="4" s="1"/>
  <c r="F38" i="3"/>
  <c r="J31" i="4" s="1"/>
  <c r="E45" i="3"/>
  <c r="I37" i="4" s="1"/>
  <c r="E49" i="3"/>
  <c r="I40" i="4" s="1"/>
  <c r="G50" i="3"/>
  <c r="K41" i="4" s="1"/>
  <c r="L44" i="4"/>
  <c r="I55" i="3"/>
  <c r="M45" i="4" s="1"/>
  <c r="G65" i="3"/>
  <c r="K53" i="4" s="1"/>
  <c r="G4" i="3"/>
  <c r="K4" i="4" s="1"/>
  <c r="E38" i="3"/>
  <c r="I31" i="4" s="1"/>
  <c r="D45" i="3"/>
  <c r="H37" i="4" s="1"/>
  <c r="D49" i="3"/>
  <c r="H40" i="4" s="1"/>
  <c r="L4" i="4"/>
  <c r="G14" i="3"/>
  <c r="K12" i="4" s="1"/>
  <c r="D34" i="3"/>
  <c r="H28" i="4" s="1"/>
  <c r="D9" i="3"/>
  <c r="H8" i="4" s="1"/>
  <c r="L8" i="4"/>
  <c r="E33" i="3"/>
  <c r="I27" i="4" s="1"/>
  <c r="E34" i="3"/>
  <c r="I28" i="4" s="1"/>
  <c r="C35" i="3"/>
  <c r="G29" i="4" s="1"/>
  <c r="G38" i="3"/>
  <c r="K31" i="4" s="1"/>
  <c r="L41" i="4"/>
  <c r="I54" i="3"/>
  <c r="M44" i="4" s="1"/>
  <c r="J55" i="3"/>
  <c r="N45" i="4" s="1"/>
  <c r="G74" i="3"/>
  <c r="K60" i="4" s="1"/>
  <c r="C10" i="3"/>
  <c r="G9" i="4" s="1"/>
  <c r="J24" i="3"/>
  <c r="N20" i="4" s="1"/>
  <c r="I38" i="3"/>
  <c r="M31" i="4" s="1"/>
  <c r="D44" i="3"/>
  <c r="H36" i="4" s="1"/>
  <c r="K63" i="3"/>
  <c r="O51" i="4" s="1"/>
  <c r="K50" i="3"/>
  <c r="O41" i="4" s="1"/>
  <c r="C55" i="3"/>
  <c r="G45" i="4" s="1"/>
  <c r="C64" i="3"/>
  <c r="G52" i="4" s="1"/>
  <c r="D10" i="3"/>
  <c r="H9" i="4" s="1"/>
  <c r="L28" i="4"/>
  <c r="I34" i="3"/>
  <c r="M28" i="4" s="1"/>
  <c r="D55" i="3"/>
  <c r="H45" i="4" s="1"/>
  <c r="D64" i="3"/>
  <c r="H52" i="4" s="1"/>
  <c r="C75" i="3"/>
  <c r="G61" i="4" s="1"/>
  <c r="B14" i="3"/>
  <c r="F12" i="4" s="1"/>
  <c r="C9" i="3"/>
  <c r="G8" i="4" s="1"/>
  <c r="G3" i="3"/>
  <c r="K3" i="4" s="1"/>
  <c r="J34" i="3"/>
  <c r="N28" i="4" s="1"/>
  <c r="G44" i="3"/>
  <c r="K36" i="4" s="1"/>
  <c r="C53" i="3"/>
  <c r="G43" i="4" s="1"/>
  <c r="E64" i="3"/>
  <c r="I52" i="4" s="1"/>
  <c r="L57" i="4"/>
  <c r="L60" i="4"/>
  <c r="D75" i="3"/>
  <c r="H61" i="4" s="1"/>
  <c r="B13" i="3"/>
  <c r="F11" i="4" s="1"/>
  <c r="E3" i="3"/>
  <c r="I3" i="4" s="1"/>
  <c r="F3" i="3"/>
  <c r="J3" i="4" s="1"/>
  <c r="F9" i="3"/>
  <c r="J8" i="4" s="1"/>
  <c r="F13" i="3"/>
  <c r="J11" i="4" s="1"/>
  <c r="D15" i="3"/>
  <c r="H13" i="4" s="1"/>
  <c r="K34" i="3"/>
  <c r="O28" i="4" s="1"/>
  <c r="L36" i="4"/>
  <c r="L39" i="4"/>
  <c r="D53" i="3"/>
  <c r="H43" i="4" s="1"/>
  <c r="F55" i="3"/>
  <c r="J45" i="4" s="1"/>
  <c r="F64" i="3"/>
  <c r="J52" i="4" s="1"/>
  <c r="E68" i="3"/>
  <c r="I55" i="4" s="1"/>
  <c r="C13" i="3"/>
  <c r="G11" i="4" s="1"/>
  <c r="J10" i="3"/>
  <c r="N9" i="4" s="1"/>
  <c r="I13" i="3"/>
  <c r="M11" i="4" s="1"/>
  <c r="F14" i="3"/>
  <c r="J12" i="4" s="1"/>
  <c r="E15" i="3"/>
  <c r="I13" i="4" s="1"/>
  <c r="B33" i="3"/>
  <c r="F27" i="4" s="1"/>
  <c r="E53" i="3"/>
  <c r="I43" i="4" s="1"/>
  <c r="G64" i="3"/>
  <c r="K52" i="4" s="1"/>
  <c r="E8" i="3"/>
  <c r="I7" i="4" s="1"/>
  <c r="L12" i="4"/>
  <c r="G18" i="3"/>
  <c r="K15" i="4" s="1"/>
  <c r="G23" i="3"/>
  <c r="K19" i="4" s="1"/>
  <c r="J48" i="3"/>
  <c r="N39" i="4" s="1"/>
  <c r="C49" i="3"/>
  <c r="G40" i="4" s="1"/>
  <c r="L55" i="4"/>
  <c r="E74" i="3"/>
  <c r="I60" i="4" s="1"/>
  <c r="K48" i="3"/>
  <c r="O39" i="4" s="1"/>
  <c r="B44" i="3"/>
  <c r="F36" i="4" s="1"/>
  <c r="B48" i="3"/>
  <c r="F39" i="4" s="1"/>
  <c r="I63" i="3"/>
  <c r="M51" i="4" s="1"/>
  <c r="L53" i="4"/>
  <c r="B10" i="3"/>
  <c r="F9" i="4" s="1"/>
  <c r="F34" i="3"/>
  <c r="J28" i="4" s="1"/>
  <c r="L31" i="4"/>
  <c r="C44" i="3"/>
  <c r="G36" i="4" s="1"/>
  <c r="C48" i="3"/>
  <c r="G39" i="4" s="1"/>
  <c r="K55" i="3"/>
  <c r="O45" i="4" s="1"/>
  <c r="J63" i="3"/>
  <c r="N51" i="4" s="1"/>
  <c r="I65" i="3"/>
  <c r="M53" i="4" s="1"/>
  <c r="B74" i="3"/>
  <c r="F60" i="4" s="1"/>
  <c r="G15" i="3"/>
  <c r="K13" i="4" s="1"/>
  <c r="D48" i="3"/>
  <c r="H39" i="4" s="1"/>
  <c r="J65" i="3"/>
  <c r="N53" i="4" s="1"/>
  <c r="B69" i="3"/>
  <c r="F56" i="4" s="1"/>
  <c r="L61" i="4"/>
  <c r="B9" i="3"/>
  <c r="F8" i="4" s="1"/>
  <c r="E10" i="3"/>
  <c r="I9" i="4" s="1"/>
  <c r="D13" i="3"/>
  <c r="H11" i="4" s="1"/>
  <c r="C14" i="3"/>
  <c r="G12" i="4" s="1"/>
  <c r="B15" i="3"/>
  <c r="F13" i="4" s="1"/>
  <c r="K43" i="3"/>
  <c r="O35" i="4" s="1"/>
  <c r="F44" i="3"/>
  <c r="J36" i="4" s="1"/>
  <c r="F48" i="3"/>
  <c r="J39" i="4" s="1"/>
  <c r="B53" i="3"/>
  <c r="F43" i="4" s="1"/>
  <c r="C68" i="3"/>
  <c r="G55" i="4" s="1"/>
  <c r="E13" i="3"/>
  <c r="I11" i="4" s="1"/>
  <c r="D14" i="3"/>
  <c r="H12" i="4" s="1"/>
  <c r="C15" i="3"/>
  <c r="G13" i="4" s="1"/>
  <c r="B18" i="3"/>
  <c r="F15" i="4" s="1"/>
  <c r="B23" i="3"/>
  <c r="F19" i="4" s="1"/>
  <c r="B43" i="3"/>
  <c r="F35" i="4" s="1"/>
  <c r="E43" i="3"/>
  <c r="I35" i="4" s="1"/>
  <c r="G48" i="3"/>
  <c r="K39" i="4" s="1"/>
  <c r="D68" i="3"/>
  <c r="H55" i="4" s="1"/>
  <c r="I10" i="3"/>
  <c r="M9" i="4" s="1"/>
  <c r="E14" i="3"/>
  <c r="I12" i="4" s="1"/>
  <c r="C18" i="3"/>
  <c r="G15" i="4" s="1"/>
  <c r="C23" i="3"/>
  <c r="G19" i="4" s="1"/>
  <c r="C43" i="3"/>
  <c r="G35" i="4" s="1"/>
  <c r="E75" i="3"/>
  <c r="I61" i="4" s="1"/>
  <c r="C74" i="3"/>
  <c r="G60" i="4" s="1"/>
  <c r="G75" i="3"/>
  <c r="K61" i="4" s="1"/>
  <c r="G8" i="3"/>
  <c r="K7" i="4" s="1"/>
  <c r="D18" i="3"/>
  <c r="H15" i="4" s="1"/>
  <c r="D23" i="3"/>
  <c r="H19" i="4" s="1"/>
  <c r="B35" i="3"/>
  <c r="F29" i="4" s="1"/>
  <c r="D43" i="3"/>
  <c r="H35" i="4" s="1"/>
  <c r="I44" i="3"/>
  <c r="M36" i="4" s="1"/>
  <c r="B45" i="3"/>
  <c r="F37" i="4" s="1"/>
  <c r="I48" i="3"/>
  <c r="M39" i="4" s="1"/>
  <c r="B49" i="3"/>
  <c r="F40" i="4" s="1"/>
  <c r="G68" i="3"/>
  <c r="K55" i="4" s="1"/>
  <c r="D74" i="3"/>
  <c r="H60" i="4" s="1"/>
  <c r="I75" i="3"/>
  <c r="M61" i="4" s="1"/>
  <c r="F15" i="3"/>
  <c r="J13" i="4" s="1"/>
  <c r="C33" i="3"/>
  <c r="G27" i="4" s="1"/>
  <c r="L56" i="4"/>
  <c r="C73" i="3"/>
  <c r="G59" i="4" s="1"/>
  <c r="J75" i="3"/>
  <c r="N61" i="4" s="1"/>
  <c r="J38" i="3"/>
  <c r="N31" i="4" s="1"/>
  <c r="J13" i="3"/>
  <c r="N11" i="4" s="1"/>
  <c r="F8" i="3"/>
  <c r="J7" i="4" s="1"/>
  <c r="I15" i="3"/>
  <c r="M13" i="4" s="1"/>
  <c r="L19" i="4"/>
  <c r="C30" i="3"/>
  <c r="G25" i="4" s="1"/>
  <c r="D33" i="3"/>
  <c r="H27" i="4" s="1"/>
  <c r="D73" i="3"/>
  <c r="H59" i="4" s="1"/>
  <c r="F10" i="3"/>
  <c r="J9" i="4" s="1"/>
  <c r="I14" i="3"/>
  <c r="M12" i="4" s="1"/>
  <c r="I8" i="3"/>
  <c r="M7" i="4" s="1"/>
  <c r="J15" i="3"/>
  <c r="N13" i="4" s="1"/>
  <c r="G9" i="3"/>
  <c r="K8" i="4" s="1"/>
  <c r="C19" i="3"/>
  <c r="G16" i="4" s="1"/>
  <c r="I23" i="3"/>
  <c r="M19" i="4" s="1"/>
  <c r="C24" i="3"/>
  <c r="G20" i="4" s="1"/>
  <c r="D30" i="3"/>
  <c r="H25" i="4" s="1"/>
  <c r="L43" i="4"/>
  <c r="J64" i="3"/>
  <c r="N52" i="4" s="1"/>
  <c r="C69" i="3"/>
  <c r="G56" i="4" s="1"/>
  <c r="G73" i="3"/>
  <c r="K59" i="4" s="1"/>
  <c r="J74" i="3"/>
  <c r="N60" i="4" s="1"/>
  <c r="I73" i="3"/>
  <c r="M59" i="4" s="1"/>
  <c r="K74" i="3"/>
  <c r="O60" i="4" s="1"/>
  <c r="K44" i="3"/>
  <c r="O36" i="4" s="1"/>
  <c r="I9" i="3"/>
  <c r="M8" i="4" s="1"/>
  <c r="L13" i="4"/>
  <c r="J18" i="3"/>
  <c r="N15" i="4" s="1"/>
  <c r="J23" i="3"/>
  <c r="N19" i="4" s="1"/>
  <c r="D24" i="3"/>
  <c r="H20" i="4" s="1"/>
  <c r="C29" i="3"/>
  <c r="G24" i="4" s="1"/>
  <c r="G30" i="3"/>
  <c r="K25" i="4" s="1"/>
  <c r="F35" i="3"/>
  <c r="J29" i="4" s="1"/>
  <c r="F45" i="3"/>
  <c r="J37" i="4" s="1"/>
  <c r="K68" i="3"/>
  <c r="O55" i="4" s="1"/>
  <c r="D69" i="3"/>
  <c r="H56" i="4" s="1"/>
  <c r="C70" i="3"/>
  <c r="G57" i="4" s="1"/>
  <c r="B5" i="3"/>
  <c r="F5" i="4" s="1"/>
  <c r="K18" i="3"/>
  <c r="O15" i="4" s="1"/>
  <c r="G19" i="3"/>
  <c r="K16" i="4" s="1"/>
  <c r="K23" i="3"/>
  <c r="O19" i="4" s="1"/>
  <c r="G24" i="3"/>
  <c r="K20" i="4" s="1"/>
  <c r="C25" i="3"/>
  <c r="G21" i="4" s="1"/>
  <c r="D29" i="3"/>
  <c r="H24" i="4" s="1"/>
  <c r="I30" i="3"/>
  <c r="M25" i="4" s="1"/>
  <c r="G35" i="3"/>
  <c r="K29" i="4" s="1"/>
  <c r="I43" i="3"/>
  <c r="M35" i="4" s="1"/>
  <c r="G45" i="3"/>
  <c r="K37" i="4" s="1"/>
  <c r="G49" i="3"/>
  <c r="K40" i="4" s="1"/>
  <c r="J53" i="3"/>
  <c r="N43" i="4" s="1"/>
  <c r="B59" i="3"/>
  <c r="F48" i="4" s="1"/>
  <c r="E63" i="3"/>
  <c r="I51" i="4" s="1"/>
  <c r="B65" i="3"/>
  <c r="F53" i="4" s="1"/>
  <c r="E69" i="3"/>
  <c r="I56" i="4" s="1"/>
  <c r="D70" i="3"/>
  <c r="H57" i="4" s="1"/>
  <c r="J73" i="3"/>
  <c r="N59" i="4" s="1"/>
  <c r="B8" i="3"/>
  <c r="F7" i="4" s="1"/>
  <c r="L20" i="4"/>
  <c r="G29" i="3"/>
  <c r="K24" i="4" s="1"/>
  <c r="J30" i="3"/>
  <c r="N25" i="4" s="1"/>
  <c r="L27" i="4"/>
  <c r="L29" i="4"/>
  <c r="J43" i="3"/>
  <c r="N35" i="4" s="1"/>
  <c r="L37" i="4"/>
  <c r="L40" i="4"/>
  <c r="B54" i="3"/>
  <c r="F44" i="4" s="1"/>
  <c r="B55" i="3"/>
  <c r="F45" i="4" s="1"/>
  <c r="G69" i="3"/>
  <c r="K56" i="4" s="1"/>
  <c r="E70" i="3"/>
  <c r="I57" i="4" s="1"/>
  <c r="E73" i="3"/>
  <c r="I59" i="4" s="1"/>
  <c r="K73" i="3"/>
  <c r="O59" i="4" s="1"/>
  <c r="L51" i="4"/>
  <c r="B4" i="3"/>
  <c r="F4" i="4" s="1"/>
  <c r="I19" i="3"/>
  <c r="M16" i="4" s="1"/>
  <c r="I24" i="3"/>
  <c r="M20" i="4" s="1"/>
  <c r="G25" i="3"/>
  <c r="K21" i="4" s="1"/>
  <c r="D28" i="3"/>
  <c r="H23" i="4" s="1"/>
  <c r="I29" i="3"/>
  <c r="M24" i="4" s="1"/>
  <c r="K30" i="3"/>
  <c r="O25" i="4" s="1"/>
  <c r="I33" i="3"/>
  <c r="M27" i="4" s="1"/>
  <c r="I35" i="3"/>
  <c r="M29" i="4" s="1"/>
  <c r="I45" i="3"/>
  <c r="M37" i="4" s="1"/>
  <c r="I49" i="3"/>
  <c r="M40" i="4" s="1"/>
  <c r="B50" i="3"/>
  <c r="F41" i="4" s="1"/>
  <c r="C54" i="3"/>
  <c r="G44" i="4" s="1"/>
  <c r="F69" i="3"/>
  <c r="J56" i="4" s="1"/>
  <c r="I69" i="3"/>
  <c r="M56" i="4" s="1"/>
  <c r="F73" i="3"/>
  <c r="J59" i="4" s="1"/>
  <c r="F75" i="3"/>
  <c r="J61" i="4" s="1"/>
  <c r="C28" i="3"/>
  <c r="G23" i="4" s="1"/>
  <c r="D4" i="3"/>
  <c r="H4" i="4" s="1"/>
  <c r="F5" i="3"/>
  <c r="J5" i="4" s="1"/>
  <c r="L3" i="4"/>
  <c r="J19" i="3"/>
  <c r="N16" i="4" s="1"/>
  <c r="L21" i="4"/>
  <c r="G28" i="3"/>
  <c r="K23" i="4" s="1"/>
  <c r="J29" i="3"/>
  <c r="N24" i="4" s="1"/>
  <c r="J33" i="3"/>
  <c r="N27" i="4" s="1"/>
  <c r="J35" i="3"/>
  <c r="N29" i="4" s="1"/>
  <c r="B38" i="3"/>
  <c r="F31" i="4" s="1"/>
  <c r="J45" i="3"/>
  <c r="N37" i="4" s="1"/>
  <c r="J49" i="3"/>
  <c r="N40" i="4" s="1"/>
  <c r="C50" i="3"/>
  <c r="G41" i="4" s="1"/>
  <c r="D54" i="3"/>
  <c r="H44" i="4" s="1"/>
  <c r="C63" i="3"/>
  <c r="G51" i="4" s="1"/>
  <c r="C65" i="3"/>
  <c r="G53" i="4" s="1"/>
  <c r="J69" i="3"/>
  <c r="N56" i="4" s="1"/>
  <c r="I70" i="3"/>
  <c r="M57" i="4" s="1"/>
  <c r="L59" i="4"/>
  <c r="K75" i="3"/>
  <c r="O61" i="4" s="1"/>
  <c r="C8" i="3"/>
  <c r="G7" i="4" s="1"/>
  <c r="E4" i="3"/>
  <c r="I4" i="4" s="1"/>
  <c r="G5" i="3"/>
  <c r="K5" i="4" s="1"/>
  <c r="J14" i="3"/>
  <c r="N12" i="4" s="1"/>
  <c r="K19" i="3"/>
  <c r="O16" i="4" s="1"/>
  <c r="K24" i="3"/>
  <c r="O20" i="4" s="1"/>
  <c r="I25" i="3"/>
  <c r="M21" i="4" s="1"/>
  <c r="I28" i="3"/>
  <c r="M23" i="4" s="1"/>
  <c r="K29" i="3"/>
  <c r="O24" i="4" s="1"/>
  <c r="K33" i="3"/>
  <c r="O27" i="4" s="1"/>
  <c r="K35" i="3"/>
  <c r="O29" i="4" s="1"/>
  <c r="C38" i="3"/>
  <c r="G31" i="4" s="1"/>
  <c r="D50" i="3"/>
  <c r="H41" i="4" s="1"/>
  <c r="E54" i="3"/>
  <c r="I44" i="4" s="1"/>
  <c r="D63" i="3"/>
  <c r="H51" i="4" s="1"/>
  <c r="D65" i="3"/>
  <c r="H53" i="4" s="1"/>
  <c r="K69" i="3"/>
  <c r="O56" i="4" s="1"/>
  <c r="J70" i="3"/>
  <c r="N57" i="4" s="1"/>
  <c r="F50" i="3"/>
  <c r="J41" i="4" s="1"/>
  <c r="B70" i="3"/>
  <c r="F57" i="4" s="1"/>
  <c r="F4" i="3"/>
  <c r="J4" i="4" s="1"/>
  <c r="L5" i="4"/>
  <c r="L7" i="4"/>
  <c r="L15" i="4"/>
  <c r="J25" i="3"/>
  <c r="N21" i="4" s="1"/>
  <c r="J28" i="3"/>
  <c r="N23" i="4" s="1"/>
  <c r="B34" i="3"/>
  <c r="F28" i="4" s="1"/>
  <c r="K38" i="3"/>
  <c r="O31" i="4" s="1"/>
  <c r="D38" i="3"/>
  <c r="H31" i="4" s="1"/>
  <c r="J44" i="3"/>
  <c r="N36" i="4" s="1"/>
  <c r="E50" i="3"/>
  <c r="I41" i="4" s="1"/>
  <c r="F54" i="3"/>
  <c r="J44" i="4" s="1"/>
  <c r="G55" i="3"/>
  <c r="K45" i="4" s="1"/>
  <c r="F63" i="3"/>
  <c r="J51" i="4" s="1"/>
  <c r="E65" i="3"/>
  <c r="I53" i="4" s="1"/>
  <c r="K70" i="3"/>
  <c r="O57" i="4" s="1"/>
  <c r="F74" i="3"/>
  <c r="J60" i="4" s="1"/>
</calcChain>
</file>

<file path=xl/sharedStrings.xml><?xml version="1.0" encoding="utf-8"?>
<sst xmlns="http://schemas.openxmlformats.org/spreadsheetml/2006/main" count="578" uniqueCount="60">
  <si>
    <t>All values mg/mL</t>
  </si>
  <si>
    <t>CB78-X95-0.45M - 70 C</t>
  </si>
  <si>
    <t>Residence Time</t>
  </si>
  <si>
    <t>RT 2.2</t>
  </si>
  <si>
    <t>RT 4.1</t>
  </si>
  <si>
    <t>RT 5.5</t>
  </si>
  <si>
    <t>RT 7.2</t>
  </si>
  <si>
    <t>RT 7.4</t>
  </si>
  <si>
    <t>RT 7.6</t>
  </si>
  <si>
    <t>RT 10.5</t>
  </si>
  <si>
    <t>RT 18.2</t>
  </si>
  <si>
    <t>RT 22.6</t>
  </si>
  <si>
    <t>10 min</t>
  </si>
  <si>
    <t>15 min</t>
  </si>
  <si>
    <t>20 min</t>
  </si>
  <si>
    <t>CB78-X95-0.45 M - 80 C</t>
  </si>
  <si>
    <t>CB78-X95-0.45 M - 90 C</t>
  </si>
  <si>
    <t>CB78-X95-1.8 M - 70 C</t>
  </si>
  <si>
    <t>CB78-X95-1.8 M - 80 C</t>
  </si>
  <si>
    <t>CB78-X95-1.8 M - 90 C</t>
  </si>
  <si>
    <t>CB78-X95-10 Eq - 70 C</t>
  </si>
  <si>
    <t>CB78-X95-10 Eq - 80 C</t>
  </si>
  <si>
    <t>CB78-X95-10 Eq - 90 C</t>
  </si>
  <si>
    <t>CB78-X95-20 Eq - 70 C</t>
  </si>
  <si>
    <t>CB78-X95-20 Eq - 80 C</t>
  </si>
  <si>
    <t>CB78-X95-20 Eq - 90 C</t>
  </si>
  <si>
    <t>CB78-X95-40 Eq - 70 C</t>
  </si>
  <si>
    <t>CB78-X95-40 Eq - 80 C</t>
  </si>
  <si>
    <t>CB78-X95-40 Eq - 90 C</t>
  </si>
  <si>
    <t>****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</si>
  <si>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</si>
  <si>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</si>
  <si>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</si>
  <si>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</si>
  <si>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</si>
  <si>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</si>
  <si>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</si>
  <si>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</si>
  <si>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</si>
  <si>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</si>
  <si>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A </t>
  </si>
  <si>
    <t>4HBA</t>
  </si>
  <si>
    <t>Sulfonated</t>
  </si>
  <si>
    <t>Monoaklyated</t>
  </si>
  <si>
    <t>4-isopropoxybenzioc acid</t>
  </si>
  <si>
    <t>4-hydroxybenzoate</t>
  </si>
  <si>
    <t>DIPBA</t>
  </si>
  <si>
    <t>Unk</t>
  </si>
  <si>
    <t>Esterified</t>
  </si>
  <si>
    <t xml:space="preserve">I </t>
  </si>
  <si>
    <t>Tri</t>
  </si>
  <si>
    <t>Pseudo Dimer</t>
  </si>
  <si>
    <t>RT 15.8</t>
  </si>
  <si>
    <t>Exp_label</t>
  </si>
  <si>
    <t>H2SO4 Eq</t>
  </si>
  <si>
    <t>HBA_Conc</t>
  </si>
  <si>
    <t>Temp</t>
  </si>
  <si>
    <t>rt</t>
  </si>
  <si>
    <t>Reactor Results</t>
  </si>
  <si>
    <t>Exp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</si>
</sst>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609600</xdr:colOff>
      <xdr:row>1</xdr:row>
      <xdr:rowOff>19050</xdr:rowOff>
    </xdr:from>
    <xdr:to>
      <xdr:col>21</xdr:col>
      <xdr:colOff>171504</xdr:colOff>
      <xdr:row>13</xdr:row>
      <xdr:rowOff>38116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23B4FE-4D6B-4BCB-AE0D-5B48D1527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209550"/>
          <a:ext cx="7801029" cy="21812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257229</xdr:colOff>
      <xdr:row>12</xdr:row>
      <xdr:rowOff>9541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95F5C4-88A5-4DA0-86DC-A8460FF72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01029" cy="2181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61B9-7DDB-4D0E-A1C0-225C41603C0A}">
  <dimension ref="A1:M168"/>
  <sheetViews>
    <sheetView tabSelected="1" topLeftCell="A88" workbookViewId="0">
      <selection activeCell="G121" sqref="G121"/>
    </sheetView>
  </sheetViews>
  <sheetFormatPr defaultRowHeight="14.25"/>
  <cols>
    <col min="1" max="1" width="19.625" customWidth="1"/>
    <col min="14" max="14" width="27.125" customWidth="1"/>
  </cols>
  <sheetData>
    <row r="1" spans="1:11" ht="1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</row>
    <row r="2" spans="1:11">
      <c r="A2" s="1" t="s">
        <v>2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</row>
    <row r="3" spans="1:11">
      <c r="A3" s="1" t="s">
        <v>12</v>
      </c>
      <c r="B3">
        <f>((4949.86133*1.025*0.827)/4869.78271)*25</f>
        <v>21.540353814409457</v>
      </c>
      <c r="C3">
        <v>0</v>
      </c>
      <c r="D3">
        <f>((35.07545*1.025*0.885)/4869.78271)*25</f>
        <v>0.16334310725975901</v>
      </c>
      <c r="E3">
        <f>((109.88469*1.025*0.601)/4869.78271)*25</f>
        <v>0.34750891460848155</v>
      </c>
      <c r="F3">
        <f>((320.96368*1.025*0.569)/4869.78271)*25</f>
        <v>0.96099792031583242</v>
      </c>
      <c r="G3">
        <f>((3.60955*1.025)/4869.78271)*25</f>
        <v>1.8993602848041649E-2</v>
      </c>
      <c r="H3">
        <f>((0*1.025*0.85)/4869.78271)*25</f>
        <v>0</v>
      </c>
      <c r="I3">
        <v>0</v>
      </c>
      <c r="J3">
        <v>0</v>
      </c>
      <c r="K3">
        <v>0</v>
      </c>
    </row>
    <row r="4" spans="1:11">
      <c r="A4" s="1" t="s">
        <v>12</v>
      </c>
      <c r="B4">
        <f>((4854.66992*1.025*0.827)/4869.78271)*25</f>
        <v>21.126108542715652</v>
      </c>
      <c r="C4">
        <v>0</v>
      </c>
      <c r="D4">
        <f>((51.3475*1.025*0.885)/4869.78271)*25</f>
        <v>0.23912053017197143</v>
      </c>
      <c r="E4">
        <f>((114.10931*1.025*0.601)/4869.78271)*25</f>
        <v>0.36086922086072898</v>
      </c>
      <c r="F4">
        <f>((337.60727*1.025*0.569)/4869.78271)*25</f>
        <v>1.0108305224862382</v>
      </c>
      <c r="G4">
        <f>((2.67687*1.025)/4869.78271)*25</f>
        <v>1.4085801735905375E-2</v>
      </c>
      <c r="H4">
        <f>((0*1.025*0.85)/4869.78271)*25</f>
        <v>0</v>
      </c>
      <c r="I4">
        <v>0</v>
      </c>
      <c r="J4">
        <v>0</v>
      </c>
      <c r="K4">
        <v>0</v>
      </c>
    </row>
    <row r="5" spans="1:11">
      <c r="A5" s="1" t="s">
        <v>12</v>
      </c>
      <c r="B5">
        <f>((4770.00195*1.025*0.827)/4869.78271)*25</f>
        <v>20.757658214724785</v>
      </c>
      <c r="C5">
        <v>0</v>
      </c>
      <c r="D5">
        <f>((48.02655*1.025*0.885)/4869.78271)*25</f>
        <v>0.22365517500035434</v>
      </c>
      <c r="E5">
        <f>((116.45296*1.025*0.601)/4869.78271)*25</f>
        <v>0.36828098375255841</v>
      </c>
      <c r="F5">
        <f>((353.21085*1.025*0.569)/4869.78271)*25</f>
        <v>1.0575492288815589</v>
      </c>
      <c r="G5">
        <f>((4.93438*1.025)/4869.78271)*25</f>
        <v>2.5964913637799656E-2</v>
      </c>
      <c r="H5">
        <f>((22.17093*1.025*0.85)/4869.78271)*25</f>
        <v>9.9164705659423535E-2</v>
      </c>
      <c r="I5">
        <v>0</v>
      </c>
      <c r="J5">
        <v>0</v>
      </c>
      <c r="K5">
        <v>0</v>
      </c>
    </row>
    <row r="6" spans="1:11">
      <c r="A6" s="1" t="s">
        <v>13</v>
      </c>
      <c r="B6">
        <f>((4496.51123*1.025*0.827)/4869.78271)*25</f>
        <v>19.567506313286049</v>
      </c>
      <c r="C6">
        <v>0</v>
      </c>
      <c r="D6">
        <f>((66.93796*1.025*0.885)/4869.78271)*25</f>
        <v>0.31172385186874174</v>
      </c>
      <c r="E6">
        <f>((149.35538*1.025*0.601)/4869.78271)*25</f>
        <v>0.47233446256013745</v>
      </c>
      <c r="F6">
        <f>((490.39081*1.025*0.569)/4869.78271)*25</f>
        <v>1.4682799890380014</v>
      </c>
      <c r="G6">
        <f>((9.36996*1.025)/4869.78271)*25</f>
        <v>4.9305120843882576E-2</v>
      </c>
      <c r="H6">
        <v>0</v>
      </c>
      <c r="I6">
        <v>0</v>
      </c>
      <c r="J6">
        <v>0</v>
      </c>
      <c r="K6">
        <v>0</v>
      </c>
    </row>
    <row r="7" spans="1:11">
      <c r="A7" s="1" t="s">
        <v>13</v>
      </c>
      <c r="B7">
        <f>((4518.33496*1.025*0.827)/4869.78271)*25</f>
        <v>19.662476825470101</v>
      </c>
      <c r="C7">
        <v>0</v>
      </c>
      <c r="D7">
        <f>((68.54962*1.025*0.885)/4869.78271)*25</f>
        <v>0.3192292025412567</v>
      </c>
      <c r="E7">
        <f>((152.93958*1.025*0.601)/4869.78271)*25</f>
        <v>0.4836694488238264</v>
      </c>
      <c r="F7">
        <f>((514.92041*1.025*0.569)/4869.78271)*25</f>
        <v>1.5417241076565917</v>
      </c>
      <c r="G7">
        <f>((9.65019*1.025)/4869.78271)*25</f>
        <v>5.077970280731478E-2</v>
      </c>
      <c r="H7">
        <f>((38.32059*1.025*0.85)/4869.78271)*25</f>
        <v>0.1713978632400828</v>
      </c>
      <c r="I7">
        <v>0</v>
      </c>
      <c r="J7">
        <v>0</v>
      </c>
      <c r="K7">
        <v>0</v>
      </c>
    </row>
    <row r="8" spans="1:11">
      <c r="A8" s="1" t="s">
        <v>13</v>
      </c>
      <c r="B8">
        <f>((4585.19824*1.025*0.827)/4869.78271)*25</f>
        <v>19.953446331961693</v>
      </c>
      <c r="C8">
        <v>0</v>
      </c>
      <c r="D8">
        <f>((68.09057*1.025*0.885)/4869.78271)*25</f>
        <v>0.31709144940088096</v>
      </c>
      <c r="E8">
        <f>((145.16243*1.025*0.601)/4869.78271)*25</f>
        <v>0.45907431227434575</v>
      </c>
      <c r="F8">
        <f>((507.9075*1.025*0.569)/4869.78271)*25</f>
        <v>1.5207267414581416</v>
      </c>
      <c r="G8">
        <f>((9.61992*1.025)/4869.78271)*25</f>
        <v>5.0620420803128598E-2</v>
      </c>
      <c r="H8">
        <f>((36.54182*1.025*0.85)/4869.78271)*25</f>
        <v>0.16344189551631966</v>
      </c>
      <c r="I8">
        <v>0</v>
      </c>
      <c r="J8">
        <v>0</v>
      </c>
      <c r="K8">
        <v>0</v>
      </c>
    </row>
    <row r="9" spans="1:11">
      <c r="A9" s="1" t="s">
        <v>14</v>
      </c>
      <c r="B9">
        <f>((3569.43774*1.025*0.827)/4869.78271)*25</f>
        <v>15.533152690987825</v>
      </c>
      <c r="C9">
        <v>0</v>
      </c>
      <c r="D9">
        <f>((57.99284*1.025*0.885)/4869.78271)*25</f>
        <v>0.27006726027515093</v>
      </c>
      <c r="E9">
        <f>((221.73465*1.025*0.601)/4869.78271)*25</f>
        <v>0.70123297023990805</v>
      </c>
      <c r="F9">
        <f>((608.71301*1.025*0.569)/4869.78271)*25</f>
        <v>1.8225486967222913</v>
      </c>
      <c r="G9">
        <f>((21.83297*1.025)/4869.78271)*25</f>
        <v>0.11488599996487316</v>
      </c>
      <c r="H9">
        <f>((57.32618*1.025*0.85)/4869.78271)*25</f>
        <v>0.25640484031473343</v>
      </c>
      <c r="I9">
        <f>((22.50109*1.025*0.842)/4869.78271)*25</f>
        <v>9.9694210609347689E-2</v>
      </c>
      <c r="J9">
        <v>0</v>
      </c>
      <c r="K9">
        <v>0</v>
      </c>
    </row>
    <row r="10" spans="1:11">
      <c r="A10" s="1" t="s">
        <v>14</v>
      </c>
      <c r="B10">
        <f>((3449.52734*1.025*0.827)/4869.78271)*25</f>
        <v>15.011337579446637</v>
      </c>
      <c r="C10">
        <v>0</v>
      </c>
      <c r="D10">
        <f>((62.45248*1.025*0.885)/4869.78271)*25</f>
        <v>0.29083538883401222</v>
      </c>
      <c r="E10">
        <f>((217.82204*1.025*0.601)/4869.78271)*25</f>
        <v>0.68885939158772003</v>
      </c>
      <c r="F10">
        <f>((595.7796*1.025*0.569)/4869.78271)*25</f>
        <v>1.7838247510328846</v>
      </c>
      <c r="G10">
        <f>((22.68338*1.025)/4869.78271)*25</f>
        <v>0.1193608929011126</v>
      </c>
      <c r="H10">
        <f>((58*1.025*0.85)/4869.78271)*25</f>
        <v>0.25941865894874799</v>
      </c>
      <c r="I10">
        <f>((16.2627*1.025*0.842)/4869.78271)*25</f>
        <v>7.205415554875956E-2</v>
      </c>
      <c r="J10">
        <v>0</v>
      </c>
      <c r="K10">
        <v>0</v>
      </c>
    </row>
    <row r="11" spans="1:11">
      <c r="A11" s="1" t="s">
        <v>14</v>
      </c>
      <c r="B11">
        <f>((3674.8916*1.025*0.827)/4869.78271)*25</f>
        <v>15.992057153973096</v>
      </c>
      <c r="C11">
        <v>0</v>
      </c>
      <c r="D11">
        <f>((59.58179*1.025*0.885)/4869.78271)*25</f>
        <v>0.27746685259058501</v>
      </c>
      <c r="E11">
        <f>((222.49577*1.025*0.601)/4869.78271)*25</f>
        <v>0.70364000242143243</v>
      </c>
      <c r="F11">
        <f>((611.76208*1.025*0.569)/4869.78271)*25</f>
        <v>1.8316779225864059</v>
      </c>
      <c r="G11">
        <f>((21.33937*1.025)/4869.78271)*25</f>
        <v>0.11228865615032747</v>
      </c>
      <c r="H11">
        <f>((47.72998*1.025*0.85)/4869.78271)*25</f>
        <v>0.21348357591811315</v>
      </c>
      <c r="I11">
        <v>0</v>
      </c>
      <c r="J11">
        <v>0</v>
      </c>
      <c r="K11">
        <v>0</v>
      </c>
    </row>
    <row r="12" spans="1:11" ht="15">
      <c r="A12" s="1"/>
      <c r="B12" s="4" t="s">
        <v>15</v>
      </c>
      <c r="C12" s="4"/>
      <c r="D12" s="4"/>
      <c r="E12" s="4"/>
      <c r="F12" s="4"/>
      <c r="G12" s="4"/>
      <c r="H12" s="4"/>
      <c r="I12" s="4"/>
      <c r="J12" s="4"/>
    </row>
    <row r="13" spans="1:11">
      <c r="A13" s="1" t="s">
        <v>2</v>
      </c>
      <c r="B13" t="s">
        <v>30</v>
      </c>
      <c r="C13" t="s">
        <v>31</v>
      </c>
      <c r="D13" t="s">
        <v>32</v>
      </c>
      <c r="E13" t="s">
        <v>33</v>
      </c>
      <c r="F13" t="s">
        <v>34</v>
      </c>
      <c r="G13" t="s">
        <v>35</v>
      </c>
      <c r="H13" t="s">
        <v>36</v>
      </c>
      <c r="I13" t="s">
        <v>37</v>
      </c>
      <c r="J13" t="s">
        <v>38</v>
      </c>
      <c r="K13" t="str">
        <f>K2</f>
        <v>J</v>
      </c>
    </row>
    <row r="14" spans="1:11">
      <c r="A14" s="1" t="s">
        <v>12</v>
      </c>
      <c r="B14">
        <f>((0.827*4229.87207*1.025)/4869.78271)*25</f>
        <v>18.407170404001711</v>
      </c>
      <c r="C14">
        <f>((5.75165*0.72*1.025)/4869.78271)*25</f>
        <v>2.1791104207193664E-2</v>
      </c>
      <c r="D14">
        <f>((97.18655*1.025*0.885)/4869.78271)*25</f>
        <v>0.45258872119547805</v>
      </c>
      <c r="E14">
        <f>((134.91046*1.025*0.601)/4869.78271)*25</f>
        <v>0.42665258940013356</v>
      </c>
      <c r="F14">
        <f>((604.80585*1.025*0.569)/4869.78271)*25</f>
        <v>1.8108502620759126</v>
      </c>
      <c r="G14">
        <f>((65.04854*1.025)/4869.78271)*25</f>
        <v>0.34228813414551712</v>
      </c>
      <c r="H14">
        <f>((96.22007*1.025*0.85)/4869.78271)*25</f>
        <v>0.43036692281645961</v>
      </c>
      <c r="I14">
        <f>((58.64207*1.025*0.842)/4869.78271)*25</f>
        <v>0.25982185205908287</v>
      </c>
      <c r="J14">
        <v>0</v>
      </c>
      <c r="K14">
        <v>0</v>
      </c>
    </row>
    <row r="15" spans="1:11">
      <c r="A15" s="1" t="s">
        <v>12</v>
      </c>
      <c r="B15">
        <f>((3793.7583*0.827*1.025)/4869.78271)*25</f>
        <v>16.509330387312595</v>
      </c>
      <c r="C15">
        <f>((6.01182*0.72*1.025)/4869.78271)*25</f>
        <v>2.2776802499263869E-2</v>
      </c>
      <c r="D15">
        <f>((95.90793*0.885*1.025)/4869.78271)*25</f>
        <v>0.4466343068172029</v>
      </c>
      <c r="E15">
        <f>((128.95*1.025*0.601)/4869.78271)*25</f>
        <v>0.40780271154028547</v>
      </c>
      <c r="F15">
        <f>((563.54187*1.025*0.569)/4869.78271)*25</f>
        <v>1.6873017067878062</v>
      </c>
      <c r="G15">
        <f>((69.22874*1.025)/4869.78271)*25</f>
        <v>0.36428452112599491</v>
      </c>
      <c r="H15">
        <f>((100.13024*1.025*0.85)/4869.78271)*25</f>
        <v>0.44785607898303942</v>
      </c>
      <c r="I15">
        <f>((61.54198*1.025*0.842)/4869.78271)*25</f>
        <v>0.27267030688007837</v>
      </c>
      <c r="J15">
        <v>0</v>
      </c>
      <c r="K15">
        <v>0</v>
      </c>
    </row>
    <row r="16" spans="1:11">
      <c r="A16" s="1" t="s">
        <v>12</v>
      </c>
      <c r="B16">
        <f>((0.827*4212.66455*1.025)/4869.78271)*25</f>
        <v>18.332288292290404</v>
      </c>
      <c r="C16">
        <f>((6.71838*0.72*1.025)/4869.78271)*25</f>
        <v>2.5453725223809825E-2</v>
      </c>
      <c r="D16">
        <f>((98.04368*0.885*1.025)/4869.78271)*25</f>
        <v>0.45658029585882687</v>
      </c>
      <c r="E16">
        <f t="shared" ref="E16" si="0">((134.91046*1.025*0.601)/4869.78271)*25</f>
        <v>0.42665258940013356</v>
      </c>
      <c r="F16">
        <f>((586.79968*1.025*0.569)/4869.78271)*25</f>
        <v>1.7569379567245615</v>
      </c>
      <c r="G16">
        <f>((68.84192*1.025)/4869.78271)*25</f>
        <v>0.36224905813097352</v>
      </c>
      <c r="H16">
        <f>((67.78584*1.025*0.85)/4869.78271)*25</f>
        <v>0.30318813290542068</v>
      </c>
      <c r="I16">
        <f>((56.11833*1.025*0.842)/4869.78271)*25</f>
        <v>0.24864007077278807</v>
      </c>
      <c r="J16">
        <v>0</v>
      </c>
      <c r="K16">
        <v>0</v>
      </c>
    </row>
    <row r="17" spans="1:11">
      <c r="A17" s="1" t="s">
        <v>13</v>
      </c>
      <c r="B17">
        <f>((0.827*4149.77979*1.025)/4869.78271)*25</f>
        <v>18.058632145253604</v>
      </c>
      <c r="C17">
        <f>((5.67283*0.72*1.025)/4869.78271)*25</f>
        <v>2.1492481232288901E-2</v>
      </c>
      <c r="D17">
        <f t="shared" ref="D17" si="1">((95.90793*0.885*1.025)/4869.78271)*25</f>
        <v>0.4466343068172029</v>
      </c>
      <c r="E17">
        <f>((197.98997 *1.025*0.601)/4869.78271)*25</f>
        <v>0.62614072604714832</v>
      </c>
      <c r="F17">
        <f>((830.84143*1.025*0.569)/4869.78271)*25</f>
        <v>2.487623790773561</v>
      </c>
      <c r="G17">
        <f>((49.34512*1.025)/4869.78271)*25</f>
        <v>0.25965608227312464</v>
      </c>
      <c r="H17">
        <f>((67.51533*1.025*0.85)/4869.78271)*25</f>
        <v>0.30197821322555474</v>
      </c>
      <c r="I17">
        <f>((45.5226*1.025*0.842)/4869.78271)*25</f>
        <v>0.20169421445294833</v>
      </c>
      <c r="J17">
        <v>0</v>
      </c>
      <c r="K17">
        <v>0</v>
      </c>
    </row>
    <row r="18" spans="1:11">
      <c r="A18" s="1" t="s">
        <v>13</v>
      </c>
      <c r="B18">
        <f>((0.827*3863.79077*1.025)/4869.78271)*25</f>
        <v>16.81409128498748</v>
      </c>
      <c r="C18">
        <f>((5.33463*0.72*1.025)/4869.78271)*25</f>
        <v>2.0211153014669102E-2</v>
      </c>
      <c r="D18">
        <f>((79.22682*0.885*1.025)/4869.78271)*25</f>
        <v>0.36895192954358735</v>
      </c>
      <c r="E18">
        <f>((189.41266*1.025*0.601)/4869.78271)*25</f>
        <v>0.59901509381976081</v>
      </c>
      <c r="F18">
        <f>((788.92102*1.025*0.569)/4869.78271)*25</f>
        <v>2.3621098172648236</v>
      </c>
      <c r="G18">
        <f>((47.61595*1.025)/4869.78271)*25</f>
        <v>0.25055711751664578</v>
      </c>
      <c r="H18">
        <f>((166.70088*1.025*0.85)/4869.78271)*25</f>
        <v>0.74560894370993391</v>
      </c>
      <c r="I18">
        <f>((51.01654*1.025*0.842)/4869.78271)*25</f>
        <v>0.22603588018714696</v>
      </c>
      <c r="J18">
        <v>0</v>
      </c>
      <c r="K18">
        <v>0</v>
      </c>
    </row>
    <row r="19" spans="1:11">
      <c r="A19" s="1" t="s">
        <v>13</v>
      </c>
      <c r="B19">
        <f>((0.827*4024.50098*1.025)/4869.78271)*25</f>
        <v>17.513455278076972</v>
      </c>
      <c r="C19">
        <f>((5.44888*0.72*1.025)/4869.78271)*25</f>
        <v>2.0644008570148295E-2</v>
      </c>
      <c r="D19">
        <f>((83.3162*0.885*1.025)/4869.78271)*25</f>
        <v>0.38799579173112625</v>
      </c>
      <c r="E19">
        <f>((197.19188*1.025*0.601)/4869.78271)*25</f>
        <v>0.62361677671753835</v>
      </c>
      <c r="F19">
        <f>((818.16534*1.025*0.569)/4869.78271)*25</f>
        <v>2.4496702873499459</v>
      </c>
      <c r="G19">
        <f>((49.49934*1.025)/4869.78271)*25</f>
        <v>0.2604675943539172</v>
      </c>
      <c r="H19">
        <f>((154.90956*1.025*0.85)/4869.78271)*25</f>
        <v>0.69286948816449334</v>
      </c>
      <c r="I19">
        <f>((38.8845*1.025*0.842)/4869.78271)*25</f>
        <v>0.17228318861171524</v>
      </c>
      <c r="J19">
        <v>0</v>
      </c>
      <c r="K19">
        <v>0</v>
      </c>
    </row>
    <row r="20" spans="1:11">
      <c r="A20" s="1" t="s">
        <v>14</v>
      </c>
      <c r="B20">
        <f>((0.827*2311.5498*1.025)/4869.78271)*25</f>
        <v>10.059191001948212</v>
      </c>
      <c r="C20">
        <f>((6.83506*0.72*1.025)/4869.78271)*25</f>
        <v>2.5895787247558727E-2</v>
      </c>
      <c r="D20">
        <f>((146.32016*0.885*1.025)/4869.78271)*25</f>
        <v>0.68139937161590491</v>
      </c>
      <c r="E20">
        <f>((471.82217*1.025*0.601)/4869.78271)*25</f>
        <v>1.4921315261017567</v>
      </c>
      <c r="F20">
        <f>((1545.10388*1.025*0.569)/4869.78271)*25</f>
        <v>4.626198251939047</v>
      </c>
      <c r="G20">
        <f>((65.12679*1.025)/4869.78271)*25</f>
        <v>0.34269988891352399</v>
      </c>
      <c r="H20">
        <f>((166.70088*1.025*0.85)/4869.78271)*25</f>
        <v>0.74560894370993391</v>
      </c>
      <c r="I20">
        <f>((67.93215*1.025*0.842)/4869.78271)*25</f>
        <v>0.30098284435313122</v>
      </c>
      <c r="J20">
        <f>((4.88784*1.025*0.484)/4869.78271)*25</f>
        <v>1.2448488815633416E-2</v>
      </c>
      <c r="K20">
        <v>0</v>
      </c>
    </row>
    <row r="21" spans="1:11">
      <c r="A21" s="1" t="s">
        <v>14</v>
      </c>
      <c r="B21">
        <f>((0.827*2243.1731*1.025)/4869.78271)*25</f>
        <v>9.761635532720204</v>
      </c>
      <c r="C21">
        <f>((6.49707*0.72*1.025)/4869.78271)*25</f>
        <v>2.4615254650653597E-2</v>
      </c>
      <c r="D21">
        <f>((138.47322*0.885*1.025)/4869.78271)*25</f>
        <v>0.6448569021085746</v>
      </c>
      <c r="E21">
        <f>((463.21567*1.025*0.601)/4869.78271)*25</f>
        <v>1.4649135808759211</v>
      </c>
      <c r="F21">
        <f>((1514.16345*1.025*0.569)/4869.78271)*25</f>
        <v>4.5335594559117913</v>
      </c>
      <c r="G21">
        <f>((61.95459*1.025)/4869.78271)*25</f>
        <v>0.32600764003082178</v>
      </c>
      <c r="H21">
        <f>((154.90956*1.025*0.85)/4869.78271)*25</f>
        <v>0.69286948816449334</v>
      </c>
      <c r="I21">
        <f>((59.07254*1.025*0.842)/4869.78271)*25</f>
        <v>0.26172910930044341</v>
      </c>
      <c r="J21">
        <f>((4.35552*1.025*0.484)/4869.78271)*25</f>
        <v>1.1092761220962154E-2</v>
      </c>
      <c r="K21">
        <v>0</v>
      </c>
    </row>
    <row r="22" spans="1:11">
      <c r="A22" s="1" t="s">
        <v>14</v>
      </c>
      <c r="B22">
        <f>((0.827*2294.21118*1.025)/4869.78271)*25</f>
        <v>9.9837383812475053</v>
      </c>
      <c r="C22">
        <f>((6.01182*0.72*1.025)/4869.78271)*25</f>
        <v>2.2776802499263869E-2</v>
      </c>
      <c r="D22">
        <f>((150.0824*0.885*1.025)/4869.78271)*25</f>
        <v>0.69891977326027332</v>
      </c>
      <c r="E22">
        <f>((476.97369*1.025*0.601)/4869.78271)*25</f>
        <v>1.5084231416469602</v>
      </c>
      <c r="F22">
        <f>((1557.21375*1.025*0.569)/4869.78271)*25</f>
        <v>4.6624564350621176</v>
      </c>
      <c r="G22">
        <f>((64.14552*1.025)/4869.78271)*25</f>
        <v>0.33753640519209116</v>
      </c>
      <c r="H22">
        <f>((171.84081*1.025*0.85)/4869.78271)*25</f>
        <v>0.7685984910839071</v>
      </c>
      <c r="I22">
        <f>((66.22393*1.025*0.842)/4869.78271)*25</f>
        <v>0.29341433791868299</v>
      </c>
      <c r="J22">
        <f>((5.71952*1.025*0.484)/4869.78271)*25</f>
        <v>1.4566634904332311E-2</v>
      </c>
      <c r="K22">
        <v>0</v>
      </c>
    </row>
    <row r="23" spans="1:11" ht="15">
      <c r="A23" s="1"/>
      <c r="B23" s="4" t="s">
        <v>16</v>
      </c>
      <c r="C23" s="4"/>
      <c r="D23" s="4"/>
      <c r="E23" s="4"/>
      <c r="F23" s="4"/>
      <c r="G23" s="4"/>
      <c r="H23" s="4"/>
      <c r="I23" s="4"/>
      <c r="J23" s="4"/>
    </row>
    <row r="24" spans="1:11">
      <c r="A24" s="1" t="s">
        <v>2</v>
      </c>
      <c r="B24" t="s">
        <v>30</v>
      </c>
      <c r="C24" t="s">
        <v>31</v>
      </c>
      <c r="D24" t="s">
        <v>32</v>
      </c>
      <c r="E24" t="s">
        <v>33</v>
      </c>
      <c r="F24" t="s">
        <v>34</v>
      </c>
      <c r="G24" t="s">
        <v>35</v>
      </c>
      <c r="H24" t="s">
        <v>36</v>
      </c>
      <c r="I24" t="s">
        <v>37</v>
      </c>
      <c r="J24" t="s">
        <v>38</v>
      </c>
      <c r="K24" t="str">
        <f>K13</f>
        <v>J</v>
      </c>
    </row>
    <row r="25" spans="1:11">
      <c r="A25" s="1" t="s">
        <v>12</v>
      </c>
      <c r="B25">
        <f>((0.827*3165.9458*1.025)/4869.78271)*25</f>
        <v>13.777273370452905</v>
      </c>
      <c r="C25">
        <f>((4.22272*0.72*1.025)/4869.78271)*25</f>
        <v>1.5998492877313614E-2</v>
      </c>
      <c r="D25">
        <f>((139.07889*0.885*1.025)/4869.78271)*25</f>
        <v>0.64767745094754947</v>
      </c>
      <c r="E25">
        <f>((336.79147*1.025*0.601)/4869.78271)*25</f>
        <v>1.0650986792527235</v>
      </c>
      <c r="F25">
        <f>((1404.65564*1.025*0.569)/4869.78271)*25</f>
        <v>4.2056819288709075</v>
      </c>
      <c r="G25">
        <f>((92.65536*1.025)/4869.78271)*25</f>
        <v>0.48755637394753482</v>
      </c>
      <c r="H25">
        <f>((152.36142*1.025*0.85)/4869.78271)*25</f>
        <v>0.68147233192977519</v>
      </c>
      <c r="I25">
        <f>((106.9755*1.025*0.842)/4869.78271)*25</f>
        <v>0.4739698399962079</v>
      </c>
      <c r="J25">
        <f>((13.12143*1.025*0.484)/4869.78271)*25</f>
        <v>3.3418028126967488E-2</v>
      </c>
      <c r="K25">
        <v>0</v>
      </c>
    </row>
    <row r="26" spans="1:11">
      <c r="A26" s="1" t="s">
        <v>12</v>
      </c>
      <c r="B26">
        <f>((0.827*3140.25439*1.025)/4869.78271)*25</f>
        <v>13.665471842188465</v>
      </c>
      <c r="C26">
        <f>((9.61303*0.72*1.025)/4869.78271)*25</f>
        <v>3.6420599041471401E-2</v>
      </c>
      <c r="D26">
        <f>((122.21214*0.885*1.025)/4869.78271)*25</f>
        <v>0.56913056546572272</v>
      </c>
      <c r="E26">
        <f>((326.17984*1.025*0.601)/4869.78271)*25</f>
        <v>1.0315395362681385</v>
      </c>
      <c r="F26">
        <f>((1367.40442*1.025*0.569)/4869.78271)*25</f>
        <v>4.0941479853754084</v>
      </c>
      <c r="G26">
        <f>((92.72318*1.025)/4869.78271)*25</f>
        <v>0.48791324561994664</v>
      </c>
      <c r="H26">
        <f>((186.30615*1.025*0.85)/4869.78271)*25</f>
        <v>0.83329813080869464</v>
      </c>
      <c r="I26">
        <f>((94.41624*1.025*0.842)/4869.78271)*25</f>
        <v>0.41832429075670191</v>
      </c>
      <c r="J26">
        <f>((9.51334*1.025*0.484)/4869.78271)*25</f>
        <v>2.422884271770721E-2</v>
      </c>
      <c r="K26">
        <v>0</v>
      </c>
    </row>
    <row r="27" spans="1:11">
      <c r="A27" s="1" t="s">
        <v>12</v>
      </c>
      <c r="B27">
        <f>((0.827*3249.10718*1.025)/4869.78271)*25</f>
        <v>14.139167457876678</v>
      </c>
      <c r="C27">
        <f>((10.01879*0.72*1.025)/4869.78271)*25</f>
        <v>3.7957889809009555E-2</v>
      </c>
      <c r="D27">
        <f>((127.68029*0.885*1.025)/4869.78271)*25</f>
        <v>0.59459523126366554</v>
      </c>
      <c r="E27">
        <f>((330.77451*1.025*0.601)/4869.78271)*25</f>
        <v>1.0460701208717276</v>
      </c>
      <c r="F27">
        <f>((1391.86621*1.025*0.569)/4869.78271)*25</f>
        <v>4.1673890739534132</v>
      </c>
      <c r="G27">
        <f>((95.72356*1.025)/4869.78271)*25</f>
        <v>0.50370137048681574</v>
      </c>
      <c r="H27">
        <f>((152.8009*1.025*0.85)/4869.78271)*25</f>
        <v>0.6834380097269267</v>
      </c>
      <c r="I27">
        <f>((107.65061*1.025*0.842)/4869.78271)*25</f>
        <v>0.47696100880289571</v>
      </c>
      <c r="J27">
        <f>((12.35937*1.025*0.484)/4869.78271)*25</f>
        <v>3.1477192218500434E-2</v>
      </c>
      <c r="K27">
        <v>0</v>
      </c>
    </row>
    <row r="28" spans="1:11">
      <c r="A28" s="1" t="s">
        <v>13</v>
      </c>
      <c r="B28">
        <f>((0.827*2659.27441*1.025)/4869.78271)*25</f>
        <v>11.572387156349887</v>
      </c>
      <c r="C28">
        <f>((9.21336*0.72*1.025)/4869.78271)*25</f>
        <v>3.4906381274658546E-2</v>
      </c>
      <c r="D28">
        <f>((120.82052*0.885*1.025)/4869.78271)*25</f>
        <v>0.56264992060087204</v>
      </c>
      <c r="E28">
        <f>((414.27069*1.025*0.601)/4869.78271)*25</f>
        <v>1.3101257130179529</v>
      </c>
      <c r="F28">
        <f>((1736.01331*1.025*0.569)/4869.78271)*25</f>
        <v>5.1978005129758129</v>
      </c>
      <c r="G28">
        <f>((78.29898*1.025)/4869.78271)*25</f>
        <v>0.41201250281247143</v>
      </c>
      <c r="H28">
        <f>((144.3689*1.025*0.85)/4869.78271)*25</f>
        <v>0.64572390399837754</v>
      </c>
      <c r="I28">
        <f>((87.46258*1.025*0.842)/4869.78271)*25</f>
        <v>0.38751513242055913</v>
      </c>
      <c r="J28">
        <f>((7.22064*1.025*0.484)/4869.78271)*25</f>
        <v>1.8389729672353281E-2</v>
      </c>
      <c r="K28">
        <v>0</v>
      </c>
    </row>
    <row r="29" spans="1:11">
      <c r="A29" s="1" t="s">
        <v>13</v>
      </c>
      <c r="B29">
        <f>((0.827*2731.521*1.025)/4869.78271)*25</f>
        <v>11.886783258934152</v>
      </c>
      <c r="C29">
        <f>((5.41266*0.72*1.025)/4869.78271)*25</f>
        <v>2.0506782940218699E-2</v>
      </c>
      <c r="D29">
        <f>((114.16212*0.885*1.025)/4869.78271)*25</f>
        <v>0.53164237129278391</v>
      </c>
      <c r="E29">
        <f>((422.06375*1.025*0.601)/4869.78271)*25</f>
        <v>1.3347711647371938</v>
      </c>
      <c r="F29">
        <f>((1773.74097*1.025*0.569)/4869.78271)*25</f>
        <v>5.3107609663155264</v>
      </c>
      <c r="G29">
        <f>((74.03574*1.025)/4869.78271)*25</f>
        <v>0.38957915588393882</v>
      </c>
      <c r="H29">
        <f>((138.58182*1.025*0.85)/4869.78271)*25</f>
        <v>0.61983982584615138</v>
      </c>
      <c r="I29">
        <f>((88.37545*1.025*0.842)/4869.78271)*25</f>
        <v>0.39155972999511912</v>
      </c>
      <c r="J29">
        <f>((6.98038 *1.025*0.484)/4869.78271)*25</f>
        <v>1.7777828725750264E-2</v>
      </c>
      <c r="K29">
        <v>0</v>
      </c>
    </row>
    <row r="30" spans="1:11">
      <c r="A30" s="1" t="s">
        <v>13</v>
      </c>
      <c r="B30">
        <f>((0.827*2703.4248*1.025)/4869.78271)*25</f>
        <v>11.764516785493285</v>
      </c>
      <c r="C30">
        <f>((8.64241*0.72*1.025)/4869.78271)*25</f>
        <v>3.2743240098283555E-2</v>
      </c>
      <c r="D30">
        <f>((110.96511*0.885*1.025)/4869.78271)*25</f>
        <v>0.51675419316989402</v>
      </c>
      <c r="E30">
        <f>((416.41449*1.025*0.601)/4869.78271)*25</f>
        <v>1.3169054528628543</v>
      </c>
      <c r="F30">
        <f>((1773.34607*1.025*0.569)/4869.78271)*25</f>
        <v>5.3095785955291106</v>
      </c>
      <c r="G30">
        <f>((70.28782*1.025)/4869.78271)*25</f>
        <v>0.36985744431705858</v>
      </c>
      <c r="H30">
        <f>((150.79959*1.025*0.85)/4869.78271)*25</f>
        <v>0.67448667944519003</v>
      </c>
      <c r="I30">
        <f>((88.16813*1.025*0.842)/4869.78271)*25</f>
        <v>0.3906411698834299</v>
      </c>
      <c r="J30">
        <f>((8.11353*1.025*0.484)/4869.78271)*25</f>
        <v>2.0663767116007523E-2</v>
      </c>
      <c r="K30">
        <v>0</v>
      </c>
    </row>
    <row r="31" spans="1:11">
      <c r="A31" s="1" t="s">
        <v>14</v>
      </c>
      <c r="B31">
        <f>((0.827*1354.0979*1.025)/4869.78271)*25</f>
        <v>5.8926393934653598</v>
      </c>
      <c r="C31">
        <f>((10.27908*0.72*1.025)/4869.78271)*25</f>
        <v>3.8944042741488147E-2</v>
      </c>
      <c r="D31">
        <f>((313.61728*0.885*1.025)/4869.78271)*25</f>
        <v>1.4604864942731701</v>
      </c>
      <c r="E31">
        <f>((377.09479*1.025*0.601)/4869.78271)*25</f>
        <v>1.1925574088384219</v>
      </c>
      <c r="F31">
        <f>((1936.68176*1.025*0.569)/4869.78271)*25</f>
        <v>5.7986222730048649</v>
      </c>
      <c r="G31">
        <f>((121.00401*1.025)/4869.78271)*25</f>
        <v>0.63672815419109319</v>
      </c>
      <c r="H31">
        <f>((489.84567*1.025*0.85)/4869.78271)*25</f>
        <v>2.1909501172974304</v>
      </c>
      <c r="I31">
        <f>((144.99947*1.025*0.842)/4869.78271)*25</f>
        <v>0.64244033068725959</v>
      </c>
      <c r="J31">
        <f>((12.14437*1.025*0.484)/4869.78271)*25</f>
        <v>3.0929624152573325E-2</v>
      </c>
      <c r="K31">
        <v>0</v>
      </c>
    </row>
    <row r="32" spans="1:11">
      <c r="A32" s="1" t="s">
        <v>14</v>
      </c>
      <c r="B32">
        <f>((0.827*1382.28967*1.025)/4869.78271)*25</f>
        <v>6.0153217596912532</v>
      </c>
      <c r="C32">
        <f>((10.47457*0.72*1.025)/4869.78271)*25</f>
        <v>3.9684689853441112E-2</v>
      </c>
      <c r="D32">
        <f>((313.71271*0.885*1.025)/4869.78271)*25</f>
        <v>1.4609309029044437</v>
      </c>
      <c r="E32">
        <f>((385.96698*1.025*0.601)/4869.78271)*25</f>
        <v>1.2206155952618465</v>
      </c>
      <c r="F32">
        <f>((1982.50586*1.025*0.569)/4869.78271)*25</f>
        <v>5.9358242916268633</v>
      </c>
      <c r="G32">
        <f>((124.0052*1.025)/4869.78271)*25</f>
        <v>0.65252054131179082</v>
      </c>
      <c r="H32">
        <f>((517.36127*1.025*0.85)/4869.78271)*25</f>
        <v>2.3140201181969156</v>
      </c>
      <c r="I32">
        <f>((148.52568*1.025*0.842)/4869.78271)*25</f>
        <v>0.65806369481729898</v>
      </c>
      <c r="J32">
        <f>((16.32378*1.025*0.484)/4869.78271)*25</f>
        <v>4.1573863456835822E-2</v>
      </c>
      <c r="K32">
        <v>0</v>
      </c>
    </row>
    <row r="33" spans="1:11">
      <c r="A33" s="1" t="s">
        <v>14</v>
      </c>
      <c r="B33">
        <f>((0.827*1360.5061*1.025)/4869.78271)*25</f>
        <v>5.9205260121221084</v>
      </c>
      <c r="C33">
        <f>((9.85897*0.72*1.025)/4869.78271)*25</f>
        <v>3.735238455844777E-2</v>
      </c>
      <c r="D33">
        <f>((309.23395*0.885*1.025)/4869.78271)*25</f>
        <v>1.4400737342844911</v>
      </c>
      <c r="E33">
        <f>((379.03326*1.025*0.601)/4869.78271)*25</f>
        <v>1.198687795207088</v>
      </c>
      <c r="F33">
        <f>((1941.17432*1.025*0.569)/4869.78271)*25</f>
        <v>5.8120734548236133</v>
      </c>
      <c r="G33">
        <f>((119.5159*1.025)/4869.78271)*25</f>
        <v>0.62889765722216373</v>
      </c>
      <c r="H33">
        <f>((487.80023*1.025*0.85)/4869.78271)*25</f>
        <v>2.1818014051981178</v>
      </c>
      <c r="I33">
        <f>((143.59186*1.025*0.842)/4869.78271)*25</f>
        <v>0.63620371869220405</v>
      </c>
      <c r="J33">
        <f>((15.91731*1.025*0.484)/4869.78271)*25</f>
        <v>4.0538654192847953E-2</v>
      </c>
      <c r="K33">
        <v>0</v>
      </c>
    </row>
    <row r="34" spans="1:11" ht="15">
      <c r="A34" s="1"/>
      <c r="B34" s="4" t="s">
        <v>17</v>
      </c>
      <c r="C34" s="4"/>
      <c r="D34" s="4"/>
      <c r="E34" s="4"/>
      <c r="F34" s="4"/>
      <c r="G34" s="4"/>
      <c r="H34" s="4"/>
      <c r="I34" s="4"/>
      <c r="J34" s="4"/>
    </row>
    <row r="35" spans="1:11">
      <c r="A35" s="1" t="s">
        <v>2</v>
      </c>
      <c r="B35" t="s">
        <v>30</v>
      </c>
      <c r="C35" t="s">
        <v>31</v>
      </c>
      <c r="D35" t="s">
        <v>32</v>
      </c>
      <c r="E35" t="s">
        <v>33</v>
      </c>
      <c r="F35" t="s">
        <v>34</v>
      </c>
      <c r="G35" t="s">
        <v>35</v>
      </c>
      <c r="H35" t="s">
        <v>36</v>
      </c>
      <c r="I35" t="s">
        <v>37</v>
      </c>
      <c r="J35" t="s">
        <v>38</v>
      </c>
      <c r="K35" t="str">
        <f>K24</f>
        <v>J</v>
      </c>
    </row>
    <row r="36" spans="1:11">
      <c r="A36" s="1" t="s">
        <v>12</v>
      </c>
      <c r="B36">
        <f>((0.827*48.20601*1.025)/4869.78271)*100</f>
        <v>0.83911402130609614</v>
      </c>
      <c r="C36">
        <f>((346.17145*0.72*1.025)/4869.78271)*100</f>
        <v>5.2461176465920776</v>
      </c>
      <c r="D36">
        <f>((408.83261*0.885*1.025)/4869.78271)*100</f>
        <v>7.6155817093171692</v>
      </c>
      <c r="E36">
        <v>0</v>
      </c>
      <c r="F36">
        <v>0</v>
      </c>
      <c r="G36">
        <f>((3105.88916*1.025)/4869.78271)*100</f>
        <v>65.373273892953634</v>
      </c>
      <c r="H36">
        <f>((55.94765*1.025*0.85)/4869.78271)*100</f>
        <v>1.0009561609885465</v>
      </c>
      <c r="I36">
        <f>((332.23187*1.025*0.842)/4869.78271)*100</f>
        <v>5.8879981403420762</v>
      </c>
      <c r="J36">
        <f>((51.21574*1.025*0.484)/4869.78271)*100</f>
        <v>0.52175076645257534</v>
      </c>
      <c r="K36">
        <f>((21.52262*1.025*0.826)/4869.78271)*100</f>
        <v>0.37418766520282781</v>
      </c>
    </row>
    <row r="37" spans="1:11">
      <c r="A37" s="1" t="s">
        <v>12</v>
      </c>
      <c r="B37">
        <f>((0.827*51.97409*1.025)/4869.78271)*100</f>
        <v>0.90470436494588469</v>
      </c>
      <c r="C37">
        <f>((370.84561*0.72*1.025)/4869.78271)*100</f>
        <v>5.6200466525538246</v>
      </c>
      <c r="D37">
        <f>((443.90829*0.885*1.025)/4869.78271)*100</f>
        <v>8.2689584227106074</v>
      </c>
      <c r="E37">
        <v>0</v>
      </c>
      <c r="F37">
        <v>0</v>
      </c>
      <c r="G37">
        <f>((3344.98413*1.025)/4869.78271)*100</f>
        <v>70.405784763443776</v>
      </c>
      <c r="H37">
        <f>((61.2507*1.025*0.85)/4869.78271)*100</f>
        <v>1.095832720942902</v>
      </c>
      <c r="I37">
        <f>((358.89899*1.025*0.842)/4869.78271)*100</f>
        <v>6.3606076855018427</v>
      </c>
      <c r="J37">
        <f>((55.24684*1.025*0.484)/4869.78271)*100</f>
        <v>0.56281684330018067</v>
      </c>
      <c r="K37">
        <f>((24.32217*1.025*0.826)/4869.78271)*100</f>
        <v>0.42286004236316316</v>
      </c>
    </row>
    <row r="38" spans="1:11">
      <c r="A38" s="1" t="s">
        <v>12</v>
      </c>
      <c r="B38">
        <f>((0.827*51.82358*1.025)/4869.78271)*100</f>
        <v>0.90208446233733475</v>
      </c>
      <c r="C38">
        <f>((352.64667*0.72*1.025)/4869.78271)*100</f>
        <v>5.3442475354305889</v>
      </c>
      <c r="D38">
        <f>((428.96155*0.885*1.025)/4869.78271)*100</f>
        <v>7.9905361125188676</v>
      </c>
      <c r="E38">
        <v>0</v>
      </c>
      <c r="F38">
        <v>0</v>
      </c>
      <c r="G38">
        <f>((3147.62134*1.025)/4869.78271)*100</f>
        <v>66.251659789148988</v>
      </c>
      <c r="H38">
        <f>((59.18472*1.025*0.85)/4869.78271)*100</f>
        <v>1.0588703925970444</v>
      </c>
      <c r="I38">
        <f>((334.84424*1.025*0.842)/4869.78271)*100</f>
        <v>5.9342960156840343</v>
      </c>
      <c r="J38">
        <f>((51.27587*1.025*0.484)/4869.78271)*100</f>
        <v>0.52236332957451381</v>
      </c>
      <c r="K38">
        <f>((23.07046*1.025*0.826)/4869.78271)*100</f>
        <v>0.40109808018518339</v>
      </c>
    </row>
    <row r="39" spans="1:11">
      <c r="A39" s="1" t="s">
        <v>13</v>
      </c>
      <c r="B39">
        <f>((0.827*37.92518*1.025)/4869.78271)*100</f>
        <v>0.66015731852848913</v>
      </c>
      <c r="C39">
        <f>((457.22772*0.72*1.025)/4869.78271)*100</f>
        <v>6.9291399114602372</v>
      </c>
      <c r="D39">
        <f>((104.28101*0.885*1.025)/4869.78271)*100</f>
        <v>1.9425078454116482</v>
      </c>
      <c r="E39">
        <v>0</v>
      </c>
      <c r="F39">
        <v>0</v>
      </c>
      <c r="G39">
        <f>((3578.88306*1.025)/4869.78271)*100</f>
        <v>75.328928515991208</v>
      </c>
      <c r="H39">
        <f>((35*1.025*0.85)/4869.78271)*100</f>
        <v>0.6261829698762883</v>
      </c>
      <c r="I39">
        <f>((229.50096*1.025*0.842)/4869.78271)*100</f>
        <v>4.0673437671308328</v>
      </c>
      <c r="J39">
        <f>((44.23627*1.025*0.484)/4869.78271)*100</f>
        <v>0.45064872200427186</v>
      </c>
      <c r="K39">
        <f>((19.39834*1.025*0.826)/4869.78271)*100</f>
        <v>0.33725538774603758</v>
      </c>
    </row>
    <row r="40" spans="1:11">
      <c r="A40" s="1" t="s">
        <v>13</v>
      </c>
      <c r="B40">
        <f>((0.827*38.4374*1.025)/4869.78271)*100</f>
        <v>0.66907344711895755</v>
      </c>
      <c r="C40">
        <f>((451.66034*0.72*1.025)/4869.78271)*100</f>
        <v>6.8447680475665411</v>
      </c>
      <c r="D40">
        <f>((103.60164*0.885*1.025)/4869.78271)*100</f>
        <v>1.929852793883692</v>
      </c>
      <c r="E40">
        <v>0</v>
      </c>
      <c r="F40">
        <v>0</v>
      </c>
      <c r="G40">
        <f>((3542.32397*1.025)/4869.78271)*100</f>
        <v>74.559426682304661</v>
      </c>
      <c r="H40">
        <f>((35.5*1.025*0.85)/4869.78271)*100</f>
        <v>0.63512844087452092</v>
      </c>
      <c r="I40">
        <f>((226.18054*1.025*0.842)/4869.78271)*100</f>
        <v>4.0084974355457428</v>
      </c>
      <c r="J40">
        <f>((43.10089*1.025*0.484)/4869.78271)*100</f>
        <v>0.43908225073557738</v>
      </c>
      <c r="K40">
        <f>((18.73197*1.025*0.826)/4869.78271)*100</f>
        <v>0.32567002153777813</v>
      </c>
    </row>
    <row r="41" spans="1:11">
      <c r="A41" s="1" t="s">
        <v>13</v>
      </c>
      <c r="B41">
        <f>((0.827*38.21403*1.025)/4869.78271)*100</f>
        <v>0.66518528257393217</v>
      </c>
      <c r="C41">
        <f>((430.65775*0.72*1.025)/4869.78271)*100</f>
        <v>6.5264805110780797</v>
      </c>
      <c r="D41">
        <f>((97.48502*0.885*1.025)/4869.78271)*100</f>
        <v>1.8159146728643254</v>
      </c>
      <c r="E41">
        <v>0</v>
      </c>
      <c r="F41">
        <v>0</v>
      </c>
      <c r="G41">
        <f>((3371.3125*1.025)/4869.78271)*100</f>
        <v>70.959948693480811</v>
      </c>
      <c r="H41">
        <f>((34.3*1.025*0.85)/4869.78271)*100</f>
        <v>0.61365931047876243</v>
      </c>
      <c r="I41">
        <f>((213.78999*1.025*0.842)/4869.78271)*100</f>
        <v>3.7889052111218313</v>
      </c>
      <c r="J41">
        <f>((40.49262*1.025*0.484)/4869.78271)*100</f>
        <v>0.41251098823668048</v>
      </c>
      <c r="K41">
        <f>((17.80879*1.025*0.826)/4869.78271)*100</f>
        <v>0.30961981163015784</v>
      </c>
    </row>
    <row r="42" spans="1:11">
      <c r="A42" s="2" t="s">
        <v>14</v>
      </c>
      <c r="B42">
        <f>((0.827*117.81922*1.025)/4869.78271)*100</f>
        <v>2.0508596227181557</v>
      </c>
      <c r="C42">
        <f>((291.29114*0.72*1.025)/4869.78271)*100</f>
        <v>4.4144240949099753</v>
      </c>
      <c r="D42">
        <f>((134.71953*0.885*1.025)/4869.78271)*100</f>
        <v>2.5095052680748862</v>
      </c>
      <c r="E42">
        <v>0</v>
      </c>
      <c r="F42">
        <v>0</v>
      </c>
      <c r="G42">
        <f>((1820.0437*1.025)/4869.78271)*100</f>
        <v>38.308583844390867</v>
      </c>
      <c r="H42">
        <f>((19.93252*1.025*0.85)/4869.78271)*100</f>
        <v>0.35661155916338616</v>
      </c>
      <c r="I42">
        <f>((87.29898*1.025*0.842)/4869.78271)*100</f>
        <v>1.5471611194126562</v>
      </c>
      <c r="J42">
        <f>((30.80149*1.025*0.484)/4869.78271)*100</f>
        <v>0.3137844150134575</v>
      </c>
      <c r="K42">
        <f>((12.18419*1.025*0.826)/4869.78271)*100</f>
        <v>0.21183171976681478</v>
      </c>
    </row>
    <row r="43" spans="1:11">
      <c r="A43" s="2" t="s">
        <v>14</v>
      </c>
      <c r="B43">
        <f>((0.827*68.91666*1.025)/4869.78271)*100</f>
        <v>1.1996208710819458</v>
      </c>
      <c r="C43">
        <f>((345.10922*0.72*1.025)/4869.78271)*100</f>
        <v>5.2300198905589355</v>
      </c>
      <c r="D43">
        <f>((129.02736*0.885*1.025)/4869.78271)*100</f>
        <v>2.4034736436936415</v>
      </c>
      <c r="E43">
        <v>0</v>
      </c>
      <c r="F43">
        <v>0</v>
      </c>
      <c r="G43">
        <f>((2504.68018*1.025)/4869.78271)*100</f>
        <v>52.718926847148786</v>
      </c>
      <c r="H43">
        <f>((14.53178*1.025*0.85)/4869.78271)*100</f>
        <v>0.25998723308539562</v>
      </c>
      <c r="I43">
        <f>((146.40576*1.025*0.842)/4869.78271)*100</f>
        <v>2.594684376954469</v>
      </c>
      <c r="J43">
        <f>((43.669*1.025*0.484)/4869.78271)*100</f>
        <v>0.44486976504132353</v>
      </c>
      <c r="K43">
        <f>((16.92242*1.025*0.826)/4869.78271)*100</f>
        <v>0.29420957250472468</v>
      </c>
    </row>
    <row r="44" spans="1:11">
      <c r="A44" s="2" t="s">
        <v>14</v>
      </c>
      <c r="B44">
        <f>((0.827*73.67747*1.025)/4869.78271)*100</f>
        <v>1.2824915011916411</v>
      </c>
      <c r="C44">
        <f>((366.87244*0.72*1.025)/4869.78271)*100</f>
        <v>5.5598345315082849</v>
      </c>
      <c r="D44">
        <f>((194.83841*0.885*1.025)/4869.78271)*100</f>
        <v>3.6293773910756268</v>
      </c>
      <c r="E44">
        <v>0</v>
      </c>
      <c r="F44">
        <v>0</v>
      </c>
      <c r="G44">
        <f>((3132.73608*1.025)/4869.78271)*100</f>
        <v>65.938352350016856</v>
      </c>
      <c r="H44">
        <f>((22.63435*1.025*0.85)/4869.78271)*100</f>
        <v>0.40494984297769615</v>
      </c>
      <c r="I44">
        <f>((253.0676*1.025*0.842)/4869.78271)*100</f>
        <v>4.4850048798173159</v>
      </c>
      <c r="J44">
        <f>((80.29268*1.025*0.484)/4869.78271)*100</f>
        <v>0.81796665108287736</v>
      </c>
      <c r="K44">
        <f>((54.02932*1.025*0.826)/4869.78271)*100</f>
        <v>0.93934219455142776</v>
      </c>
    </row>
    <row r="45" spans="1:11" ht="15">
      <c r="A45" s="1"/>
      <c r="B45" s="4" t="s">
        <v>18</v>
      </c>
      <c r="C45" s="4"/>
      <c r="D45" s="4"/>
      <c r="E45" s="4"/>
      <c r="F45" s="4"/>
      <c r="G45" s="4"/>
      <c r="H45" s="4"/>
      <c r="I45" s="4"/>
      <c r="J45" s="4"/>
    </row>
    <row r="46" spans="1:11">
      <c r="A46" s="1" t="s">
        <v>2</v>
      </c>
      <c r="B46" t="s">
        <v>30</v>
      </c>
      <c r="C46" t="s">
        <v>31</v>
      </c>
      <c r="D46" t="s">
        <v>32</v>
      </c>
      <c r="E46" t="s">
        <v>33</v>
      </c>
      <c r="F46" t="s">
        <v>34</v>
      </c>
      <c r="G46" t="s">
        <v>35</v>
      </c>
      <c r="H46" t="s">
        <v>36</v>
      </c>
      <c r="I46" t="s">
        <v>37</v>
      </c>
      <c r="J46" t="s">
        <v>38</v>
      </c>
      <c r="K46" t="str">
        <f>K35</f>
        <v>J</v>
      </c>
    </row>
    <row r="47" spans="1:11">
      <c r="A47" s="1" t="s">
        <v>12</v>
      </c>
      <c r="B47">
        <f>((0.827*50.01657*1.025)/4869.78271)*100</f>
        <v>0.87063013895233921</v>
      </c>
      <c r="C47">
        <f>((368.84753*0.72*1.025)/4869.78271)*100</f>
        <v>5.5897663889812428</v>
      </c>
      <c r="D47">
        <f>((422.19675*0.885*1.025)/4869.78271)*100</f>
        <v>7.8645239356839785</v>
      </c>
      <c r="E47">
        <v>0</v>
      </c>
      <c r="F47">
        <v>0</v>
      </c>
      <c r="G47">
        <f>((3293.88379*1.025)/4869.78271)*100</f>
        <v>69.330216270573587</v>
      </c>
      <c r="H47">
        <f>((52.99292*1.025*0.85)/4869.78271)*100</f>
        <v>0.9480932579433301</v>
      </c>
      <c r="I47">
        <f>((348.2012*1.025*0.842)/4869.78271)*100</f>
        <v>6.1710154960897619</v>
      </c>
      <c r="J47">
        <f>((62.45566*1.025*0.484)/4869.78271)*100</f>
        <v>0.63625534795165417</v>
      </c>
      <c r="K47">
        <f>((31.92528*1.025*0.826)/4869.78271)*100</f>
        <v>0.55504608565994917</v>
      </c>
    </row>
    <row r="48" spans="1:11">
      <c r="A48" s="1" t="s">
        <v>12</v>
      </c>
      <c r="B48">
        <f>((0.827*57.51215*1.025)/4869.78271)*100</f>
        <v>1.0011044569019383</v>
      </c>
      <c r="C48">
        <f>((419.36978*0.72*1.025)/4869.78271)*100</f>
        <v>6.3554149347250846</v>
      </c>
      <c r="D48">
        <f>((480.36169*0.885*1.025)/4869.78271)*100</f>
        <v>8.9479987915364276</v>
      </c>
      <c r="E48">
        <v>0</v>
      </c>
      <c r="F48">
        <v>0</v>
      </c>
      <c r="G48">
        <f>((3667.1665*1.025)/4869.78271)*100</f>
        <v>77.187133109271713</v>
      </c>
      <c r="H48">
        <f>((60.46818*1.025*0.85)/4869.78271)*100</f>
        <v>1.0818327010118276</v>
      </c>
      <c r="I48">
        <f>((380.36954*1.025*0.842)/4869.78271)*100</f>
        <v>6.7411207243988081</v>
      </c>
      <c r="J48">
        <f>((69.34444*1.025*0.484)/4869.78271)*100</f>
        <v>0.70643350499718693</v>
      </c>
      <c r="K48">
        <f>((39.09851*1.025*0.826)/4869.78271)*100</f>
        <v>0.67975832727657759</v>
      </c>
    </row>
    <row r="49" spans="1:11">
      <c r="A49" s="1" t="s">
        <v>12</v>
      </c>
      <c r="B49">
        <f>((0.827*52.18206*1.025)/4869.78271)*100</f>
        <v>0.90832446424493529</v>
      </c>
      <c r="C49">
        <f>((410.99155*0.72*1.025)/4869.78271)*100</f>
        <v>6.2284455377681525</v>
      </c>
      <c r="D49">
        <f>((434.90009*0.885*1.025)/4869.78271)*100</f>
        <v>8.1011570255718848</v>
      </c>
      <c r="E49">
        <v>0</v>
      </c>
      <c r="F49">
        <v>0</v>
      </c>
      <c r="G49">
        <f>((3488.71118*1.025)/4869.78271)*100</f>
        <v>73.430975722117992</v>
      </c>
      <c r="H49">
        <f>((46.53614*1.025*0.85)/4869.78271)*100</f>
        <v>0.83257538147939236</v>
      </c>
      <c r="I49">
        <f>((351.04013*1.025*0.842)/4869.78271)*100</f>
        <v>6.2213285938686145</v>
      </c>
      <c r="J49">
        <f>((63.31193*1.025*0.484)/4869.78271)*100</f>
        <v>0.64497843832954072</v>
      </c>
      <c r="K49">
        <f>((34.14463*1.025*0.826)/4869.78271)*100</f>
        <v>0.59363122979053795</v>
      </c>
    </row>
    <row r="50" spans="1:11">
      <c r="A50" s="1" t="s">
        <v>13</v>
      </c>
      <c r="B50">
        <f>((0.827*37.14831*1.025)/4869.78271)*100</f>
        <v>0.64663447127910967</v>
      </c>
      <c r="C50">
        <f>((440.0979*0.72*1.025)/4869.78271)*100</f>
        <v>6.6695429661172687</v>
      </c>
      <c r="D50">
        <f>((108.6306*0.885*1.025)/4869.78271)*100</f>
        <v>2.0235303892029299</v>
      </c>
      <c r="E50">
        <v>0</v>
      </c>
      <c r="F50">
        <v>0</v>
      </c>
      <c r="G50">
        <f>((3634.75757*1.025)/4869.78271)*100</f>
        <v>76.50498453656877</v>
      </c>
      <c r="H50">
        <f>((0*1.025*0.85)/4869.78271)*100</f>
        <v>0</v>
      </c>
      <c r="I50">
        <f>((243.14726*1.025*0.842)/4869.78271)*100</f>
        <v>4.3091910920805745</v>
      </c>
      <c r="J50">
        <f>((46.13209*1.025*0.484)/4869.78271)*100</f>
        <v>0.46996203346001025</v>
      </c>
      <c r="K50">
        <f>((20.58115*1.025*0.826)/4869.78271)*100</f>
        <v>0.35781946926950253</v>
      </c>
    </row>
    <row r="51" spans="1:11">
      <c r="A51" s="1" t="s">
        <v>13</v>
      </c>
      <c r="B51">
        <v>0</v>
      </c>
      <c r="C51">
        <f>((417.57275*0.72*1.025)/4869.78271)*100</f>
        <v>6.3281815196226683</v>
      </c>
      <c r="D51">
        <f>((102.44409*0.885*1.025)/4869.78271)*100</f>
        <v>1.9082903832735896</v>
      </c>
      <c r="E51">
        <v>0</v>
      </c>
      <c r="F51">
        <v>0</v>
      </c>
      <c r="G51">
        <f>((3456.79736*1.025)/4869.78271)*100</f>
        <v>72.759248307405471</v>
      </c>
      <c r="H51">
        <f t="shared" ref="H51:H55" si="2">((0*1.025*0.85)/4869.78271)*100</f>
        <v>0</v>
      </c>
      <c r="I51">
        <f>((231.4807*1.025*0.842)/4869.78271)*100</f>
        <v>4.1024298214529571</v>
      </c>
      <c r="J51">
        <f>((44.66932*1.025*0.484)/4869.78271)*100</f>
        <v>0.45506033783589483</v>
      </c>
      <c r="K51">
        <f>((20.32137*1.025*0.826)/4869.78271)*100</f>
        <v>0.3533029897857598</v>
      </c>
    </row>
    <row r="52" spans="1:11">
      <c r="A52" s="1" t="s">
        <v>13</v>
      </c>
      <c r="B52">
        <v>0</v>
      </c>
      <c r="C52">
        <f>((425.22296*0.72*1.025)/4869.78271)*100</f>
        <v>6.444118006242622</v>
      </c>
      <c r="D52">
        <f>((103.88131*0.885*1.025)/4869.78271)*100</f>
        <v>1.9350623825626503</v>
      </c>
      <c r="E52">
        <v>0</v>
      </c>
      <c r="F52">
        <v>0</v>
      </c>
      <c r="G52">
        <f>((3550.49634*1.025)/4869.78271)*100</f>
        <v>74.731440091297202</v>
      </c>
      <c r="H52">
        <f t="shared" si="2"/>
        <v>0</v>
      </c>
      <c r="I52">
        <f>((238.90944*1.025*0.842)/4869.78271)*100</f>
        <v>4.234086087015573</v>
      </c>
      <c r="J52">
        <f>((46.86861*1.025*0.484)/4869.78271)*100</f>
        <v>0.47746519312357555</v>
      </c>
      <c r="K52">
        <f>((21.81559*1.025*0.826)/4869.78271)*100</f>
        <v>0.37928117892348417</v>
      </c>
    </row>
    <row r="53" spans="1:11">
      <c r="A53" s="1" t="s">
        <v>14</v>
      </c>
      <c r="B53">
        <f>((0.827*0*1.025)/4869.78271)*100</f>
        <v>0</v>
      </c>
      <c r="C53">
        <f>((402.44995*0.72*1.025)/4869.78271)*100</f>
        <v>6.0990003206939782</v>
      </c>
      <c r="D53">
        <f>((103.83831*0.885*1.025)/4869.78271)*100</f>
        <v>1.9342613945653853</v>
      </c>
      <c r="E53">
        <v>0</v>
      </c>
      <c r="F53">
        <v>0</v>
      </c>
      <c r="G53">
        <f>((3747.28906*1.025)/4869.78271)*100</f>
        <v>78.873566136999145</v>
      </c>
      <c r="H53">
        <f t="shared" si="2"/>
        <v>0</v>
      </c>
      <c r="I53">
        <f>((293.45285*1.025*0.842)/4869.78271)*100</f>
        <v>5.2007347611717147</v>
      </c>
      <c r="J53">
        <f>((92.56905*1.025*0.484)/4869.78271)*100</f>
        <v>0.94302987298995922</v>
      </c>
      <c r="K53">
        <f>((64.58242*1.025*0.826)/4869.78271)*100</f>
        <v>1.1228161326524564</v>
      </c>
    </row>
    <row r="54" spans="1:11">
      <c r="A54" s="1" t="s">
        <v>14</v>
      </c>
      <c r="B54">
        <v>0</v>
      </c>
      <c r="C54">
        <f>((415.10889*0.72*1.025)/4869.78271)*100</f>
        <v>6.2908425090695665</v>
      </c>
      <c r="D54">
        <f>((108.21369*0.885*1.025)/4869.78271)*100</f>
        <v>2.0157643448787468</v>
      </c>
      <c r="E54">
        <v>0</v>
      </c>
      <c r="F54">
        <v>0</v>
      </c>
      <c r="G54">
        <f>((3873.11523*1.025)/4869.78271)*100</f>
        <v>81.521976383007839</v>
      </c>
      <c r="H54">
        <f t="shared" si="2"/>
        <v>0</v>
      </c>
      <c r="I54">
        <f>((303.37451*1.025*0.842)/4869.78271)*100</f>
        <v>5.3765719426832481</v>
      </c>
      <c r="J54">
        <f>((97.43629*1.025*0.484)/4869.78271)*100</f>
        <v>0.99261396960769088</v>
      </c>
      <c r="K54">
        <f>((72.68391*1.025*0.826)/4869.78271)*100</f>
        <v>1.2636669039695199</v>
      </c>
    </row>
    <row r="55" spans="1:11">
      <c r="A55" s="1" t="s">
        <v>14</v>
      </c>
      <c r="B55">
        <v>0</v>
      </c>
      <c r="C55">
        <f>((391.18594*0.72*1.025)/4869.78271)*100</f>
        <v>5.9282978504804769</v>
      </c>
      <c r="D55">
        <f>((100.85191*0.885*1.025)/4869.78271)*100</f>
        <v>1.8786318467739187</v>
      </c>
      <c r="E55">
        <v>0</v>
      </c>
      <c r="F55">
        <v>0</v>
      </c>
      <c r="G55">
        <f>((3630.76904*1.025)/4869.78271)*100</f>
        <v>76.42103329082623</v>
      </c>
      <c r="H55">
        <f t="shared" si="2"/>
        <v>0</v>
      </c>
      <c r="I55">
        <f>((281.76675*1.025*0.842)/4869.78271)*100</f>
        <v>4.9936271917869606</v>
      </c>
      <c r="J55">
        <f>((91.97531*1.025*0.484)/4869.78271)*100</f>
        <v>0.93698125785575337</v>
      </c>
      <c r="K55">
        <f>((66.56952*1.025*0.826)/4869.78271)*100</f>
        <v>1.1573634279875291</v>
      </c>
    </row>
    <row r="56" spans="1:11" ht="15">
      <c r="A56" s="1"/>
      <c r="B56" s="4" t="s">
        <v>19</v>
      </c>
      <c r="C56" s="4"/>
      <c r="D56" s="4"/>
      <c r="E56" s="4"/>
      <c r="F56" s="4"/>
      <c r="G56" s="4"/>
      <c r="H56" s="4"/>
      <c r="I56" s="4"/>
      <c r="J56" s="4"/>
    </row>
    <row r="57" spans="1:11">
      <c r="A57" s="1" t="s">
        <v>2</v>
      </c>
      <c r="B57" t="s">
        <v>30</v>
      </c>
      <c r="C57" t="s">
        <v>31</v>
      </c>
      <c r="D57" t="s">
        <v>32</v>
      </c>
      <c r="E57" t="s">
        <v>33</v>
      </c>
      <c r="F57" t="s">
        <v>34</v>
      </c>
      <c r="G57" t="s">
        <v>35</v>
      </c>
      <c r="H57" t="s">
        <v>36</v>
      </c>
      <c r="I57" t="s">
        <v>37</v>
      </c>
      <c r="J57" t="s">
        <v>38</v>
      </c>
      <c r="K57" t="str">
        <f>K46</f>
        <v>J</v>
      </c>
    </row>
    <row r="58" spans="1:11">
      <c r="A58" s="1" t="s">
        <v>12</v>
      </c>
      <c r="B58">
        <v>0</v>
      </c>
      <c r="C58">
        <f>((425.53391*0.72*1.025)/4869.78271)*100</f>
        <v>6.4488303540754881</v>
      </c>
      <c r="D58">
        <f>((118.34275*0.885*1.025)/4869.78271)*100</f>
        <v>2.204444704962</v>
      </c>
      <c r="E58">
        <v>0</v>
      </c>
      <c r="F58">
        <v>0</v>
      </c>
      <c r="G58">
        <f>(( 3242.771*1.025)/4869.78271)*100</f>
        <v>68.254385728023578</v>
      </c>
      <c r="H58">
        <f t="shared" ref="H58:H66" si="3">((0*1.025*0.85)/4869.78271)*100</f>
        <v>0</v>
      </c>
      <c r="I58">
        <f>((201.49178*1.025*0.842)/4869.78271)*100</f>
        <v>3.5709494875799082</v>
      </c>
      <c r="J58">
        <f>((74.73666*1.025*0.484)/4869.78271)*100</f>
        <v>0.76136573711725208</v>
      </c>
      <c r="K58">
        <f>((68.17226*1.025*0.826)/4869.78271)*100</f>
        <v>1.1852283226205791</v>
      </c>
    </row>
    <row r="59" spans="1:11">
      <c r="A59" s="1" t="s">
        <v>12</v>
      </c>
      <c r="B59">
        <v>0</v>
      </c>
      <c r="C59">
        <f>((437.93457*0.72*1.025)/4869.78271)*100</f>
        <v>6.6367583916285238</v>
      </c>
      <c r="D59">
        <f>((121.05513*0.885*1.025)/4869.78271)*100</f>
        <v>2.2549699101718232</v>
      </c>
      <c r="E59">
        <v>0</v>
      </c>
      <c r="F59">
        <v>0</v>
      </c>
      <c r="G59">
        <f>((3262.41919*1.025)/4869.78271)*100</f>
        <v>68.667944113465367</v>
      </c>
      <c r="H59">
        <f t="shared" si="3"/>
        <v>0</v>
      </c>
      <c r="I59">
        <f>((198.34039*1.025*0.842)/4869.78271)*100</f>
        <v>3.5150987997470629</v>
      </c>
      <c r="J59">
        <f>((66.26189*1.025*0.484)/4869.78271)*100</f>
        <v>0.67503060375767754</v>
      </c>
      <c r="K59">
        <f>((42.89355*1.025*0.826)/4869.78271)*100</f>
        <v>0.74573808052926427</v>
      </c>
    </row>
    <row r="60" spans="1:11">
      <c r="A60" s="1" t="s">
        <v>12</v>
      </c>
      <c r="B60">
        <v>0</v>
      </c>
      <c r="C60">
        <f>((426.09778*0.72*1.025)/4869.78271)*100</f>
        <v>6.4573756236446105</v>
      </c>
      <c r="D60">
        <f>((121.36179*0.885*1.025)/4869.78271)*100</f>
        <v>2.2606822585262738</v>
      </c>
      <c r="E60">
        <v>0</v>
      </c>
      <c r="F60">
        <v>0</v>
      </c>
      <c r="G60">
        <f>((3149.43994*1.025)/4869.78271)*100</f>
        <v>66.289937985754605</v>
      </c>
      <c r="H60">
        <f t="shared" si="3"/>
        <v>0</v>
      </c>
      <c r="I60">
        <f>((194.0799*1.025*0.842)/4869.78271)*100</f>
        <v>3.4395920243225788</v>
      </c>
      <c r="J60">
        <f>((62.66946*1.025*0.484)/4869.78271)*100</f>
        <v>0.63843339543993727</v>
      </c>
      <c r="K60">
        <f>((41.41851*1.025*0.826)/4869.78271)*100</f>
        <v>0.72009335076677339</v>
      </c>
    </row>
    <row r="61" spans="1:11">
      <c r="A61" s="1" t="s">
        <v>13</v>
      </c>
      <c r="B61">
        <v>0</v>
      </c>
      <c r="C61">
        <f>((452.4519*0.72*1.025)/4869.78271)*100</f>
        <v>6.856763886288471</v>
      </c>
      <c r="D61">
        <f>((117.02632*0.885*1.025)/4869.78271)*100</f>
        <v>2.1799227368401413</v>
      </c>
      <c r="E61">
        <v>0</v>
      </c>
      <c r="F61">
        <v>0</v>
      </c>
      <c r="G61">
        <f>((3228.63232*1.025)/4869.78271)*100</f>
        <v>67.956792429451127</v>
      </c>
      <c r="H61">
        <f t="shared" si="3"/>
        <v>0</v>
      </c>
      <c r="I61">
        <f>((81.65427*1.025*0.842)/4869.78271)*100</f>
        <v>1.4471224266082292</v>
      </c>
      <c r="J61">
        <f>((34.09655*1.025*0.484)/4869.78271)*100</f>
        <v>0.34735222210766764</v>
      </c>
      <c r="K61">
        <f>((18.22425*1.025*0.826)/4869.78271)*100</f>
        <v>0.31684291027638067</v>
      </c>
    </row>
    <row r="62" spans="1:11">
      <c r="A62" s="1" t="s">
        <v>13</v>
      </c>
      <c r="B62">
        <v>0</v>
      </c>
      <c r="C62">
        <f>((460.01151*0.72*1.025)/4869.78271)*100</f>
        <v>6.9713273588751141</v>
      </c>
      <c r="D62">
        <f>((120.64547*0.885*1.025)/4869.78271)*100</f>
        <v>2.2473389161495048</v>
      </c>
      <c r="E62">
        <v>0</v>
      </c>
      <c r="F62">
        <v>0</v>
      </c>
      <c r="G62">
        <f>((3416.41309*1.025)/4869.78271)*100</f>
        <v>71.909233446064775</v>
      </c>
      <c r="H62">
        <f t="shared" si="3"/>
        <v>0</v>
      </c>
      <c r="I62">
        <f>((94.41563*1.025*0.842)/4869.78271)*100</f>
        <v>1.6732863522672448</v>
      </c>
      <c r="J62">
        <f>((28.24823*1.025*0.484)/4869.78271)*100</f>
        <v>0.28777355659468423</v>
      </c>
      <c r="K62">
        <f>((12.72486*1.025*0.826)/4869.78271)*100</f>
        <v>0.22123169267648898</v>
      </c>
    </row>
    <row r="63" spans="1:11">
      <c r="A63" s="1" t="s">
        <v>13</v>
      </c>
      <c r="B63">
        <v>0</v>
      </c>
      <c r="C63">
        <f>((479.28647*0.72*1.025)/4869.78271)*100</f>
        <v>7.2634332150725456</v>
      </c>
      <c r="D63">
        <f>((108.9102*0.885*1.025)/4869.78271)*100</f>
        <v>2.0287386739479389</v>
      </c>
      <c r="E63">
        <v>0</v>
      </c>
      <c r="F63">
        <v>0</v>
      </c>
      <c r="G63">
        <f>((3243.74731*1.025)/4869.78271)*100</f>
        <v>68.274935264000717</v>
      </c>
      <c r="H63">
        <f t="shared" si="3"/>
        <v>0</v>
      </c>
      <c r="I63">
        <f>((103.27843*1.025*0.842)/4869.78271)*100</f>
        <v>1.8303578274337418</v>
      </c>
      <c r="J63">
        <f>((29.78327*1.025*0.484)/4869.78271)*100</f>
        <v>0.30341148931879136</v>
      </c>
      <c r="K63">
        <f>((12.57211*1.025*0.826)/4869.78271)*100</f>
        <v>0.2185760138669513</v>
      </c>
    </row>
    <row r="64" spans="1:11">
      <c r="A64" s="1" t="s">
        <v>14</v>
      </c>
      <c r="B64">
        <v>0</v>
      </c>
      <c r="C64">
        <f>((347.25967*0.72*1.025)/4869.78271)*100</f>
        <v>5.2626092727656832</v>
      </c>
      <c r="D64">
        <f>((91.92989*0.885*1.025)/4869.78271)*100</f>
        <v>1.7124357786027375</v>
      </c>
      <c r="E64">
        <v>0</v>
      </c>
      <c r="F64">
        <v>0</v>
      </c>
      <c r="G64">
        <f>((2702.75903*1.025)/4869.78271)*100</f>
        <v>56.888123571944746</v>
      </c>
      <c r="H64">
        <f t="shared" si="3"/>
        <v>0</v>
      </c>
      <c r="I64">
        <f>((188.71951*1.025*0.842)/4869.78271)*100</f>
        <v>3.3445922088277324</v>
      </c>
      <c r="J64">
        <f>((65.87166*1.025*0.484)/4869.78271)*100</f>
        <v>0.67105520866248247</v>
      </c>
      <c r="K64">
        <f>((53.81472*1.025*0.826)/4869.78271)*100</f>
        <v>0.93561120487858462</v>
      </c>
    </row>
    <row r="65" spans="1:11">
      <c r="A65" s="1" t="s">
        <v>14</v>
      </c>
      <c r="B65">
        <v>0</v>
      </c>
      <c r="C65">
        <f>((354.9184*0.72*1.025)/4869.78271)*100</f>
        <v>5.3786748772616173</v>
      </c>
      <c r="D65">
        <f>((100.49495*0.885*1.025)/4869.78271)*100</f>
        <v>1.8719825287389464</v>
      </c>
      <c r="E65">
        <v>0</v>
      </c>
      <c r="F65">
        <v>0</v>
      </c>
      <c r="G65">
        <f>((2863.04028*1.025)/4869.78271)*100</f>
        <v>60.261750097675289</v>
      </c>
      <c r="H65">
        <f t="shared" si="3"/>
        <v>0</v>
      </c>
      <c r="I65">
        <f>((207.34676*1.025*0.842)/4869.78271)*100</f>
        <v>3.6747147023732394</v>
      </c>
      <c r="J65">
        <f>((86.13183*1.025*0.484)/4869.78271)*100</f>
        <v>0.87745189893698539</v>
      </c>
      <c r="K65">
        <f>((92.90963*1.025*0.826)/4869.78271)*100</f>
        <v>1.6153069433256086</v>
      </c>
    </row>
    <row r="66" spans="1:11">
      <c r="A66" s="1" t="s">
        <v>14</v>
      </c>
      <c r="B66">
        <v>0</v>
      </c>
      <c r="C66">
        <f>((358.68204*0.72*1.025)/4869.78271)*100</f>
        <v>5.4357116381482227</v>
      </c>
      <c r="D66">
        <f>((103.25904*0.885*1.025)/4869.78271)*100</f>
        <v>1.9234709685845508</v>
      </c>
      <c r="E66">
        <v>0</v>
      </c>
      <c r="F66">
        <v>0</v>
      </c>
      <c r="G66">
        <f>((2944.78369*1.025)/4869.78271)*100</f>
        <v>61.982299046973274</v>
      </c>
      <c r="H66">
        <f t="shared" si="3"/>
        <v>0</v>
      </c>
      <c r="I66">
        <f>((215.21748*1.025*0.842)/4869.78271)*100</f>
        <v>3.8142039835284551</v>
      </c>
      <c r="J66">
        <f>((92.58115*1.025*0.484)/4869.78271)*100</f>
        <v>0.94315313947549806</v>
      </c>
      <c r="K66">
        <f>((104.01012*1.025*0.826)/4869.78271)*100</f>
        <v>1.8082976868181451</v>
      </c>
    </row>
    <row r="67" spans="1:11" ht="15">
      <c r="A67" s="1"/>
      <c r="B67" s="4" t="s">
        <v>20</v>
      </c>
      <c r="C67" s="4"/>
      <c r="D67" s="4"/>
      <c r="E67" s="4"/>
      <c r="F67" s="4"/>
      <c r="G67" s="4"/>
      <c r="H67" s="4"/>
      <c r="I67" s="4"/>
      <c r="J67" s="4"/>
    </row>
    <row r="68" spans="1:11">
      <c r="A68" s="1" t="s">
        <v>2</v>
      </c>
      <c r="B68" t="s">
        <v>30</v>
      </c>
      <c r="C68" t="s">
        <v>31</v>
      </c>
      <c r="D68" t="s">
        <v>32</v>
      </c>
      <c r="E68" t="s">
        <v>33</v>
      </c>
      <c r="F68" t="s">
        <v>34</v>
      </c>
      <c r="G68" t="s">
        <v>35</v>
      </c>
      <c r="H68" t="s">
        <v>36</v>
      </c>
      <c r="I68" t="s">
        <v>37</v>
      </c>
      <c r="J68" t="s">
        <v>38</v>
      </c>
      <c r="K68" t="str">
        <f>K57</f>
        <v>J</v>
      </c>
    </row>
    <row r="69" spans="1:11">
      <c r="A69" s="1" t="s">
        <v>12</v>
      </c>
      <c r="B69">
        <f>((0.827*3471.92065*1.025)/4869.78271)*50</f>
        <v>30.217573475560155</v>
      </c>
      <c r="C69">
        <f>((15.70519*0.72*1.025)/4869.78271)*50</f>
        <v>0.11900356658829238</v>
      </c>
      <c r="D69">
        <f>((130.36737*0.885*1.025)/4869.78271)*50</f>
        <v>1.2142174256400238</v>
      </c>
      <c r="E69">
        <f>((164.58849*1.025*0.601)/4869.78271)*50</f>
        <v>1.041017952854923</v>
      </c>
      <c r="F69">
        <f>((480.53876*1.025*0.569)/4869.78271)*50</f>
        <v>2.8775638975173079</v>
      </c>
      <c r="G69">
        <f>((152.16197*1.025)/4869.78271)*50</f>
        <v>1.6013652819634734</v>
      </c>
      <c r="H69">
        <f>((83.70428*1.025*0.85)/4869.78271)*50</f>
        <v>0.74877420916794846</v>
      </c>
      <c r="I69">
        <f>((81.9539*1.025*0.842)/4869.78271)*50</f>
        <v>0.72621631813013676</v>
      </c>
      <c r="J69">
        <f t="shared" ref="J69:J74" si="4">((0*1.025*0.484)/4869.78271)*50</f>
        <v>0</v>
      </c>
      <c r="K69">
        <f t="shared" ref="K69:K77" si="5">((0*1.025*0.826)/4869.78271)*50</f>
        <v>0</v>
      </c>
    </row>
    <row r="70" spans="1:11">
      <c r="A70" s="1" t="s">
        <v>12</v>
      </c>
      <c r="B70">
        <f>((0.827*3883.96045*1.025)/4869.78271)*50</f>
        <v>33.803727707326694</v>
      </c>
      <c r="C70">
        <f>((14.67624*0.72*1.025)/4869.78271)*50</f>
        <v>0.11120686245156919</v>
      </c>
      <c r="D70">
        <f>((117.36179*0.885*1.025)/4869.78271)*50</f>
        <v>1.0930858735763795</v>
      </c>
      <c r="E70">
        <f>((141.27231*1.025*0.601)/4869.78271)*50</f>
        <v>0.89354371591407189</v>
      </c>
      <c r="F70">
        <f>((426.80124*1.025*0.569)/4869.78271)*50</f>
        <v>2.5557726907182676</v>
      </c>
      <c r="G70">
        <f>((142.47858*1.025)/4869.78271)*50</f>
        <v>1.4994564767757366</v>
      </c>
      <c r="H70">
        <f>((70.95676*1.025*0.85)/4869.78271)*50</f>
        <v>0.63474163870855738</v>
      </c>
      <c r="I70">
        <f>((73.62827*1.025*0.842)/4869.78271)*50</f>
        <v>0.652440593427422</v>
      </c>
      <c r="J70">
        <f t="shared" si="4"/>
        <v>0</v>
      </c>
      <c r="K70">
        <f t="shared" si="5"/>
        <v>0</v>
      </c>
    </row>
    <row r="71" spans="1:11">
      <c r="A71" s="1" t="s">
        <v>12</v>
      </c>
      <c r="B71">
        <f>((0.827*3826.07568*1.025)/4869.78271)*50</f>
        <v>33.299932411604452</v>
      </c>
      <c r="C71">
        <f>((14.24958*0.72*1.025)/4869.78271)*50</f>
        <v>0.10797391450757356</v>
      </c>
      <c r="D71">
        <f>((114.41011*0.885*1.025)/4869.78271)*50</f>
        <v>1.0655944753000075</v>
      </c>
      <c r="E71">
        <f>((160.8497*1.025*0.601)/4869.78271)*50</f>
        <v>1.0173702025659785</v>
      </c>
      <c r="F71">
        <f>((431.42471*1.025*0.569)/4869.78271)*50</f>
        <v>2.5834589700794877</v>
      </c>
      <c r="G71">
        <f>((130.9715*1.025)/4869.78271)*50</f>
        <v>1.3783550057000384</v>
      </c>
      <c r="H71">
        <f>((64.63033*1.025*0.85)/4869.78271)*50</f>
        <v>0.57814874262120819</v>
      </c>
      <c r="I71">
        <f>((64.75824*1.025*0.842)/4869.78271)*50</f>
        <v>0.57384078880184775</v>
      </c>
      <c r="J71">
        <f t="shared" si="4"/>
        <v>0</v>
      </c>
      <c r="K71">
        <f t="shared" si="5"/>
        <v>0</v>
      </c>
    </row>
    <row r="72" spans="1:11">
      <c r="A72" s="1" t="s">
        <v>13</v>
      </c>
      <c r="B72">
        <f>((0.827*3655.3584*1.025)/4869.78271)*50</f>
        <v>31.8141087214957</v>
      </c>
      <c r="C72">
        <f>((12.07224*0.72*1.025)/4869.78271)*50</f>
        <v>9.14754687278439E-2</v>
      </c>
      <c r="D72">
        <f>((99.13218*0.885*1.025)/4869.78271)*50</f>
        <v>0.92329867817141265</v>
      </c>
      <c r="E72">
        <f>((181.14709*1.025*0.601)/4869.78271)*50</f>
        <v>1.1457506706418323</v>
      </c>
      <c r="F72">
        <f>((594.07709*1.025*0.569)/4869.78271)*50</f>
        <v>3.5574545256789278</v>
      </c>
      <c r="G72">
        <f>((99.44232*1.025)/4869.78271)*50</f>
        <v>1.0465392818317347</v>
      </c>
      <c r="H72">
        <f>((80.15826*1.025*0.85)/4869.78271)*50</f>
        <v>0.71705339009879532</v>
      </c>
      <c r="I72">
        <f>((74.51738*1.025*0.842)/4869.78271)*50</f>
        <v>0.66031924460342084</v>
      </c>
      <c r="J72">
        <f t="shared" si="4"/>
        <v>0</v>
      </c>
      <c r="K72">
        <f t="shared" si="5"/>
        <v>0</v>
      </c>
    </row>
    <row r="73" spans="1:11">
      <c r="A73" s="1" t="s">
        <v>13</v>
      </c>
      <c r="B73">
        <f>((0.827*3593.25269*1.025)/4869.78271)*50</f>
        <v>31.273576824496029</v>
      </c>
      <c r="C73">
        <f>((12.89659*0.72*1.025)/4869.78271)*50</f>
        <v>9.7721849071988651E-2</v>
      </c>
      <c r="D73">
        <f>((102.25653*0.885*1.025)/4869.78271)*50</f>
        <v>0.95239829269764242</v>
      </c>
      <c r="E73">
        <f>((203.36456*1.025*0.601)/4869.78271)*50</f>
        <v>1.2862755951794818</v>
      </c>
      <c r="F73">
        <f>((637.41199*1.025*0.569)/4869.78271)*50</f>
        <v>3.8169527267033834</v>
      </c>
      <c r="G73">
        <f>((105.21974*1.025)/4869.78271)*50</f>
        <v>1.1073413324842165</v>
      </c>
      <c r="H73">
        <f>((83.72441*1.025*0.85)/4869.78271)*50</f>
        <v>0.74895428149914289</v>
      </c>
      <c r="I73">
        <f>((82.96265*1.025*0.842)/4869.78271)*50</f>
        <v>0.73515513264553822</v>
      </c>
      <c r="J73">
        <f t="shared" si="4"/>
        <v>0</v>
      </c>
      <c r="K73">
        <f t="shared" si="5"/>
        <v>0</v>
      </c>
    </row>
    <row r="74" spans="1:11">
      <c r="A74" s="1" t="s">
        <v>13</v>
      </c>
      <c r="B74">
        <f>((0.827*3446.73608*1.025)/4869.78271)*50</f>
        <v>29.998381658942641</v>
      </c>
      <c r="C74">
        <f>((14.52741*0.72*1.025)/4869.78271)*50</f>
        <v>0.1100791269185807</v>
      </c>
      <c r="D74">
        <f>((105.9683*0.885*1.025)/4869.78271)*50</f>
        <v>0.98696902779775142</v>
      </c>
      <c r="E74">
        <f>((209.61296*1.025*0.601)/4869.78271)*50</f>
        <v>1.3257965639703047</v>
      </c>
      <c r="F74">
        <f>((640.94812*1.025*0.569)/4869.78271)*50</f>
        <v>3.8381277928414996</v>
      </c>
      <c r="G74">
        <f>((113.49378*1.025)/4869.78271)*50</f>
        <v>1.1944180205527073</v>
      </c>
      <c r="H74">
        <f>((87.50921*1.025*0.85)/4869.78271)*50</f>
        <v>0.78281110013325406</v>
      </c>
      <c r="I74">
        <f>((91.05904*1.025*0.842)/4869.78271)*50</f>
        <v>0.8068994979038806</v>
      </c>
      <c r="J74">
        <f t="shared" si="4"/>
        <v>0</v>
      </c>
      <c r="K74">
        <f t="shared" si="5"/>
        <v>0</v>
      </c>
    </row>
    <row r="75" spans="1:11">
      <c r="A75" s="1" t="s">
        <v>14</v>
      </c>
      <c r="B75">
        <f>((0.827*2165.646*1.025)/4869.78271)*50</f>
        <v>18.848520379362057</v>
      </c>
      <c r="C75">
        <f>((13.37294*0.72*1.025)/4869.78271)*50</f>
        <v>0.10133131504752498</v>
      </c>
      <c r="D75">
        <f>((177.08218*0.885*1.025)/4869.78271)*50</f>
        <v>1.6493104733670958</v>
      </c>
      <c r="E75">
        <f>((450.57065*1.025*0.601)/4869.78271)*50</f>
        <v>2.8498477364942834</v>
      </c>
      <c r="F75">
        <f>((1316.94592*1.025*0.569)/4869.78271)*50</f>
        <v>7.8861402030810517</v>
      </c>
      <c r="G75">
        <f>((123.21326*1.025)/4869.78271)*50</f>
        <v>1.2967066399149458</v>
      </c>
      <c r="H75">
        <f>((179.32442*1.025*0.85)/4869.78271)*50</f>
        <v>1.6041413983848978</v>
      </c>
      <c r="I75">
        <f>((103.31163*1.025*0.842)/4869.78271)*50</f>
        <v>0.91547310815742711</v>
      </c>
      <c r="J75">
        <f>((11.97771*1.025*0.484)/4869.78271)*50</f>
        <v>6.1010339524984664E-2</v>
      </c>
      <c r="K75">
        <f t="shared" si="5"/>
        <v>0</v>
      </c>
    </row>
    <row r="76" spans="1:11">
      <c r="A76" s="1" t="s">
        <v>14</v>
      </c>
      <c r="B76">
        <f>((0.827*2205.87354*1.025)/4869.78271)*50</f>
        <v>19.198637437967943</v>
      </c>
      <c r="C76">
        <f>((13.23817*0.72*1.025)/4869.78271)*50</f>
        <v>0.10031011691690037</v>
      </c>
      <c r="D76">
        <f>((182.68004*0.885*1.025)/4869.78271)*50</f>
        <v>1.7014478997667635</v>
      </c>
      <c r="E76">
        <f>((461.88782*1.025*0.601)/4869.78271)*50</f>
        <v>2.9214285447604698</v>
      </c>
      <c r="F76">
        <f>((1349.80786*1.025*0.569)/4869.78271)*50</f>
        <v>8.0829241880948288</v>
      </c>
      <c r="G76">
        <f>((128.54555*1.025)/4869.78271)*50</f>
        <v>1.3528241052669059</v>
      </c>
      <c r="H76">
        <f>((162.31516*1.025*0.85)/4869.78271)*50</f>
        <v>1.4519855563534987</v>
      </c>
      <c r="I76">
        <f>((107.21456*1.025*0.842)/4869.78271)*50</f>
        <v>0.95005805718998904</v>
      </c>
      <c r="J76">
        <f>((12.16929*1.025*0.484)/4869.78271)*50</f>
        <v>6.1986182223313181E-2</v>
      </c>
      <c r="K76">
        <f t="shared" si="5"/>
        <v>0</v>
      </c>
    </row>
    <row r="77" spans="1:11">
      <c r="A77" s="1" t="s">
        <v>14</v>
      </c>
      <c r="B77">
        <f>((0.827*2056.57959*1.025)/4869.78271)*50</f>
        <v>17.899269924029625</v>
      </c>
      <c r="C77">
        <f>((13.3017*0.72*1.025)/4869.78271)*50</f>
        <v>0.10079150533597418</v>
      </c>
      <c r="D77">
        <f>((178.00038*0.885*1.025)/4869.78271)*50</f>
        <v>1.657862417309991</v>
      </c>
      <c r="E77">
        <f>((430.37814*1.025*0.601)/4869.78271)*50</f>
        <v>2.7221306317125178</v>
      </c>
      <c r="F77">
        <f>((1266.69141*1.025*0.569)/4869.78271)*50</f>
        <v>7.5852059690487676</v>
      </c>
      <c r="G77">
        <f>((129.00591*1.025)/4869.78271)*50</f>
        <v>1.3576689723595488</v>
      </c>
      <c r="H77">
        <f>((158.62622*1.025*0.85)/4869.78271)*50</f>
        <v>1.4189862505692783</v>
      </c>
      <c r="I77">
        <f>((107.37*1.025*0.842)/4869.78271)*50</f>
        <v>0.95143545429360632</v>
      </c>
      <c r="J77">
        <f>((12.36095 *1.025*0.484)/4869.78271)*50</f>
        <v>6.2962432414155903E-2</v>
      </c>
      <c r="K77">
        <f t="shared" si="5"/>
        <v>0</v>
      </c>
    </row>
    <row r="78" spans="1:11" ht="15">
      <c r="A78" s="1"/>
      <c r="B78" s="4" t="s">
        <v>21</v>
      </c>
      <c r="C78" s="4"/>
      <c r="D78" s="4"/>
      <c r="E78" s="4"/>
      <c r="F78" s="4"/>
      <c r="G78" s="4"/>
      <c r="H78" s="4"/>
      <c r="I78" s="4"/>
      <c r="J78" s="4"/>
    </row>
    <row r="79" spans="1:11">
      <c r="A79" s="1" t="s">
        <v>2</v>
      </c>
      <c r="B79" t="s">
        <v>30</v>
      </c>
      <c r="C79" t="s">
        <v>31</v>
      </c>
      <c r="D79" t="s">
        <v>32</v>
      </c>
      <c r="E79" t="s">
        <v>33</v>
      </c>
      <c r="F79" t="s">
        <v>34</v>
      </c>
      <c r="G79" t="s">
        <v>35</v>
      </c>
      <c r="H79" t="s">
        <v>36</v>
      </c>
      <c r="I79" t="s">
        <v>37</v>
      </c>
      <c r="J79" t="s">
        <v>38</v>
      </c>
      <c r="K79" t="str">
        <f>K68</f>
        <v>J</v>
      </c>
    </row>
    <row r="80" spans="1:11">
      <c r="A80" s="1" t="s">
        <v>12</v>
      </c>
      <c r="B80">
        <f>((0.827*3781.91992*1.025)/4869.78271)*50</f>
        <v>32.915626415967942</v>
      </c>
      <c r="C80">
        <f>((11.31891*0.72*1.025)/4869.78271)*50</f>
        <v>8.5767231080419171E-2</v>
      </c>
      <c r="D80">
        <f>((116.38511*0.885*1.025)/4869.78271)*50</f>
        <v>1.0839892577953441</v>
      </c>
      <c r="E80">
        <f>((172.40945*1.025*0.601)/4869.78271)*50</f>
        <v>1.0904853230735829</v>
      </c>
      <c r="F80">
        <f>((462.65979*1.025*0.569)/4869.78271)*50</f>
        <v>2.7705009863032464</v>
      </c>
      <c r="G80">
        <f>((109.8128*1.025)/4869.78271)*50</f>
        <v>1.1556790795702665</v>
      </c>
      <c r="H80">
        <f>((65.32932*1.025*0.85)/4869.78271)*50</f>
        <v>0.5844015373942627</v>
      </c>
      <c r="I80">
        <f>((54.71744*1.025*0.842)/4869.78271)*50</f>
        <v>0.48486646534584277</v>
      </c>
      <c r="J80">
        <f>((0 *1.025*0.484)/4869.78271)*50</f>
        <v>0</v>
      </c>
      <c r="K80">
        <f>((0*1.025*0.826)/4869.78271)*50</f>
        <v>0</v>
      </c>
    </row>
    <row r="81" spans="1:11">
      <c r="A81" s="1" t="s">
        <v>12</v>
      </c>
      <c r="B81">
        <f>((0.827*3628.16162*1.025)/4869.78271)*50</f>
        <v>31.577403802001459</v>
      </c>
      <c r="C81">
        <f>((11.99717*0.72*1.025)/4869.78271)*50</f>
        <v>9.0906637803558163E-2</v>
      </c>
      <c r="D81">
        <f>((124.11034*0.885*1.025)/4869.78271)*50</f>
        <v>1.1559406125175962</v>
      </c>
      <c r="E81">
        <f>((167.91823*1.025*0.601)/4869.78271)*50</f>
        <v>1.0620784724473873</v>
      </c>
      <c r="F81">
        <f>((469.52249*1.025*0.569)/4869.78271)*50</f>
        <v>2.8115962306483482</v>
      </c>
      <c r="G81">
        <f>((118.1806*1.025)/4869.78271)*50</f>
        <v>1.2437425057102802</v>
      </c>
      <c r="H81">
        <f>((70.17926*1.025*0.85)/4869.78271)*50</f>
        <v>0.62778653500743142</v>
      </c>
      <c r="I81">
        <f>((59.28714*1.025*0.842)/4869.78271)*50</f>
        <v>0.52535984893050802</v>
      </c>
      <c r="J81">
        <f t="shared" ref="J81:J88" si="6">((0 *1.025*0.484)/4869.78271)*50</f>
        <v>0</v>
      </c>
      <c r="K81">
        <f t="shared" ref="K81:K88" si="7">((0*1.025*0.826)/4869.78271)*50</f>
        <v>0</v>
      </c>
    </row>
    <row r="82" spans="1:11">
      <c r="A82" s="1" t="s">
        <v>12</v>
      </c>
      <c r="B82">
        <f>((0.827*3454.00537*1.025)/4869.78271)*50</f>
        <v>30.061649321667055</v>
      </c>
      <c r="C82">
        <f>((11.21501*0.72*1.025)/4869.78271)*50</f>
        <v>8.497994543990646E-2</v>
      </c>
      <c r="D82">
        <f>((118.91508*0.885*1.025)/4869.78271)*50</f>
        <v>1.1075529276028004</v>
      </c>
      <c r="E82">
        <f>((156.60631*1.025*0.601)/4869.78271)*50</f>
        <v>0.99053087029575082</v>
      </c>
      <c r="F82">
        <f>((448.01804*1.025*0.569)/4869.78271)*50</f>
        <v>2.6828232073110296</v>
      </c>
      <c r="G82">
        <f>((111.03476*1.025)/4869.78271)*50</f>
        <v>1.1685390886773261</v>
      </c>
      <c r="H82">
        <f>((67.08075*1.025*0.85)/4869.78271)*50</f>
        <v>0.60006890366469734</v>
      </c>
      <c r="I82">
        <f>((55.69294*1.025*0.842)/4869.78271)*50</f>
        <v>0.49351064235677145</v>
      </c>
      <c r="J82">
        <f t="shared" si="6"/>
        <v>0</v>
      </c>
      <c r="K82">
        <f t="shared" si="7"/>
        <v>0</v>
      </c>
    </row>
    <row r="83" spans="1:11">
      <c r="A83" s="1" t="s">
        <v>13</v>
      </c>
      <c r="B83">
        <f>((0.827*2674.90796*1.025)/4869.78271)*50</f>
        <v>23.280839618745532</v>
      </c>
      <c r="C83">
        <f>((0*0.72*1.025)/4869.78271)*50</f>
        <v>0</v>
      </c>
      <c r="D83">
        <f>((106.84797*0.885*1.025)/4869.78271)*50</f>
        <v>0.99516211049024383</v>
      </c>
      <c r="E83">
        <f>((252.95795*1.025*0.601)/4869.78271)*50</f>
        <v>1.5999525074163932</v>
      </c>
      <c r="F83">
        <f>((633.77576*1.025*0.569)/4869.78271)*50</f>
        <v>3.795178241392211</v>
      </c>
      <c r="G83">
        <f>((76.07653*1.025)/4869.78271)*50</f>
        <v>0.80063575618962257</v>
      </c>
      <c r="H83">
        <f>((74.07859*1.025*0.85)/4869.78271)*50</f>
        <v>0.66266787843497021</v>
      </c>
      <c r="I83">
        <f>((50.25955*1.025*0.842)/4869.78271)*50</f>
        <v>0.44536386129125655</v>
      </c>
      <c r="J83">
        <f t="shared" si="6"/>
        <v>0</v>
      </c>
      <c r="K83">
        <f t="shared" si="7"/>
        <v>0</v>
      </c>
    </row>
    <row r="84" spans="1:11">
      <c r="A84" s="1" t="s">
        <v>13</v>
      </c>
      <c r="B84">
        <f>((0.827*2806.26831*1.025)/4869.78271)*50</f>
        <v>24.424123532189892</v>
      </c>
      <c r="C84">
        <f>((0*0.72*1.025)/4869.78271)*50</f>
        <v>0</v>
      </c>
      <c r="D84">
        <f>((110.9668*0.885*1.025)/4869.78271)*50</f>
        <v>1.0335241266853155</v>
      </c>
      <c r="E84">
        <f>((261.11292 *1.025*0.601)/4869.78271)*50</f>
        <v>1.6515324822675708</v>
      </c>
      <c r="F84">
        <f>((662.76654*1.025*0.569)/4869.78271)*50</f>
        <v>3.9687809324402066</v>
      </c>
      <c r="G84">
        <f>((79.14114*1.025)/4869.78271)*50</f>
        <v>0.83288796780832119</v>
      </c>
      <c r="H84">
        <f>((76.25542*1.025*0.85)/4869.78271)*50</f>
        <v>0.68214064806805308</v>
      </c>
      <c r="I84">
        <f>((51.75285*1.025*0.842)/4869.78271)*50</f>
        <v>0.45859640822146652</v>
      </c>
      <c r="J84">
        <f t="shared" si="6"/>
        <v>0</v>
      </c>
      <c r="K84">
        <f t="shared" si="7"/>
        <v>0</v>
      </c>
    </row>
    <row r="85" spans="1:11">
      <c r="A85" s="1" t="s">
        <v>13</v>
      </c>
      <c r="B85">
        <f>((0.827*623.60663*1.025)/4869.78271)*50</f>
        <v>5.4275085929373006</v>
      </c>
      <c r="C85">
        <f t="shared" ref="C85:C88" si="8">((13.3017*0.72*1.025)/4869.78271)*50</f>
        <v>0.10079150533597418</v>
      </c>
      <c r="D85">
        <f t="shared" ref="D85:D88" si="9">((178.00038*0.885*1.025)/4869.78271)*50</f>
        <v>1.657862417309991</v>
      </c>
      <c r="E85">
        <f t="shared" ref="E85:E88" si="10">((430.37814*1.025*0.601)/4869.78271)*50</f>
        <v>2.7221306317125178</v>
      </c>
      <c r="F85">
        <f t="shared" ref="F85:F88" si="11">((1266.69141*1.025*0.569)/4869.78271)*50</f>
        <v>7.5852059690487676</v>
      </c>
      <c r="G85">
        <f t="shared" ref="G85:G88" si="12">((129.00591*1.025)/4869.78271)*50</f>
        <v>1.3576689723595488</v>
      </c>
      <c r="H85">
        <f>((352.40704*1.025*0.85)/4869.78271)*50</f>
        <v>3.1524469558930268</v>
      </c>
      <c r="I85">
        <f t="shared" ref="I85:I88" si="13">((107.37*1.025*0.842)/4869.78271)*50</f>
        <v>0.95143545429360632</v>
      </c>
      <c r="J85">
        <f t="shared" si="6"/>
        <v>0</v>
      </c>
      <c r="K85">
        <f t="shared" si="7"/>
        <v>0</v>
      </c>
    </row>
    <row r="86" spans="1:11">
      <c r="A86" s="1" t="s">
        <v>14</v>
      </c>
      <c r="B86">
        <f>((0.827*3466.42822*1.025)/4869.78271)*50</f>
        <v>30.169770566503356</v>
      </c>
      <c r="C86">
        <f t="shared" si="8"/>
        <v>0.10079150533597418</v>
      </c>
      <c r="D86">
        <f t="shared" si="9"/>
        <v>1.657862417309991</v>
      </c>
      <c r="E86">
        <f t="shared" si="10"/>
        <v>2.7221306317125178</v>
      </c>
      <c r="F86">
        <f t="shared" si="11"/>
        <v>7.5852059690487676</v>
      </c>
      <c r="G86">
        <f t="shared" si="12"/>
        <v>1.3576689723595488</v>
      </c>
      <c r="H86">
        <f>((82.24043*1.025*0.85)/4869.78271)*50</f>
        <v>0.7356793814471857</v>
      </c>
      <c r="I86">
        <f t="shared" si="13"/>
        <v>0.95143545429360632</v>
      </c>
      <c r="J86">
        <f t="shared" si="6"/>
        <v>0</v>
      </c>
      <c r="K86">
        <f t="shared" si="7"/>
        <v>0</v>
      </c>
    </row>
    <row r="87" spans="1:11">
      <c r="A87" s="1" t="s">
        <v>14</v>
      </c>
      <c r="B87">
        <f t="shared" ref="B87" si="14">((0.827*2056.57959*1.025)/4869.78271)*50</f>
        <v>17.899269924029625</v>
      </c>
      <c r="C87">
        <f t="shared" si="8"/>
        <v>0.10079150533597418</v>
      </c>
      <c r="D87">
        <f t="shared" si="9"/>
        <v>1.657862417309991</v>
      </c>
      <c r="E87">
        <f t="shared" si="10"/>
        <v>2.7221306317125178</v>
      </c>
      <c r="F87">
        <f t="shared" si="11"/>
        <v>7.5852059690487676</v>
      </c>
      <c r="G87">
        <f t="shared" si="12"/>
        <v>1.3576689723595488</v>
      </c>
      <c r="H87">
        <f>((89.2926*1.025*0.85)/4869.78271)*50</f>
        <v>0.79876436365679226</v>
      </c>
      <c r="I87">
        <f t="shared" si="13"/>
        <v>0.95143545429360632</v>
      </c>
      <c r="J87">
        <f t="shared" si="6"/>
        <v>0</v>
      </c>
      <c r="K87">
        <f t="shared" si="7"/>
        <v>0</v>
      </c>
    </row>
    <row r="88" spans="1:11">
      <c r="A88" s="1" t="s">
        <v>14</v>
      </c>
      <c r="B88">
        <f>((0.827*2959.48096*1.025)/4869.78271)*50</f>
        <v>25.757597126628255</v>
      </c>
      <c r="C88">
        <f t="shared" si="8"/>
        <v>0.10079150533597418</v>
      </c>
      <c r="D88">
        <f t="shared" si="9"/>
        <v>1.657862417309991</v>
      </c>
      <c r="E88">
        <f t="shared" si="10"/>
        <v>2.7221306317125178</v>
      </c>
      <c r="F88">
        <f t="shared" si="11"/>
        <v>7.5852059690487676</v>
      </c>
      <c r="G88">
        <f t="shared" si="12"/>
        <v>1.3576689723595488</v>
      </c>
      <c r="H88">
        <f>((101.87919*1.025*0.85)/4869.78271)*50</f>
        <v>0.91135733946843767</v>
      </c>
      <c r="I88">
        <f t="shared" si="13"/>
        <v>0.95143545429360632</v>
      </c>
      <c r="J88">
        <f t="shared" si="6"/>
        <v>0</v>
      </c>
      <c r="K88">
        <f t="shared" si="7"/>
        <v>0</v>
      </c>
    </row>
    <row r="89" spans="1:11" ht="15">
      <c r="A89" s="1"/>
      <c r="B89" s="4" t="s">
        <v>22</v>
      </c>
      <c r="C89" s="4"/>
      <c r="D89" s="4"/>
      <c r="E89" s="4"/>
      <c r="F89" s="4"/>
      <c r="G89" s="4"/>
      <c r="H89" s="4"/>
      <c r="I89" s="4"/>
      <c r="J89" s="4"/>
    </row>
    <row r="90" spans="1:11">
      <c r="A90" s="1" t="s">
        <v>2</v>
      </c>
      <c r="B90" t="s">
        <v>30</v>
      </c>
      <c r="C90" t="s">
        <v>31</v>
      </c>
      <c r="D90" t="s">
        <v>32</v>
      </c>
      <c r="E90" t="s">
        <v>33</v>
      </c>
      <c r="F90" t="s">
        <v>34</v>
      </c>
      <c r="G90" t="s">
        <v>35</v>
      </c>
      <c r="H90" t="s">
        <v>36</v>
      </c>
      <c r="I90" t="s">
        <v>37</v>
      </c>
      <c r="J90" t="s">
        <v>38</v>
      </c>
      <c r="K90" t="str">
        <f>K79</f>
        <v>J</v>
      </c>
    </row>
    <row r="91" spans="1:11">
      <c r="A91" s="1" t="s">
        <v>12</v>
      </c>
      <c r="B91">
        <f>((0.827*3324.5957*1.025)/4869.78271)*50</f>
        <v>28.935342989846664</v>
      </c>
      <c r="C91">
        <f>((13.2622*0.72*1.025)/4869.78271)*50</f>
        <v>0.10049220040045687</v>
      </c>
      <c r="D91">
        <f>((119.46711*0.885*1.025)/4869.78271)*50</f>
        <v>1.1126944323019905</v>
      </c>
      <c r="E91">
        <f>((212.98404*1.025*0.601)/4869.78271)*50</f>
        <v>1.347118557996194</v>
      </c>
      <c r="F91">
        <f>((712.41107*1.025*0.569)/4869.78271)*50</f>
        <v>4.266062482085057</v>
      </c>
      <c r="G91">
        <f>((123.05363*1.025)/4869.78271)*50</f>
        <v>1.2950266804614776</v>
      </c>
      <c r="H91">
        <f>((85.40211*1.025*0.85)/4869.78271)*50</f>
        <v>0.76396209819287786</v>
      </c>
      <c r="I91">
        <f>((78.10858*1.025*0.842)/4869.78271)*50</f>
        <v>0.69214186734216721</v>
      </c>
      <c r="J91">
        <f>((10.63052*1.025*0.484)/4869.78271)*50</f>
        <v>5.4148216522786084E-2</v>
      </c>
      <c r="K91">
        <f t="shared" ref="K91:K99" si="15">((0*1.025*0.826)/4869.78271)*50</f>
        <v>0</v>
      </c>
    </row>
    <row r="92" spans="1:11">
      <c r="A92" s="1" t="s">
        <v>12</v>
      </c>
      <c r="B92">
        <f>((0.827*3136.44995*1.025)/4869.78271)*50</f>
        <v>27.297832056312117</v>
      </c>
      <c r="C92">
        <f>((13.90327*0.72*1.025)/4869.78271)*50</f>
        <v>0.10534980584380116</v>
      </c>
      <c r="D92">
        <f>((121.70576*0.885*1.025)/4869.78271)*50</f>
        <v>1.1335448018377805</v>
      </c>
      <c r="E92">
        <f>((219.01265*1.025*0.601)/4869.78271)*50</f>
        <v>1.3852493607076155</v>
      </c>
      <c r="F92">
        <f>((687.56403*1.025*0.569)/4869.78271)*50</f>
        <v>4.1172733495202491</v>
      </c>
      <c r="G92">
        <f>((130.01006*1.025)/4869.78271)*50</f>
        <v>1.3682367308335199</v>
      </c>
      <c r="H92">
        <f>((86.67642*1.025*0.85)/4869.78271)*50</f>
        <v>0.77536140134063569</v>
      </c>
      <c r="I92">
        <f>((81.7488*1.025*0.842)/4869.78271)*50</f>
        <v>0.72439886994465086</v>
      </c>
      <c r="J92">
        <f>((11.32501*1.025*0.484)/4869.78271)*50</f>
        <v>5.7685709974932331E-2</v>
      </c>
      <c r="K92">
        <f t="shared" si="15"/>
        <v>0</v>
      </c>
    </row>
    <row r="93" spans="1:11">
      <c r="A93" s="1" t="s">
        <v>12</v>
      </c>
      <c r="B93">
        <f>((0.827*3520.3418*1.025)/4869.78271)*50</f>
        <v>30.639002939363174</v>
      </c>
      <c r="C93">
        <f>((13.838*0.72*1.025)/4869.78271)*50</f>
        <v>0.1048552328528843</v>
      </c>
      <c r="D93">
        <f>((123.19842*0.885*1.025)/4869.78271)*50</f>
        <v>1.1474471593261293</v>
      </c>
      <c r="E93">
        <f>((216.18881*1.025*0.601)/4869.78271)*50</f>
        <v>1.3673886455628936</v>
      </c>
      <c r="F93">
        <f>((732.3385*1.025*0.569)/4869.78271)*50</f>
        <v>4.385391988696143</v>
      </c>
      <c r="G93">
        <f>((128.50438*1.025)/4869.78271)*50</f>
        <v>1.3523908287480857</v>
      </c>
      <c r="H93">
        <f>((87.89068*1.025*0.85)/4869.78271)*50</f>
        <v>0.78622352895494996</v>
      </c>
      <c r="I93">
        <f>((81.74937*1.025*0.842)/4869.78271)*50</f>
        <v>0.72440392087329886</v>
      </c>
      <c r="J93">
        <f>((25.82156*1.025*0.484)/4869.78271)*50</f>
        <v>0.13152615505507842</v>
      </c>
      <c r="K93">
        <f t="shared" si="15"/>
        <v>0</v>
      </c>
    </row>
    <row r="94" spans="1:11">
      <c r="A94" s="1" t="s">
        <v>13</v>
      </c>
      <c r="B94">
        <f>((0.827*3963.15112*1.025)/4869.78271)*50</f>
        <v>34.492957136952</v>
      </c>
      <c r="C94">
        <f>((8.57742*0.72*1.025)/4869.78271)*50</f>
        <v>6.4994028860889341E-2</v>
      </c>
      <c r="D94">
        <f>((77.10423*0.885*1.025)/4869.78271)*50</f>
        <v>0.71813445079513605</v>
      </c>
      <c r="E94">
        <f>((186.65184*1.025*0.601)/4869.78271)*50</f>
        <v>1.1805680723688796</v>
      </c>
      <c r="F94">
        <f>((782.51947*1.025*0.569)/4869.78271)*50</f>
        <v>4.6858858502410445</v>
      </c>
      <c r="G94">
        <f>((69.34778*1.025)/4869.78271)*50</f>
        <v>0.72982182915508353</v>
      </c>
      <c r="H94">
        <f>((66.68909*1.025*0.85)/4869.78271)*50</f>
        <v>0.59656532049352962</v>
      </c>
      <c r="I94">
        <f>((53.26845*1.025*0.842)/4869.78271)*50</f>
        <v>0.47202656165843587</v>
      </c>
      <c r="J94">
        <f>((0*1.025*0.484)/4869.78271)*50</f>
        <v>0</v>
      </c>
      <c r="K94">
        <f t="shared" si="15"/>
        <v>0</v>
      </c>
    </row>
    <row r="95" spans="1:11">
      <c r="A95" s="1" t="s">
        <v>13</v>
      </c>
      <c r="B95">
        <f>((0.827*3879.60522*1.025)/4869.78271)*50</f>
        <v>33.765822324169974</v>
      </c>
      <c r="C95">
        <f>((8.84732*0.72*1.025)/4869.78271)*50</f>
        <v>6.703915296458883E-2</v>
      </c>
      <c r="D95">
        <f>((78.92086*0.885*1.025)/4869.78271)*50</f>
        <v>0.73505420457969461</v>
      </c>
      <c r="E95">
        <f>((186.11174*1.025*0.601)/4869.78271)*50</f>
        <v>1.1771519538034991</v>
      </c>
      <c r="F95">
        <f>((772.59619*1.025*0.569)/4869.78271)*50</f>
        <v>4.6264632299451183</v>
      </c>
      <c r="G95">
        <f>((72.90514*1.025)/4869.78271)*50</f>
        <v>0.76725978293187536</v>
      </c>
      <c r="H95">
        <f>((68.51591*1.025*0.85)/4869.78271)*50</f>
        <v>0.61290708582252118</v>
      </c>
      <c r="I95">
        <f>((56.24587*1.025*0.842)/4869.78271)*50</f>
        <v>0.49841030898378619</v>
      </c>
      <c r="J95">
        <f>((0*1.025*0.484)/4869.78271)*50</f>
        <v>0</v>
      </c>
      <c r="K95">
        <f t="shared" si="15"/>
        <v>0</v>
      </c>
    </row>
    <row r="96" spans="1:11">
      <c r="A96" s="1" t="s">
        <v>13</v>
      </c>
      <c r="B96">
        <f>((0.827*3931.84204*1.025)/4869.78271)*50</f>
        <v>34.220461155411591</v>
      </c>
      <c r="C96">
        <f>((8.87894*0.72*1.025)/4869.78271)*50</f>
        <v>6.7278748459805499E-2</v>
      </c>
      <c r="D96">
        <f>((79.87463*0.885*1.025)/4869.78271)*50</f>
        <v>0.74393744088378411</v>
      </c>
      <c r="E96">
        <f>((188.24728*1.025*0.601)/4869.78271)*50</f>
        <v>1.1906591892064109</v>
      </c>
      <c r="F96">
        <f>((785.73505*1.025*0.569)/4869.78271)*50</f>
        <v>4.7051413977385641</v>
      </c>
      <c r="G96">
        <f>((73.3716*1.025)/4869.78271)*50</f>
        <v>0.77216884693403487</v>
      </c>
      <c r="H96">
        <f>((67.19184*1.025*0.85)/4869.78271)*50</f>
        <v>0.60106265603789111</v>
      </c>
      <c r="I96">
        <f>((56.13828*1.025*0.842)/4869.78271)*50</f>
        <v>0.49745692404825997</v>
      </c>
      <c r="J96">
        <f>((0*1.025*0.484)/4869.78271)*50</f>
        <v>0</v>
      </c>
      <c r="K96">
        <f t="shared" si="15"/>
        <v>0</v>
      </c>
    </row>
    <row r="97" spans="1:11">
      <c r="A97" s="1" t="s">
        <v>14</v>
      </c>
      <c r="B97">
        <f>((0.827*1765.19324*1.025)/4869.78271)*50</f>
        <v>15.363212989404609</v>
      </c>
      <c r="C97">
        <f>((11.6827*0.72*1.025)/4869.78271)*50</f>
        <v>8.852379164983315E-2</v>
      </c>
      <c r="D97">
        <f>((252.2742*0.885*1.025)/4869.78271)*50</f>
        <v>2.3496349560430385</v>
      </c>
      <c r="E97">
        <f>((430.13409*1.025*0.601)/4869.78271)*50</f>
        <v>2.7205870217590262</v>
      </c>
      <c r="F97">
        <f>((1665.49963*1.025*0.569)/4869.78271)*50</f>
        <v>9.9733507586701933</v>
      </c>
      <c r="G97">
        <f>((143.80025*1.025)/4869.78271)*50</f>
        <v>1.5133658422513063</v>
      </c>
      <c r="H97">
        <f>((264.73242*1.025*0.85)/4869.78271)*50</f>
        <v>2.3681561854019555</v>
      </c>
      <c r="I97">
        <f>((127.37686*1.025*0.842)/4869.78271)*50</f>
        <v>1.1287218092632307</v>
      </c>
      <c r="J97">
        <f>((16.73506*1.025*0.484)/4869.78271)*50</f>
        <v>8.5242645929062388E-2</v>
      </c>
      <c r="K97">
        <f t="shared" si="15"/>
        <v>0</v>
      </c>
    </row>
    <row r="98" spans="1:11">
      <c r="A98" s="1" t="s">
        <v>14</v>
      </c>
      <c r="B98">
        <f>((0.827*1790.5365*1.025)/4869.78271)*50</f>
        <v>15.583785951278099</v>
      </c>
      <c r="C98">
        <f>((11.58304*0.72*1.025)/4869.78271)*50</f>
        <v>8.7768633931512727E-2</v>
      </c>
      <c r="D98">
        <f>((252.83365*0.885*1.025)/4869.78271)*50</f>
        <v>2.3548455692415273</v>
      </c>
      <c r="E98">
        <f>((441.97623*1.025*0.601)/4869.78271)*50</f>
        <v>2.7954882517309478</v>
      </c>
      <c r="F98">
        <f>((1704.66064*1.025*0.569)/4869.78271)*50</f>
        <v>10.20785485687512</v>
      </c>
      <c r="G98">
        <f>((142.14107*1.025)/4869.78271)*50</f>
        <v>1.4959044933444265</v>
      </c>
      <c r="H98">
        <f>((266.91278*1.025*0.85)/4869.78271)*50</f>
        <v>2.3876605325476623</v>
      </c>
      <c r="I98">
        <f>((126.68307*1.025*0.842)/4869.78271)*50</f>
        <v>1.1225739429706503</v>
      </c>
      <c r="J98">
        <f>((17.92093*1.025*0.484)/4869.78271)*50</f>
        <v>9.12830602764204E-2</v>
      </c>
      <c r="K98">
        <f t="shared" si="15"/>
        <v>0</v>
      </c>
    </row>
    <row r="99" spans="1:11">
      <c r="A99" s="1" t="s">
        <v>14</v>
      </c>
      <c r="B99">
        <f>((0.827*1790.42053*1.025)/4869.78271)*50</f>
        <v>15.582776615999666</v>
      </c>
      <c r="C99">
        <f>((12.4808*0.72*1.025)/4869.78271)*50</f>
        <v>9.4571266815311333E-2</v>
      </c>
      <c r="D99">
        <f>((265.34814*0.885*1.025)/4869.78271)*50</f>
        <v>2.4714032004263693</v>
      </c>
      <c r="E99">
        <f>((438.65585*1.025*0.601)/4869.78271)*50</f>
        <v>2.7744869338969944</v>
      </c>
      <c r="F99">
        <f>((1705.59888*1.025*0.569)/4869.78271)*50</f>
        <v>10.213473228952342</v>
      </c>
      <c r="G99">
        <f>((153.30328*1.025)/4869.78271)*50</f>
        <v>1.6133765237340534</v>
      </c>
      <c r="H99">
        <f>((276.70163*1.025*0.85)/4869.78271)*50</f>
        <v>2.4752264063287126</v>
      </c>
      <c r="I99">
        <f>((135.78333*1.025*0.842)/4869.78271)*50</f>
        <v>1.2032138797061438</v>
      </c>
      <c r="J99">
        <f>((17.5933*1.025*0.484)/4869.78271)*50</f>
        <v>8.9614225621167373E-2</v>
      </c>
      <c r="K99">
        <f t="shared" si="15"/>
        <v>0</v>
      </c>
    </row>
    <row r="100" spans="1:11" ht="15">
      <c r="A100" s="1"/>
      <c r="B100" s="4" t="s">
        <v>23</v>
      </c>
      <c r="C100" s="4"/>
      <c r="D100" s="4"/>
      <c r="E100" s="4"/>
      <c r="F100" s="4"/>
      <c r="G100" s="4"/>
      <c r="H100" s="4"/>
      <c r="I100" s="4"/>
      <c r="J100" s="4"/>
    </row>
    <row r="101" spans="1:11">
      <c r="A101" s="1" t="s">
        <v>2</v>
      </c>
      <c r="B101" t="s">
        <v>30</v>
      </c>
      <c r="C101" t="s">
        <v>31</v>
      </c>
      <c r="D101" t="s">
        <v>32</v>
      </c>
      <c r="E101" t="s">
        <v>33</v>
      </c>
      <c r="F101" t="s">
        <v>34</v>
      </c>
      <c r="G101" t="s">
        <v>35</v>
      </c>
      <c r="H101" t="s">
        <v>36</v>
      </c>
      <c r="I101" t="s">
        <v>37</v>
      </c>
      <c r="J101" t="s">
        <v>38</v>
      </c>
      <c r="K101" t="str">
        <f>K90</f>
        <v>J</v>
      </c>
    </row>
    <row r="102" spans="1:11">
      <c r="A102" s="1" t="s">
        <v>12</v>
      </c>
      <c r="B102">
        <f>((0.827*1566.83423*1.025)/4869.78271)*50</f>
        <v>13.636811794373157</v>
      </c>
      <c r="C102">
        <f>((44.60577*0.72*1.025)/4869.78271)*50</f>
        <v>0.3379930914823096</v>
      </c>
      <c r="D102">
        <f>((395.80579*0.885*1.025)/4869.78271)*50</f>
        <v>3.686461477187243</v>
      </c>
      <c r="E102">
        <f>((267.57501*1.025*0.601)/4869.78271)*50</f>
        <v>1.6924050347951765</v>
      </c>
      <c r="F102">
        <f>((752.34192*1.025*0.569)/4869.78271)*50</f>
        <v>4.5051765388932505</v>
      </c>
      <c r="G102">
        <f>((443.88324 *1.025)/4869.78271)*50</f>
        <v>4.6714642941430125</v>
      </c>
      <c r="H102">
        <f>((226.89682*1.025*0.85)/4869.78271)*50</f>
        <v>2.0296989229012228</v>
      </c>
      <c r="I102">
        <f>((144.92728*1.025*0.842)/4869.78271)*50</f>
        <v>1.2842409656918754</v>
      </c>
      <c r="J102">
        <f>((18.41213*1.025*0.484)/4869.78271)*50</f>
        <v>9.3785064313475289E-2</v>
      </c>
      <c r="K102">
        <f t="shared" ref="K102:K107" si="16">((0*1.025*0.826)/4869.78271)*50</f>
        <v>0</v>
      </c>
    </row>
    <row r="103" spans="1:11">
      <c r="A103" s="1" t="s">
        <v>12</v>
      </c>
      <c r="B103">
        <f>((0.827*1599.8938*1.025)/4869.78271)*50</f>
        <v>13.924543020472873</v>
      </c>
      <c r="C103">
        <f>((46.91996 *0.72*1.025)/4869.78271)*50</f>
        <v>0.35552849626015448</v>
      </c>
      <c r="D103">
        <f>((404.53159*0.885*1.025)/4869.78271)*50</f>
        <v>3.7677319547051198</v>
      </c>
      <c r="E103">
        <f>((271.19345*1.025*0.601)/4869.78271)*50</f>
        <v>1.7152915744391599</v>
      </c>
      <c r="F103">
        <f>((763.40808*1.025*0.569)/4869.78271)*50</f>
        <v>4.5714429572361759</v>
      </c>
      <c r="G103">
        <f>((459.67047*1.025)/4869.78271)*50</f>
        <v>4.8376104213282236</v>
      </c>
      <c r="H103">
        <f>((229.35059*1.025*0.85)/4869.78271)*50</f>
        <v>2.0516490512725567</v>
      </c>
      <c r="I103">
        <f>((147.53461*1.025*0.842)/4869.78271)*50</f>
        <v>1.3073452425200709</v>
      </c>
      <c r="J103">
        <f>((20.90053*1.025*0.484)/4869.78271)*50</f>
        <v>0.10646011896699185</v>
      </c>
      <c r="K103">
        <f t="shared" si="16"/>
        <v>0</v>
      </c>
    </row>
    <row r="104" spans="1:11">
      <c r="A104" s="1" t="s">
        <v>12</v>
      </c>
      <c r="B104">
        <f>((0.827*1418.45349*1.025)/4869.78271)*50</f>
        <v>12.345392327943825</v>
      </c>
      <c r="C104">
        <f>((53.59158*0.72*1.025)/4869.78271)*50</f>
        <v>0.40608163028284272</v>
      </c>
      <c r="D104">
        <f>((417.80554*0.885*1.025)/4869.78271)*50</f>
        <v>3.8913630550109284</v>
      </c>
      <c r="E104">
        <f>((232.99924*1.025*0.601)/4869.78271)*50</f>
        <v>1.4737141816025705</v>
      </c>
      <c r="F104">
        <f>((685.19843*1.025*0.569)/4869.78271)*50</f>
        <v>4.1031076552566539</v>
      </c>
      <c r="G104">
        <f>((519.44281*1.025)/4869.78271)*50</f>
        <v>5.4666595201123451</v>
      </c>
      <c r="H104">
        <f>((226.72719*1.025*0.85)/4869.78271)*50</f>
        <v>2.0281815026557926</v>
      </c>
      <c r="I104">
        <f>((167.63173*1.025*0.842)/4869.78271)*50</f>
        <v>1.4854314164717628</v>
      </c>
      <c r="J104">
        <f>((20.20873*1.025*0.484)/4869.78271)*50</f>
        <v>0.10293632745063483</v>
      </c>
      <c r="K104">
        <f t="shared" si="16"/>
        <v>0</v>
      </c>
    </row>
    <row r="105" spans="1:11">
      <c r="A105" s="1" t="s">
        <v>13</v>
      </c>
      <c r="B105">
        <f>((0.827*1243.21582*1.025)/4869.78271)*50</f>
        <v>10.820225798313899</v>
      </c>
      <c r="C105">
        <f>((36.68497*0.72*1.025)/4869.78271)*50</f>
        <v>0.27797449570393662</v>
      </c>
      <c r="D105">
        <f>((597.82098*0.885*1.025)/4869.78271)*50</f>
        <v>5.5679933662019581</v>
      </c>
      <c r="E105">
        <f>((208.34195*1.025*0.601)/4869.78271)*50</f>
        <v>1.3177574585124558</v>
      </c>
      <c r="F105">
        <f>((964.95673*1.025*0.569)/4869.78271)*50</f>
        <v>5.7783572940387922</v>
      </c>
      <c r="G105">
        <f>((456.11295*1.025)/4869.78271)*50</f>
        <v>4.8001707836980669</v>
      </c>
      <c r="H105">
        <f>((435.3533*1.025*0.85)/4869.78271)*50</f>
        <v>3.8944403191348962</v>
      </c>
      <c r="I105">
        <f>((201.23018*1.025*0.842)/4869.78271)*50</f>
        <v>1.7831566333788222</v>
      </c>
      <c r="J105">
        <f>((38.92097*1.025*0.484)/4869.78271)*50</f>
        <v>0.19825004899448576</v>
      </c>
      <c r="K105">
        <f t="shared" si="16"/>
        <v>0</v>
      </c>
    </row>
    <row r="106" spans="1:11">
      <c r="A106" s="1" t="s">
        <v>13</v>
      </c>
      <c r="B106">
        <f>((0.827*1279.34155*1.025)/4869.78271)*50</f>
        <v>11.134643093718754</v>
      </c>
      <c r="C106">
        <f>((33.85671*0.72*1.025)/4869.78271)*50</f>
        <v>0.25654380768048679</v>
      </c>
      <c r="D106">
        <f>((581.40033*0.885*1.025)/4869.78271)*50</f>
        <v>5.4150544876287716</v>
      </c>
      <c r="E106">
        <f>((225.18604*1.025*0.601)/4869.78271)*50</f>
        <v>1.424295893183702</v>
      </c>
      <c r="F106">
        <f>((1032.96948*1.025*0.569)/4869.78271)*50</f>
        <v>6.1856314834733128</v>
      </c>
      <c r="G106">
        <f>((436.26996*1.025)/4869.78271)*50</f>
        <v>4.5913414995060418</v>
      </c>
      <c r="H106">
        <f>((370.22131*1.025*0.85)/4869.78271)*50</f>
        <v>3.3118039915327144</v>
      </c>
      <c r="I106">
        <f>((183.51161*1.025*0.842)/4869.78271)*50</f>
        <v>1.6261474529989854</v>
      </c>
      <c r="J106">
        <f>((35.50565*1.025*0.484)/4869.78271)*50</f>
        <v>0.18085358232544216</v>
      </c>
      <c r="K106">
        <f t="shared" si="16"/>
        <v>0</v>
      </c>
    </row>
    <row r="107" spans="1:11">
      <c r="A107" s="1" t="s">
        <v>13</v>
      </c>
      <c r="B107">
        <f>((0.827*1246.31689*1.025)/4869.78271)*50</f>
        <v>10.847215703909198</v>
      </c>
      <c r="C107">
        <f>((34.43312*0.72*1.025)/4869.78271)*50</f>
        <v>0.26091146231039941</v>
      </c>
      <c r="D107">
        <f>((587.14917*0.885*1.025)/4869.78271)*50</f>
        <v>5.4685981136543349</v>
      </c>
      <c r="E107">
        <f>((214.20973*1.025*0.601)/4869.78271)*50</f>
        <v>1.3548710156233026</v>
      </c>
      <c r="F107">
        <f>((983.21124*1.025*0.569)/4869.78271)*50</f>
        <v>5.8876690152054021</v>
      </c>
      <c r="G107">
        <f>((435.15961*1.025)/4869.78271)*50</f>
        <v>4.5796560833614679</v>
      </c>
      <c r="H107">
        <f>((431.70203*1.025*0.85)/4869.78271)*50</f>
        <v>3.8617779892431785</v>
      </c>
      <c r="I107">
        <f>((191.13504*1.025*0.842)/4869.78271)*50</f>
        <v>1.6937007880583645</v>
      </c>
      <c r="J107">
        <f>((38.2934*1.025*0.484)/4869.78271)*50</f>
        <v>0.1950534230304497</v>
      </c>
      <c r="K107">
        <f t="shared" si="16"/>
        <v>0</v>
      </c>
    </row>
    <row r="108" spans="1:11">
      <c r="A108" s="1" t="s">
        <v>14</v>
      </c>
      <c r="B108">
        <f>((0.827*349.91266*1.025)/4869.78271)*50</f>
        <v>3.0454358205388998</v>
      </c>
      <c r="C108">
        <f>((128.94127*0.72*1.025)/4869.78271)*50</f>
        <v>0.97703186083224614</v>
      </c>
      <c r="D108">
        <f>((890.49432*0.885*1.025)/4869.78271)*50</f>
        <v>8.293898394801273</v>
      </c>
      <c r="E108">
        <f>((70.71173*1.025*0.601)/4869.78271)*50</f>
        <v>0.44724986788219545</v>
      </c>
      <c r="F108">
        <f>((171.05287*1.025*0.569)/4869.78271)*50</f>
        <v>1.0242993994464076</v>
      </c>
      <c r="G108">
        <f>((2102.12939*1.025)/4869.78271)*50</f>
        <v>22.122985285620679</v>
      </c>
      <c r="H108">
        <f>((294.3067*1.025*0.85)/4869.78271)*50</f>
        <v>2.6327120494355687</v>
      </c>
      <c r="I108">
        <f>((595.53577*1.025*0.842)/4869.78271)*50</f>
        <v>5.2772082134492182</v>
      </c>
      <c r="J108">
        <f>((145.78777*1.025*0.484)/4869.78271)*50</f>
        <v>0.74259281167187829</v>
      </c>
      <c r="K108">
        <f>((26.65134*1.025*0.826)/4869.78271)*50</f>
        <v>0.23167724675543064</v>
      </c>
    </row>
    <row r="109" spans="1:11">
      <c r="A109" s="1" t="s">
        <v>14</v>
      </c>
      <c r="B109">
        <f>((0.827*469.43219*1.025)/4869.78271)*50</f>
        <v>4.0856641389883483</v>
      </c>
      <c r="C109">
        <f>((116.56393*0.72*1.025)/4869.78271)*50</f>
        <v>0.88324454562778609</v>
      </c>
      <c r="D109">
        <f>((1039.29199*0.885*1.025)/4869.78271)*50</f>
        <v>9.6797722051622053</v>
      </c>
      <c r="E109">
        <f>((92.21163*1.025*0.601)/4869.78271)*50</f>
        <v>0.58323618068320338</v>
      </c>
      <c r="F109">
        <f>((249.12274*1.025*0.569)/4869.78271)*50</f>
        <v>1.4917976703369167</v>
      </c>
      <c r="G109">
        <f>((2078.10718*1.025)/4869.78271)*50</f>
        <v>21.870173541069551</v>
      </c>
      <c r="H109">
        <f>((400.85538*1.025*0.85)/4869.78271)*50</f>
        <v>3.5858401762755441</v>
      </c>
      <c r="I109">
        <f>((672.50043*1.025*0.842)/4869.78271)*50</f>
        <v>5.9592134872841163</v>
      </c>
      <c r="J109">
        <f>((154.12787*1.025*0.484)/4869.78271)*50</f>
        <v>0.78507441564061065</v>
      </c>
      <c r="K109">
        <f>((29.73078*1.025*0.826)/4869.78271)*50</f>
        <v>0.2584464891555705</v>
      </c>
    </row>
    <row r="110" spans="1:11">
      <c r="A110" s="1" t="s">
        <v>14</v>
      </c>
      <c r="B110">
        <f>((0.827*767.28772*1.025)/4869.78271)*50</f>
        <v>6.678025045300223</v>
      </c>
      <c r="C110">
        <f>((88.73428*0.72*1.025)/4869.78271)*50</f>
        <v>0.67236982160955572</v>
      </c>
      <c r="D110">
        <f>((1139.61169*0.885*1.025)/4869.78271)*50</f>
        <v>10.614131223641904</v>
      </c>
      <c r="E110">
        <f>((133.38589*1.025*0.601)/4869.78271)*50</f>
        <v>0.8436623128842845</v>
      </c>
      <c r="F110">
        <f>((488.44104*1.025*0.569)/4869.78271)*50</f>
        <v>2.9248843584850617</v>
      </c>
      <c r="G110">
        <f>((1588.52332*1.025)/4869.78271)*50</f>
        <v>16.717752104795654</v>
      </c>
      <c r="H110">
        <f>((665.26178*1.025*0.85)/4869.78271)*50</f>
        <v>5.951079959222656</v>
      </c>
      <c r="I110">
        <f>((623.29993*1.025*0.842)/4869.78271)*50</f>
        <v>5.5232341628082615</v>
      </c>
      <c r="J110">
        <f>((140.49486*1.025*0.484)/4869.78271)*50</f>
        <v>0.715632546631634</v>
      </c>
      <c r="K110">
        <f>((20.37911*1.025*0.826)/4869.78271)*50</f>
        <v>0.17715342253432903</v>
      </c>
    </row>
    <row r="111" spans="1:11" ht="15">
      <c r="A111" s="1"/>
      <c r="B111" s="4" t="s">
        <v>24</v>
      </c>
      <c r="C111" s="4"/>
      <c r="D111" s="4"/>
      <c r="E111" s="4"/>
      <c r="F111" s="4"/>
      <c r="G111" s="4"/>
      <c r="H111" s="4"/>
      <c r="I111" s="4"/>
      <c r="J111" s="4"/>
    </row>
    <row r="112" spans="1:11">
      <c r="A112" s="1" t="s">
        <v>2</v>
      </c>
      <c r="B112" t="s">
        <v>30</v>
      </c>
      <c r="C112" t="s">
        <v>31</v>
      </c>
      <c r="D112" t="s">
        <v>32</v>
      </c>
      <c r="E112" t="s">
        <v>33</v>
      </c>
      <c r="F112" t="s">
        <v>34</v>
      </c>
      <c r="G112" t="s">
        <v>35</v>
      </c>
      <c r="H112" t="s">
        <v>36</v>
      </c>
      <c r="I112" t="s">
        <v>37</v>
      </c>
      <c r="J112" t="s">
        <v>38</v>
      </c>
      <c r="K112" t="str">
        <f>K101</f>
        <v>J</v>
      </c>
    </row>
    <row r="113" spans="1:11">
      <c r="A113" s="1" t="s">
        <v>12</v>
      </c>
      <c r="B113">
        <f>((0.827*995.27972*1.025)/4869.78271)*50</f>
        <v>8.6623345115433281</v>
      </c>
      <c r="C113">
        <f>((58.23628*0.72*1.025)/4869.78271)*50</f>
        <v>0.44127610202961182</v>
      </c>
      <c r="D113">
        <f>((461.64902*0.885*1.025)/4869.78271)*50</f>
        <v>4.2997130694102363</v>
      </c>
      <c r="E113">
        <f>((220.74846*1.025*0.601)/4869.78271)*50</f>
        <v>1.3962283141735905</v>
      </c>
      <c r="F113">
        <f>((854.52563*1.025*0.569)/4869.78271)*50</f>
        <v>5.1170733915225339</v>
      </c>
      <c r="G113">
        <f>((638.23749*1.025)/4869.78271)*50</f>
        <v>6.7168646550350886</v>
      </c>
      <c r="H113">
        <f>((286.79291*1.025*0.85)/4869.78271)*50</f>
        <v>2.5654976589037579</v>
      </c>
      <c r="I113">
        <f>((239.07935*1.025*0.842)/4869.78271)*50</f>
        <v>2.11854866330884</v>
      </c>
      <c r="J113">
        <f>((60.71686*1.025*0.484)/4869.78271)*50</f>
        <v>0.30927082418016133</v>
      </c>
      <c r="K113">
        <f>((0*1.025*0.826)/4869.78271)*50</f>
        <v>0</v>
      </c>
    </row>
    <row r="114" spans="1:11">
      <c r="A114" s="1" t="s">
        <v>12</v>
      </c>
      <c r="B114">
        <f>((0.827*921.39618*1.025)/4869.78271)*50</f>
        <v>8.0192952477904278</v>
      </c>
      <c r="C114">
        <f>((62.58712*0.72*1.025)/4869.78271)*50</f>
        <v>0.47424389660293476</v>
      </c>
      <c r="D114">
        <f>((482.61295*0.885*1.025)/4869.78271)*50</f>
        <v>4.4949672124975564</v>
      </c>
      <c r="E114">
        <f>((201.31911*1.025*0.601)/4869.78271)*50</f>
        <v>1.2733381767022414</v>
      </c>
      <c r="F114">
        <f>((753.96814*1.025*0.569)/4869.78271)*50</f>
        <v>4.5149146752330127</v>
      </c>
      <c r="G114">
        <f>((728.73553*1.025)/4869.78271)*50</f>
        <v>7.6692735870549757</v>
      </c>
      <c r="H114">
        <f>((276.28564*1.025*0.85)/4869.78271)*50</f>
        <v>2.4715051798481573</v>
      </c>
      <c r="I114">
        <f>((259.2807*1.025*0.842)/4869.78271)*50</f>
        <v>2.2975584483008684</v>
      </c>
      <c r="J114">
        <f>((90.91779*1.025*0.484)/4869.78271)*50</f>
        <v>0.46310398538295339</v>
      </c>
      <c r="K114">
        <f>((0*1.025*0.826)/4869.78271)*50</f>
        <v>0</v>
      </c>
    </row>
    <row r="115" spans="1:11">
      <c r="A115" s="1" t="s">
        <v>12</v>
      </c>
      <c r="B115">
        <f>((0.827*1041.32495*1.025)/4869.78271)*50</f>
        <v>9.0630853526445101</v>
      </c>
      <c r="C115">
        <f>((64.94337*0.72*1.025)/4869.78271)*50</f>
        <v>0.49209800430705453</v>
      </c>
      <c r="D115">
        <f>((504.86044*0.885*1.025)/4869.78271)*50</f>
        <v>4.7021761945821998</v>
      </c>
      <c r="E115">
        <f>((227.66576*1.025*0.601)/4869.78271)*50</f>
        <v>1.4399800582067446</v>
      </c>
      <c r="F115">
        <f>((876.23566*1.025*0.569)/4869.78271)*50</f>
        <v>5.247077469740943</v>
      </c>
      <c r="G115">
        <f>((704.71075*1.025)/4869.78271)*50</f>
        <v>7.4164347956091854</v>
      </c>
      <c r="H115">
        <f>((308.98859*1.025*0.85)/4869.78271)*50</f>
        <v>2.7640484706298114</v>
      </c>
      <c r="I115">
        <f>((259.44736*1.025*0.842)/4869.78271)*50</f>
        <v>2.2990352689473483</v>
      </c>
      <c r="J115">
        <f>((66.03066*1.025*0.484)/4869.78271)*50</f>
        <v>0.33633749570317056</v>
      </c>
      <c r="K115">
        <f>((0*1.025*0.826)/4869.78271)*50</f>
        <v>0</v>
      </c>
    </row>
    <row r="116" spans="1:11">
      <c r="A116" s="1" t="s">
        <v>13</v>
      </c>
      <c r="B116">
        <f>((0.827*657.74884*1.025)/4869.78271)*50</f>
        <v>5.7246624865013729</v>
      </c>
      <c r="C116">
        <f>((71.28532*0.72*1.025)/4869.78271)*50</f>
        <v>0.5401531166058946</v>
      </c>
      <c r="D116">
        <f>((1072.2312*0.885*1.025)/4869.78271)*50</f>
        <v>9.9865618778296561</v>
      </c>
      <c r="E116">
        <f>((123.66184*1.025*0.601)/4869.78271)*50</f>
        <v>0.78215794751548573</v>
      </c>
      <c r="F116">
        <f>((353.80054*1.025*0.569)/4869.78271)*50</f>
        <v>2.1186296415009855</v>
      </c>
      <c r="G116">
        <f>((1475.92493*1.025)/4869.78271)*50</f>
        <v>15.532757243392483</v>
      </c>
      <c r="H116">
        <f>((492.00397*1.025*0.85)/4869.78271)*50</f>
        <v>4.4012072446503456</v>
      </c>
      <c r="I116">
        <f>((557.26611*1.025*0.842)/4869.78271)*50</f>
        <v>4.938090104594214</v>
      </c>
      <c r="J116">
        <f>((157.17513*1.025*0.484)/4869.78271)*50</f>
        <v>0.80059611112504836</v>
      </c>
      <c r="K116">
        <f>((20.61189*1.025*0.826)/4869.78271)*50</f>
        <v>0.1791769541653738</v>
      </c>
    </row>
    <row r="117" spans="1:11">
      <c r="A117" s="1" t="s">
        <v>13</v>
      </c>
      <c r="B117">
        <f>((0.827*644.57269*1.025)/4869.78271)*50</f>
        <v>5.6099849575808873</v>
      </c>
      <c r="C117">
        <f>((73.84038*0.72*1.025)/4869.78271)*50</f>
        <v>0.55951367530318386</v>
      </c>
      <c r="D117">
        <f>((1062.5155*0.885*1.025)/4869.78271)*50</f>
        <v>9.8960716559106991</v>
      </c>
      <c r="E117">
        <f>((161.24966*1.025*0.601)/4869.78271)*50</f>
        <v>1.0198999392469812</v>
      </c>
      <c r="F117">
        <f>((356.14841*1.025*0.569)/4869.78271)*50</f>
        <v>2.1326891649160453</v>
      </c>
      <c r="G117">
        <f>((1514.32544*1.025)/4869.78271)*50</f>
        <v>15.936887418124657</v>
      </c>
      <c r="H117">
        <f>((479.71924*1.025*0.85)/4869.78271)*50</f>
        <v>4.2913145487142268</v>
      </c>
      <c r="I117">
        <f>((556.44879*1.025*0.842)/4869.78271)*50</f>
        <v>4.9308476045895278</v>
      </c>
      <c r="J117">
        <f>((153.97382*1.025*0.484)/4869.78271)*50</f>
        <v>0.78428973786799605</v>
      </c>
      <c r="K117">
        <f>((20.85663*1.025*0.826)/4869.78271)*50</f>
        <v>0.18130445279662175</v>
      </c>
    </row>
    <row r="118" spans="1:11">
      <c r="A118" s="1" t="s">
        <v>13</v>
      </c>
      <c r="B118">
        <f>((0.827*649.04688*1.025)/4869.78271)*50</f>
        <v>5.6489256992330965</v>
      </c>
      <c r="C118">
        <f>((77.35313*0.72*1.025)/4869.78271)*50</f>
        <v>0.58613097687884297</v>
      </c>
      <c r="D118">
        <f>((1084.60034*0.885*1.025)/4869.78271)*50</f>
        <v>10.101765746160979</v>
      </c>
      <c r="E118">
        <f>((166.00151*1.025*0.601)/4869.78271)*50</f>
        <v>1.0499552678989037</v>
      </c>
      <c r="F118">
        <f>((360.50043*1.025*0.569)/4869.78271)*50</f>
        <v>2.1587499464298476</v>
      </c>
      <c r="G118">
        <f>((1586.47278*1.025)/4869.78271)*50</f>
        <v>16.696172050559518</v>
      </c>
      <c r="H118">
        <f>((492.31696*1.025*0.85)/4869.78271)*50</f>
        <v>4.4040070876180826</v>
      </c>
      <c r="I118">
        <f>((583.98767*1.025*0.842)/4869.78271)*50</f>
        <v>5.1748772851663833</v>
      </c>
      <c r="J118">
        <f>((160.52313*1.025*0.484)/4869.78271)*50</f>
        <v>0.81764967284341106</v>
      </c>
      <c r="K118">
        <f>((21.5257*1.025*0.826)/4869.78271)*50</f>
        <v>0.18712060671183414</v>
      </c>
    </row>
    <row r="119" spans="1:11">
      <c r="A119" s="1" t="s">
        <v>14</v>
      </c>
      <c r="B119">
        <f>((0.827*54.83818*1.025)/4869.78271)*50</f>
        <v>0.47727955228930524</v>
      </c>
      <c r="C119">
        <f>((180.15721*0.72*1.025)/4869.78271)*50</f>
        <v>1.3651124587856607</v>
      </c>
      <c r="D119">
        <f>((339.47238*0.885*1.025)/4869.78271)*50</f>
        <v>3.1617825788730096</v>
      </c>
      <c r="E119">
        <f>((43.191*1.025*0.601)/4869.78271)*50</f>
        <v>0.27318196066904182</v>
      </c>
      <c r="F119">
        <f>((9.84824*1.025*0.569)/4869.78271)*50</f>
        <v>5.8973265503256905E-2</v>
      </c>
      <c r="G119">
        <f>((2496.83228*1.025)/4869.78271)*50</f>
        <v>26.276871468460239</v>
      </c>
      <c r="H119">
        <f>((83.05054*1.025*0.85)/4869.78271)*50</f>
        <v>0.7429261969575639</v>
      </c>
      <c r="I119">
        <f>((630.05615*1.025*0.842)/4869.78271)*50</f>
        <v>5.5831029086870672</v>
      </c>
      <c r="J119">
        <f>((176.8119*1.025*0.484)/4869.78271)*50</f>
        <v>0.90061907084556547</v>
      </c>
      <c r="K119">
        <f>((46.84508*1.025*0.826)/4869.78271)*50</f>
        <v>0.40721926771554035</v>
      </c>
    </row>
    <row r="120" spans="1:11">
      <c r="A120" s="1" t="s">
        <v>14</v>
      </c>
      <c r="B120">
        <f>((0.827*35.47697*1.025)/4869.78271)*50</f>
        <v>0.30877086654190772</v>
      </c>
      <c r="C120">
        <f>((184.70749*0.72*1.025)/4869.78271)*50</f>
        <v>1.3995914780764414</v>
      </c>
      <c r="D120">
        <f>((293.82352*0.885*1.025)/4869.78271)*50</f>
        <v>2.7366175910957633</v>
      </c>
      <c r="E120">
        <f>((40.69309*1.025*0.601)/4869.78271)*50</f>
        <v>0.2573827443653024</v>
      </c>
      <c r="F120">
        <f>((6.60976*1.025*0.569)/4869.78271)*50</f>
        <v>3.958058814496878E-2</v>
      </c>
      <c r="G120">
        <f>((2512.40381*1.025)/4869.78271)*50</f>
        <v>26.440747550828604</v>
      </c>
      <c r="H120">
        <f>((63.87242*1.025*0.85)/4869.78271)*50</f>
        <v>0.5713688806969377</v>
      </c>
      <c r="I120">
        <f>((601.20795*1.025*0.842)/4869.78271)*50</f>
        <v>5.3274709791671571</v>
      </c>
      <c r="J120">
        <f>((176.36911*1.025*0.484)/4869.78271)*50</f>
        <v>0.89836365071615265</v>
      </c>
      <c r="K120">
        <f>((34.96571*1.025*0.826)/4869.78271)*50</f>
        <v>0.30395317547443501</v>
      </c>
    </row>
    <row r="121" spans="1:11">
      <c r="A121" s="1" t="s">
        <v>14</v>
      </c>
      <c r="B121">
        <f>((0.827*26.95832*1.025)/4869.78271)*50</f>
        <v>0.23462950265803537</v>
      </c>
      <c r="C121">
        <f>((200.93393*0.72*1.025)/4869.78271)*50</f>
        <v>1.5225447332125415</v>
      </c>
      <c r="D121">
        <f>((269.63156*0.885*1.025)/4869.78271)*50</f>
        <v>2.5112981772548117</v>
      </c>
      <c r="E121">
        <f>((40.84166*1.025*0.601)/4869.78271)*50</f>
        <v>0.25832244578218561</v>
      </c>
      <c r="F121">
        <f>((58.88655*1.025*0.569)/4869.78271)*50</f>
        <v>0.35262464640593777</v>
      </c>
      <c r="G121">
        <f>((2670.44263*1.025)/4869.78271)*50</f>
        <v>28.103961293069684</v>
      </c>
      <c r="H121">
        <f>((51.0358*1.025*0.85)/4869.78271)*50</f>
        <v>0.45653926877160395</v>
      </c>
      <c r="I121">
        <f>((600.74536*1.025*0.842)/4869.78271)*50</f>
        <v>5.3233718404244765</v>
      </c>
      <c r="J121">
        <f>((179.88553*1.025*0.484)/4869.78271)*50</f>
        <v>0.91627508604998886</v>
      </c>
      <c r="K121">
        <f>((59.20955*1.025*0.826)/4869.78271)*50</f>
        <v>0.51470228234782978</v>
      </c>
    </row>
    <row r="122" spans="1:11" ht="15">
      <c r="A122" s="1"/>
      <c r="B122" s="4" t="s">
        <v>25</v>
      </c>
      <c r="C122" s="4"/>
      <c r="D122" s="4"/>
      <c r="E122" s="4"/>
      <c r="F122" s="4"/>
      <c r="G122" s="4"/>
      <c r="H122" s="4"/>
      <c r="I122" s="4"/>
      <c r="J122" s="4"/>
    </row>
    <row r="123" spans="1:11">
      <c r="A123" s="1" t="s">
        <v>2</v>
      </c>
      <c r="B123" t="s">
        <v>30</v>
      </c>
      <c r="C123" t="s">
        <v>31</v>
      </c>
      <c r="D123" t="s">
        <v>32</v>
      </c>
      <c r="E123" t="s">
        <v>33</v>
      </c>
      <c r="F123" t="s">
        <v>34</v>
      </c>
      <c r="G123" t="s">
        <v>35</v>
      </c>
      <c r="H123" t="s">
        <v>36</v>
      </c>
      <c r="I123" t="s">
        <v>37</v>
      </c>
      <c r="J123" t="s">
        <v>38</v>
      </c>
      <c r="K123" t="str">
        <f>K112</f>
        <v>J</v>
      </c>
    </row>
    <row r="124" spans="1:11">
      <c r="A124" s="1" t="s">
        <v>12</v>
      </c>
      <c r="B124">
        <f>((0.827*836.47125*1.025)/4869.78271)*50</f>
        <v>7.2801581617565629</v>
      </c>
      <c r="C124">
        <f>((67.07809*0.72*1.025)/4869.78271)*50</f>
        <v>0.50827350385003101</v>
      </c>
      <c r="D124">
        <f>((459.97342*0.885*1.025)/4869.78271)*50</f>
        <v>4.2841068428030527</v>
      </c>
      <c r="E124">
        <f>((203.82236*1.025*0.601)/4869.78271)*50</f>
        <v>1.2891711683682079</v>
      </c>
      <c r="F124">
        <f>((758.60559*1.025*0.569)/4869.78271)*50</f>
        <v>4.5426846696795415</v>
      </c>
      <c r="G124">
        <f>((746.07782*1.025)/4869.78271)*50</f>
        <v>7.8517852955701972</v>
      </c>
      <c r="H124">
        <f>((289.00006*1.025*0.85)/4869.78271)*50</f>
        <v>2.5852416552175068</v>
      </c>
      <c r="I124">
        <f>((278.28851*1.025*0.842)/4869.78271)*50</f>
        <v>2.4659919431548922</v>
      </c>
      <c r="J124">
        <f>((81.61857*1.025*0.484)/4869.78271)*50</f>
        <v>0.41573695366173741</v>
      </c>
      <c r="K124">
        <f>((0*1.025*0.826)/4869.78271)*50</f>
        <v>0</v>
      </c>
    </row>
    <row r="125" spans="1:11">
      <c r="A125" s="1" t="s">
        <v>12</v>
      </c>
      <c r="B125">
        <f>((0.827*857.14526*1.025)/4869.78271)*50</f>
        <v>7.4600926934427827</v>
      </c>
      <c r="C125">
        <f>((51.01963*0.72*1.025)/4869.78271)*50</f>
        <v>0.38659309031059408</v>
      </c>
      <c r="D125">
        <f>((473.14737*0.885*1.025)/4869.78271)*50</f>
        <v>4.4068065617166932</v>
      </c>
      <c r="E125">
        <f>((209.68692*1.025*0.601)/4869.78271)*50</f>
        <v>1.3262643590621312</v>
      </c>
      <c r="F125">
        <f>((780.91296*1.025*0.569)/4869.78271)*50</f>
        <v>4.6762657413928013</v>
      </c>
      <c r="G125">
        <f>((747.44269*1.025)/4869.78271)*50</f>
        <v>7.8661493014541488</v>
      </c>
      <c r="H125">
        <f>((301.3569*1.025*0.85)/4869.78271)*50</f>
        <v>2.6957794090673088</v>
      </c>
      <c r="I125">
        <f>((285.2449*1.025*0.842)/4869.78271)*50</f>
        <v>2.5276344511170183</v>
      </c>
      <c r="J125">
        <f>((86.01073*1.025*0.484)/4869.78271)*50</f>
        <v>0.43810910767515521</v>
      </c>
      <c r="K125">
        <f>((0*1.025*0.826)/4869.78271)*50</f>
        <v>0</v>
      </c>
    </row>
    <row r="126" spans="1:11">
      <c r="A126" s="1" t="s">
        <v>12</v>
      </c>
      <c r="B126">
        <f>((0.827*923.05255*1.025)/4869.78271)*50</f>
        <v>8.0337113267344318</v>
      </c>
      <c r="C126">
        <f>((54.01076*0.72*1.025)/4869.78271)*50</f>
        <v>0.40925789972259352</v>
      </c>
      <c r="D126">
        <f>((497.05692*0.885*1.025)/4869.78271)*50</f>
        <v>4.6294956613680194</v>
      </c>
      <c r="E126">
        <f>((225.81718*1.025*0.601)/4869.78271)*50</f>
        <v>1.4282878374002439</v>
      </c>
      <c r="F126">
        <f>((853.1369*1.025*0.569)/4869.78271)*50</f>
        <v>5.1087573936384096</v>
      </c>
      <c r="G126">
        <f>((741.56854*1.025)/4869.78271)*50</f>
        <v>7.8043292562020676</v>
      </c>
      <c r="H126">
        <f>((327.98633*1.025*0.85)/4869.78271)*50</f>
        <v>2.9339922028317762</v>
      </c>
      <c r="I126">
        <f>((294.48166*1.025*0.842)/4869.78271)*50</f>
        <v>2.6094839523445592</v>
      </c>
      <c r="J126">
        <f>((90.49356*1.025*0.484)/4869.78271)*50</f>
        <v>0.4609431035168301</v>
      </c>
      <c r="K126">
        <f>((0*1.025*0.826)/4869.78271)*50</f>
        <v>0</v>
      </c>
    </row>
    <row r="127" spans="1:11">
      <c r="A127" s="1" t="s">
        <v>13</v>
      </c>
      <c r="B127">
        <f>((0.827*334.01031*1.025)/4869.78271)*50</f>
        <v>2.907031035982814</v>
      </c>
      <c r="C127">
        <f>((102.94716*0.72*1.025)/4869.78271)*50</f>
        <v>0.780065647734003</v>
      </c>
      <c r="D127">
        <f>((866.66107*0.885*1.025)/4869.78271)*50</f>
        <v>8.0719199391521688</v>
      </c>
      <c r="E127">
        <f>((135.8297*1.025*0.601)/4869.78271)*50</f>
        <v>0.85911934808380785</v>
      </c>
      <c r="F127">
        <f>((158.87634*1.025*0.569)/4869.78271)*50</f>
        <v>0.95138385955315008</v>
      </c>
      <c r="G127">
        <f>((1878.48352*1.025)/4869.78271)*50</f>
        <v>19.769317469197713</v>
      </c>
      <c r="H127">
        <f>((331.56888*1.025*0.85)/4869.78271)*50</f>
        <v>2.9660397999564951</v>
      </c>
      <c r="I127">
        <f>((614.69*1.025*0.842)/4869.78271)*50</f>
        <v>5.4469391766763229</v>
      </c>
      <c r="J127">
        <f>((143.65306*1.025*0.484)/4869.78271)*50</f>
        <v>0.73171933236010844</v>
      </c>
      <c r="K127">
        <f>((21.63515*1.025*0.826)/4869.78271)*50</f>
        <v>0.18807204384998111</v>
      </c>
    </row>
    <row r="128" spans="1:11">
      <c r="A128" s="1" t="s">
        <v>13</v>
      </c>
      <c r="B128">
        <f>((0.827*319.95288*1.025)/4869.78271)*50</f>
        <v>2.7846833596606193</v>
      </c>
      <c r="C128">
        <f>((108.94407*0.72*1.025)/4869.78271)*50</f>
        <v>0.82550627459104819</v>
      </c>
      <c r="D128">
        <f>((891.55579*0.885*1.025)/4869.78271)*50</f>
        <v>8.3037847288647306</v>
      </c>
      <c r="E128">
        <f>((138.23447*1.025*0.601)/4869.78271)*50</f>
        <v>0.87432945629056602</v>
      </c>
      <c r="F128">
        <f>((145.25659*1.025*0.569)/4869.78271)*50</f>
        <v>0.86982602456558045</v>
      </c>
      <c r="G128">
        <f>((1994.2749*1.025)/4869.78271)*50</f>
        <v>20.987915624062818</v>
      </c>
      <c r="H128">
        <f>((329.54816*1.025*0.85)/4869.78271)*50</f>
        <v>2.9479635078009458</v>
      </c>
      <c r="I128">
        <f>((642.19073*1.025*0.842)/4869.78271)*50</f>
        <v>5.6906307994848904</v>
      </c>
      <c r="J128">
        <f>((143.50522*1.025*0.484)/4869.78271)*50</f>
        <v>0.73096628619390691</v>
      </c>
      <c r="K128">
        <f>((21.75171*1.025*0.826)/4869.78271)*50</f>
        <v>0.1890852874573124</v>
      </c>
    </row>
    <row r="129" spans="1:11">
      <c r="A129" s="1" t="s">
        <v>13</v>
      </c>
      <c r="B129">
        <f>((0.827*342.81543*1.025)/4869.78271)*50</f>
        <v>2.9836656677567643</v>
      </c>
      <c r="C129">
        <f>((105.68183*0.72*1.025)/4869.78271)*50</f>
        <v>0.8007871724937804</v>
      </c>
      <c r="D129">
        <f>((984.27673*0.885*1.025)/4869.78271)*50</f>
        <v>9.1673703106688507</v>
      </c>
      <c r="E129">
        <f>((149.2973*1.025*0.601)/4869.78271)*50</f>
        <v>0.94430157061874309</v>
      </c>
      <c r="F129">
        <f>((160.51349*1.025*0.569)/4869.78271)*50</f>
        <v>0.96118744695746372</v>
      </c>
      <c r="G129">
        <f>((2104.6582*1.025)/4869.78271)*50</f>
        <v>22.14959869328543</v>
      </c>
      <c r="H129">
        <f>((378.90063*1.025*0.85)/4869.78271)*50</f>
        <v>3.3894445968770945</v>
      </c>
      <c r="I129">
        <f>((711.70813*1.025*0.842)/4869.78271)*50</f>
        <v>6.3066438296638081</v>
      </c>
      <c r="J129">
        <f>((158.59229*1.025*0.484)/4869.78271)*50</f>
        <v>0.80781463726746006</v>
      </c>
      <c r="K129">
        <f>((24.32655*1.025*0.826)/4869.78271)*50</f>
        <v>0.21146809605289343</v>
      </c>
    </row>
    <row r="130" spans="1:11">
      <c r="A130" s="1" t="s">
        <v>14</v>
      </c>
      <c r="B130">
        <f>((0.827*14.71495*1.025)/4869.78271)*50</f>
        <v>0.12807034711873208</v>
      </c>
      <c r="C130">
        <f>((279.4227*0.72*1.025)/4869.78271)*50</f>
        <v>2.1172808406476102</v>
      </c>
      <c r="D130">
        <f>((242.00017*0.885*1.025)/4869.78271)*50</f>
        <v>2.2539445523971846</v>
      </c>
      <c r="E130">
        <f>((27.44013*1.025*0.601)/4869.78271)*50</f>
        <v>0.17355811429263954</v>
      </c>
      <c r="F130">
        <f>((8.52908*1.025*0.569)/4869.78271)*50</f>
        <v>5.1073866938510688E-2</v>
      </c>
      <c r="G130">
        <f>((2562.04492*1.025)/4869.78271)*50</f>
        <v>26.963174738858104</v>
      </c>
      <c r="H130">
        <f>((0*1.025*0.85)/4869.78271)*50</f>
        <v>0</v>
      </c>
      <c r="I130">
        <f>((376.64026*1.025*0.842)/4869.78271)*50</f>
        <v>3.3375141741488501</v>
      </c>
      <c r="J130">
        <f>((110.05821*1.025*0.484)/4869.78271)*50</f>
        <v>0.5605987087358153</v>
      </c>
      <c r="K130">
        <f>((54.49398*1.025*0.826)/4869.78271)*50</f>
        <v>0.47371033693410919</v>
      </c>
    </row>
    <row r="131" spans="1:11">
      <c r="A131" s="1" t="s">
        <v>14</v>
      </c>
      <c r="B131">
        <f>((0.827*14.22732*1.025)/4869.78271)*50</f>
        <v>0.12382629984942387</v>
      </c>
      <c r="C131">
        <f>((303.15515*0.72*1.025)/4869.78271)*50</f>
        <v>2.297109686645546</v>
      </c>
      <c r="D131">
        <f>((248.28706*0.885*1.025)/4869.78271)*50</f>
        <v>2.312499476003314</v>
      </c>
      <c r="E131">
        <f>((0*1.025*0.601)/4869.78271)*50</f>
        <v>0</v>
      </c>
      <c r="F131">
        <f>((0*1.025*0.569)/4869.78271)*50</f>
        <v>0</v>
      </c>
      <c r="G131">
        <f>((2773.11523*1.025)/4869.78271)*50</f>
        <v>29.184496311438085</v>
      </c>
      <c r="H131">
        <f>((0*1.025*0.85)/4869.78271)*50</f>
        <v>0</v>
      </c>
      <c r="I131">
        <f>((377.92163*1.025*0.842)/4869.78271)*50</f>
        <v>3.3488687503625796</v>
      </c>
      <c r="J131">
        <f>((106.12559*1.025*0.484)/4869.78271)*50</f>
        <v>0.5405672935969662</v>
      </c>
      <c r="K131">
        <f>((51.10299*1.025*0.826)/4869.78271)*50</f>
        <v>0.44423282372182049</v>
      </c>
    </row>
    <row r="132" spans="1:11">
      <c r="A132" s="1" t="s">
        <v>14</v>
      </c>
      <c r="B132">
        <f>((0.827*95.08239*1.025)/4869.78271)*50</f>
        <v>0.82754169685786638</v>
      </c>
      <c r="C132">
        <f>((288.069*0.72*1.025)/4869.78271)*50</f>
        <v>2.1827967966973212</v>
      </c>
      <c r="D132">
        <f>((416.37259*0.885*1.025)/4869.78271)*50</f>
        <v>3.8780168253518434</v>
      </c>
      <c r="E132">
        <f>((0*1.025*0.601)/4869.78271)*50</f>
        <v>0</v>
      </c>
      <c r="F132">
        <f>((26.91103*1.025*0.569)/4869.78271)*50</f>
        <v>0.1611487247626085</v>
      </c>
      <c r="G132">
        <f>((3241.77222*1.025)/4869.78271)*50</f>
        <v>34.116681619866348</v>
      </c>
      <c r="H132">
        <f>((74.50026*1.025*0.85)/4869.78271)*50</f>
        <v>0.66643991519079482</v>
      </c>
      <c r="I132">
        <f>((652.50153*1.025*0.842)/4869.78271)*50</f>
        <v>5.781997668089998</v>
      </c>
      <c r="J132">
        <f>((224.91338*1.025*0.484)/4869.78271)*50</f>
        <v>1.1456314836067909</v>
      </c>
      <c r="K132">
        <f>((102.95943*1.025*0.826)/4869.78271)*50</f>
        <v>0.89501530766965143</v>
      </c>
    </row>
    <row r="133" spans="1:11" ht="15">
      <c r="A133" s="1"/>
      <c r="B133" s="4" t="s">
        <v>26</v>
      </c>
      <c r="C133" s="4"/>
      <c r="D133" s="4"/>
      <c r="E133" s="4"/>
      <c r="F133" s="4"/>
      <c r="G133" s="4"/>
      <c r="H133" s="4"/>
      <c r="I133" s="4"/>
      <c r="J133" s="4"/>
    </row>
    <row r="134" spans="1:11">
      <c r="A134" s="1" t="s">
        <v>2</v>
      </c>
      <c r="B134" t="s">
        <v>30</v>
      </c>
      <c r="C134" t="s">
        <v>31</v>
      </c>
      <c r="D134" t="s">
        <v>32</v>
      </c>
      <c r="E134" t="s">
        <v>33</v>
      </c>
      <c r="F134" t="s">
        <v>34</v>
      </c>
      <c r="G134" t="s">
        <v>35</v>
      </c>
      <c r="H134" t="s">
        <v>36</v>
      </c>
      <c r="I134" t="s">
        <v>37</v>
      </c>
      <c r="J134" t="s">
        <v>38</v>
      </c>
      <c r="K134" t="str">
        <f>K123</f>
        <v>J</v>
      </c>
    </row>
    <row r="135" spans="1:11">
      <c r="A135" s="1" t="s">
        <v>12</v>
      </c>
      <c r="B135">
        <f>((0.827*125.22276*1.025)/4869.78271)*25</f>
        <v>0.5449329539130503</v>
      </c>
      <c r="C135">
        <f>((482.58365*0.72*1.025)/4869.78271)*25</f>
        <v>1.8283502309490103</v>
      </c>
      <c r="D135">
        <f>((751.68079*0.885*1.025)/4869.78271)*25</f>
        <v>3.5005075032842168</v>
      </c>
      <c r="E135">
        <f>((0*1.025*0.601)/4869.78271)*25</f>
        <v>0</v>
      </c>
      <c r="F135">
        <f>((24.83776*1.025*0.569)/4869.78271)*25</f>
        <v>7.4366781018038466E-2</v>
      </c>
      <c r="G135">
        <f>((4923.44873*1.025)/4869.78271)*25</f>
        <v>25.907392838529749</v>
      </c>
      <c r="H135">
        <f>((189.20195*1.025*0.85)/4869.78271)*25</f>
        <v>0.8462502782670358</v>
      </c>
      <c r="I135">
        <f>((793.71527*1.025*0.842)/4869.78271)*25</f>
        <v>3.5166659611261171</v>
      </c>
      <c r="J135">
        <f>((98.40859*1.025*0.484)/4869.78271)*25</f>
        <v>0.2506297734740201</v>
      </c>
      <c r="K135">
        <f>((12.13466*1.025*0.826)/4869.78271)*25</f>
        <v>5.2742650446717769E-2</v>
      </c>
    </row>
    <row r="136" spans="1:11">
      <c r="A136" s="1" t="s">
        <v>12</v>
      </c>
      <c r="B136">
        <f>((0.827*118.71537*1.025)/4869.78271)*25</f>
        <v>0.51661468928636223</v>
      </c>
      <c r="C136">
        <f>((475.80017*0.72*1.025)/4869.78271)*25</f>
        <v>1.8026498633036538</v>
      </c>
      <c r="D136">
        <f>((717.24976*0.885*1.025)/4869.78271)*25</f>
        <v>3.3401654000081651</v>
      </c>
      <c r="E136">
        <f t="shared" ref="E136" si="17">((0*1.025*0.601)/4869.78271)*25</f>
        <v>0</v>
      </c>
      <c r="F136">
        <f>((23.08906*1.025*0.569)/4869.78271)*25</f>
        <v>6.9130995264160347E-2</v>
      </c>
      <c r="G136">
        <f>((4812.34424*1.025)/4869.78271)*25</f>
        <v>25.322756372018908</v>
      </c>
      <c r="H136">
        <f>((179.89905*1.025*0.85)/4869.78271)*25</f>
        <v>0.80464086719230599</v>
      </c>
      <c r="I136">
        <f>((771.03979*1.025*0.842)/4869.78271)*25</f>
        <v>3.4161990913527833</v>
      </c>
      <c r="J136">
        <f>((95.32594*1.025*0.484)/4869.78271)*25</f>
        <v>0.24277879348132142</v>
      </c>
      <c r="K136">
        <f>((11.81385*1.025*0.826)/4869.78271)*25</f>
        <v>5.1348266946083097E-2</v>
      </c>
    </row>
    <row r="137" spans="1:11">
      <c r="A137" s="1" t="s">
        <v>12</v>
      </c>
      <c r="B137">
        <f>((0.827*116.53497*1.025)/4869.78271)*25</f>
        <v>0.5071262239889035</v>
      </c>
      <c r="C137">
        <f>((474.50809*0.72*1.025)/4869.78271)*25</f>
        <v>1.7977545984798153</v>
      </c>
      <c r="D137">
        <f>((700.56671*0.885*1.025)/4869.78271)*25</f>
        <v>3.2624739883350453</v>
      </c>
      <c r="E137">
        <f>((57.99351*1.025*0.601)/4869.78271)*25</f>
        <v>0.18340372725660067</v>
      </c>
      <c r="F137">
        <f>((28.39261*1.025*0.569)/4869.78271)*25</f>
        <v>8.501036367210929E-2</v>
      </c>
      <c r="G137">
        <f>((4762.92236*1.025)/4869.78271)*25</f>
        <v>25.062696375419996</v>
      </c>
      <c r="H137">
        <f>((177.88492*1.025*0.85)/4869.78271)*25</f>
        <v>0.79563219644147098</v>
      </c>
      <c r="I137">
        <f>((754.49945*1.025*0.842)/4869.78271)*25</f>
        <v>3.3429148131462521</v>
      </c>
      <c r="J137">
        <f>((95.53115*1.025*0.484)/4869.78271)*25</f>
        <v>0.24330142809903726</v>
      </c>
      <c r="K137">
        <f>((13.12298*1.025*0.826)/4869.78271)*25</f>
        <v>5.7038330448423637E-2</v>
      </c>
    </row>
    <row r="138" spans="1:11">
      <c r="A138" s="1" t="s">
        <v>13</v>
      </c>
      <c r="B138">
        <f t="shared" ref="B138:B143" si="18">((0.827*0*1.025)/4869.78271)*25</f>
        <v>0</v>
      </c>
      <c r="C138">
        <f>((788.10223*0.72*1.025)/4869.78271)*25</f>
        <v>2.9858593307749448</v>
      </c>
      <c r="D138">
        <f>((193.27765*0.885*1.025)/4869.78271)*25</f>
        <v>0.90007603366069866</v>
      </c>
      <c r="E138">
        <f>((104.54454*1.025*0.601)/4869.78271)*25</f>
        <v>0.33062075912161176</v>
      </c>
      <c r="F138">
        <f t="shared" ref="F138:F143" si="19">((0*1.025*0.569)/4869.78271)*25</f>
        <v>0</v>
      </c>
      <c r="G138">
        <f>((6967.32227*1.025)/4869.78271)*25</f>
        <v>36.662340765662208</v>
      </c>
      <c r="H138">
        <f t="shared" ref="H138:H143" si="20">((0*1.025*0.85)/4869.78271)*25</f>
        <v>0</v>
      </c>
      <c r="I138">
        <f>((644.4986*1.025*0.842)/4869.78271)*25</f>
        <v>2.8555407389521896</v>
      </c>
      <c r="J138">
        <f>((102.82212*1.025*0.484)/4869.78271)*25</f>
        <v>0.26187027619965408</v>
      </c>
      <c r="K138">
        <f>((15.66815*1.025*0.826)/4869.78271)*25</f>
        <v>6.810077567865444E-2</v>
      </c>
    </row>
    <row r="139" spans="1:11">
      <c r="A139" s="1" t="s">
        <v>13</v>
      </c>
      <c r="B139">
        <f t="shared" si="18"/>
        <v>0</v>
      </c>
      <c r="C139">
        <f>((772.01471*0.72*1.025)/4869.78271)*25</f>
        <v>2.924909025252997</v>
      </c>
      <c r="D139">
        <f>((181.88846*0.885*1.025)/4869.78271)*25</f>
        <v>0.8470376354713165</v>
      </c>
      <c r="E139">
        <f>((95.56332*1.025*0.601)/4869.78271)*25</f>
        <v>0.30221776672967815</v>
      </c>
      <c r="F139">
        <f t="shared" si="19"/>
        <v>0</v>
      </c>
      <c r="G139">
        <f>((6543.90137*1.025)/4869.78271)*25</f>
        <v>34.434282306253039</v>
      </c>
      <c r="H139">
        <f t="shared" si="20"/>
        <v>0</v>
      </c>
      <c r="I139">
        <f>((568.21576*1.025*0.842)/4869.78271)*25</f>
        <v>2.5175590004302264</v>
      </c>
      <c r="J139">
        <f>((90.74187*1.025*0.484)/4869.78271)*25</f>
        <v>0.23110395467213773</v>
      </c>
      <c r="K139">
        <f>((12.89791*1.025*0.826)/4869.78271)*25</f>
        <v>5.6060075735391471E-2</v>
      </c>
    </row>
    <row r="140" spans="1:11">
      <c r="A140" s="1" t="s">
        <v>13</v>
      </c>
      <c r="B140">
        <f t="shared" si="18"/>
        <v>0</v>
      </c>
      <c r="C140">
        <f>((741.80945*0.72*1.025)/4869.78271)*25</f>
        <v>2.8104712607392699</v>
      </c>
      <c r="D140">
        <f>((183.60898*0.885*1.025)/4869.78271)*25</f>
        <v>0.85504993703558896</v>
      </c>
      <c r="E140">
        <f>((97.66405*1.025*0.601)/4869.78271)*25</f>
        <v>0.30886129825518427</v>
      </c>
      <c r="F140">
        <f t="shared" si="19"/>
        <v>0</v>
      </c>
      <c r="G140">
        <f>((6673.56934*1.025)/4869.78271)*25</f>
        <v>35.116600579802864</v>
      </c>
      <c r="H140">
        <f t="shared" si="20"/>
        <v>0</v>
      </c>
      <c r="I140">
        <f>((599.97931*1.025*0.842)/4869.78271)*25</f>
        <v>2.6582918290798849</v>
      </c>
      <c r="J140">
        <f>((95.44261*1.025*0.484)/4869.78271)*25</f>
        <v>0.24307593192900381</v>
      </c>
      <c r="K140">
        <f>((12.64622*1.025*0.826)/4869.78271)*25</f>
        <v>5.4966118616614816E-2</v>
      </c>
    </row>
    <row r="141" spans="1:11">
      <c r="A141" s="1" t="s">
        <v>14</v>
      </c>
      <c r="B141">
        <f t="shared" si="18"/>
        <v>0</v>
      </c>
      <c r="C141">
        <f>((596.95502*0.72*1.025)/4869.78271)*25</f>
        <v>2.2616656173145757</v>
      </c>
      <c r="D141">
        <f>((195.35086*0.885*1.025)/4869.78271)*25</f>
        <v>0.9097307797409917</v>
      </c>
      <c r="E141">
        <f>((109.18399*1.025*0.601)/4869.78271)*25</f>
        <v>0.34529295989753711</v>
      </c>
      <c r="F141">
        <f t="shared" si="19"/>
        <v>0</v>
      </c>
      <c r="G141">
        <f>((6357.67725*1.025)/4869.78271)*25</f>
        <v>33.454363209411035</v>
      </c>
      <c r="H141">
        <f t="shared" si="20"/>
        <v>0</v>
      </c>
      <c r="I141">
        <f>((624.82501*1.025*0.842)/4869.78271)*25</f>
        <v>2.7683741605818999</v>
      </c>
      <c r="J141">
        <f>((198.94205*1.025*0.484)/4869.78271)*25</f>
        <v>0.50667122581430324</v>
      </c>
      <c r="K141">
        <f>((59.57689*1.025*0.826)/4869.78271)*25</f>
        <v>0.25894776483004506</v>
      </c>
    </row>
    <row r="142" spans="1:11">
      <c r="A142" s="1" t="s">
        <v>14</v>
      </c>
      <c r="B142">
        <f t="shared" si="18"/>
        <v>0</v>
      </c>
      <c r="C142">
        <f>((582.10876*0.72*1.025)/4869.78271)*25</f>
        <v>2.205418036403517</v>
      </c>
      <c r="D142">
        <f>((194.95085*0.885*1.025)/4869.78271)*25</f>
        <v>0.90786797038758427</v>
      </c>
      <c r="E142">
        <f>((109.07225*1.025*0.601)/4869.78271)*25</f>
        <v>0.34493958358898724</v>
      </c>
      <c r="F142">
        <f t="shared" si="19"/>
        <v>0</v>
      </c>
      <c r="G142">
        <f>((6281.104*1.025)/4869.78271)*25</f>
        <v>33.051431569931381</v>
      </c>
      <c r="H142">
        <f t="shared" si="20"/>
        <v>0</v>
      </c>
      <c r="I142">
        <f>((637.74139*1.025*0.842)/4869.78271)*25</f>
        <v>2.8256019796800125</v>
      </c>
      <c r="J142">
        <f>((194.2101*1.025*0.484)/4869.78271)*25</f>
        <v>0.49461976204889019</v>
      </c>
      <c r="K142">
        <f>((51.81007*1.025*0.826)/4869.78271)*25</f>
        <v>0.22518969724985941</v>
      </c>
    </row>
    <row r="143" spans="1:11">
      <c r="A143" s="1" t="s">
        <v>14</v>
      </c>
      <c r="B143">
        <f t="shared" si="18"/>
        <v>0</v>
      </c>
      <c r="C143">
        <f>((587.70551*0.72*1.025)/4869.78271)*25</f>
        <v>2.2266222756168923</v>
      </c>
      <c r="D143">
        <f>((197.12518*0.885*1.025)/4869.78271)*25</f>
        <v>0.91799362289975761</v>
      </c>
      <c r="E143">
        <f>((116.83053*1.025*0.601)/4869.78271)*25</f>
        <v>0.36947504400689157</v>
      </c>
      <c r="F143">
        <f t="shared" si="19"/>
        <v>0</v>
      </c>
      <c r="G143">
        <f>((6505.729*1.025)/4869.78271)*25</f>
        <v>34.233417701094922</v>
      </c>
      <c r="H143">
        <f t="shared" si="20"/>
        <v>0</v>
      </c>
      <c r="I143">
        <f>((699.31122*1.025*0.842)/4869.78271)*25</f>
        <v>3.098395679860837</v>
      </c>
      <c r="J143">
        <f>((219.5986*1.025*0.484)/4869.78271)*25</f>
        <v>0.55927991015024148</v>
      </c>
      <c r="K143">
        <f>((71.11855*1.025*0.826)/4869.78271)*25</f>
        <v>0.30911297250416742</v>
      </c>
    </row>
    <row r="144" spans="1:11" ht="15">
      <c r="A144" s="1"/>
      <c r="B144" s="4" t="s">
        <v>27</v>
      </c>
      <c r="C144" s="4"/>
      <c r="D144" s="4"/>
      <c r="E144" s="4"/>
      <c r="F144" s="4"/>
      <c r="G144" s="4"/>
      <c r="H144" s="4"/>
      <c r="I144" s="4"/>
      <c r="J144" s="4"/>
    </row>
    <row r="145" spans="1:11">
      <c r="A145" s="1" t="s">
        <v>2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35</v>
      </c>
      <c r="H145" t="s">
        <v>36</v>
      </c>
      <c r="I145" t="s">
        <v>37</v>
      </c>
      <c r="J145" t="s">
        <v>38</v>
      </c>
      <c r="K145" t="str">
        <f>K134</f>
        <v>J</v>
      </c>
    </row>
    <row r="146" spans="1:11">
      <c r="A146" s="1" t="s">
        <v>12</v>
      </c>
      <c r="B146">
        <f>((0.827*32.79647*1.025)/4869.78271)*25</f>
        <v>0.14272067853336518</v>
      </c>
      <c r="C146">
        <f>((524.84802*0.72*1.025)/4869.78271)*25</f>
        <v>1.9884759845886426</v>
      </c>
      <c r="D146">
        <f>((408.13684*0.885*1.025)/4869.78271)*25</f>
        <v>1.9006552911731454</v>
      </c>
      <c r="E146">
        <f>((0*1.025*0.601)/4869.78271)*25</f>
        <v>0</v>
      </c>
      <c r="F146">
        <f>((0*1.025*0.569)/4869.78271)*25</f>
        <v>0</v>
      </c>
      <c r="G146">
        <f>((5815.61914*1.025)/4869.78271)*25</f>
        <v>30.602030796257019</v>
      </c>
      <c r="H146">
        <f>((51.42583*1.025*0.85)/4869.78271)*25</f>
        <v>0.23001413541252225</v>
      </c>
      <c r="I146">
        <f>((729.53046*1.025*0.842)/4869.78271)*25</f>
        <v>3.2322862281415827</v>
      </c>
      <c r="J146">
        <f>((199.13994*1.025*0.484)/4869.78271)*25</f>
        <v>0.50717521764949536</v>
      </c>
      <c r="K146">
        <f>((0*1.025*0.826)/4869.78271)*25</f>
        <v>0</v>
      </c>
    </row>
    <row r="147" spans="1:11">
      <c r="A147" s="1" t="s">
        <v>12</v>
      </c>
      <c r="B147">
        <f>((0.827*36.08188*1.025)/4869.78271)*25</f>
        <v>0.15701782528300934</v>
      </c>
      <c r="C147">
        <f>((510.13266*0.72*1.025)/4869.78271)*25</f>
        <v>1.9327243405897259</v>
      </c>
      <c r="D147">
        <f>((430.28275*0.885*1.025)/4869.78271)*25</f>
        <v>2.0037867336063848</v>
      </c>
      <c r="E147">
        <f>((54.26*1.025*0.601)/4869.78271)*25</f>
        <v>0.17159655004401619</v>
      </c>
      <c r="F147">
        <f t="shared" ref="F147:F154" si="21">((0*1.025*0.569)/4869.78271)*25</f>
        <v>0</v>
      </c>
      <c r="G147">
        <f>((5749.10352*1.025)/4869.78271)*25</f>
        <v>30.252022825880864</v>
      </c>
      <c r="H147">
        <f>((59.74923*1.025*0.85)/4869.78271)*25</f>
        <v>0.26724250206586725</v>
      </c>
      <c r="I147">
        <f>((749.76465*1.025*0.842)/4869.78271)*25</f>
        <v>3.3219366228277765</v>
      </c>
      <c r="J147">
        <f>((199.97635*1.025*0.484)/4869.78271)*25</f>
        <v>0.50930541023564468</v>
      </c>
      <c r="K147">
        <f>((0*1.025*0.826)/4869.78271)*25</f>
        <v>0</v>
      </c>
    </row>
    <row r="148" spans="1:11">
      <c r="A148" s="1" t="s">
        <v>12</v>
      </c>
      <c r="B148">
        <f>((0.827*25.18161*1.025)/4869.78271)*25</f>
        <v>0.10958302725148693</v>
      </c>
      <c r="C148">
        <f>((505.49695*0.72*1.025)/4869.78271)*25</f>
        <v>1.9151611648602691</v>
      </c>
      <c r="D148">
        <f>((398.63943*0.885*1.025)/4869.78271)*25</f>
        <v>1.8564267364341493</v>
      </c>
      <c r="E148">
        <f t="shared" ref="E148:E154" si="22">((0*1.025*0.601)/4869.78271)*25</f>
        <v>0</v>
      </c>
      <c r="F148">
        <f t="shared" si="21"/>
        <v>0</v>
      </c>
      <c r="G148">
        <f>((5625.21826*1.025)/4869.78271)*25</f>
        <v>29.600133413858202</v>
      </c>
      <c r="H148">
        <f>((52.61923*1.025*0.85)/4869.78271)*25</f>
        <v>0.23535189795716774</v>
      </c>
      <c r="I148">
        <f>((719.31018*1.025*0.842)/4869.78271)*25</f>
        <v>3.1870038552962452</v>
      </c>
      <c r="J148">
        <f>((199.13057*1.025*0.484)/4869.78271)*25</f>
        <v>0.5071513538691339</v>
      </c>
      <c r="K148">
        <f>((56.34112*1.025*0.826)/4869.78271)*25</f>
        <v>0.24488366364913225</v>
      </c>
    </row>
    <row r="149" spans="1:11">
      <c r="A149" s="1" t="s">
        <v>13</v>
      </c>
      <c r="B149">
        <f t="shared" ref="B149:B154" si="23">((0.827*0*1.025)/4869.78271)*25</f>
        <v>0</v>
      </c>
      <c r="C149">
        <f>((569.26007*0.72*1.025)/4869.78271)*25</f>
        <v>2.1567385891638682</v>
      </c>
      <c r="D149">
        <f>((208.51466*0.885*1.025)/4869.78271)*25</f>
        <v>0.97103337159215852</v>
      </c>
      <c r="E149">
        <f t="shared" si="22"/>
        <v>0</v>
      </c>
      <c r="F149">
        <f t="shared" si="21"/>
        <v>0</v>
      </c>
      <c r="G149">
        <f>((5444.60938*1.025)/4869.78271)*25</f>
        <v>28.649761944409214</v>
      </c>
      <c r="H149">
        <f>((0*1.025*0.85)/4869.78271)*25</f>
        <v>0</v>
      </c>
      <c r="I149">
        <f>((287.99326*1.025*0.842)/4869.78271)*25</f>
        <v>1.2759942170140479</v>
      </c>
      <c r="J149">
        <f>((135.9113*1.025*0.484)/4869.78271)*25</f>
        <v>0.34614273338902213</v>
      </c>
      <c r="K149">
        <f>((42.87842*1.025*0.826)/4869.78271)*25</f>
        <v>0.18636875839681968</v>
      </c>
    </row>
    <row r="150" spans="1:11">
      <c r="A150" s="1" t="s">
        <v>13</v>
      </c>
      <c r="B150">
        <f t="shared" si="23"/>
        <v>0</v>
      </c>
      <c r="C150">
        <f>((567.54944*0.72*1.025)/4869.78271)*25</f>
        <v>2.1502575764822978</v>
      </c>
      <c r="D150">
        <f>((211.65279*0.885*1.025)/4869.78271)*25</f>
        <v>0.98564735103319423</v>
      </c>
      <c r="E150">
        <f t="shared" si="22"/>
        <v>0</v>
      </c>
      <c r="F150">
        <f t="shared" si="21"/>
        <v>0</v>
      </c>
      <c r="G150">
        <f>((5442.98145*1.025)/4869.78271)*25</f>
        <v>28.64119570876089</v>
      </c>
      <c r="H150">
        <f t="shared" ref="H150:H154" si="24">((0*1.025*0.85)/4869.78271)*25</f>
        <v>0</v>
      </c>
      <c r="I150">
        <f>((288.24738*1.025*0.842)/4869.78271)*25</f>
        <v>1.2771201310386595</v>
      </c>
      <c r="J150">
        <f>((124.55421*1.025*0.484)/4869.78271)*25</f>
        <v>0.31721817615246323</v>
      </c>
      <c r="K150">
        <f>((31.13054*1.025*0.826)/4869.78271)*25</f>
        <v>0.13530722652612973</v>
      </c>
    </row>
    <row r="151" spans="1:11">
      <c r="A151" s="1" t="s">
        <v>13</v>
      </c>
      <c r="B151">
        <f t="shared" si="23"/>
        <v>0</v>
      </c>
      <c r="C151">
        <f>((574.30164*0.72*1.025)/4869.78271)*25</f>
        <v>2.17583943452787</v>
      </c>
      <c r="D151">
        <f>((212.15651*0.885*1.025)/4869.78271)*25</f>
        <v>0.98799312820751073</v>
      </c>
      <c r="E151">
        <f t="shared" si="22"/>
        <v>0</v>
      </c>
      <c r="F151">
        <f t="shared" si="21"/>
        <v>0</v>
      </c>
      <c r="G151">
        <f>((5485.97021*1.025)/4869.78271)*25</f>
        <v>28.867404359249115</v>
      </c>
      <c r="H151">
        <f t="shared" si="24"/>
        <v>0</v>
      </c>
      <c r="I151">
        <f>((286.78802*1.025*0.842)/4869.78271)*25</f>
        <v>1.2706542334668149</v>
      </c>
      <c r="J151">
        <f>((116.35253*1.025*0.484)/4869.78271)*25</f>
        <v>0.29632990612942556</v>
      </c>
      <c r="K151">
        <f>((28.73677*1.025*0.826)/4869.78271)*25</f>
        <v>0.12490283329551265</v>
      </c>
    </row>
    <row r="152" spans="1:11">
      <c r="A152" s="1" t="s">
        <v>14</v>
      </c>
      <c r="B152">
        <f t="shared" si="23"/>
        <v>0</v>
      </c>
      <c r="C152">
        <f>((485.1669*0.72*1.025)/4869.78271)*25</f>
        <v>1.8381373129069241</v>
      </c>
      <c r="D152">
        <f>((232.21982*0.885*1.025)/4869.78271)*25</f>
        <v>1.0814260962040951</v>
      </c>
      <c r="E152">
        <f t="shared" si="22"/>
        <v>0</v>
      </c>
      <c r="F152">
        <f t="shared" si="21"/>
        <v>0</v>
      </c>
      <c r="G152">
        <f>((4787.26563*1.025)/4869.78271)*25</f>
        <v>25.190791678824198</v>
      </c>
      <c r="H152">
        <f t="shared" si="24"/>
        <v>0</v>
      </c>
      <c r="I152">
        <f>((246.22626*1.025*0.842)/4869.78271)*25</f>
        <v>1.0909397110092001</v>
      </c>
      <c r="J152">
        <f>((180.08937*1.025*0.484)/4869.78271)*25</f>
        <v>0.45865668848805768</v>
      </c>
      <c r="K152">
        <f>((114.03918*1.025*0.826)/4869.78271)*25</f>
        <v>0.49566519440761647</v>
      </c>
    </row>
    <row r="153" spans="1:11">
      <c r="A153" s="1" t="s">
        <v>14</v>
      </c>
      <c r="B153">
        <f t="shared" si="23"/>
        <v>0</v>
      </c>
      <c r="C153">
        <f>((522.32489*0.72*1.025)/4869.78271)*25</f>
        <v>1.978916677475328</v>
      </c>
      <c r="D153">
        <f>((253.0271*0.885*1.025)/4869.78271)*25</f>
        <v>1.1783236632723391</v>
      </c>
      <c r="E153">
        <f t="shared" si="22"/>
        <v>0</v>
      </c>
      <c r="F153">
        <f t="shared" si="21"/>
        <v>0</v>
      </c>
      <c r="G153">
        <f>((5217.5*1.025)/4869.78271)*25</f>
        <v>27.454702901928858</v>
      </c>
      <c r="H153">
        <f t="shared" si="24"/>
        <v>0</v>
      </c>
      <c r="I153">
        <f>((278.93591*1.025*0.842)/4869.78271)*25</f>
        <v>1.2358643673728715</v>
      </c>
      <c r="J153">
        <f>((186.14119*1.025*0.484)/4869.78271)*25</f>
        <v>0.47406963440777411</v>
      </c>
      <c r="K153">
        <f>((105.20894*1.025*0.826)/4869.78271)*25</f>
        <v>0.45728502869381604</v>
      </c>
    </row>
    <row r="154" spans="1:11">
      <c r="A154" s="1" t="s">
        <v>14</v>
      </c>
      <c r="B154">
        <f t="shared" si="23"/>
        <v>0</v>
      </c>
      <c r="C154">
        <f>((509.6991*0.72*1.025)/4869.78271)*25</f>
        <v>1.9310817247942462</v>
      </c>
      <c r="D154">
        <f>((240.12454*0.885*1.025)/4869.78271)*25</f>
        <v>1.118237641795623</v>
      </c>
      <c r="E154">
        <f t="shared" si="22"/>
        <v>0</v>
      </c>
      <c r="F154">
        <f t="shared" si="21"/>
        <v>0</v>
      </c>
      <c r="G154">
        <f>((5052.19189*1.025)/4869.78271)*25</f>
        <v>26.584844723236117</v>
      </c>
      <c r="H154">
        <f t="shared" si="24"/>
        <v>0</v>
      </c>
      <c r="I154">
        <f>((283.97089*1.025*0.842)/4869.78271)*25</f>
        <v>1.2581725469558986</v>
      </c>
      <c r="J154">
        <f>((258.64932*1.025*0.484)/4869.78271)*25</f>
        <v>0.65873538560820089</v>
      </c>
      <c r="K154">
        <f>((189.23047*1.025*0.826)/4869.78271)*25</f>
        <v>0.82248011341711347</v>
      </c>
    </row>
    <row r="155" spans="1:11" ht="15">
      <c r="A155" s="1"/>
      <c r="B155" s="4" t="s">
        <v>28</v>
      </c>
      <c r="C155" s="4"/>
      <c r="D155" s="4"/>
      <c r="E155" s="4"/>
      <c r="F155" s="4"/>
      <c r="G155" s="4"/>
      <c r="H155" s="4"/>
      <c r="I155" s="4"/>
      <c r="J155" s="4"/>
    </row>
    <row r="156" spans="1:11">
      <c r="A156" s="1" t="s">
        <v>2</v>
      </c>
      <c r="B156" t="s">
        <v>30</v>
      </c>
      <c r="C156" t="s">
        <v>31</v>
      </c>
      <c r="D156" t="s">
        <v>32</v>
      </c>
      <c r="E156" t="s">
        <v>33</v>
      </c>
      <c r="F156" t="s">
        <v>34</v>
      </c>
      <c r="G156" t="s">
        <v>35</v>
      </c>
      <c r="H156" t="s">
        <v>36</v>
      </c>
      <c r="I156" t="s">
        <v>37</v>
      </c>
      <c r="J156" t="s">
        <v>38</v>
      </c>
      <c r="K156" t="str">
        <f>K145</f>
        <v>J</v>
      </c>
    </row>
    <row r="157" spans="1:11">
      <c r="A157" s="1" t="s">
        <v>12</v>
      </c>
      <c r="B157">
        <f t="shared" ref="B157:B165" si="25">((0.827*0*1.025)/4869.78271)*25</f>
        <v>0</v>
      </c>
      <c r="C157">
        <f>((571.96124*0.72*1.025)/4869.78271)*25</f>
        <v>2.1669724310964167</v>
      </c>
      <c r="D157">
        <f>((247.31921*0.885*1.025)/4869.78271)*25</f>
        <v>1.1517425505996033</v>
      </c>
      <c r="E157">
        <f>((0*1.025*0.601)/4869.78271)*25</f>
        <v>0</v>
      </c>
      <c r="F157">
        <f t="shared" ref="F157:F165" si="26">((0*1.025*0.569)/4869.78271)*25</f>
        <v>0</v>
      </c>
      <c r="G157">
        <f>((5732.50684*1.025)/4869.78271)*25</f>
        <v>30.164690402582661</v>
      </c>
      <c r="H157">
        <f t="shared" ref="H157:H168" si="27">((0*1.025*0.85)/4869.78271)*25</f>
        <v>0</v>
      </c>
      <c r="I157">
        <f>((436.63507*1.025*0.842)/4869.78271)*25</f>
        <v>1.9345724419575792</v>
      </c>
      <c r="J157">
        <f>((244.95016*1.025*0.484)/4869.78271)*25</f>
        <v>0.62384597841738199</v>
      </c>
      <c r="K157">
        <f>((113.15669*1.025*0.826)/4869.78271)*25</f>
        <v>0.49182949883866567</v>
      </c>
    </row>
    <row r="158" spans="1:11">
      <c r="A158" s="1" t="s">
        <v>12</v>
      </c>
      <c r="B158">
        <f t="shared" si="25"/>
        <v>0</v>
      </c>
      <c r="C158">
        <f>((585.78619*0.72*1.025)/4869.78271)*25</f>
        <v>2.2193506053784473</v>
      </c>
      <c r="D158">
        <f>((252.16768*0.885*1.025)/4869.78271)*25</f>
        <v>1.1743214242920499</v>
      </c>
      <c r="E158">
        <f t="shared" ref="E158:E168" si="28">((0*1.025*0.601)/4869.78271)*25</f>
        <v>0</v>
      </c>
      <c r="F158">
        <f t="shared" si="26"/>
        <v>0</v>
      </c>
      <c r="G158">
        <f>((5844.72705*1.025)/4869.78271)*25</f>
        <v>30.755197834330062</v>
      </c>
      <c r="H158">
        <f t="shared" si="27"/>
        <v>0</v>
      </c>
      <c r="I158">
        <f>((449.87607*1.025*0.842)/4869.78271)*25</f>
        <v>1.993238535141437</v>
      </c>
      <c r="J158">
        <f>((221.77013*1.025*0.484)/4869.78271)*25</f>
        <v>0.56481042402095161</v>
      </c>
      <c r="K158">
        <f>((81.28949*1.025*0.826)/4869.78271)*25</f>
        <v>0.35332041903621197</v>
      </c>
    </row>
    <row r="159" spans="1:11">
      <c r="A159" s="1" t="s">
        <v>12</v>
      </c>
      <c r="B159">
        <f t="shared" si="25"/>
        <v>0</v>
      </c>
      <c r="C159">
        <f>((577.87732*0.72*1.025)/4869.78271)*25</f>
        <v>2.1893865063231948</v>
      </c>
      <c r="D159">
        <f>((251.35448*0.885*1.025)/4869.78271)*25</f>
        <v>1.1705344275514911</v>
      </c>
      <c r="E159">
        <f t="shared" si="28"/>
        <v>0</v>
      </c>
      <c r="F159">
        <f t="shared" si="26"/>
        <v>0</v>
      </c>
      <c r="G159">
        <f>((5817.21533*1.025)/4869.78271)*25</f>
        <v>30.610430014699762</v>
      </c>
      <c r="H159">
        <f t="shared" si="27"/>
        <v>0</v>
      </c>
      <c r="I159">
        <f>((445.31351*1.025*0.842)/4869.78271)*25</f>
        <v>1.9730234781127429</v>
      </c>
      <c r="J159">
        <f>((247.23254*1.025*0.484)/4869.78271)*25</f>
        <v>0.6296588081955713</v>
      </c>
      <c r="K159">
        <f>((112.32305*1.025*0.826)/4869.78271)*25</f>
        <v>0.48820612718108308</v>
      </c>
    </row>
    <row r="160" spans="1:11">
      <c r="A160" s="1" t="s">
        <v>13</v>
      </c>
      <c r="B160">
        <f t="shared" si="25"/>
        <v>0</v>
      </c>
      <c r="C160">
        <f>((571.09454*0.72*1.025)/4869.78271)*25</f>
        <v>2.1636887907468871</v>
      </c>
      <c r="D160">
        <f>((276.95456*0.885*1.025)/4869.78271)*25</f>
        <v>1.2897516183016715</v>
      </c>
      <c r="E160">
        <f t="shared" si="28"/>
        <v>0</v>
      </c>
      <c r="F160">
        <f t="shared" si="26"/>
        <v>0</v>
      </c>
      <c r="G160">
        <f>((5304.14648*1.025)/4869.78271)*25</f>
        <v>27.910640298363536</v>
      </c>
      <c r="H160">
        <f t="shared" si="27"/>
        <v>0</v>
      </c>
      <c r="I160">
        <f>((159.22549*1.025*0.842)/4869.78271)*25</f>
        <v>0.70547069206143265</v>
      </c>
      <c r="J160">
        <f>((130.23439*1.025*0.484)/4869.78271)*25</f>
        <v>0.33168461883487188</v>
      </c>
      <c r="K160">
        <f>((50.13908*1.025*0.826)/4869.78271)*25</f>
        <v>0.21792682861819102</v>
      </c>
    </row>
    <row r="161" spans="1:13">
      <c r="A161" s="1" t="s">
        <v>13</v>
      </c>
      <c r="B161">
        <f t="shared" si="25"/>
        <v>0</v>
      </c>
      <c r="C161">
        <f>((564.82855*0.72*1.025)/4869.78271)*25</f>
        <v>2.1399490219759714</v>
      </c>
      <c r="D161">
        <f>((275.19641*0.885*1.025)/4869.78271)*25</f>
        <v>1.2815640773284624</v>
      </c>
      <c r="E161">
        <f t="shared" si="28"/>
        <v>0</v>
      </c>
      <c r="F161">
        <f t="shared" si="26"/>
        <v>0</v>
      </c>
      <c r="G161">
        <f>((5273.73291*1.025)/4869.78271)*25</f>
        <v>27.750602822841348</v>
      </c>
      <c r="H161">
        <f t="shared" si="27"/>
        <v>0</v>
      </c>
      <c r="I161">
        <f>((148.44363*1.025*0.842)/4869.78271)*25</f>
        <v>0.65770016087381022</v>
      </c>
      <c r="J161">
        <f>((133.32324*1.025*0.484)/4869.78271)*25</f>
        <v>0.33955138916249505</v>
      </c>
      <c r="K161">
        <f>((59.19064*1.025*0.826)/4869.78271)*25</f>
        <v>0.25726894987066062</v>
      </c>
    </row>
    <row r="162" spans="1:13">
      <c r="A162" s="1" t="s">
        <v>13</v>
      </c>
      <c r="B162">
        <f t="shared" si="25"/>
        <v>0</v>
      </c>
      <c r="C162">
        <f>((561.22791*0.72*1.025)/4869.78271)*25</f>
        <v>2.1263073849757039</v>
      </c>
      <c r="D162">
        <f>((272.35831*0.885*1.025)/4869.78271)*25</f>
        <v>1.2683473096828892</v>
      </c>
      <c r="E162">
        <f t="shared" si="28"/>
        <v>0</v>
      </c>
      <c r="F162">
        <f t="shared" si="26"/>
        <v>0</v>
      </c>
      <c r="G162">
        <f>((5211.34814*1.025)/4869.78271)*25</f>
        <v>27.422331557684632</v>
      </c>
      <c r="H162">
        <f t="shared" si="27"/>
        <v>0</v>
      </c>
      <c r="I162">
        <f>((138.93433*1.025*0.842)/4869.78271)*25</f>
        <v>0.615567883862009</v>
      </c>
      <c r="J162">
        <f>((132.92023*1.025*0.484)/4869.78271)*25</f>
        <v>0.33852499192412622</v>
      </c>
      <c r="K162">
        <f>((60.54796*1.025*0.826)/4869.78271)*25</f>
        <v>0.26316846862968135</v>
      </c>
    </row>
    <row r="163" spans="1:13">
      <c r="A163" s="1" t="s">
        <v>14</v>
      </c>
      <c r="B163">
        <f t="shared" si="25"/>
        <v>0</v>
      </c>
      <c r="C163">
        <f>((542.70801*0.72*1.025)/4869.78271)*25</f>
        <v>2.0561415941492789</v>
      </c>
      <c r="D163">
        <f>((309.78207*0.885*1.025)/4869.78271)*25</f>
        <v>1.4426262781278691</v>
      </c>
      <c r="E163">
        <f t="shared" si="28"/>
        <v>0</v>
      </c>
      <c r="F163">
        <f t="shared" si="26"/>
        <v>0</v>
      </c>
      <c r="G163">
        <f>((4781.8584*1.025)/4869.78271)*25</f>
        <v>25.162338608738455</v>
      </c>
      <c r="H163">
        <f t="shared" si="27"/>
        <v>0</v>
      </c>
      <c r="I163">
        <f>((168.0675*1.025*0.842)/4869.78271)*25</f>
        <v>0.74464644786481649</v>
      </c>
      <c r="J163">
        <f>((175.45811*1.025*0.484)/4869.78271)*25</f>
        <v>0.44686166485547352</v>
      </c>
      <c r="K163">
        <f>((136.24104*1.025*0.826)/4869.78271)*25</f>
        <v>0.59216439102680196</v>
      </c>
    </row>
    <row r="164" spans="1:13">
      <c r="A164" s="1" t="s">
        <v>14</v>
      </c>
      <c r="B164">
        <f t="shared" si="25"/>
        <v>0</v>
      </c>
      <c r="C164">
        <f>((537.185*0.72*1.025)/4869.78271)*25</f>
        <v>2.0352167314668539</v>
      </c>
      <c r="D164">
        <f>((305.552*0.885*1.025)/4869.78271)*25</f>
        <v>1.4229272357000091</v>
      </c>
      <c r="E164">
        <f t="shared" si="28"/>
        <v>0</v>
      </c>
      <c r="F164">
        <f t="shared" si="26"/>
        <v>0</v>
      </c>
      <c r="G164">
        <f>((4687.96191*1.025)/4869.78271)*25</f>
        <v>24.668251356896779</v>
      </c>
      <c r="H164">
        <f t="shared" si="27"/>
        <v>0</v>
      </c>
      <c r="I164">
        <f>((169.48035*1.025*0.842)/4869.78271)*25</f>
        <v>0.75090627640909646</v>
      </c>
      <c r="J164">
        <f>((209.50731*1.025*0.484)/4869.78271)*25</f>
        <v>0.53357912806647578</v>
      </c>
      <c r="K164">
        <f>((179.69894*1.025*0.826)/4869.78271)*25</f>
        <v>0.78105182823958053</v>
      </c>
    </row>
    <row r="165" spans="1:13">
      <c r="A165" s="1" t="s">
        <v>14</v>
      </c>
      <c r="B165">
        <f t="shared" si="25"/>
        <v>0</v>
      </c>
      <c r="C165">
        <f>((558.29675*0.72*1.025)/4869.78271)*25</f>
        <v>2.1152021868137925</v>
      </c>
      <c r="D165">
        <f>((324.40054*0.885*1.025)/4869.78271)*25</f>
        <v>1.5107031328277678</v>
      </c>
      <c r="E165">
        <f t="shared" si="28"/>
        <v>0</v>
      </c>
      <c r="F165">
        <f t="shared" si="26"/>
        <v>0</v>
      </c>
      <c r="G165">
        <f>((4976.74463*1.025)/4869.78271)*25</f>
        <v>26.187838090161929</v>
      </c>
      <c r="H165">
        <f t="shared" si="27"/>
        <v>0</v>
      </c>
      <c r="I165">
        <f>((179.88887*1.025*0.842)/4869.78271)*25</f>
        <v>0.79702267277085537</v>
      </c>
      <c r="J165">
        <f>((187.75633*1.025*0.484)/4869.78271)*25</f>
        <v>0.47818311852871143</v>
      </c>
      <c r="K165">
        <f>((159.89287*1.025*0.826)/4869.78271)*25</f>
        <v>0.69496580467293578</v>
      </c>
    </row>
    <row r="167" spans="1:13">
      <c r="A167" s="1" t="s">
        <v>58</v>
      </c>
    </row>
    <row r="168" spans="1:13">
      <c r="A168" s="1" t="s">
        <v>59</v>
      </c>
      <c r="B168">
        <f>((0.827*564.75*1.025)/4869.78271)*25</f>
        <v>2.4576273971472533</v>
      </c>
      <c r="C168">
        <f>((462.65*0.72*1.025)/4869.78271)*25</f>
        <v>1.7528282078113497</v>
      </c>
      <c r="D168">
        <f>((2252.38*0.885*1.025)/4869.78271)*25</f>
        <v>10.489124100467308</v>
      </c>
      <c r="E168">
        <f t="shared" si="28"/>
        <v>0</v>
      </c>
      <c r="F168">
        <f>((5*1.025*0.569)/4869.78271)*25</f>
        <v>1.4970508817630589E-2</v>
      </c>
      <c r="G168">
        <f>((6313.62*1.025)/4869.78271)*25</f>
        <v>33.222532119918746</v>
      </c>
      <c r="H168">
        <f t="shared" si="27"/>
        <v>0</v>
      </c>
      <c r="I168">
        <f>((1322.33*1.025*0.842)/4869.78271)*25</f>
        <v>5.8587670870637254</v>
      </c>
      <c r="J168">
        <f>((187.75633*1.025*0.484)/4869.78271)*25</f>
        <v>0.47818311852871143</v>
      </c>
      <c r="K168">
        <f>((159.89287*1.025*0.826)/4869.78271)*25</f>
        <v>0.69496580467293578</v>
      </c>
      <c r="L168">
        <f>B168+C168+D168+F168+G168+I168</f>
        <v>53.795849421226009</v>
      </c>
      <c r="M168">
        <f>(G168/L168)*100</f>
        <v>61.75668286187571</v>
      </c>
    </row>
  </sheetData>
  <mergeCells count="15">
    <mergeCell ref="B1:K1"/>
    <mergeCell ref="B133:J133"/>
    <mergeCell ref="B144:J144"/>
    <mergeCell ref="B155:J155"/>
    <mergeCell ref="B67:J67"/>
    <mergeCell ref="B78:J78"/>
    <mergeCell ref="B89:J89"/>
    <mergeCell ref="B100:J100"/>
    <mergeCell ref="B111:J111"/>
    <mergeCell ref="B122:J122"/>
    <mergeCell ref="B56:J56"/>
    <mergeCell ref="B12:J12"/>
    <mergeCell ref="B23:J23"/>
    <mergeCell ref="B34:J34"/>
    <mergeCell ref="B45:J45"/>
  </mergeCells>
  <pageMargins left="0.7" right="0.7" top="0.75" bottom="0.75" header="0.3" footer="0.3"/>
  <ignoredErrors>
    <ignoredError sqref="C16:D16 E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74CF-C9AC-4D94-A33E-8778DCCD50D0}">
  <dimension ref="A1:P75"/>
  <sheetViews>
    <sheetView workbookViewId="0">
      <selection activeCell="H76" sqref="H76"/>
    </sheetView>
  </sheetViews>
  <sheetFormatPr defaultRowHeight="14.25"/>
  <cols>
    <col min="1" max="1" width="19.625" customWidth="1"/>
    <col min="15" max="15" width="27.125" customWidth="1"/>
  </cols>
  <sheetData>
    <row r="1" spans="1:16" ht="1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</row>
    <row r="2" spans="1:16">
      <c r="A2" s="1" t="s">
        <v>2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</row>
    <row r="3" spans="1:16" ht="12.75" customHeight="1">
      <c r="A3" s="1" t="s">
        <v>12</v>
      </c>
      <c r="B3">
        <f>AVERAGE('Concentration Calculations'!B3:B5)</f>
        <v>21.141373523949966</v>
      </c>
      <c r="C3">
        <f>AVERAGE('Concentration Calculations'!C3:C5)</f>
        <v>0</v>
      </c>
      <c r="D3">
        <f>AVERAGE('Concentration Calculations'!D3:D5)</f>
        <v>0.20870627081069493</v>
      </c>
      <c r="E3">
        <f>AVERAGE('Concentration Calculations'!E3:E5)</f>
        <v>0.35888637307392296</v>
      </c>
      <c r="F3">
        <f>AVERAGE('Concentration Calculations'!F3:F5)</f>
        <v>1.0097925572278765</v>
      </c>
      <c r="G3">
        <f>AVERAGE('Concentration Calculations'!G3:G5)</f>
        <v>1.9681439407248893E-2</v>
      </c>
      <c r="H3">
        <f>AVERAGE('Concentration Calculations'!H3:H5)</f>
        <v>3.3054901886474509E-2</v>
      </c>
      <c r="I3">
        <f>AVERAGE('Concentration Calculations'!I3:I5)</f>
        <v>0</v>
      </c>
      <c r="J3">
        <f>AVERAGE('Concentration Calculations'!J3:J5)</f>
        <v>0</v>
      </c>
      <c r="K3">
        <f>AVERAGE('Concentration Calculations'!K3:K5)</f>
        <v>0</v>
      </c>
    </row>
    <row r="4" spans="1:16">
      <c r="A4" s="1" t="s">
        <v>13</v>
      </c>
      <c r="B4">
        <f>AVERAGE('Concentration Calculations'!B6:B8)</f>
        <v>19.727809823572617</v>
      </c>
      <c r="C4">
        <f>AVERAGE('Concentration Calculations'!C6:C8)</f>
        <v>0</v>
      </c>
      <c r="D4">
        <f>AVERAGE('Concentration Calculations'!D6:D8)</f>
        <v>0.31601483460362645</v>
      </c>
      <c r="E4">
        <f>AVERAGE('Concentration Calculations'!E6:E8)</f>
        <v>0.4716927412194365</v>
      </c>
      <c r="F4">
        <f>AVERAGE('Concentration Calculations'!F6:F8)</f>
        <v>1.5102436127175782</v>
      </c>
      <c r="G4">
        <f>AVERAGE('Concentration Calculations'!G6:G8)</f>
        <v>5.0235081484775318E-2</v>
      </c>
      <c r="H4">
        <f>AVERAGE('Concentration Calculations'!H6:H8)</f>
        <v>0.11161325291880082</v>
      </c>
      <c r="I4">
        <f>AVERAGE('Concentration Calculations'!I6:I8)</f>
        <v>0</v>
      </c>
      <c r="J4">
        <f>AVERAGE('Concentration Calculations'!J6:J8)</f>
        <v>0</v>
      </c>
      <c r="K4">
        <f>AVERAGE('Concentration Calculations'!K6:K8)</f>
        <v>0</v>
      </c>
    </row>
    <row r="5" spans="1:16">
      <c r="A5" s="1" t="s">
        <v>14</v>
      </c>
      <c r="B5">
        <f>AVERAGE('Concentration Calculations'!B9:B11)</f>
        <v>15.51218247480252</v>
      </c>
      <c r="C5">
        <f>AVERAGE('Concentration Calculations'!C9:C11)</f>
        <v>0</v>
      </c>
      <c r="D5">
        <f>AVERAGE('Concentration Calculations'!D9:D11)</f>
        <v>0.27945650056658272</v>
      </c>
      <c r="E5">
        <f>AVERAGE('Concentration Calculations'!E9:E11)</f>
        <v>0.69791078808302009</v>
      </c>
      <c r="F5">
        <f>AVERAGE('Concentration Calculations'!F9:F11)</f>
        <v>1.8126837901138604</v>
      </c>
      <c r="G5">
        <f>AVERAGE('Concentration Calculations'!G9:G11)</f>
        <v>0.11551184967210441</v>
      </c>
      <c r="H5">
        <f>AVERAGE('Concentration Calculations'!H9:H11)</f>
        <v>0.24310235839386485</v>
      </c>
      <c r="I5">
        <f>AVERAGE('Concentration Calculations'!I9:I11)</f>
        <v>5.7249455386035743E-2</v>
      </c>
      <c r="J5">
        <f>AVERAGE('Concentration Calculations'!J9:J11)</f>
        <v>0</v>
      </c>
      <c r="K5">
        <f>AVERAGE('Concentration Calculations'!K9:K11)</f>
        <v>0</v>
      </c>
    </row>
    <row r="6" spans="1:16" ht="15">
      <c r="A6" s="1"/>
      <c r="B6" s="4" t="s">
        <v>15</v>
      </c>
      <c r="C6" s="4"/>
      <c r="D6" s="4"/>
      <c r="E6" s="4"/>
      <c r="F6" s="4"/>
      <c r="G6" s="4"/>
      <c r="H6" s="4"/>
      <c r="I6" s="4"/>
      <c r="J6" s="4"/>
      <c r="K6" s="4"/>
    </row>
    <row r="7" spans="1:16">
      <c r="A7" s="1" t="s">
        <v>2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tr">
        <f>K2</f>
        <v>J</v>
      </c>
    </row>
    <row r="8" spans="1:16">
      <c r="A8" s="1" t="s">
        <v>12</v>
      </c>
      <c r="B8">
        <f>AVERAGE('Concentration Calculations'!B14:B16)</f>
        <v>17.749596361201569</v>
      </c>
      <c r="C8">
        <f>AVERAGE('Concentration Calculations'!C14:C16)</f>
        <v>2.3340543976755789E-2</v>
      </c>
      <c r="D8">
        <f>AVERAGE('Concentration Calculations'!D14:D16)</f>
        <v>0.45193444129050259</v>
      </c>
      <c r="E8">
        <f>AVERAGE('Concentration Calculations'!E14:E16)</f>
        <v>0.4203692967801842</v>
      </c>
      <c r="F8">
        <f>AVERAGE('Concentration Calculations'!F14:F16)</f>
        <v>1.7516966418627602</v>
      </c>
      <c r="G8">
        <f>AVERAGE('Concentration Calculations'!G14:G16)</f>
        <v>0.35627390446749518</v>
      </c>
      <c r="H8">
        <f>AVERAGE('Concentration Calculations'!H14:H16)</f>
        <v>0.39380371156830657</v>
      </c>
      <c r="I8">
        <f>AVERAGE('Concentration Calculations'!I14:I16)</f>
        <v>0.26037740990398311</v>
      </c>
      <c r="J8">
        <f>AVERAGE('Concentration Calculations'!J14:J16)</f>
        <v>0</v>
      </c>
      <c r="K8">
        <f>AVERAGE('Concentration Calculations'!K14:K16)</f>
        <v>0</v>
      </c>
      <c r="N8" t="s">
        <v>40</v>
      </c>
      <c r="O8" t="s">
        <v>41</v>
      </c>
      <c r="P8" t="s">
        <v>3</v>
      </c>
    </row>
    <row r="9" spans="1:16">
      <c r="A9" s="1" t="s">
        <v>13</v>
      </c>
      <c r="B9">
        <f>AVERAGE('Concentration Calculations'!B17:B19)</f>
        <v>17.462059569439351</v>
      </c>
      <c r="C9">
        <f>AVERAGE('Concentration Calculations'!C17:C19)</f>
        <v>2.0782547605702098E-2</v>
      </c>
      <c r="D9">
        <f>AVERAGE('Concentration Calculations'!D17:D19)</f>
        <v>0.40119400936397215</v>
      </c>
      <c r="E9">
        <f>AVERAGE('Concentration Calculations'!E17:E19)</f>
        <v>0.61625753219481583</v>
      </c>
      <c r="F9">
        <f>AVERAGE('Concentration Calculations'!F17:F19)</f>
        <v>2.43313463179611</v>
      </c>
      <c r="G9">
        <f>AVERAGE('Concentration Calculations'!G17:G19)</f>
        <v>0.25689359804789585</v>
      </c>
      <c r="H9">
        <f>AVERAGE('Concentration Calculations'!H17:H19)</f>
        <v>0.58015221503332726</v>
      </c>
      <c r="I9">
        <f>AVERAGE('Concentration Calculations'!I17:I19)</f>
        <v>0.20000442775060348</v>
      </c>
      <c r="J9">
        <f>AVERAGE('Concentration Calculations'!J17:J19)</f>
        <v>0</v>
      </c>
      <c r="K9">
        <f>AVERAGE('Concentration Calculations'!K17:K19)</f>
        <v>0</v>
      </c>
      <c r="N9" t="s">
        <v>35</v>
      </c>
      <c r="O9" t="s">
        <v>46</v>
      </c>
      <c r="P9" t="s">
        <v>8</v>
      </c>
    </row>
    <row r="10" spans="1:16">
      <c r="A10" s="1" t="s">
        <v>14</v>
      </c>
      <c r="B10">
        <f>AVERAGE('Concentration Calculations'!B20:B22)</f>
        <v>9.9348549719719745</v>
      </c>
      <c r="C10">
        <f>AVERAGE('Concentration Calculations'!C20:C22)</f>
        <v>2.44292814658254E-2</v>
      </c>
      <c r="D10">
        <f>AVERAGE('Concentration Calculations'!D20:D22)</f>
        <v>0.67505868232825084</v>
      </c>
      <c r="E10">
        <f>AVERAGE('Concentration Calculations'!E20:E22)</f>
        <v>1.4884894162082125</v>
      </c>
      <c r="F10">
        <f>AVERAGE('Concentration Calculations'!F20:F22)</f>
        <v>4.6074047143043186</v>
      </c>
      <c r="G10">
        <f>AVERAGE('Concentration Calculations'!G20:G22)</f>
        <v>0.33541464471214572</v>
      </c>
      <c r="H10">
        <f>AVERAGE('Concentration Calculations'!H20:H22)</f>
        <v>0.73569230765277815</v>
      </c>
      <c r="I10">
        <f>AVERAGE('Concentration Calculations'!I20:I22)</f>
        <v>0.28537543052408587</v>
      </c>
      <c r="J10">
        <f>AVERAGE('Concentration Calculations'!J20:J22)</f>
        <v>1.2702628313642626E-2</v>
      </c>
      <c r="K10">
        <f>AVERAGE('Concentration Calculations'!K20:K22)</f>
        <v>0</v>
      </c>
      <c r="N10" t="s">
        <v>36</v>
      </c>
      <c r="O10" t="s">
        <v>47</v>
      </c>
      <c r="P10" t="s">
        <v>9</v>
      </c>
    </row>
    <row r="11" spans="1:16" ht="15">
      <c r="A11" s="1"/>
      <c r="B11" s="4" t="s">
        <v>16</v>
      </c>
      <c r="C11" s="4"/>
      <c r="D11" s="4"/>
      <c r="E11" s="4"/>
      <c r="F11" s="4"/>
      <c r="G11" s="4"/>
      <c r="H11" s="4"/>
      <c r="I11" s="4"/>
      <c r="J11" s="4"/>
      <c r="K11" s="4"/>
      <c r="N11" t="s">
        <v>39</v>
      </c>
      <c r="O11" t="s">
        <v>51</v>
      </c>
      <c r="P11" t="s">
        <v>11</v>
      </c>
    </row>
    <row r="12" spans="1:16">
      <c r="A12" s="1" t="s">
        <v>2</v>
      </c>
      <c r="B12" t="s">
        <v>30</v>
      </c>
      <c r="C12" t="s">
        <v>31</v>
      </c>
      <c r="D12" t="s">
        <v>32</v>
      </c>
      <c r="E12" t="s">
        <v>33</v>
      </c>
      <c r="F12" t="s">
        <v>34</v>
      </c>
      <c r="G12" t="s">
        <v>35</v>
      </c>
      <c r="H12" t="s">
        <v>36</v>
      </c>
      <c r="I12" t="s">
        <v>37</v>
      </c>
      <c r="J12" t="s">
        <v>38</v>
      </c>
      <c r="K12" t="str">
        <f>K7</f>
        <v>J</v>
      </c>
    </row>
    <row r="13" spans="1:16">
      <c r="A13" s="1" t="s">
        <v>12</v>
      </c>
      <c r="B13">
        <f>AVERAGE('Concentration Calculations'!B25:B27)</f>
        <v>13.86063755683935</v>
      </c>
      <c r="C13">
        <f>AVERAGE('Concentration Calculations'!C25:C27)</f>
        <v>3.0125660575931523E-2</v>
      </c>
      <c r="D13">
        <f>AVERAGE('Concentration Calculations'!D25:D27)</f>
        <v>0.60380108255897924</v>
      </c>
      <c r="E13">
        <f>AVERAGE('Concentration Calculations'!E25:E27)</f>
        <v>1.0475694454641966</v>
      </c>
      <c r="F13">
        <f>AVERAGE('Concentration Calculations'!F25:F27)</f>
        <v>4.155739662733243</v>
      </c>
      <c r="G13">
        <f>AVERAGE('Concentration Calculations'!G25:G27)</f>
        <v>0.49305699668476571</v>
      </c>
      <c r="H13">
        <f>AVERAGE('Concentration Calculations'!H25:H27)</f>
        <v>0.73273615748846543</v>
      </c>
      <c r="I13">
        <f>AVERAGE('Concentration Calculations'!I25:I27)</f>
        <v>0.45641837985193517</v>
      </c>
      <c r="J13">
        <f>AVERAGE('Concentration Calculations'!J25:J27)</f>
        <v>2.9708021021058378E-2</v>
      </c>
      <c r="K13">
        <f>AVERAGE('Concentration Calculations'!K25:K27)</f>
        <v>0</v>
      </c>
    </row>
    <row r="14" spans="1:16">
      <c r="A14" s="1" t="s">
        <v>13</v>
      </c>
      <c r="B14">
        <f>AVERAGE('Concentration Calculations'!B28:B30)</f>
        <v>11.741229066925774</v>
      </c>
      <c r="C14">
        <f>AVERAGE('Concentration Calculations'!C28:C30)</f>
        <v>2.9385468104386931E-2</v>
      </c>
      <c r="D14">
        <f>AVERAGE('Concentration Calculations'!D28:D30)</f>
        <v>0.53701549502118329</v>
      </c>
      <c r="E14">
        <f>AVERAGE('Concentration Calculations'!E28:E30)</f>
        <v>1.3206007768726671</v>
      </c>
      <c r="F14">
        <f>AVERAGE('Concentration Calculations'!F28:F30)</f>
        <v>5.2727133582734833</v>
      </c>
      <c r="G14">
        <f>AVERAGE('Concentration Calculations'!G28:G30)</f>
        <v>0.39048303433782294</v>
      </c>
      <c r="H14">
        <f>AVERAGE('Concentration Calculations'!H28:H30)</f>
        <v>0.64668346976323965</v>
      </c>
      <c r="I14">
        <f>AVERAGE('Concentration Calculations'!I28:I30)</f>
        <v>0.38990534409970268</v>
      </c>
      <c r="J14">
        <f>AVERAGE('Concentration Calculations'!J28:J30)</f>
        <v>1.8943775171370355E-2</v>
      </c>
      <c r="K14">
        <f>AVERAGE('Concentration Calculations'!K28:K30)</f>
        <v>0</v>
      </c>
    </row>
    <row r="15" spans="1:16">
      <c r="A15" s="1" t="s">
        <v>14</v>
      </c>
      <c r="B15">
        <f>AVERAGE('Concentration Calculations'!B31:B33)</f>
        <v>5.9428290550929077</v>
      </c>
      <c r="C15">
        <f>AVERAGE('Concentration Calculations'!C31:C33)</f>
        <v>3.8660372384459012E-2</v>
      </c>
      <c r="D15">
        <f>AVERAGE('Concentration Calculations'!D31:D33)</f>
        <v>1.4538303771540351</v>
      </c>
      <c r="E15">
        <f>AVERAGE('Concentration Calculations'!E31:E33)</f>
        <v>1.2039535997691189</v>
      </c>
      <c r="F15">
        <f>AVERAGE('Concentration Calculations'!F31:F33)</f>
        <v>5.8488400064851147</v>
      </c>
      <c r="G15">
        <f>AVERAGE('Concentration Calculations'!G31:G33)</f>
        <v>0.63938211757501584</v>
      </c>
      <c r="H15">
        <f>AVERAGE('Concentration Calculations'!H31:H33)</f>
        <v>2.2289238802308211</v>
      </c>
      <c r="I15">
        <f>AVERAGE('Concentration Calculations'!I31:I33)</f>
        <v>0.64556924806558758</v>
      </c>
      <c r="J15">
        <f>AVERAGE('Concentration Calculations'!J31:J33)</f>
        <v>3.7680713934085695E-2</v>
      </c>
      <c r="K15">
        <f>AVERAGE('Concentration Calculations'!K31:K33)</f>
        <v>0</v>
      </c>
    </row>
    <row r="16" spans="1:16" ht="15">
      <c r="A16" s="1"/>
      <c r="B16" s="4" t="s">
        <v>17</v>
      </c>
      <c r="C16" s="4"/>
      <c r="D16" s="4"/>
      <c r="E16" s="4"/>
      <c r="F16" s="4"/>
      <c r="G16" s="4"/>
      <c r="H16" s="4"/>
      <c r="I16" s="4"/>
      <c r="J16" s="4"/>
      <c r="K16" s="4"/>
    </row>
    <row r="17" spans="1:12">
      <c r="A17" s="1" t="s">
        <v>2</v>
      </c>
      <c r="B17" t="s">
        <v>30</v>
      </c>
      <c r="C17" t="s">
        <v>31</v>
      </c>
      <c r="D17" t="s">
        <v>32</v>
      </c>
      <c r="E17" t="s">
        <v>33</v>
      </c>
      <c r="F17" t="s">
        <v>34</v>
      </c>
      <c r="G17" t="s">
        <v>35</v>
      </c>
      <c r="H17" t="s">
        <v>36</v>
      </c>
      <c r="I17" t="s">
        <v>37</v>
      </c>
      <c r="J17" t="s">
        <v>38</v>
      </c>
      <c r="K17" t="str">
        <f>K12</f>
        <v>J</v>
      </c>
    </row>
    <row r="18" spans="1:12" ht="15" customHeight="1">
      <c r="A18" s="1" t="s">
        <v>12</v>
      </c>
      <c r="B18">
        <f>AVERAGE('Concentration Calculations'!B36:B38)</f>
        <v>0.8819676161964386</v>
      </c>
      <c r="C18">
        <f>AVERAGE('Concentration Calculations'!C36:C38)</f>
        <v>5.4034706115254965</v>
      </c>
      <c r="D18">
        <f>AVERAGE('Concentration Calculations'!D36:D38)</f>
        <v>7.9583587481822144</v>
      </c>
      <c r="E18">
        <f>AVERAGE('Concentration Calculations'!E36:E38)</f>
        <v>0</v>
      </c>
      <c r="F18">
        <f>AVERAGE('Concentration Calculations'!F36:F38)</f>
        <v>0</v>
      </c>
      <c r="G18">
        <f>AVERAGE('Concentration Calculations'!G36:G38)</f>
        <v>67.343572815182128</v>
      </c>
      <c r="H18">
        <f>AVERAGE('Concentration Calculations'!H36:H38)</f>
        <v>1.051886424842831</v>
      </c>
      <c r="I18">
        <f>AVERAGE('Concentration Calculations'!I36:I38)</f>
        <v>6.0609672805093178</v>
      </c>
      <c r="J18">
        <f>AVERAGE('Concentration Calculations'!J36:J38)</f>
        <v>0.53564364644242335</v>
      </c>
      <c r="K18">
        <f>AVERAGE('Concentration Calculations'!K36:K38)</f>
        <v>0.39938192925039145</v>
      </c>
    </row>
    <row r="19" spans="1:12">
      <c r="A19" s="1" t="s">
        <v>13</v>
      </c>
      <c r="B19">
        <f>AVERAGE('Concentration Calculations'!B39:B41)</f>
        <v>0.66480534940712632</v>
      </c>
      <c r="C19">
        <f>AVERAGE('Concentration Calculations'!C39:C41)</f>
        <v>6.7667961567016199</v>
      </c>
      <c r="D19">
        <f>AVERAGE('Concentration Calculations'!D39:D41)</f>
        <v>1.8960917707198888</v>
      </c>
      <c r="E19">
        <f>AVERAGE('Concentration Calculations'!E39:E41)</f>
        <v>0</v>
      </c>
      <c r="F19">
        <f>AVERAGE('Concentration Calculations'!F39:F41)</f>
        <v>0</v>
      </c>
      <c r="G19">
        <f>AVERAGE('Concentration Calculations'!G39:G41)</f>
        <v>73.616101297258894</v>
      </c>
      <c r="H19">
        <f>AVERAGE('Concentration Calculations'!H39:H41)</f>
        <v>0.62499024040985718</v>
      </c>
      <c r="I19">
        <f>AVERAGE('Concentration Calculations'!I39:I41)</f>
        <v>3.9549154712661352</v>
      </c>
      <c r="J19">
        <f>AVERAGE('Concentration Calculations'!J39:J41)</f>
        <v>0.43408065365884324</v>
      </c>
      <c r="K19">
        <f>AVERAGE('Concentration Calculations'!K39:K41)</f>
        <v>0.32418174030465785</v>
      </c>
    </row>
    <row r="20" spans="1:12">
      <c r="A20" s="2" t="s">
        <v>14</v>
      </c>
      <c r="B20">
        <f>AVERAGE('Concentration Calculations'!B42:B44)</f>
        <v>1.5109906649972478</v>
      </c>
      <c r="C20">
        <f>AVERAGE('Concentration Calculations'!C42:C44)</f>
        <v>5.0680928389923983</v>
      </c>
      <c r="D20">
        <f>AVERAGE('Concentration Calculations'!D42:D44)</f>
        <v>2.8474521009480518</v>
      </c>
      <c r="E20">
        <f>AVERAGE('Concentration Calculations'!E42:E44)</f>
        <v>0</v>
      </c>
      <c r="F20">
        <f>AVERAGE('Concentration Calculations'!F42:F44)</f>
        <v>0</v>
      </c>
      <c r="G20">
        <f>AVERAGE('Concentration Calculations'!G42:G44)</f>
        <v>52.321954347185503</v>
      </c>
      <c r="H20">
        <f>AVERAGE('Concentration Calculations'!H42:H44)</f>
        <v>0.34051621174215935</v>
      </c>
      <c r="I20">
        <f>AVERAGE('Concentration Calculations'!I42:I44)</f>
        <v>2.8756167920614804</v>
      </c>
      <c r="J20">
        <f>AVERAGE('Concentration Calculations'!J42:J44)</f>
        <v>0.52554027704588613</v>
      </c>
      <c r="K20">
        <f>AVERAGE('Concentration Calculations'!K42:K44)</f>
        <v>0.4817944956076558</v>
      </c>
      <c r="L20" s="3" t="s">
        <v>29</v>
      </c>
    </row>
    <row r="21" spans="1:12" ht="15">
      <c r="A21" s="1"/>
      <c r="B21" s="4" t="s">
        <v>18</v>
      </c>
      <c r="C21" s="4"/>
      <c r="D21" s="4"/>
      <c r="E21" s="4"/>
      <c r="F21" s="4"/>
      <c r="G21" s="4"/>
      <c r="H21" s="4"/>
      <c r="I21" s="4"/>
      <c r="J21" s="4"/>
      <c r="K21" s="4"/>
    </row>
    <row r="22" spans="1:12">
      <c r="A22" s="1" t="s">
        <v>2</v>
      </c>
      <c r="B22" t="s">
        <v>30</v>
      </c>
      <c r="C22" t="s">
        <v>31</v>
      </c>
      <c r="D22" t="s">
        <v>32</v>
      </c>
      <c r="E22" t="s">
        <v>33</v>
      </c>
      <c r="F22" t="s">
        <v>34</v>
      </c>
      <c r="G22" t="s">
        <v>35</v>
      </c>
      <c r="H22" t="s">
        <v>36</v>
      </c>
      <c r="I22" t="s">
        <v>37</v>
      </c>
      <c r="J22" t="s">
        <v>38</v>
      </c>
      <c r="K22" t="str">
        <f>K17</f>
        <v>J</v>
      </c>
    </row>
    <row r="23" spans="1:12">
      <c r="A23" s="1" t="s">
        <v>12</v>
      </c>
      <c r="B23">
        <f>AVERAGE('Concentration Calculations'!B47:B49)</f>
        <v>0.92668635336640426</v>
      </c>
      <c r="C23">
        <f>AVERAGE('Concentration Calculations'!C47:C49)</f>
        <v>6.0578756204914939</v>
      </c>
      <c r="D23">
        <f>AVERAGE('Concentration Calculations'!D47:D49)</f>
        <v>8.3045599175974303</v>
      </c>
      <c r="E23">
        <f>AVERAGE('Concentration Calculations'!E47:E49)</f>
        <v>0</v>
      </c>
      <c r="F23">
        <f>AVERAGE('Concentration Calculations'!F47:F49)</f>
        <v>0</v>
      </c>
      <c r="G23">
        <f>AVERAGE('Concentration Calculations'!G47:G49)</f>
        <v>73.316108367321092</v>
      </c>
      <c r="H23">
        <f>AVERAGE('Concentration Calculations'!H47:H49)</f>
        <v>0.95416711347818328</v>
      </c>
      <c r="I23">
        <f>AVERAGE('Concentration Calculations'!I47:I49)</f>
        <v>6.3778216047857272</v>
      </c>
      <c r="J23">
        <f>AVERAGE('Concentration Calculations'!J47:J49)</f>
        <v>0.66255576375946068</v>
      </c>
      <c r="K23">
        <f>AVERAGE('Concentration Calculations'!K47:K49)</f>
        <v>0.6094785475756882</v>
      </c>
    </row>
    <row r="24" spans="1:12">
      <c r="A24" s="1" t="s">
        <v>13</v>
      </c>
      <c r="B24">
        <f>AVERAGE('Concentration Calculations'!B50:B52)</f>
        <v>0.21554482375970321</v>
      </c>
      <c r="C24">
        <f>AVERAGE('Concentration Calculations'!C50:C52)</f>
        <v>6.4806141639941863</v>
      </c>
      <c r="D24">
        <f>AVERAGE('Concentration Calculations'!D50:D52)</f>
        <v>1.9556277183463899</v>
      </c>
      <c r="E24">
        <f>AVERAGE('Concentration Calculations'!E50:E52)</f>
        <v>0</v>
      </c>
      <c r="F24">
        <f>AVERAGE('Concentration Calculations'!F50:F52)</f>
        <v>0</v>
      </c>
      <c r="G24">
        <f>AVERAGE('Concentration Calculations'!G50:G52)</f>
        <v>74.665224311757143</v>
      </c>
      <c r="H24">
        <f>AVERAGE('Concentration Calculations'!H50:H52)</f>
        <v>0</v>
      </c>
      <c r="I24">
        <f>AVERAGE('Concentration Calculations'!I50:I52)</f>
        <v>4.2152356668497015</v>
      </c>
      <c r="J24">
        <f>AVERAGE('Concentration Calculations'!J50:J52)</f>
        <v>0.46749585480649358</v>
      </c>
      <c r="K24">
        <f>AVERAGE('Concentration Calculations'!K50:K52)</f>
        <v>0.36346787932624885</v>
      </c>
    </row>
    <row r="25" spans="1:12">
      <c r="A25" s="1" t="s">
        <v>14</v>
      </c>
      <c r="B25">
        <f>AVERAGE('Concentration Calculations'!B53:B55)</f>
        <v>0</v>
      </c>
      <c r="C25">
        <f>AVERAGE('Concentration Calculations'!C53:C55)</f>
        <v>6.1060468934146739</v>
      </c>
      <c r="D25">
        <f>AVERAGE('Concentration Calculations'!D53:D55)</f>
        <v>1.9428858620726837</v>
      </c>
      <c r="E25">
        <f>AVERAGE('Concentration Calculations'!E53:E55)</f>
        <v>0</v>
      </c>
      <c r="F25">
        <f>AVERAGE('Concentration Calculations'!F53:F55)</f>
        <v>0</v>
      </c>
      <c r="G25">
        <f>AVERAGE('Concentration Calculations'!G53:G55)</f>
        <v>78.938858603611081</v>
      </c>
      <c r="H25">
        <f>AVERAGE('Concentration Calculations'!H53:H55)</f>
        <v>0</v>
      </c>
      <c r="I25">
        <f>AVERAGE('Concentration Calculations'!I53:I55)</f>
        <v>5.1903112985473072</v>
      </c>
      <c r="J25">
        <f>AVERAGE('Concentration Calculations'!J53:J55)</f>
        <v>0.95754170015113449</v>
      </c>
      <c r="K25">
        <f>AVERAGE('Concentration Calculations'!K53:K55)</f>
        <v>1.1812821548698351</v>
      </c>
    </row>
    <row r="26" spans="1:12" ht="15">
      <c r="A26" s="1"/>
      <c r="B26" s="4" t="s">
        <v>19</v>
      </c>
      <c r="C26" s="4"/>
      <c r="D26" s="4"/>
      <c r="E26" s="4"/>
      <c r="F26" s="4"/>
      <c r="G26" s="4"/>
      <c r="H26" s="4"/>
      <c r="I26" s="4"/>
      <c r="J26" s="4"/>
      <c r="K26" s="4"/>
    </row>
    <row r="27" spans="1:12">
      <c r="A27" s="1" t="s">
        <v>2</v>
      </c>
      <c r="B27" t="s">
        <v>30</v>
      </c>
      <c r="C27" t="s">
        <v>31</v>
      </c>
      <c r="D27" t="s">
        <v>32</v>
      </c>
      <c r="E27" t="s">
        <v>33</v>
      </c>
      <c r="F27" t="s">
        <v>34</v>
      </c>
      <c r="G27" t="s">
        <v>35</v>
      </c>
      <c r="H27" t="s">
        <v>36</v>
      </c>
      <c r="I27" t="s">
        <v>37</v>
      </c>
      <c r="J27" t="s">
        <v>38</v>
      </c>
      <c r="K27" t="str">
        <f>K22</f>
        <v>J</v>
      </c>
    </row>
    <row r="28" spans="1:12">
      <c r="A28" s="1" t="s">
        <v>12</v>
      </c>
      <c r="B28">
        <f>AVERAGE('Concentration Calculations'!B58:B60)</f>
        <v>0</v>
      </c>
      <c r="C28">
        <f>AVERAGE('Concentration Calculations'!C58:C60)</f>
        <v>6.5143214564495411</v>
      </c>
      <c r="D28">
        <f>AVERAGE('Concentration Calculations'!D58:D60)</f>
        <v>2.2400322912200323</v>
      </c>
      <c r="E28">
        <f>AVERAGE('Concentration Calculations'!E58:E60)</f>
        <v>0</v>
      </c>
      <c r="F28">
        <f>AVERAGE('Concentration Calculations'!F58:F60)</f>
        <v>0</v>
      </c>
      <c r="G28">
        <f>AVERAGE('Concentration Calculations'!G58:G60)</f>
        <v>67.737422609081179</v>
      </c>
      <c r="H28">
        <f>AVERAGE('Concentration Calculations'!H58:H60)</f>
        <v>0</v>
      </c>
      <c r="I28">
        <f>AVERAGE('Concentration Calculations'!I58:I60)</f>
        <v>3.5085467705498501</v>
      </c>
      <c r="J28">
        <f>AVERAGE('Concentration Calculations'!J58:J60)</f>
        <v>0.6916099121049557</v>
      </c>
      <c r="K28">
        <f>AVERAGE('Concentration Calculations'!K58:K60)</f>
        <v>0.88368658463887229</v>
      </c>
    </row>
    <row r="29" spans="1:12">
      <c r="A29" s="1" t="s">
        <v>13</v>
      </c>
      <c r="B29">
        <f>AVERAGE('Concentration Calculations'!B61:B63)</f>
        <v>0</v>
      </c>
      <c r="C29">
        <f>AVERAGE('Concentration Calculations'!C61:C63)</f>
        <v>7.0305081534120433</v>
      </c>
      <c r="D29">
        <f>AVERAGE('Concentration Calculations'!D61:D63)</f>
        <v>2.1520001089791951</v>
      </c>
      <c r="E29">
        <f>AVERAGE('Concentration Calculations'!E61:E63)</f>
        <v>0</v>
      </c>
      <c r="F29">
        <f>AVERAGE('Concentration Calculations'!F61:F63)</f>
        <v>0</v>
      </c>
      <c r="G29">
        <f>AVERAGE('Concentration Calculations'!G61:G63)</f>
        <v>69.380320379838864</v>
      </c>
      <c r="H29">
        <f>AVERAGE('Concentration Calculations'!H61:H63)</f>
        <v>0</v>
      </c>
      <c r="I29">
        <f>AVERAGE('Concentration Calculations'!I61:I63)</f>
        <v>1.6502555354364052</v>
      </c>
      <c r="J29">
        <f>AVERAGE('Concentration Calculations'!J61:J63)</f>
        <v>0.31284575600704773</v>
      </c>
      <c r="K29">
        <f>AVERAGE('Concentration Calculations'!K61:K63)</f>
        <v>0.25221687227327366</v>
      </c>
    </row>
    <row r="30" spans="1:12">
      <c r="A30" s="1" t="s">
        <v>14</v>
      </c>
      <c r="B30">
        <f>AVERAGE('Concentration Calculations'!B64:B66)</f>
        <v>0</v>
      </c>
      <c r="C30">
        <f>AVERAGE('Concentration Calculations'!C64:C66)</f>
        <v>5.358998596058508</v>
      </c>
      <c r="D30">
        <f>AVERAGE('Concentration Calculations'!D64:D66)</f>
        <v>1.8359630919754117</v>
      </c>
      <c r="E30">
        <f>AVERAGE('Concentration Calculations'!E64:E66)</f>
        <v>0</v>
      </c>
      <c r="F30">
        <f>AVERAGE('Concentration Calculations'!F64:F66)</f>
        <v>0</v>
      </c>
      <c r="G30">
        <f>AVERAGE('Concentration Calculations'!G64:G66)</f>
        <v>59.710724238864437</v>
      </c>
      <c r="H30">
        <f>AVERAGE('Concentration Calculations'!H64:H66)</f>
        <v>0</v>
      </c>
      <c r="I30">
        <f>AVERAGE('Concentration Calculations'!I64:I66)</f>
        <v>3.6111702982431422</v>
      </c>
      <c r="J30">
        <f>AVERAGE('Concentration Calculations'!J64:J66)</f>
        <v>0.83055341569165531</v>
      </c>
      <c r="K30">
        <f>AVERAGE('Concentration Calculations'!K64:K66)</f>
        <v>1.4530719450074461</v>
      </c>
    </row>
    <row r="31" spans="1:12" ht="15">
      <c r="A31" s="1"/>
      <c r="B31" s="4" t="s">
        <v>20</v>
      </c>
      <c r="C31" s="4"/>
      <c r="D31" s="4"/>
      <c r="E31" s="4"/>
      <c r="F31" s="4"/>
      <c r="G31" s="4"/>
      <c r="H31" s="4"/>
      <c r="I31" s="4"/>
      <c r="J31" s="4"/>
      <c r="K31" s="4"/>
    </row>
    <row r="32" spans="1:12">
      <c r="A32" s="1" t="s">
        <v>2</v>
      </c>
      <c r="B32" t="s">
        <v>30</v>
      </c>
      <c r="C32" t="s">
        <v>31</v>
      </c>
      <c r="D32" t="s">
        <v>32</v>
      </c>
      <c r="E32" t="s">
        <v>33</v>
      </c>
      <c r="F32" t="s">
        <v>34</v>
      </c>
      <c r="G32" t="s">
        <v>35</v>
      </c>
      <c r="H32" t="s">
        <v>36</v>
      </c>
      <c r="I32" t="s">
        <v>37</v>
      </c>
      <c r="J32" t="s">
        <v>38</v>
      </c>
      <c r="K32" t="str">
        <f>K27</f>
        <v>J</v>
      </c>
    </row>
    <row r="33" spans="1:12">
      <c r="A33" s="1" t="s">
        <v>12</v>
      </c>
      <c r="B33">
        <f>AVERAGE('Concentration Calculations'!B69:B71)</f>
        <v>32.440411198163766</v>
      </c>
      <c r="C33">
        <f>AVERAGE('Concentration Calculations'!C69:C71)</f>
        <v>0.1127281145158117</v>
      </c>
      <c r="D33">
        <f>AVERAGE('Concentration Calculations'!D69:D71)</f>
        <v>1.1242992581721369</v>
      </c>
      <c r="E33">
        <f>AVERAGE('Concentration Calculations'!E69:E71)</f>
        <v>0.98397729044499105</v>
      </c>
      <c r="F33">
        <f>AVERAGE('Concentration Calculations'!F69:F71)</f>
        <v>2.6722651861050211</v>
      </c>
      <c r="G33">
        <f>AVERAGE('Concentration Calculations'!G69:G71)</f>
        <v>1.4930589214797496</v>
      </c>
      <c r="H33">
        <f>AVERAGE('Concentration Calculations'!H69:H71)</f>
        <v>0.65388819683257138</v>
      </c>
      <c r="I33">
        <f>AVERAGE('Concentration Calculations'!I69:I71)</f>
        <v>0.65083256678646884</v>
      </c>
      <c r="J33">
        <f>AVERAGE('Concentration Calculations'!J69:J71)</f>
        <v>0</v>
      </c>
      <c r="K33">
        <f>AVERAGE('Concentration Calculations'!K69:K71)</f>
        <v>0</v>
      </c>
    </row>
    <row r="34" spans="1:12">
      <c r="A34" s="1" t="s">
        <v>13</v>
      </c>
      <c r="B34">
        <f>AVERAGE('Concentration Calculations'!B72:B74)</f>
        <v>31.028689068311461</v>
      </c>
      <c r="C34">
        <f>AVERAGE('Concentration Calculations'!C72:C74)</f>
        <v>9.9758814906137749E-2</v>
      </c>
      <c r="D34">
        <f>AVERAGE('Concentration Calculations'!D72:D74)</f>
        <v>0.95422199955560216</v>
      </c>
      <c r="E34">
        <f>AVERAGE('Concentration Calculations'!E72:E74)</f>
        <v>1.2526076099305394</v>
      </c>
      <c r="F34">
        <f>AVERAGE('Concentration Calculations'!F72:F74)</f>
        <v>3.7375116817412706</v>
      </c>
      <c r="G34">
        <f>AVERAGE('Concentration Calculations'!G72:G74)</f>
        <v>1.1160995449562194</v>
      </c>
      <c r="H34">
        <f>AVERAGE('Concentration Calculations'!H72:H74)</f>
        <v>0.74960625724373076</v>
      </c>
      <c r="I34">
        <f>AVERAGE('Concentration Calculations'!I72:I74)</f>
        <v>0.73412462505094656</v>
      </c>
      <c r="J34">
        <f>AVERAGE('Concentration Calculations'!J72:J74)</f>
        <v>0</v>
      </c>
      <c r="K34">
        <f>AVERAGE('Concentration Calculations'!K72:K74)</f>
        <v>0</v>
      </c>
    </row>
    <row r="35" spans="1:12">
      <c r="A35" s="1" t="s">
        <v>14</v>
      </c>
      <c r="B35">
        <f>AVERAGE('Concentration Calculations'!B75:B77)</f>
        <v>18.648809247119875</v>
      </c>
      <c r="C35">
        <f>AVERAGE('Concentration Calculations'!C75:C77)</f>
        <v>0.10081097910013319</v>
      </c>
      <c r="D35">
        <f>AVERAGE('Concentration Calculations'!D75:D77)</f>
        <v>1.6695402634812835</v>
      </c>
      <c r="E35">
        <f>AVERAGE('Concentration Calculations'!E75:E77)</f>
        <v>2.8311356376557568</v>
      </c>
      <c r="F35">
        <f>AVERAGE('Concentration Calculations'!F75:F77)</f>
        <v>7.8514234534082163</v>
      </c>
      <c r="G35">
        <f>AVERAGE('Concentration Calculations'!G75:G77)</f>
        <v>1.3357332391804668</v>
      </c>
      <c r="H35">
        <f>AVERAGE('Concentration Calculations'!H75:H77)</f>
        <v>1.4917044017692251</v>
      </c>
      <c r="I35">
        <f>AVERAGE('Concentration Calculations'!I75:I77)</f>
        <v>0.93898887321367408</v>
      </c>
      <c r="J35">
        <f>AVERAGE('Concentration Calculations'!J75:J77)</f>
        <v>6.1986318054151245E-2</v>
      </c>
      <c r="K35">
        <f>AVERAGE('Concentration Calculations'!K75:K77)</f>
        <v>0</v>
      </c>
    </row>
    <row r="36" spans="1:12" ht="15">
      <c r="A36" s="1"/>
      <c r="B36" s="4" t="s">
        <v>21</v>
      </c>
      <c r="C36" s="4"/>
      <c r="D36" s="4"/>
      <c r="E36" s="4"/>
      <c r="F36" s="4"/>
      <c r="G36" s="4"/>
      <c r="H36" s="4"/>
      <c r="I36" s="4"/>
      <c r="J36" s="4"/>
      <c r="K36" s="4"/>
    </row>
    <row r="37" spans="1:12">
      <c r="A37" s="1" t="s">
        <v>2</v>
      </c>
      <c r="B37" t="s">
        <v>30</v>
      </c>
      <c r="C37" t="s">
        <v>31</v>
      </c>
      <c r="D37" t="s">
        <v>32</v>
      </c>
      <c r="E37" t="s">
        <v>33</v>
      </c>
      <c r="F37" t="s">
        <v>34</v>
      </c>
      <c r="G37" t="s">
        <v>35</v>
      </c>
      <c r="H37" t="s">
        <v>36</v>
      </c>
      <c r="I37" t="s">
        <v>37</v>
      </c>
      <c r="J37" t="s">
        <v>38</v>
      </c>
      <c r="K37" t="str">
        <f>K32</f>
        <v>J</v>
      </c>
    </row>
    <row r="38" spans="1:12" ht="15" customHeight="1">
      <c r="A38" s="1" t="s">
        <v>12</v>
      </c>
      <c r="B38">
        <f>AVERAGE('Concentration Calculations'!B80:B82)</f>
        <v>31.518226513212152</v>
      </c>
      <c r="C38">
        <f>AVERAGE('Concentration Calculations'!C80:C82)</f>
        <v>8.721793810796126E-2</v>
      </c>
      <c r="D38">
        <f>AVERAGE('Concentration Calculations'!D80:D82)</f>
        <v>1.1158275993052469</v>
      </c>
      <c r="E38">
        <f>AVERAGE('Concentration Calculations'!E80:E82)</f>
        <v>1.047698221938907</v>
      </c>
      <c r="F38">
        <f>AVERAGE('Concentration Calculations'!F80:F82)</f>
        <v>2.7549734747542076</v>
      </c>
      <c r="G38">
        <f>AVERAGE('Concentration Calculations'!G80:G82)</f>
        <v>1.1893202246526242</v>
      </c>
      <c r="H38">
        <f>AVERAGE('Concentration Calculations'!H80:H82)</f>
        <v>0.60408565868879716</v>
      </c>
      <c r="I38">
        <f>AVERAGE('Concentration Calculations'!I80:I82)</f>
        <v>0.50124565221104078</v>
      </c>
      <c r="J38">
        <f>AVERAGE('Concentration Calculations'!J80:J82)</f>
        <v>0</v>
      </c>
      <c r="K38">
        <f>AVERAGE('Concentration Calculations'!K80:K82)</f>
        <v>0</v>
      </c>
    </row>
    <row r="39" spans="1:12">
      <c r="A39" s="1" t="s">
        <v>13</v>
      </c>
      <c r="B39">
        <f>AVERAGE('Concentration Calculations'!B83:B84)</f>
        <v>23.852481575467714</v>
      </c>
      <c r="C39">
        <f>AVERAGE('Concentration Calculations'!C83:C84)</f>
        <v>0</v>
      </c>
      <c r="D39">
        <f>AVERAGE('Concentration Calculations'!D83:D84)</f>
        <v>1.0143431185877796</v>
      </c>
      <c r="E39">
        <f>AVERAGE('Concentration Calculations'!E83:E84)</f>
        <v>1.6257424948419819</v>
      </c>
      <c r="F39">
        <f>AVERAGE('Concentration Calculations'!F83:F84)</f>
        <v>3.8819795869162088</v>
      </c>
      <c r="G39">
        <f>AVERAGE('Concentration Calculations'!G83:G84)</f>
        <v>0.81676186199897183</v>
      </c>
      <c r="H39">
        <f>AVERAGE('Concentration Calculations'!H83:H84)</f>
        <v>0.6724042632515117</v>
      </c>
      <c r="I39">
        <f>AVERAGE('Concentration Calculations'!I83:I84)</f>
        <v>0.45198013475636156</v>
      </c>
      <c r="J39">
        <f>AVERAGE('Concentration Calculations'!J83:J84)</f>
        <v>0</v>
      </c>
      <c r="K39">
        <f>AVERAGE('Concentration Calculations'!K83:K84)</f>
        <v>0</v>
      </c>
      <c r="L39" s="3" t="s">
        <v>29</v>
      </c>
    </row>
    <row r="40" spans="1:12">
      <c r="A40" s="1" t="s">
        <v>14</v>
      </c>
      <c r="B40">
        <f>'Concentration Calculations'!B87</f>
        <v>17.899269924029625</v>
      </c>
      <c r="C40">
        <f>'Concentration Calculations'!C87</f>
        <v>0.10079150533597418</v>
      </c>
      <c r="D40">
        <f>'Concentration Calculations'!D87</f>
        <v>1.657862417309991</v>
      </c>
      <c r="E40">
        <f>'Concentration Calculations'!E87</f>
        <v>2.7221306317125178</v>
      </c>
      <c r="F40">
        <f>'Concentration Calculations'!F87</f>
        <v>7.5852059690487676</v>
      </c>
      <c r="G40">
        <f>'Concentration Calculations'!G87</f>
        <v>1.3576689723595488</v>
      </c>
      <c r="H40">
        <f>AVERAGE('Concentration Calculations'!H86:H88)</f>
        <v>0.81526702819080521</v>
      </c>
      <c r="I40">
        <f>'Concentration Calculations'!I87</f>
        <v>0.95143545429360632</v>
      </c>
      <c r="J40">
        <f>'Concentration Calculations'!J87</f>
        <v>0</v>
      </c>
      <c r="K40">
        <f>'Concentration Calculations'!K87</f>
        <v>0</v>
      </c>
      <c r="L40" s="3" t="s">
        <v>29</v>
      </c>
    </row>
    <row r="41" spans="1:12" ht="15">
      <c r="A41" s="1"/>
      <c r="B41" s="4" t="s">
        <v>22</v>
      </c>
      <c r="C41" s="4"/>
      <c r="D41" s="4"/>
      <c r="E41" s="4"/>
      <c r="F41" s="4"/>
      <c r="G41" s="4"/>
      <c r="H41" s="4"/>
      <c r="I41" s="4"/>
      <c r="J41" s="4"/>
      <c r="K41" s="4"/>
    </row>
    <row r="42" spans="1:12">
      <c r="A42" s="1" t="s">
        <v>2</v>
      </c>
      <c r="B42" t="s">
        <v>30</v>
      </c>
      <c r="C42" t="s">
        <v>31</v>
      </c>
      <c r="D42" t="s">
        <v>32</v>
      </c>
      <c r="E42" t="s">
        <v>33</v>
      </c>
      <c r="F42" t="s">
        <v>34</v>
      </c>
      <c r="G42" t="s">
        <v>35</v>
      </c>
      <c r="H42" t="s">
        <v>36</v>
      </c>
      <c r="I42" t="s">
        <v>37</v>
      </c>
      <c r="J42" t="s">
        <v>38</v>
      </c>
      <c r="K42" t="str">
        <f>K37</f>
        <v>J</v>
      </c>
    </row>
    <row r="43" spans="1:12">
      <c r="A43" s="1" t="s">
        <v>12</v>
      </c>
      <c r="B43">
        <f>AVERAGE('Concentration Calculations'!B91:B93)</f>
        <v>28.957392661840647</v>
      </c>
      <c r="C43">
        <f>AVERAGE('Concentration Calculations'!C91:C93)</f>
        <v>0.1035657463657141</v>
      </c>
      <c r="D43">
        <f>AVERAGE('Concentration Calculations'!D91:D93)</f>
        <v>1.1312287978219666</v>
      </c>
      <c r="E43">
        <f>AVERAGE('Concentration Calculations'!E91:E93)</f>
        <v>1.3665855214222342</v>
      </c>
      <c r="F43">
        <f>AVERAGE('Concentration Calculations'!F91:F93)</f>
        <v>4.2562426067671497</v>
      </c>
      <c r="G43">
        <f>AVERAGE('Concentration Calculations'!G91:G93)</f>
        <v>1.3385514133476946</v>
      </c>
      <c r="H43">
        <f>AVERAGE('Concentration Calculations'!H91:H93)</f>
        <v>0.77518234282948784</v>
      </c>
      <c r="I43">
        <f>AVERAGE('Concentration Calculations'!I91:I93)</f>
        <v>0.71364821938670564</v>
      </c>
      <c r="J43">
        <f>AVERAGE('Concentration Calculations'!J91:J93)</f>
        <v>8.1120027184265614E-2</v>
      </c>
      <c r="K43">
        <f>AVERAGE('Concentration Calculations'!K91:K93)</f>
        <v>0</v>
      </c>
    </row>
    <row r="44" spans="1:12">
      <c r="A44" s="1" t="s">
        <v>13</v>
      </c>
      <c r="B44">
        <f>AVERAGE('Concentration Calculations'!B94:B96)</f>
        <v>34.159746872177855</v>
      </c>
      <c r="C44">
        <f>AVERAGE('Concentration Calculations'!C94:C96)</f>
        <v>6.6437310095094557E-2</v>
      </c>
      <c r="D44">
        <f>AVERAGE('Concentration Calculations'!D94:D96)</f>
        <v>0.73237536541953829</v>
      </c>
      <c r="E44">
        <f>AVERAGE('Concentration Calculations'!E94:E96)</f>
        <v>1.1827930717929298</v>
      </c>
      <c r="F44">
        <f>AVERAGE('Concentration Calculations'!F94:F96)</f>
        <v>4.6724968259749096</v>
      </c>
      <c r="G44">
        <f>AVERAGE('Concentration Calculations'!G94:G96)</f>
        <v>0.7564168196736647</v>
      </c>
      <c r="H44">
        <f>AVERAGE('Concentration Calculations'!H94:H96)</f>
        <v>0.60351168745131401</v>
      </c>
      <c r="I44">
        <f>AVERAGE('Concentration Calculations'!I94:I96)</f>
        <v>0.48929793156349399</v>
      </c>
      <c r="J44">
        <f>AVERAGE('Concentration Calculations'!J94:J96)</f>
        <v>0</v>
      </c>
      <c r="K44">
        <f>AVERAGE('Concentration Calculations'!K94:K96)</f>
        <v>0</v>
      </c>
      <c r="L44" s="3" t="s">
        <v>29</v>
      </c>
    </row>
    <row r="45" spans="1:12">
      <c r="A45" s="1" t="s">
        <v>14</v>
      </c>
      <c r="B45">
        <f>AVERAGE('Concentration Calculations'!B97:B99)</f>
        <v>15.509925185560791</v>
      </c>
      <c r="C45">
        <f>AVERAGE('Concentration Calculations'!C97:C99)</f>
        <v>9.0287897465552394E-2</v>
      </c>
      <c r="D45">
        <f>AVERAGE('Concentration Calculations'!D97:D99)</f>
        <v>2.3919612419036453</v>
      </c>
      <c r="E45">
        <f>AVERAGE('Concentration Calculations'!E97:E99)</f>
        <v>2.7635207357956566</v>
      </c>
      <c r="F45">
        <f>AVERAGE('Concentration Calculations'!F97:F99)</f>
        <v>10.131559614832552</v>
      </c>
      <c r="G45">
        <f>AVERAGE('Concentration Calculations'!G97:G99)</f>
        <v>1.5408822864432621</v>
      </c>
      <c r="H45">
        <f>AVERAGE('Concentration Calculations'!H97:H99)</f>
        <v>2.4103477080927767</v>
      </c>
      <c r="I45">
        <f>AVERAGE('Concentration Calculations'!I97:I99)</f>
        <v>1.1515032106466749</v>
      </c>
      <c r="J45">
        <f>AVERAGE('Concentration Calculations'!J97:J99)</f>
        <v>8.8713310608883392E-2</v>
      </c>
      <c r="K45">
        <f>AVERAGE('Concentration Calculations'!K97:K99)</f>
        <v>0</v>
      </c>
    </row>
    <row r="46" spans="1:12" ht="15">
      <c r="A46" s="1"/>
      <c r="B46" s="4" t="s">
        <v>23</v>
      </c>
      <c r="C46" s="4"/>
      <c r="D46" s="4"/>
      <c r="E46" s="4"/>
      <c r="F46" s="4"/>
      <c r="G46" s="4"/>
      <c r="H46" s="4"/>
      <c r="I46" s="4"/>
      <c r="J46" s="4"/>
      <c r="K46" s="4"/>
    </row>
    <row r="47" spans="1:12">
      <c r="A47" s="1" t="s">
        <v>2</v>
      </c>
      <c r="B47" t="s">
        <v>30</v>
      </c>
      <c r="C47" t="s">
        <v>31</v>
      </c>
      <c r="D47" t="s">
        <v>32</v>
      </c>
      <c r="E47" t="s">
        <v>33</v>
      </c>
      <c r="F47" t="s">
        <v>34</v>
      </c>
      <c r="G47" t="s">
        <v>35</v>
      </c>
      <c r="H47" t="s">
        <v>36</v>
      </c>
      <c r="I47" t="s">
        <v>37</v>
      </c>
      <c r="J47" t="s">
        <v>38</v>
      </c>
      <c r="K47" t="str">
        <f>K42</f>
        <v>J</v>
      </c>
    </row>
    <row r="48" spans="1:12">
      <c r="A48" s="1" t="s">
        <v>12</v>
      </c>
      <c r="B48">
        <f>AVERAGE('Concentration Calculations'!B102:B104)</f>
        <v>13.302249047596618</v>
      </c>
      <c r="C48">
        <f>AVERAGE('Concentration Calculations'!C102:C104)</f>
        <v>0.36653440600843562</v>
      </c>
      <c r="D48">
        <f>AVERAGE('Concentration Calculations'!D102:D104)</f>
        <v>3.7818521623010972</v>
      </c>
      <c r="E48">
        <f>AVERAGE('Concentration Calculations'!E102:E104)</f>
        <v>1.6271369302789689</v>
      </c>
      <c r="F48">
        <f>AVERAGE('Concentration Calculations'!F102:F104)</f>
        <v>4.3932423837953598</v>
      </c>
      <c r="G48">
        <f>AVERAGE('Concentration Calculations'!G102:G104)</f>
        <v>4.9919114118611931</v>
      </c>
      <c r="H48">
        <f>AVERAGE('Concentration Calculations'!H102:H104)</f>
        <v>2.036509825609857</v>
      </c>
      <c r="I48">
        <f>AVERAGE('Concentration Calculations'!I102:I104)</f>
        <v>1.3590058748945697</v>
      </c>
      <c r="J48">
        <f>AVERAGE('Concentration Calculations'!J102:J104)</f>
        <v>0.101060503577034</v>
      </c>
      <c r="K48">
        <f>AVERAGE('Concentration Calculations'!K102:K104)</f>
        <v>0</v>
      </c>
    </row>
    <row r="49" spans="1:12">
      <c r="A49" s="1" t="s">
        <v>13</v>
      </c>
      <c r="B49">
        <f>AVERAGE('Concentration Calculations'!B105:B107)</f>
        <v>10.934028198647283</v>
      </c>
      <c r="C49">
        <f>AVERAGE('Concentration Calculations'!C105:C107)</f>
        <v>0.26514325523160759</v>
      </c>
      <c r="D49">
        <f>AVERAGE('Concentration Calculations'!D105:D107)</f>
        <v>5.4838819891616879</v>
      </c>
      <c r="E49">
        <f>AVERAGE('Concentration Calculations'!E105:E107)</f>
        <v>1.3656414557731535</v>
      </c>
      <c r="F49">
        <f>AVERAGE('Concentration Calculations'!F105:F107)</f>
        <v>5.9505525975725027</v>
      </c>
      <c r="G49">
        <f>AVERAGE('Concentration Calculations'!G105:G107)</f>
        <v>4.6570561221885249</v>
      </c>
      <c r="H49">
        <f>AVERAGE('Concentration Calculations'!H105:H107)</f>
        <v>3.6893407666369296</v>
      </c>
      <c r="I49">
        <f>AVERAGE('Concentration Calculations'!I105:I107)</f>
        <v>1.7010016248120572</v>
      </c>
      <c r="J49">
        <f>AVERAGE('Concentration Calculations'!J105:J107)</f>
        <v>0.19138568478345919</v>
      </c>
      <c r="K49">
        <f>AVERAGE('Concentration Calculations'!K105:K107)</f>
        <v>0</v>
      </c>
    </row>
    <row r="50" spans="1:12">
      <c r="A50" s="1" t="s">
        <v>14</v>
      </c>
      <c r="B50">
        <f>AVERAGE('Concentration Calculations'!B108:B110)</f>
        <v>4.6030416682758242</v>
      </c>
      <c r="C50">
        <f>AVERAGE('Concentration Calculations'!C108:C110)</f>
        <v>0.84421540935652928</v>
      </c>
      <c r="D50">
        <f>AVERAGE('Concentration Calculations'!D108:D110)</f>
        <v>9.5292672745351279</v>
      </c>
      <c r="E50">
        <f>AVERAGE('Concentration Calculations'!E108:E110)</f>
        <v>0.62471612048322778</v>
      </c>
      <c r="F50">
        <f>AVERAGE('Concentration Calculations'!F108:F110)</f>
        <v>1.8136604760894619</v>
      </c>
      <c r="G50">
        <f>AVERAGE('Concentration Calculations'!G108:G110)</f>
        <v>20.236970310495295</v>
      </c>
      <c r="H50">
        <f>AVERAGE('Concentration Calculations'!H108:H110)</f>
        <v>4.0565440616445896</v>
      </c>
      <c r="I50">
        <f>AVERAGE('Concentration Calculations'!I108:I110)</f>
        <v>5.5865519545138653</v>
      </c>
      <c r="J50">
        <f>AVERAGE('Concentration Calculations'!J108:J110)</f>
        <v>0.74776659131470768</v>
      </c>
      <c r="K50">
        <f>AVERAGE('Concentration Calculations'!K108:K110)</f>
        <v>0.2224257194817767</v>
      </c>
    </row>
    <row r="51" spans="1:12" ht="15">
      <c r="A51" s="1"/>
      <c r="B51" s="4" t="s">
        <v>24</v>
      </c>
      <c r="C51" s="4"/>
      <c r="D51" s="4"/>
      <c r="E51" s="4"/>
      <c r="F51" s="4"/>
      <c r="G51" s="4"/>
      <c r="H51" s="4"/>
      <c r="I51" s="4"/>
      <c r="J51" s="4"/>
      <c r="K51" s="4"/>
    </row>
    <row r="52" spans="1:12">
      <c r="A52" s="1" t="s">
        <v>2</v>
      </c>
      <c r="B52" t="s">
        <v>30</v>
      </c>
      <c r="C52" t="s">
        <v>31</v>
      </c>
      <c r="D52" t="s">
        <v>32</v>
      </c>
      <c r="E52" t="s">
        <v>33</v>
      </c>
      <c r="F52" t="s">
        <v>34</v>
      </c>
      <c r="G52" t="s">
        <v>35</v>
      </c>
      <c r="H52" t="s">
        <v>36</v>
      </c>
      <c r="I52" t="s">
        <v>37</v>
      </c>
      <c r="J52" t="s">
        <v>38</v>
      </c>
      <c r="K52" t="str">
        <f>K47</f>
        <v>J</v>
      </c>
    </row>
    <row r="53" spans="1:12">
      <c r="A53" s="1" t="s">
        <v>12</v>
      </c>
      <c r="B53">
        <f>AVERAGE('Concentration Calculations'!B113:B115)</f>
        <v>8.5815717039927559</v>
      </c>
      <c r="C53">
        <f>AVERAGE('Concentration Calculations'!C113:C115)</f>
        <v>0.46920600097986709</v>
      </c>
      <c r="D53">
        <f>AVERAGE('Concentration Calculations'!D113:D115)</f>
        <v>4.4989521588299972</v>
      </c>
      <c r="E53">
        <f>AVERAGE('Concentration Calculations'!E113:E115)</f>
        <v>1.3698488496941923</v>
      </c>
      <c r="F53">
        <f>AVERAGE('Concentration Calculations'!F113:F115)</f>
        <v>4.9596885121654966</v>
      </c>
      <c r="G53">
        <f>AVERAGE('Concentration Calculations'!G113:G115)</f>
        <v>7.2675243458997505</v>
      </c>
      <c r="H53">
        <f>AVERAGE('Concentration Calculations'!H113:H115)</f>
        <v>2.6003504364605754</v>
      </c>
      <c r="I53">
        <f>AVERAGE('Concentration Calculations'!I113:I115)</f>
        <v>2.2383807935190188</v>
      </c>
      <c r="J53">
        <f>AVERAGE('Concentration Calculations'!J113:J115)</f>
        <v>0.36957076842209508</v>
      </c>
      <c r="K53">
        <f>AVERAGE('Concentration Calculations'!K113:K115)</f>
        <v>0</v>
      </c>
    </row>
    <row r="54" spans="1:12">
      <c r="A54" s="1" t="s">
        <v>13</v>
      </c>
      <c r="B54">
        <f>AVERAGE('Concentration Calculations'!B116:B118)</f>
        <v>5.6611910477717862</v>
      </c>
      <c r="C54">
        <f>AVERAGE('Concentration Calculations'!C116:C118)</f>
        <v>0.56193258959597381</v>
      </c>
      <c r="D54">
        <f>AVERAGE('Concentration Calculations'!D116:D118)</f>
        <v>9.9947997599671101</v>
      </c>
      <c r="E54">
        <f>AVERAGE('Concentration Calculations'!E116:E118)</f>
        <v>0.95067105155379028</v>
      </c>
      <c r="F54">
        <f>AVERAGE('Concentration Calculations'!F116:F118)</f>
        <v>2.1366895842822928</v>
      </c>
      <c r="G54">
        <f>AVERAGE('Concentration Calculations'!G116:G118)</f>
        <v>16.055272237358889</v>
      </c>
      <c r="H54">
        <f>AVERAGE('Concentration Calculations'!H116:H118)</f>
        <v>4.3655096269942186</v>
      </c>
      <c r="I54">
        <f>AVERAGE('Concentration Calculations'!I116:I118)</f>
        <v>5.0146049981167087</v>
      </c>
      <c r="J54">
        <f>AVERAGE('Concentration Calculations'!J116:J118)</f>
        <v>0.80084517394548504</v>
      </c>
      <c r="K54">
        <f>AVERAGE('Concentration Calculations'!K116:K118)</f>
        <v>0.18253400455794322</v>
      </c>
      <c r="L54" s="3" t="s">
        <v>29</v>
      </c>
    </row>
    <row r="55" spans="1:12">
      <c r="A55" s="1" t="s">
        <v>14</v>
      </c>
      <c r="B55">
        <f>AVERAGE('Concentration Calculations'!B119:B121)</f>
        <v>0.3402266404964161</v>
      </c>
      <c r="C55">
        <f>AVERAGE('Concentration Calculations'!C119:C121)</f>
        <v>1.4290828900248813</v>
      </c>
      <c r="D55">
        <f>AVERAGE('Concentration Calculations'!D119:D121)</f>
        <v>2.803232782407862</v>
      </c>
      <c r="E55">
        <f>AVERAGE('Concentration Calculations'!E119:E121)</f>
        <v>0.26296238360550994</v>
      </c>
      <c r="F55">
        <f>AVERAGE('Concentration Calculations'!F119:F121)</f>
        <v>0.15039283335138784</v>
      </c>
      <c r="G55">
        <f>AVERAGE('Concentration Calculations'!G119:G121)</f>
        <v>26.940526770786178</v>
      </c>
      <c r="H55">
        <f>AVERAGE('Concentration Calculations'!H119:H121)</f>
        <v>0.59027811547536846</v>
      </c>
      <c r="I55">
        <f>AVERAGE('Concentration Calculations'!I119:I121)</f>
        <v>5.4113152427595663</v>
      </c>
      <c r="J55">
        <f>AVERAGE('Concentration Calculations'!J119:J121)</f>
        <v>0.90508593587056885</v>
      </c>
      <c r="K55">
        <f>AVERAGE('Concentration Calculations'!K119:K121)</f>
        <v>0.40862490851260169</v>
      </c>
    </row>
    <row r="56" spans="1:12" ht="15">
      <c r="A56" s="1"/>
      <c r="B56" s="4" t="s">
        <v>25</v>
      </c>
      <c r="C56" s="4"/>
      <c r="D56" s="4"/>
      <c r="E56" s="4"/>
      <c r="F56" s="4"/>
      <c r="G56" s="4"/>
      <c r="H56" s="4"/>
      <c r="I56" s="4"/>
      <c r="J56" s="4"/>
      <c r="K56" s="4"/>
    </row>
    <row r="57" spans="1:12">
      <c r="A57" s="1" t="s">
        <v>2</v>
      </c>
      <c r="B57" t="s">
        <v>30</v>
      </c>
      <c r="C57" t="s">
        <v>31</v>
      </c>
      <c r="D57" t="s">
        <v>32</v>
      </c>
      <c r="E57" t="s">
        <v>33</v>
      </c>
      <c r="F57" t="s">
        <v>34</v>
      </c>
      <c r="G57" t="s">
        <v>35</v>
      </c>
      <c r="H57" t="s">
        <v>36</v>
      </c>
      <c r="I57" t="s">
        <v>37</v>
      </c>
      <c r="J57" t="s">
        <v>38</v>
      </c>
      <c r="K57" t="str">
        <f>K52</f>
        <v>J</v>
      </c>
    </row>
    <row r="58" spans="1:12">
      <c r="A58" s="1" t="s">
        <v>12</v>
      </c>
      <c r="B58">
        <f>AVERAGE('Concentration Calculations'!B124:B126)</f>
        <v>7.5913207273112588</v>
      </c>
      <c r="C58">
        <f>((67.07809*0.72*1.025)/4869.78271)*50</f>
        <v>0.50827350385003101</v>
      </c>
      <c r="D58">
        <f>((459.97342*0.885*1.025)/4869.78271)*50</f>
        <v>4.2841068428030527</v>
      </c>
      <c r="E58">
        <f>((203.82236*1.025*0.601)/4869.78271)*50</f>
        <v>1.2891711683682079</v>
      </c>
      <c r="F58">
        <f>((758.60559*1.025*0.569)/4869.78271)*50</f>
        <v>4.5426846696795415</v>
      </c>
      <c r="G58">
        <f>((746.07782*1.025)/4869.78271)*50</f>
        <v>7.8517852955701972</v>
      </c>
      <c r="H58">
        <f>AVERAGE('Concentration Calculations'!H124:H126)</f>
        <v>2.7383377557055311</v>
      </c>
      <c r="I58">
        <f>((278.28851*1.025*0.842)/4869.78271)*50</f>
        <v>2.4659919431548922</v>
      </c>
      <c r="J58">
        <f>((81.61857*1.025*0.484)/4869.78271)*50</f>
        <v>0.41573695366173741</v>
      </c>
      <c r="K58">
        <f>((0*1.025*0.826)/4869.78271)*50</f>
        <v>0</v>
      </c>
    </row>
    <row r="59" spans="1:12">
      <c r="A59" s="1" t="s">
        <v>13</v>
      </c>
      <c r="B59">
        <f>AVERAGE('Concentration Calculations'!B127:B129)</f>
        <v>2.8917933544667327</v>
      </c>
      <c r="C59">
        <f>((105.68183*0.72*1.025)/4869.78271)*50</f>
        <v>0.8007871724937804</v>
      </c>
      <c r="D59">
        <f>((984.27673*0.885*1.025)/4869.78271)*50</f>
        <v>9.1673703106688507</v>
      </c>
      <c r="E59">
        <f>((149.2973*1.025*0.601)/4869.78271)*50</f>
        <v>0.94430157061874309</v>
      </c>
      <c r="F59">
        <f>((160.51349*1.025*0.569)/4869.78271)*50</f>
        <v>0.96118744695746372</v>
      </c>
      <c r="G59">
        <f>((2104.6582*1.025)/4869.78271)*50</f>
        <v>22.14959869328543</v>
      </c>
      <c r="H59">
        <f>AVERAGE('Concentration Calculations'!H127:H129)</f>
        <v>3.101149301544845</v>
      </c>
      <c r="I59">
        <f>((711.70813*1.025*0.842)/4869.78271)*50</f>
        <v>6.3066438296638081</v>
      </c>
      <c r="J59">
        <f>((158.59229*1.025*0.484)/4869.78271)*50</f>
        <v>0.80781463726746006</v>
      </c>
      <c r="K59">
        <f>((24.32655*1.025*0.826)/4869.78271)*50</f>
        <v>0.21146809605289343</v>
      </c>
    </row>
    <row r="60" spans="1:12">
      <c r="A60" s="1" t="s">
        <v>14</v>
      </c>
      <c r="B60">
        <f>AVERAGE('Concentration Calculations'!B130:B132)</f>
        <v>0.35981278127534083</v>
      </c>
      <c r="C60">
        <f>((279.4227*0.72*1.025)/4869.78271)*50</f>
        <v>2.1172808406476102</v>
      </c>
      <c r="D60">
        <f>((242.00017*0.885*1.025)/4869.78271)*50</f>
        <v>2.2539445523971846</v>
      </c>
      <c r="E60">
        <f>((27.44013*1.025*0.601)/4869.78271)*50</f>
        <v>0.17355811429263954</v>
      </c>
      <c r="F60">
        <f>((8.52908*1.025*0.569)/4869.78271)*50</f>
        <v>5.1073866938510688E-2</v>
      </c>
      <c r="G60">
        <f>((2562.04492*1.025)/4869.78271)*50</f>
        <v>26.963174738858104</v>
      </c>
      <c r="H60">
        <f>AVERAGE('Concentration Calculations'!H130:H132)</f>
        <v>0.22214663839693161</v>
      </c>
      <c r="I60">
        <f>((376.64026*1.025*0.842)/4869.78271)*50</f>
        <v>3.3375141741488501</v>
      </c>
      <c r="J60">
        <f>((110.05821*1.025*0.484)/4869.78271)*50</f>
        <v>0.5605987087358153</v>
      </c>
      <c r="K60">
        <f>((54.49398*1.025*0.826)/4869.78271)*50</f>
        <v>0.47371033693410919</v>
      </c>
    </row>
    <row r="61" spans="1:12" ht="15">
      <c r="A61" s="1"/>
      <c r="B61" s="4" t="s">
        <v>26</v>
      </c>
      <c r="C61" s="4"/>
      <c r="D61" s="4"/>
      <c r="E61" s="4"/>
      <c r="F61" s="4"/>
      <c r="G61" s="4"/>
      <c r="H61" s="4"/>
      <c r="I61" s="4"/>
      <c r="J61" s="4"/>
      <c r="K61" s="4"/>
    </row>
    <row r="62" spans="1:12">
      <c r="A62" s="1" t="s">
        <v>2</v>
      </c>
      <c r="B62" t="s">
        <v>30</v>
      </c>
      <c r="C62" t="s">
        <v>31</v>
      </c>
      <c r="D62" t="s">
        <v>32</v>
      </c>
      <c r="E62" t="s">
        <v>33</v>
      </c>
      <c r="F62" t="s">
        <v>34</v>
      </c>
      <c r="G62" t="s">
        <v>35</v>
      </c>
      <c r="H62" t="s">
        <v>36</v>
      </c>
      <c r="I62" t="s">
        <v>37</v>
      </c>
      <c r="J62" t="s">
        <v>38</v>
      </c>
      <c r="K62" t="str">
        <f>K57</f>
        <v>J</v>
      </c>
    </row>
    <row r="63" spans="1:12">
      <c r="A63" s="1" t="s">
        <v>12</v>
      </c>
      <c r="B63">
        <f>AVERAGE('Concentration Calculations'!B135:B137)</f>
        <v>0.52289128906277194</v>
      </c>
      <c r="C63">
        <f>AVERAGE('Concentration Calculations'!C135:C137)</f>
        <v>1.8095848975774931</v>
      </c>
      <c r="D63">
        <f>AVERAGE('Concentration Calculations'!D135:D137)</f>
        <v>3.3677156305424756</v>
      </c>
      <c r="E63">
        <f>AVERAGE('Concentration Calculations'!E135:E137)</f>
        <v>6.1134575752200222E-2</v>
      </c>
      <c r="F63">
        <f>AVERAGE('Concentration Calculations'!F135:F137)</f>
        <v>7.6169379984769373E-2</v>
      </c>
      <c r="G63">
        <f>AVERAGE('Concentration Calculations'!G135:G137)</f>
        <v>25.430948528656216</v>
      </c>
      <c r="H63">
        <f>AVERAGE('Concentration Calculations'!H135:H137)</f>
        <v>0.81550778063360418</v>
      </c>
      <c r="I63">
        <f>AVERAGE('Concentration Calculations'!I135:I137)</f>
        <v>3.4252599552083844</v>
      </c>
      <c r="J63">
        <f>AVERAGE('Concentration Calculations'!J135:J137)</f>
        <v>0.24556999835145957</v>
      </c>
      <c r="K63">
        <f>AVERAGE('Concentration Calculations'!K135:K137)</f>
        <v>5.370974928040817E-2</v>
      </c>
    </row>
    <row r="64" spans="1:12">
      <c r="A64" s="1" t="s">
        <v>13</v>
      </c>
      <c r="B64">
        <f>AVERAGE('Concentration Calculations'!B138:B140)</f>
        <v>0</v>
      </c>
      <c r="C64">
        <f>AVERAGE('Concentration Calculations'!C138:C140)</f>
        <v>2.9070798722557374</v>
      </c>
      <c r="D64">
        <f>AVERAGE('Concentration Calculations'!D138:D140)</f>
        <v>0.86738786872253471</v>
      </c>
      <c r="E64">
        <f>AVERAGE('Concentration Calculations'!E138:E140)</f>
        <v>0.31389994136882471</v>
      </c>
      <c r="F64">
        <f>AVERAGE('Concentration Calculations'!F138:F140)</f>
        <v>0</v>
      </c>
      <c r="G64">
        <f>AVERAGE('Concentration Calculations'!G138:G140)</f>
        <v>35.404407883906039</v>
      </c>
      <c r="H64">
        <f>AVERAGE('Concentration Calculations'!H138:H140)</f>
        <v>0</v>
      </c>
      <c r="I64">
        <f>AVERAGE('Concentration Calculations'!I138:I140)</f>
        <v>2.6771305228207667</v>
      </c>
      <c r="J64">
        <f>AVERAGE('Concentration Calculations'!J138:J140)</f>
        <v>0.24535005426693188</v>
      </c>
      <c r="K64">
        <f>AVERAGE('Concentration Calculations'!K138:K140)</f>
        <v>5.9708990010220238E-2</v>
      </c>
    </row>
    <row r="65" spans="1:11">
      <c r="A65" s="1" t="s">
        <v>14</v>
      </c>
      <c r="B65">
        <f>AVERAGE('Concentration Calculations'!B141:B143)</f>
        <v>0</v>
      </c>
      <c r="C65">
        <f>AVERAGE('Concentration Calculations'!C141:C143)</f>
        <v>2.2312353097783286</v>
      </c>
      <c r="D65">
        <f>AVERAGE('Concentration Calculations'!D141:D143)</f>
        <v>0.91186412434277786</v>
      </c>
      <c r="E65">
        <f>AVERAGE('Concentration Calculations'!E141:E143)</f>
        <v>0.35323586249780536</v>
      </c>
      <c r="F65">
        <f>AVERAGE('Concentration Calculations'!F141:F143)</f>
        <v>0</v>
      </c>
      <c r="G65">
        <f>AVERAGE('Concentration Calculations'!G141:G143)</f>
        <v>33.579737493479108</v>
      </c>
      <c r="H65">
        <f>AVERAGE('Concentration Calculations'!H141:H143)</f>
        <v>0</v>
      </c>
      <c r="I65">
        <f>AVERAGE('Concentration Calculations'!I141:I143)</f>
        <v>2.8974572733742492</v>
      </c>
      <c r="J65">
        <f>AVERAGE('Concentration Calculations'!J141:J143)</f>
        <v>0.52019029933781169</v>
      </c>
      <c r="K65">
        <f>AVERAGE('Concentration Calculations'!K141:K143)</f>
        <v>0.26441681152802393</v>
      </c>
    </row>
    <row r="66" spans="1:11" ht="15">
      <c r="A66" s="1"/>
      <c r="B66" s="4" t="s">
        <v>27</v>
      </c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1" t="s">
        <v>2</v>
      </c>
      <c r="B67" t="s">
        <v>30</v>
      </c>
      <c r="C67" t="s">
        <v>31</v>
      </c>
      <c r="D67" t="s">
        <v>32</v>
      </c>
      <c r="E67" t="s">
        <v>33</v>
      </c>
      <c r="F67" t="s">
        <v>34</v>
      </c>
      <c r="G67" t="s">
        <v>35</v>
      </c>
      <c r="H67" t="s">
        <v>36</v>
      </c>
      <c r="I67" t="s">
        <v>37</v>
      </c>
      <c r="J67" t="s">
        <v>38</v>
      </c>
      <c r="K67" t="str">
        <f>K62</f>
        <v>J</v>
      </c>
    </row>
    <row r="68" spans="1:11">
      <c r="A68" s="1" t="s">
        <v>12</v>
      </c>
      <c r="B68">
        <f>AVERAGE('Concentration Calculations'!B146:B148)</f>
        <v>0.13644051035595381</v>
      </c>
      <c r="C68">
        <f>AVERAGE('Concentration Calculations'!C146:C148)</f>
        <v>1.9454538300128792</v>
      </c>
      <c r="D68">
        <f>AVERAGE('Concentration Calculations'!D146:D148)</f>
        <v>1.9202895870712264</v>
      </c>
      <c r="E68">
        <f>AVERAGE('Concentration Calculations'!E146:E148)</f>
        <v>5.7198850014672065E-2</v>
      </c>
      <c r="F68">
        <f>AVERAGE('Concentration Calculations'!F146:F148)</f>
        <v>0</v>
      </c>
      <c r="G68">
        <f>AVERAGE('Concentration Calculations'!G146:G148)</f>
        <v>30.151395678665363</v>
      </c>
      <c r="H68">
        <f>AVERAGE('Concentration Calculations'!H146:H148)</f>
        <v>0.24420284514518575</v>
      </c>
      <c r="I68">
        <f>AVERAGE('Concentration Calculations'!I146:I148)</f>
        <v>3.2470755687552013</v>
      </c>
      <c r="J68">
        <f>AVERAGE('Concentration Calculations'!J146:J148)</f>
        <v>0.50787732725142465</v>
      </c>
      <c r="K68">
        <f>AVERAGE('Concentration Calculations'!K146:K148)</f>
        <v>8.1627887883044078E-2</v>
      </c>
    </row>
    <row r="69" spans="1:11">
      <c r="A69" s="1" t="s">
        <v>13</v>
      </c>
      <c r="B69">
        <f>AVERAGE('Concentration Calculations'!B149:B151)</f>
        <v>0</v>
      </c>
      <c r="C69">
        <f>AVERAGE('Concentration Calculations'!C149:C151)</f>
        <v>2.1609452000580123</v>
      </c>
      <c r="D69">
        <f>AVERAGE('Concentration Calculations'!D149:D151)</f>
        <v>0.98155795027762116</v>
      </c>
      <c r="E69">
        <f>AVERAGE('Concentration Calculations'!E149:E151)</f>
        <v>0</v>
      </c>
      <c r="F69">
        <f>AVERAGE('Concentration Calculations'!F149:F151)</f>
        <v>0</v>
      </c>
      <c r="G69">
        <f>AVERAGE('Concentration Calculations'!G149:G151)</f>
        <v>28.719454004139738</v>
      </c>
      <c r="H69">
        <f>AVERAGE('Concentration Calculations'!H149:H151)</f>
        <v>0</v>
      </c>
      <c r="I69">
        <f>AVERAGE('Concentration Calculations'!I149:I151)</f>
        <v>1.2745895271731742</v>
      </c>
      <c r="J69">
        <f>AVERAGE('Concentration Calculations'!J149:J151)</f>
        <v>0.31989693855697032</v>
      </c>
      <c r="K69">
        <f>AVERAGE('Concentration Calculations'!K149:K151)</f>
        <v>0.1488596060728207</v>
      </c>
    </row>
    <row r="70" spans="1:11">
      <c r="A70" s="1" t="s">
        <v>14</v>
      </c>
      <c r="B70">
        <f>AVERAGE('Concentration Calculations'!B152:B154)</f>
        <v>0</v>
      </c>
      <c r="C70">
        <f>AVERAGE('Concentration Calculations'!C152:C154)</f>
        <v>1.9160452383921662</v>
      </c>
      <c r="D70">
        <f>AVERAGE('Concentration Calculations'!D152:D154)</f>
        <v>1.1259958004240189</v>
      </c>
      <c r="E70">
        <f>AVERAGE('Concentration Calculations'!E152:E154)</f>
        <v>0</v>
      </c>
      <c r="F70">
        <f>AVERAGE('Concentration Calculations'!F152:F154)</f>
        <v>0</v>
      </c>
      <c r="G70">
        <f>AVERAGE('Concentration Calculations'!G152:G154)</f>
        <v>26.410113101329724</v>
      </c>
      <c r="H70">
        <f>AVERAGE('Concentration Calculations'!H152:H154)</f>
        <v>0</v>
      </c>
      <c r="I70">
        <f>AVERAGE('Concentration Calculations'!I152:I154)</f>
        <v>1.1949922084459901</v>
      </c>
      <c r="J70">
        <f>AVERAGE('Concentration Calculations'!J152:J154)</f>
        <v>0.53048723616801086</v>
      </c>
      <c r="K70">
        <f>AVERAGE('Concentration Calculations'!K152:K154)</f>
        <v>0.59181011217284862</v>
      </c>
    </row>
    <row r="71" spans="1:11" ht="15">
      <c r="A71" s="1"/>
      <c r="B71" s="4" t="s">
        <v>28</v>
      </c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1" t="s">
        <v>2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35</v>
      </c>
      <c r="H72" t="s">
        <v>36</v>
      </c>
      <c r="I72" t="s">
        <v>37</v>
      </c>
      <c r="J72" t="s">
        <v>38</v>
      </c>
      <c r="K72" t="str">
        <f>K67</f>
        <v>J</v>
      </c>
    </row>
    <row r="73" spans="1:11">
      <c r="A73" s="1" t="s">
        <v>12</v>
      </c>
      <c r="B73">
        <f>AVERAGE('Concentration Calculations'!B157:B159)</f>
        <v>0</v>
      </c>
      <c r="C73">
        <f>AVERAGE('Concentration Calculations'!C157:C159)</f>
        <v>2.1919031809326861</v>
      </c>
      <c r="D73">
        <f>AVERAGE('Concentration Calculations'!D157:D159)</f>
        <v>1.1655328008143815</v>
      </c>
      <c r="E73">
        <f>AVERAGE('Concentration Calculations'!E157:E159)</f>
        <v>0</v>
      </c>
      <c r="F73">
        <f>AVERAGE('Concentration Calculations'!F157:F159)</f>
        <v>0</v>
      </c>
      <c r="G73">
        <f>AVERAGE('Concentration Calculations'!G157:G159)</f>
        <v>30.510106083870827</v>
      </c>
      <c r="H73">
        <f>AVERAGE('Concentration Calculations'!H157:H159)</f>
        <v>0</v>
      </c>
      <c r="I73">
        <f>AVERAGE('Concentration Calculations'!I157:I159)</f>
        <v>1.9669448184039195</v>
      </c>
      <c r="J73">
        <f>AVERAGE('Concentration Calculations'!J157:J159)</f>
        <v>0.60610507021130167</v>
      </c>
      <c r="K73">
        <f>AVERAGE('Concentration Calculations'!K157:K159)</f>
        <v>0.44445201501865356</v>
      </c>
    </row>
    <row r="74" spans="1:11">
      <c r="A74" s="1" t="s">
        <v>13</v>
      </c>
      <c r="B74">
        <f>AVERAGE('Concentration Calculations'!B160:B162)</f>
        <v>0</v>
      </c>
      <c r="C74">
        <f>AVERAGE('Concentration Calculations'!C160:C162)</f>
        <v>2.1433150658995204</v>
      </c>
      <c r="D74">
        <f>AVERAGE('Concentration Calculations'!D160:D162)</f>
        <v>1.2798876684376745</v>
      </c>
      <c r="E74">
        <f>AVERAGE('Concentration Calculations'!E160:E162)</f>
        <v>0</v>
      </c>
      <c r="F74">
        <f>AVERAGE('Concentration Calculations'!F160:F162)</f>
        <v>0</v>
      </c>
      <c r="G74">
        <f>AVERAGE('Concentration Calculations'!G160:G162)</f>
        <v>27.694524892963173</v>
      </c>
      <c r="H74">
        <f>AVERAGE('Concentration Calculations'!H160:H162)</f>
        <v>0</v>
      </c>
      <c r="I74">
        <f>AVERAGE('Concentration Calculations'!I160:I162)</f>
        <v>0.65957957893241737</v>
      </c>
      <c r="J74">
        <f>AVERAGE('Concentration Calculations'!J160:J162)</f>
        <v>0.33658699997383107</v>
      </c>
      <c r="K74">
        <f>AVERAGE('Concentration Calculations'!K160:K162)</f>
        <v>0.24612141570617765</v>
      </c>
    </row>
    <row r="75" spans="1:11">
      <c r="A75" s="1" t="s">
        <v>14</v>
      </c>
      <c r="B75">
        <f>AVERAGE('Concentration Calculations'!B163:B165)</f>
        <v>0</v>
      </c>
      <c r="C75">
        <f>AVERAGE('Concentration Calculations'!C163:C165)</f>
        <v>2.0688535041433087</v>
      </c>
      <c r="D75">
        <f>AVERAGE('Concentration Calculations'!D163:D165)</f>
        <v>1.4587522155518819</v>
      </c>
      <c r="E75">
        <f>AVERAGE('Concentration Calculations'!E163:E165)</f>
        <v>0</v>
      </c>
      <c r="F75">
        <f>AVERAGE('Concentration Calculations'!F163:F165)</f>
        <v>0</v>
      </c>
      <c r="G75">
        <f>AVERAGE('Concentration Calculations'!G163:G165)</f>
        <v>25.339476018599054</v>
      </c>
      <c r="H75">
        <f>AVERAGE('Concentration Calculations'!H163:H165)</f>
        <v>0</v>
      </c>
      <c r="I75">
        <f>AVERAGE('Concentration Calculations'!I163:I165)</f>
        <v>0.76419179901492262</v>
      </c>
      <c r="J75">
        <f>AVERAGE('Concentration Calculations'!J163:J165)</f>
        <v>0.48620797048355358</v>
      </c>
      <c r="K75">
        <f>AVERAGE('Concentration Calculations'!K163:K165)</f>
        <v>0.68939400797977279</v>
      </c>
    </row>
  </sheetData>
  <mergeCells count="15">
    <mergeCell ref="B26:K26"/>
    <mergeCell ref="B1:K1"/>
    <mergeCell ref="B6:K6"/>
    <mergeCell ref="B11:K11"/>
    <mergeCell ref="B16:K16"/>
    <mergeCell ref="B21:K21"/>
    <mergeCell ref="B61:K61"/>
    <mergeCell ref="B66:K66"/>
    <mergeCell ref="B71:K71"/>
    <mergeCell ref="B31:K31"/>
    <mergeCell ref="B36:K36"/>
    <mergeCell ref="B41:K41"/>
    <mergeCell ref="B46:K46"/>
    <mergeCell ref="B51:K51"/>
    <mergeCell ref="B56:K5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51479-C825-41D4-819E-BA8547D68F99}">
  <dimension ref="A1:P61"/>
  <sheetViews>
    <sheetView workbookViewId="0">
      <selection activeCell="F32" sqref="F32"/>
    </sheetView>
  </sheetViews>
  <sheetFormatPr defaultRowHeight="14.25"/>
  <cols>
    <col min="2" max="2" width="5.625" bestFit="1" customWidth="1"/>
    <col min="3" max="3" width="9.625" bestFit="1" customWidth="1"/>
    <col min="4" max="4" width="9.875" bestFit="1" customWidth="1"/>
  </cols>
  <sheetData>
    <row r="1" spans="1:15">
      <c r="A1" s="1" t="s">
        <v>53</v>
      </c>
      <c r="B1" s="1" t="s">
        <v>56</v>
      </c>
      <c r="C1" s="1" t="s">
        <v>54</v>
      </c>
      <c r="D1" s="1" t="s">
        <v>55</v>
      </c>
      <c r="E1" s="1" t="s">
        <v>57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</row>
    <row r="2" spans="1:15">
      <c r="A2" s="1">
        <v>1</v>
      </c>
      <c r="B2" s="1">
        <v>70</v>
      </c>
      <c r="C2" s="1">
        <v>20</v>
      </c>
      <c r="D2" s="1">
        <v>0.45</v>
      </c>
      <c r="E2" s="1">
        <v>0</v>
      </c>
      <c r="F2" s="1">
        <v>22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>
      <c r="A3" s="1">
        <v>1</v>
      </c>
      <c r="B3" s="1">
        <v>70</v>
      </c>
      <c r="C3" s="1">
        <v>20</v>
      </c>
      <c r="D3" s="1">
        <v>0.45</v>
      </c>
      <c r="E3" s="1">
        <v>10</v>
      </c>
      <c r="F3" s="1">
        <f>'Average Calcs'!B3</f>
        <v>21.141373523949966</v>
      </c>
      <c r="G3" s="1">
        <f>'Average Calcs'!C3</f>
        <v>0</v>
      </c>
      <c r="H3" s="1">
        <f>'Average Calcs'!D3</f>
        <v>0.20870627081069493</v>
      </c>
      <c r="I3" s="1">
        <f>'Average Calcs'!E3</f>
        <v>0.35888637307392296</v>
      </c>
      <c r="J3" s="1">
        <f>'Average Calcs'!F3</f>
        <v>1.0097925572278765</v>
      </c>
      <c r="K3" s="1">
        <f>'Average Calcs'!G3</f>
        <v>1.9681439407248893E-2</v>
      </c>
      <c r="L3" s="1">
        <f>'Average Calcs'!H3</f>
        <v>3.3054901886474509E-2</v>
      </c>
      <c r="M3" s="1">
        <f>'Average Calcs'!I3</f>
        <v>0</v>
      </c>
      <c r="N3" s="1">
        <f>'Average Calcs'!J3</f>
        <v>0</v>
      </c>
      <c r="O3" s="1">
        <f>'Average Calcs'!K3</f>
        <v>0</v>
      </c>
    </row>
    <row r="4" spans="1:15">
      <c r="A4" s="1">
        <v>1</v>
      </c>
      <c r="B4" s="1">
        <v>70</v>
      </c>
      <c r="C4" s="1">
        <v>20</v>
      </c>
      <c r="D4" s="1">
        <v>0.45</v>
      </c>
      <c r="E4" s="1">
        <v>15</v>
      </c>
      <c r="F4" s="1">
        <f>'Average Calcs'!B4</f>
        <v>19.727809823572617</v>
      </c>
      <c r="G4" s="1">
        <f>'Average Calcs'!C4</f>
        <v>0</v>
      </c>
      <c r="H4" s="1">
        <f>'Average Calcs'!D4</f>
        <v>0.31601483460362645</v>
      </c>
      <c r="I4" s="1">
        <f>'Average Calcs'!E4</f>
        <v>0.4716927412194365</v>
      </c>
      <c r="J4" s="1">
        <f>'Average Calcs'!F4</f>
        <v>1.5102436127175782</v>
      </c>
      <c r="K4" s="1">
        <f>'Average Calcs'!G4</f>
        <v>5.0235081484775318E-2</v>
      </c>
      <c r="L4" s="1">
        <f>'Average Calcs'!H4</f>
        <v>0.11161325291880082</v>
      </c>
      <c r="M4" s="1">
        <f>'Average Calcs'!I4</f>
        <v>0</v>
      </c>
      <c r="N4" s="1">
        <f>'Average Calcs'!J4</f>
        <v>0</v>
      </c>
      <c r="O4" s="1">
        <f>'Average Calcs'!K4</f>
        <v>0</v>
      </c>
    </row>
    <row r="5" spans="1:15">
      <c r="A5" s="1">
        <v>1</v>
      </c>
      <c r="B5" s="1">
        <v>70</v>
      </c>
      <c r="C5" s="1">
        <v>20</v>
      </c>
      <c r="D5" s="1">
        <v>0.45</v>
      </c>
      <c r="E5" s="1">
        <v>20</v>
      </c>
      <c r="F5" s="1">
        <f>'Average Calcs'!B5</f>
        <v>15.51218247480252</v>
      </c>
      <c r="G5" s="1">
        <f>'Average Calcs'!C5</f>
        <v>0</v>
      </c>
      <c r="H5" s="1">
        <f>'Average Calcs'!D5</f>
        <v>0.27945650056658272</v>
      </c>
      <c r="I5" s="1">
        <f>'Average Calcs'!E5</f>
        <v>0.69791078808302009</v>
      </c>
      <c r="J5" s="1">
        <f>'Average Calcs'!F5</f>
        <v>1.8126837901138604</v>
      </c>
      <c r="K5" s="1">
        <f>'Average Calcs'!G5</f>
        <v>0.11551184967210441</v>
      </c>
      <c r="L5" s="1">
        <f>'Average Calcs'!H5</f>
        <v>0.24310235839386485</v>
      </c>
      <c r="M5" s="1">
        <f>'Average Calcs'!I5</f>
        <v>5.7249455386035743E-2</v>
      </c>
      <c r="N5" s="1">
        <f>'Average Calcs'!J5</f>
        <v>0</v>
      </c>
      <c r="O5" s="1">
        <f>'Average Calcs'!K5</f>
        <v>0</v>
      </c>
    </row>
    <row r="6" spans="1:15">
      <c r="A6" s="1">
        <v>2</v>
      </c>
      <c r="B6" s="1">
        <v>80</v>
      </c>
      <c r="C6" s="1">
        <v>20</v>
      </c>
      <c r="D6" s="1">
        <v>0.45</v>
      </c>
      <c r="E6" s="1">
        <v>0</v>
      </c>
      <c r="F6" s="1">
        <v>22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>
      <c r="A7" s="1">
        <v>2</v>
      </c>
      <c r="B7" s="1">
        <v>80</v>
      </c>
      <c r="C7" s="1">
        <v>20</v>
      </c>
      <c r="D7" s="1">
        <v>0.45</v>
      </c>
      <c r="E7" s="1">
        <v>10</v>
      </c>
      <c r="F7" s="1">
        <f>'Average Calcs'!B8</f>
        <v>17.749596361201569</v>
      </c>
      <c r="G7" s="1">
        <f>'Average Calcs'!C8</f>
        <v>2.3340543976755789E-2</v>
      </c>
      <c r="H7" s="1">
        <f>'Average Calcs'!D8</f>
        <v>0.45193444129050259</v>
      </c>
      <c r="I7" s="1">
        <f>'Average Calcs'!E8</f>
        <v>0.4203692967801842</v>
      </c>
      <c r="J7" s="1">
        <f>'Average Calcs'!F8</f>
        <v>1.7516966418627602</v>
      </c>
      <c r="K7" s="1">
        <f>'Average Calcs'!G8</f>
        <v>0.35627390446749518</v>
      </c>
      <c r="L7" s="1">
        <f>'Average Calcs'!H8</f>
        <v>0.39380371156830657</v>
      </c>
      <c r="M7" s="1">
        <f>'Average Calcs'!I8</f>
        <v>0.26037740990398311</v>
      </c>
      <c r="N7" s="1">
        <f>'Average Calcs'!J8</f>
        <v>0</v>
      </c>
      <c r="O7" s="1">
        <f>'Average Calcs'!K8</f>
        <v>0</v>
      </c>
    </row>
    <row r="8" spans="1:15">
      <c r="A8" s="1">
        <v>2</v>
      </c>
      <c r="B8" s="1">
        <v>80</v>
      </c>
      <c r="C8" s="1">
        <v>20</v>
      </c>
      <c r="D8" s="1">
        <v>0.45</v>
      </c>
      <c r="E8" s="1">
        <v>15</v>
      </c>
      <c r="F8" s="1">
        <f>'Average Calcs'!B9</f>
        <v>17.462059569439351</v>
      </c>
      <c r="G8" s="1">
        <f>'Average Calcs'!C9</f>
        <v>2.0782547605702098E-2</v>
      </c>
      <c r="H8" s="1">
        <f>'Average Calcs'!D9</f>
        <v>0.40119400936397215</v>
      </c>
      <c r="I8" s="1">
        <f>'Average Calcs'!E9</f>
        <v>0.61625753219481583</v>
      </c>
      <c r="J8" s="1">
        <f>'Average Calcs'!F9</f>
        <v>2.43313463179611</v>
      </c>
      <c r="K8" s="1">
        <f>'Average Calcs'!G9</f>
        <v>0.25689359804789585</v>
      </c>
      <c r="L8" s="1">
        <f>'Average Calcs'!H9</f>
        <v>0.58015221503332726</v>
      </c>
      <c r="M8" s="1">
        <f>'Average Calcs'!I9</f>
        <v>0.20000442775060348</v>
      </c>
      <c r="N8" s="1">
        <f>'Average Calcs'!J9</f>
        <v>0</v>
      </c>
      <c r="O8" s="1">
        <f>'Average Calcs'!K9</f>
        <v>0</v>
      </c>
    </row>
    <row r="9" spans="1:15">
      <c r="A9" s="1">
        <v>2</v>
      </c>
      <c r="B9" s="1">
        <v>80</v>
      </c>
      <c r="C9" s="1">
        <v>20</v>
      </c>
      <c r="D9" s="1">
        <v>0.45</v>
      </c>
      <c r="E9" s="1">
        <v>20</v>
      </c>
      <c r="F9" s="1">
        <f>'Average Calcs'!B10</f>
        <v>9.9348549719719745</v>
      </c>
      <c r="G9" s="1">
        <f>'Average Calcs'!C10</f>
        <v>2.44292814658254E-2</v>
      </c>
      <c r="H9" s="1">
        <f>'Average Calcs'!D10</f>
        <v>0.67505868232825084</v>
      </c>
      <c r="I9" s="1">
        <f>'Average Calcs'!E10</f>
        <v>1.4884894162082125</v>
      </c>
      <c r="J9" s="1">
        <f>'Average Calcs'!F10</f>
        <v>4.6074047143043186</v>
      </c>
      <c r="K9" s="1">
        <f>'Average Calcs'!G10</f>
        <v>0.33541464471214572</v>
      </c>
      <c r="L9" s="1">
        <f>'Average Calcs'!H10</f>
        <v>0.73569230765277815</v>
      </c>
      <c r="M9" s="1">
        <f>'Average Calcs'!I10</f>
        <v>0.28537543052408587</v>
      </c>
      <c r="N9" s="1">
        <f>'Average Calcs'!J10</f>
        <v>1.2702628313642626E-2</v>
      </c>
      <c r="O9" s="1">
        <f>'Average Calcs'!K10</f>
        <v>0</v>
      </c>
    </row>
    <row r="10" spans="1:15">
      <c r="A10" s="1">
        <v>3</v>
      </c>
      <c r="B10" s="1">
        <v>90</v>
      </c>
      <c r="C10" s="1">
        <v>20</v>
      </c>
      <c r="D10" s="1">
        <v>0.45</v>
      </c>
      <c r="E10" s="1">
        <v>0</v>
      </c>
      <c r="F10" s="1">
        <v>22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>
      <c r="A11" s="1">
        <v>3</v>
      </c>
      <c r="B11" s="1">
        <v>90</v>
      </c>
      <c r="C11" s="1">
        <v>20</v>
      </c>
      <c r="D11" s="1">
        <v>0.45</v>
      </c>
      <c r="E11" s="1">
        <v>10</v>
      </c>
      <c r="F11" s="1">
        <f>'Average Calcs'!B13</f>
        <v>13.86063755683935</v>
      </c>
      <c r="G11" s="1">
        <f>'Average Calcs'!C13</f>
        <v>3.0125660575931523E-2</v>
      </c>
      <c r="H11" s="1">
        <f>'Average Calcs'!D13</f>
        <v>0.60380108255897924</v>
      </c>
      <c r="I11" s="1">
        <f>'Average Calcs'!E13</f>
        <v>1.0475694454641966</v>
      </c>
      <c r="J11" s="1">
        <f>'Average Calcs'!F13</f>
        <v>4.155739662733243</v>
      </c>
      <c r="K11" s="1">
        <f>'Average Calcs'!G13</f>
        <v>0.49305699668476571</v>
      </c>
      <c r="L11" s="1">
        <f>'Average Calcs'!H13</f>
        <v>0.73273615748846543</v>
      </c>
      <c r="M11" s="1">
        <f>'Average Calcs'!I13</f>
        <v>0.45641837985193517</v>
      </c>
      <c r="N11" s="1">
        <f>'Average Calcs'!J13</f>
        <v>2.9708021021058378E-2</v>
      </c>
      <c r="O11" s="1">
        <f>'Average Calcs'!K13</f>
        <v>0</v>
      </c>
    </row>
    <row r="12" spans="1:15">
      <c r="A12" s="1">
        <v>3</v>
      </c>
      <c r="B12" s="1">
        <v>90</v>
      </c>
      <c r="C12" s="1">
        <v>20</v>
      </c>
      <c r="D12" s="1">
        <v>0.45</v>
      </c>
      <c r="E12" s="1">
        <v>15</v>
      </c>
      <c r="F12" s="1">
        <f>'Average Calcs'!B14</f>
        <v>11.741229066925774</v>
      </c>
      <c r="G12" s="1">
        <f>'Average Calcs'!C14</f>
        <v>2.9385468104386931E-2</v>
      </c>
      <c r="H12" s="1">
        <f>'Average Calcs'!D14</f>
        <v>0.53701549502118329</v>
      </c>
      <c r="I12" s="1">
        <f>'Average Calcs'!E14</f>
        <v>1.3206007768726671</v>
      </c>
      <c r="J12" s="1">
        <f>'Average Calcs'!F14</f>
        <v>5.2727133582734833</v>
      </c>
      <c r="K12" s="1">
        <f>'Average Calcs'!G14</f>
        <v>0.39048303433782294</v>
      </c>
      <c r="L12" s="1">
        <f>'Average Calcs'!H14</f>
        <v>0.64668346976323965</v>
      </c>
      <c r="M12" s="1">
        <f>'Average Calcs'!I14</f>
        <v>0.38990534409970268</v>
      </c>
      <c r="N12" s="1">
        <f>'Average Calcs'!J14</f>
        <v>1.8943775171370355E-2</v>
      </c>
      <c r="O12" s="1">
        <f>'Average Calcs'!K14</f>
        <v>0</v>
      </c>
    </row>
    <row r="13" spans="1:15">
      <c r="A13" s="1">
        <v>3</v>
      </c>
      <c r="B13" s="1">
        <v>90</v>
      </c>
      <c r="C13" s="1">
        <v>20</v>
      </c>
      <c r="D13" s="1">
        <v>0.45</v>
      </c>
      <c r="E13" s="1">
        <v>20</v>
      </c>
      <c r="F13" s="1">
        <f>'Average Calcs'!B15</f>
        <v>5.9428290550929077</v>
      </c>
      <c r="G13" s="1">
        <f>'Average Calcs'!C15</f>
        <v>3.8660372384459012E-2</v>
      </c>
      <c r="H13" s="1">
        <f>'Average Calcs'!D15</f>
        <v>1.4538303771540351</v>
      </c>
      <c r="I13" s="1">
        <f>'Average Calcs'!E15</f>
        <v>1.2039535997691189</v>
      </c>
      <c r="J13" s="1">
        <f>'Average Calcs'!F15</f>
        <v>5.8488400064851147</v>
      </c>
      <c r="K13" s="1">
        <f>'Average Calcs'!G15</f>
        <v>0.63938211757501584</v>
      </c>
      <c r="L13" s="1">
        <f>'Average Calcs'!H15</f>
        <v>2.2289238802308211</v>
      </c>
      <c r="M13" s="1">
        <f>'Average Calcs'!I15</f>
        <v>0.64556924806558758</v>
      </c>
      <c r="N13" s="1">
        <f>'Average Calcs'!J15</f>
        <v>3.7680713934085695E-2</v>
      </c>
      <c r="O13" s="1">
        <f>'Average Calcs'!K15</f>
        <v>0</v>
      </c>
    </row>
    <row r="14" spans="1:15">
      <c r="A14" s="1">
        <v>4</v>
      </c>
      <c r="B14" s="1">
        <v>70</v>
      </c>
      <c r="C14" s="1">
        <v>20</v>
      </c>
      <c r="D14" s="1">
        <v>1.8</v>
      </c>
      <c r="E14" s="1">
        <v>0</v>
      </c>
      <c r="F14" s="1">
        <v>90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</row>
    <row r="15" spans="1:15">
      <c r="A15" s="1">
        <v>4</v>
      </c>
      <c r="B15" s="1">
        <v>70</v>
      </c>
      <c r="C15" s="1">
        <v>20</v>
      </c>
      <c r="D15" s="1">
        <v>1.8</v>
      </c>
      <c r="E15" s="1">
        <v>10</v>
      </c>
      <c r="F15" s="1">
        <f>'Average Calcs'!B18</f>
        <v>0.8819676161964386</v>
      </c>
      <c r="G15" s="1">
        <f>'Average Calcs'!C18</f>
        <v>5.4034706115254965</v>
      </c>
      <c r="H15" s="1">
        <f>'Average Calcs'!D18</f>
        <v>7.9583587481822144</v>
      </c>
      <c r="I15" s="1">
        <f>'Average Calcs'!E18</f>
        <v>0</v>
      </c>
      <c r="J15" s="1">
        <f>'Average Calcs'!F18</f>
        <v>0</v>
      </c>
      <c r="K15" s="1">
        <f>'Average Calcs'!G18</f>
        <v>67.343572815182128</v>
      </c>
      <c r="L15" s="1">
        <f>'Average Calcs'!H18</f>
        <v>1.051886424842831</v>
      </c>
      <c r="M15" s="1">
        <f>'Average Calcs'!I18</f>
        <v>6.0609672805093178</v>
      </c>
      <c r="N15" s="1">
        <f>'Average Calcs'!J18</f>
        <v>0.53564364644242335</v>
      </c>
      <c r="O15" s="1">
        <f>'Average Calcs'!K18</f>
        <v>0.39938192925039145</v>
      </c>
    </row>
    <row r="16" spans="1:15">
      <c r="A16" s="1">
        <v>4</v>
      </c>
      <c r="B16" s="1">
        <v>70</v>
      </c>
      <c r="C16" s="1">
        <v>20</v>
      </c>
      <c r="D16" s="1">
        <v>1.8</v>
      </c>
      <c r="E16" s="1">
        <v>15</v>
      </c>
      <c r="F16" s="1">
        <f>'Average Calcs'!B19</f>
        <v>0.66480534940712632</v>
      </c>
      <c r="G16" s="1">
        <f>'Average Calcs'!C19</f>
        <v>6.7667961567016199</v>
      </c>
      <c r="H16" s="1">
        <f>'Average Calcs'!D19</f>
        <v>1.8960917707198888</v>
      </c>
      <c r="I16" s="1">
        <f>'Average Calcs'!E19</f>
        <v>0</v>
      </c>
      <c r="J16" s="1">
        <f>'Average Calcs'!F19</f>
        <v>0</v>
      </c>
      <c r="K16" s="1">
        <f>'Average Calcs'!G19</f>
        <v>73.616101297258894</v>
      </c>
      <c r="L16" s="1">
        <f>'Average Calcs'!H19</f>
        <v>0.62499024040985718</v>
      </c>
      <c r="M16" s="1">
        <f>'Average Calcs'!I19</f>
        <v>3.9549154712661352</v>
      </c>
      <c r="N16" s="1">
        <f>'Average Calcs'!J19</f>
        <v>0.43408065365884324</v>
      </c>
      <c r="O16" s="1">
        <f>'Average Calcs'!K19</f>
        <v>0.32418174030465785</v>
      </c>
    </row>
    <row r="17" spans="1:15">
      <c r="A17" s="1">
        <v>4</v>
      </c>
      <c r="B17" s="1">
        <v>70</v>
      </c>
      <c r="C17" s="1">
        <v>20</v>
      </c>
      <c r="D17" s="1">
        <v>1.8</v>
      </c>
      <c r="E17" s="1">
        <v>20</v>
      </c>
      <c r="F17" s="1">
        <f>'Average Calcs'!B20</f>
        <v>1.5109906649972478</v>
      </c>
      <c r="G17" s="1">
        <f>'Average Calcs'!C20</f>
        <v>5.0680928389923983</v>
      </c>
      <c r="H17" s="1">
        <f>'Average Calcs'!D20</f>
        <v>2.8474521009480518</v>
      </c>
      <c r="I17" s="1">
        <f>'Average Calcs'!E20</f>
        <v>0</v>
      </c>
      <c r="J17" s="1">
        <f>'Average Calcs'!F20</f>
        <v>0</v>
      </c>
      <c r="K17" s="1">
        <f>'Average Calcs'!G20</f>
        <v>52.321954347185503</v>
      </c>
      <c r="L17" s="1">
        <f>'Average Calcs'!H20</f>
        <v>0.34051621174215935</v>
      </c>
      <c r="M17" s="1">
        <f>'Average Calcs'!I20</f>
        <v>2.8756167920614804</v>
      </c>
      <c r="N17" s="1">
        <f>'Average Calcs'!J20</f>
        <v>0.52554027704588613</v>
      </c>
      <c r="O17" s="1">
        <f>'Average Calcs'!K20</f>
        <v>0.4817944956076558</v>
      </c>
    </row>
    <row r="18" spans="1:15">
      <c r="A18" s="1">
        <v>5</v>
      </c>
      <c r="B18" s="1">
        <v>80</v>
      </c>
      <c r="C18" s="1">
        <v>20</v>
      </c>
      <c r="D18" s="1">
        <v>1.8</v>
      </c>
      <c r="E18" s="1">
        <v>0</v>
      </c>
      <c r="F18" s="1">
        <v>100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 spans="1:15">
      <c r="A19" s="1">
        <v>5</v>
      </c>
      <c r="B19" s="1">
        <v>80</v>
      </c>
      <c r="C19" s="1">
        <v>20</v>
      </c>
      <c r="D19" s="1">
        <v>1.8</v>
      </c>
      <c r="E19" s="1">
        <v>10</v>
      </c>
      <c r="F19" s="1">
        <f>'Average Calcs'!B23</f>
        <v>0.92668635336640426</v>
      </c>
      <c r="G19" s="1">
        <f>'Average Calcs'!C23</f>
        <v>6.0578756204914939</v>
      </c>
      <c r="H19" s="1">
        <f>'Average Calcs'!D23</f>
        <v>8.3045599175974303</v>
      </c>
      <c r="I19" s="1">
        <f>'Average Calcs'!E23</f>
        <v>0</v>
      </c>
      <c r="J19" s="1">
        <f>'Average Calcs'!F23</f>
        <v>0</v>
      </c>
      <c r="K19" s="1">
        <f>'Average Calcs'!G23</f>
        <v>73.316108367321092</v>
      </c>
      <c r="L19" s="1">
        <f>'Average Calcs'!H23</f>
        <v>0.95416711347818328</v>
      </c>
      <c r="M19" s="1">
        <f>'Average Calcs'!I23</f>
        <v>6.3778216047857272</v>
      </c>
      <c r="N19" s="1">
        <f>'Average Calcs'!J23</f>
        <v>0.66255576375946068</v>
      </c>
      <c r="O19" s="1">
        <f>'Average Calcs'!K23</f>
        <v>0.6094785475756882</v>
      </c>
    </row>
    <row r="20" spans="1:15">
      <c r="A20" s="1">
        <v>5</v>
      </c>
      <c r="B20" s="1">
        <v>80</v>
      </c>
      <c r="C20" s="1">
        <v>20</v>
      </c>
      <c r="D20" s="1">
        <v>1.8</v>
      </c>
      <c r="E20" s="1">
        <v>15</v>
      </c>
      <c r="F20" s="1">
        <f>'Average Calcs'!B24</f>
        <v>0.21554482375970321</v>
      </c>
      <c r="G20" s="1">
        <f>'Average Calcs'!C24</f>
        <v>6.4806141639941863</v>
      </c>
      <c r="H20" s="1">
        <f>'Average Calcs'!D24</f>
        <v>1.9556277183463899</v>
      </c>
      <c r="I20" s="1">
        <f>'Average Calcs'!E24</f>
        <v>0</v>
      </c>
      <c r="J20" s="1">
        <f>'Average Calcs'!F24</f>
        <v>0</v>
      </c>
      <c r="K20" s="1">
        <f>'Average Calcs'!G24</f>
        <v>74.665224311757143</v>
      </c>
      <c r="L20" s="1">
        <f>'Average Calcs'!H24</f>
        <v>0</v>
      </c>
      <c r="M20" s="1">
        <f>'Average Calcs'!I24</f>
        <v>4.2152356668497015</v>
      </c>
      <c r="N20" s="1">
        <f>'Average Calcs'!J24</f>
        <v>0.46749585480649358</v>
      </c>
      <c r="O20" s="1">
        <f>'Average Calcs'!K24</f>
        <v>0.36346787932624885</v>
      </c>
    </row>
    <row r="21" spans="1:15">
      <c r="A21" s="1">
        <v>5</v>
      </c>
      <c r="B21" s="1">
        <v>80</v>
      </c>
      <c r="C21" s="1">
        <v>20</v>
      </c>
      <c r="D21" s="1">
        <v>1.8</v>
      </c>
      <c r="E21" s="1">
        <v>20</v>
      </c>
      <c r="F21" s="1">
        <f>'Average Calcs'!B25</f>
        <v>0</v>
      </c>
      <c r="G21" s="1">
        <f>'Average Calcs'!C25</f>
        <v>6.1060468934146739</v>
      </c>
      <c r="H21" s="1">
        <f>'Average Calcs'!D25</f>
        <v>1.9428858620726837</v>
      </c>
      <c r="I21" s="1">
        <f>'Average Calcs'!E25</f>
        <v>0</v>
      </c>
      <c r="J21" s="1">
        <f>'Average Calcs'!F25</f>
        <v>0</v>
      </c>
      <c r="K21" s="1">
        <f>'Average Calcs'!G25</f>
        <v>78.938858603611081</v>
      </c>
      <c r="L21" s="1">
        <f>'Average Calcs'!H25</f>
        <v>0</v>
      </c>
      <c r="M21" s="1">
        <f>'Average Calcs'!I25</f>
        <v>5.1903112985473072</v>
      </c>
      <c r="N21" s="1">
        <f>'Average Calcs'!J25</f>
        <v>0.95754170015113449</v>
      </c>
      <c r="O21" s="1">
        <f>'Average Calcs'!K25</f>
        <v>1.1812821548698351</v>
      </c>
    </row>
    <row r="22" spans="1:15">
      <c r="A22" s="1">
        <v>6</v>
      </c>
      <c r="B22" s="1">
        <v>90</v>
      </c>
      <c r="C22" s="1">
        <v>20</v>
      </c>
      <c r="D22" s="1">
        <v>1.8</v>
      </c>
      <c r="E22" s="1">
        <v>0</v>
      </c>
      <c r="F22" s="1">
        <v>82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</row>
    <row r="23" spans="1:15">
      <c r="A23" s="1">
        <v>6</v>
      </c>
      <c r="B23" s="1">
        <v>90</v>
      </c>
      <c r="C23" s="1">
        <v>20</v>
      </c>
      <c r="D23" s="1">
        <v>1.8</v>
      </c>
      <c r="E23" s="1">
        <v>10</v>
      </c>
      <c r="F23" s="1">
        <f>'Average Calcs'!B28</f>
        <v>0</v>
      </c>
      <c r="G23" s="1">
        <f>'Average Calcs'!C28</f>
        <v>6.5143214564495411</v>
      </c>
      <c r="H23" s="1">
        <f>'Average Calcs'!D28</f>
        <v>2.2400322912200323</v>
      </c>
      <c r="I23" s="1">
        <f>'Average Calcs'!E28</f>
        <v>0</v>
      </c>
      <c r="J23" s="1">
        <f>'Average Calcs'!F28</f>
        <v>0</v>
      </c>
      <c r="K23" s="1">
        <f>'Average Calcs'!G28</f>
        <v>67.737422609081179</v>
      </c>
      <c r="L23" s="1">
        <f>'Average Calcs'!H28</f>
        <v>0</v>
      </c>
      <c r="M23" s="1">
        <f>'Average Calcs'!I28</f>
        <v>3.5085467705498501</v>
      </c>
      <c r="N23" s="1">
        <f>'Average Calcs'!J28</f>
        <v>0.6916099121049557</v>
      </c>
      <c r="O23" s="1">
        <f>'Average Calcs'!K28</f>
        <v>0.88368658463887229</v>
      </c>
    </row>
    <row r="24" spans="1:15">
      <c r="A24" s="1">
        <v>6</v>
      </c>
      <c r="B24" s="1">
        <v>90</v>
      </c>
      <c r="C24" s="1">
        <v>20</v>
      </c>
      <c r="D24" s="1">
        <v>1.8</v>
      </c>
      <c r="E24" s="1">
        <v>15</v>
      </c>
      <c r="F24" s="1">
        <f>'Average Calcs'!B29</f>
        <v>0</v>
      </c>
      <c r="G24" s="1">
        <f>'Average Calcs'!C29</f>
        <v>7.0305081534120433</v>
      </c>
      <c r="H24" s="1">
        <f>'Average Calcs'!D29</f>
        <v>2.1520001089791951</v>
      </c>
      <c r="I24" s="1">
        <f>'Average Calcs'!E29</f>
        <v>0</v>
      </c>
      <c r="J24" s="1">
        <f>'Average Calcs'!F29</f>
        <v>0</v>
      </c>
      <c r="K24" s="1">
        <f>'Average Calcs'!G29</f>
        <v>69.380320379838864</v>
      </c>
      <c r="L24" s="1">
        <f>'Average Calcs'!H29</f>
        <v>0</v>
      </c>
      <c r="M24" s="1">
        <f>'Average Calcs'!I29</f>
        <v>1.6502555354364052</v>
      </c>
      <c r="N24" s="1">
        <f>'Average Calcs'!J29</f>
        <v>0.31284575600704773</v>
      </c>
      <c r="O24" s="1">
        <f>'Average Calcs'!K29</f>
        <v>0.25221687227327366</v>
      </c>
    </row>
    <row r="25" spans="1:15">
      <c r="A25" s="1">
        <v>6</v>
      </c>
      <c r="B25" s="1">
        <v>90</v>
      </c>
      <c r="C25" s="1">
        <v>20</v>
      </c>
      <c r="D25" s="1">
        <v>1.8</v>
      </c>
      <c r="E25" s="1">
        <v>20</v>
      </c>
      <c r="F25" s="1">
        <f>'Average Calcs'!B30</f>
        <v>0</v>
      </c>
      <c r="G25" s="1">
        <f>'Average Calcs'!C30</f>
        <v>5.358998596058508</v>
      </c>
      <c r="H25" s="1">
        <f>'Average Calcs'!D30</f>
        <v>1.8359630919754117</v>
      </c>
      <c r="I25" s="1">
        <f>'Average Calcs'!E30</f>
        <v>0</v>
      </c>
      <c r="J25" s="1">
        <f>'Average Calcs'!F30</f>
        <v>0</v>
      </c>
      <c r="K25" s="1">
        <f>'Average Calcs'!G30</f>
        <v>59.710724238864437</v>
      </c>
      <c r="L25" s="1">
        <f>'Average Calcs'!H30</f>
        <v>0</v>
      </c>
      <c r="M25" s="1">
        <f>'Average Calcs'!I30</f>
        <v>3.6111702982431422</v>
      </c>
      <c r="N25" s="1">
        <f>'Average Calcs'!J30</f>
        <v>0.83055341569165531</v>
      </c>
      <c r="O25" s="1">
        <f>'Average Calcs'!K30</f>
        <v>1.4530719450074461</v>
      </c>
    </row>
    <row r="26" spans="1:15">
      <c r="A26" s="1">
        <v>7</v>
      </c>
      <c r="B26" s="1">
        <v>70</v>
      </c>
      <c r="C26" s="1">
        <v>10</v>
      </c>
      <c r="D26" s="1">
        <v>0.9</v>
      </c>
      <c r="E26" s="1">
        <v>0</v>
      </c>
      <c r="F26" s="1">
        <v>40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</row>
    <row r="27" spans="1:15">
      <c r="A27" s="1">
        <v>7</v>
      </c>
      <c r="B27" s="1">
        <v>70</v>
      </c>
      <c r="C27" s="1">
        <v>10</v>
      </c>
      <c r="D27" s="1">
        <v>0.9</v>
      </c>
      <c r="E27" s="1">
        <v>10</v>
      </c>
      <c r="F27">
        <f>'Average Calcs'!B33</f>
        <v>32.440411198163766</v>
      </c>
      <c r="G27">
        <f>'Average Calcs'!C33</f>
        <v>0.1127281145158117</v>
      </c>
      <c r="H27">
        <f>'Average Calcs'!D33</f>
        <v>1.1242992581721369</v>
      </c>
      <c r="I27">
        <f>'Average Calcs'!E33</f>
        <v>0.98397729044499105</v>
      </c>
      <c r="J27">
        <f>'Average Calcs'!F33</f>
        <v>2.6722651861050211</v>
      </c>
      <c r="K27">
        <f>'Average Calcs'!G33</f>
        <v>1.4930589214797496</v>
      </c>
      <c r="L27">
        <f>'Average Calcs'!H33</f>
        <v>0.65388819683257138</v>
      </c>
      <c r="M27">
        <f>'Average Calcs'!I33</f>
        <v>0.65083256678646884</v>
      </c>
      <c r="N27">
        <f>'Average Calcs'!J33</f>
        <v>0</v>
      </c>
      <c r="O27">
        <f>'Average Calcs'!K33</f>
        <v>0</v>
      </c>
    </row>
    <row r="28" spans="1:15">
      <c r="A28" s="1">
        <v>7</v>
      </c>
      <c r="B28" s="1">
        <v>70</v>
      </c>
      <c r="C28" s="1">
        <v>10</v>
      </c>
      <c r="D28" s="1">
        <v>0.9</v>
      </c>
      <c r="E28" s="1">
        <v>15</v>
      </c>
      <c r="F28">
        <f>'Average Calcs'!B34</f>
        <v>31.028689068311461</v>
      </c>
      <c r="G28">
        <f>'Average Calcs'!C34</f>
        <v>9.9758814906137749E-2</v>
      </c>
      <c r="H28">
        <f>'Average Calcs'!D34</f>
        <v>0.95422199955560216</v>
      </c>
      <c r="I28">
        <f>'Average Calcs'!E34</f>
        <v>1.2526076099305394</v>
      </c>
      <c r="J28">
        <f>'Average Calcs'!F34</f>
        <v>3.7375116817412706</v>
      </c>
      <c r="K28">
        <f>'Average Calcs'!G34</f>
        <v>1.1160995449562194</v>
      </c>
      <c r="L28">
        <f>'Average Calcs'!H34</f>
        <v>0.74960625724373076</v>
      </c>
      <c r="M28">
        <f>'Average Calcs'!I34</f>
        <v>0.73412462505094656</v>
      </c>
      <c r="N28">
        <f>'Average Calcs'!J34</f>
        <v>0</v>
      </c>
      <c r="O28">
        <f>'Average Calcs'!K34</f>
        <v>0</v>
      </c>
    </row>
    <row r="29" spans="1:15">
      <c r="A29" s="1">
        <v>7</v>
      </c>
      <c r="B29" s="1">
        <v>70</v>
      </c>
      <c r="C29" s="1">
        <v>10</v>
      </c>
      <c r="D29" s="1">
        <v>0.9</v>
      </c>
      <c r="E29" s="1">
        <v>20</v>
      </c>
      <c r="F29">
        <f>'Average Calcs'!B35</f>
        <v>18.648809247119875</v>
      </c>
      <c r="G29">
        <f>'Average Calcs'!C35</f>
        <v>0.10081097910013319</v>
      </c>
      <c r="H29">
        <f>'Average Calcs'!D35</f>
        <v>1.6695402634812835</v>
      </c>
      <c r="I29">
        <f>'Average Calcs'!E35</f>
        <v>2.8311356376557568</v>
      </c>
      <c r="J29">
        <f>'Average Calcs'!F35</f>
        <v>7.8514234534082163</v>
      </c>
      <c r="K29">
        <f>'Average Calcs'!G35</f>
        <v>1.3357332391804668</v>
      </c>
      <c r="L29">
        <f>'Average Calcs'!H35</f>
        <v>1.4917044017692251</v>
      </c>
      <c r="M29">
        <f>'Average Calcs'!I35</f>
        <v>0.93898887321367408</v>
      </c>
      <c r="N29">
        <f>'Average Calcs'!J35</f>
        <v>6.1986318054151245E-2</v>
      </c>
      <c r="O29">
        <f>'Average Calcs'!K35</f>
        <v>0</v>
      </c>
    </row>
    <row r="30" spans="1:15">
      <c r="A30" s="1">
        <v>8</v>
      </c>
      <c r="B30" s="1">
        <v>80</v>
      </c>
      <c r="C30" s="1">
        <v>10</v>
      </c>
      <c r="D30" s="1">
        <v>0.9</v>
      </c>
      <c r="E30" s="1">
        <v>0</v>
      </c>
      <c r="F30" s="1">
        <v>40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</row>
    <row r="31" spans="1:15">
      <c r="A31" s="1">
        <v>8</v>
      </c>
      <c r="B31" s="1">
        <v>80</v>
      </c>
      <c r="C31" s="1">
        <v>10</v>
      </c>
      <c r="D31" s="1">
        <v>0.9</v>
      </c>
      <c r="E31" s="1">
        <v>10</v>
      </c>
      <c r="F31">
        <f>'Average Calcs'!B38</f>
        <v>31.518226513212152</v>
      </c>
      <c r="G31">
        <f>'Average Calcs'!C38</f>
        <v>8.721793810796126E-2</v>
      </c>
      <c r="H31">
        <f>'Average Calcs'!D38</f>
        <v>1.1158275993052469</v>
      </c>
      <c r="I31">
        <f>'Average Calcs'!E38</f>
        <v>1.047698221938907</v>
      </c>
      <c r="J31">
        <f>'Average Calcs'!F38</f>
        <v>2.7549734747542076</v>
      </c>
      <c r="K31">
        <f>'Average Calcs'!G38</f>
        <v>1.1893202246526242</v>
      </c>
      <c r="L31">
        <f>'Average Calcs'!H38</f>
        <v>0.60408565868879716</v>
      </c>
      <c r="M31">
        <f>'Average Calcs'!I38</f>
        <v>0.50124565221104078</v>
      </c>
      <c r="N31">
        <f>'Average Calcs'!J38</f>
        <v>0</v>
      </c>
      <c r="O31">
        <f>'Average Calcs'!K38</f>
        <v>0</v>
      </c>
    </row>
    <row r="32" spans="1:15">
      <c r="A32" s="1">
        <v>8</v>
      </c>
      <c r="B32" s="1">
        <v>80</v>
      </c>
      <c r="C32" s="1">
        <v>10</v>
      </c>
      <c r="D32" s="1">
        <v>0.9</v>
      </c>
      <c r="E32" s="1">
        <v>15</v>
      </c>
      <c r="F32">
        <f>'Average Calcs'!B39</f>
        <v>23.852481575467714</v>
      </c>
      <c r="G32">
        <f>'Average Calcs'!C39</f>
        <v>0</v>
      </c>
      <c r="H32">
        <f>'Average Calcs'!D39</f>
        <v>1.0143431185877796</v>
      </c>
      <c r="I32">
        <f>'Average Calcs'!E39</f>
        <v>1.6257424948419819</v>
      </c>
      <c r="J32">
        <f>'Average Calcs'!F39</f>
        <v>3.8819795869162088</v>
      </c>
      <c r="K32">
        <f>'Average Calcs'!G39</f>
        <v>0.81676186199897183</v>
      </c>
      <c r="L32">
        <f>'Average Calcs'!H39</f>
        <v>0.6724042632515117</v>
      </c>
      <c r="M32">
        <f>'Average Calcs'!I39</f>
        <v>0.45198013475636156</v>
      </c>
      <c r="N32">
        <f>'Average Calcs'!J39</f>
        <v>0</v>
      </c>
      <c r="O32">
        <f>'Average Calcs'!K39</f>
        <v>0</v>
      </c>
    </row>
    <row r="33" spans="1:15">
      <c r="A33" s="1">
        <v>8</v>
      </c>
      <c r="B33" s="1">
        <v>80</v>
      </c>
      <c r="C33" s="1">
        <v>10</v>
      </c>
      <c r="D33" s="1">
        <v>0.9</v>
      </c>
      <c r="E33" s="1">
        <v>20</v>
      </c>
      <c r="F33">
        <f>'Average Calcs'!B40</f>
        <v>17.899269924029625</v>
      </c>
      <c r="G33">
        <f>'Average Calcs'!C40</f>
        <v>0.10079150533597418</v>
      </c>
      <c r="H33">
        <f>'Average Calcs'!D40</f>
        <v>1.657862417309991</v>
      </c>
      <c r="I33">
        <f>'Average Calcs'!E40</f>
        <v>2.7221306317125178</v>
      </c>
      <c r="J33">
        <f>'Average Calcs'!F40</f>
        <v>7.5852059690487676</v>
      </c>
      <c r="K33">
        <f>'Average Calcs'!G40</f>
        <v>1.3576689723595488</v>
      </c>
      <c r="L33">
        <f>'Average Calcs'!H40</f>
        <v>0.81526702819080521</v>
      </c>
      <c r="M33">
        <f>'Average Calcs'!I40</f>
        <v>0.95143545429360632</v>
      </c>
      <c r="N33">
        <f>'Average Calcs'!J40</f>
        <v>0</v>
      </c>
      <c r="O33">
        <f>'Average Calcs'!K40</f>
        <v>0</v>
      </c>
    </row>
    <row r="34" spans="1:15">
      <c r="A34" s="1">
        <v>9</v>
      </c>
      <c r="B34" s="1">
        <v>90</v>
      </c>
      <c r="C34" s="1">
        <v>10</v>
      </c>
      <c r="D34" s="1">
        <v>0.9</v>
      </c>
      <c r="E34" s="1">
        <v>0</v>
      </c>
      <c r="F34" s="1">
        <v>40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</row>
    <row r="35" spans="1:15">
      <c r="A35" s="1">
        <v>9</v>
      </c>
      <c r="B35" s="1">
        <v>90</v>
      </c>
      <c r="C35" s="1">
        <v>10</v>
      </c>
      <c r="D35" s="1">
        <v>0.9</v>
      </c>
      <c r="E35" s="1">
        <v>10</v>
      </c>
      <c r="F35">
        <f>'Average Calcs'!B43</f>
        <v>28.957392661840647</v>
      </c>
      <c r="G35">
        <f>'Average Calcs'!C43</f>
        <v>0.1035657463657141</v>
      </c>
      <c r="H35">
        <f>'Average Calcs'!D43</f>
        <v>1.1312287978219666</v>
      </c>
      <c r="I35">
        <f>'Average Calcs'!E43</f>
        <v>1.3665855214222342</v>
      </c>
      <c r="J35">
        <f>'Average Calcs'!F43</f>
        <v>4.2562426067671497</v>
      </c>
      <c r="K35">
        <f>'Average Calcs'!G43</f>
        <v>1.3385514133476946</v>
      </c>
      <c r="L35">
        <f>'Average Calcs'!H43</f>
        <v>0.77518234282948784</v>
      </c>
      <c r="M35">
        <f>'Average Calcs'!I43</f>
        <v>0.71364821938670564</v>
      </c>
      <c r="N35">
        <f>'Average Calcs'!J43</f>
        <v>8.1120027184265614E-2</v>
      </c>
      <c r="O35">
        <f>'Average Calcs'!K43</f>
        <v>0</v>
      </c>
    </row>
    <row r="36" spans="1:15">
      <c r="A36" s="1">
        <v>9</v>
      </c>
      <c r="B36" s="1">
        <v>90</v>
      </c>
      <c r="C36" s="1">
        <v>10</v>
      </c>
      <c r="D36" s="1">
        <v>0.9</v>
      </c>
      <c r="E36" s="1">
        <v>15</v>
      </c>
      <c r="F36">
        <f>'Average Calcs'!B44</f>
        <v>34.159746872177855</v>
      </c>
      <c r="G36">
        <f>'Average Calcs'!C44</f>
        <v>6.6437310095094557E-2</v>
      </c>
      <c r="H36">
        <f>'Average Calcs'!D44</f>
        <v>0.73237536541953829</v>
      </c>
      <c r="I36">
        <f>'Average Calcs'!E44</f>
        <v>1.1827930717929298</v>
      </c>
      <c r="J36">
        <f>'Average Calcs'!F44</f>
        <v>4.6724968259749096</v>
      </c>
      <c r="K36">
        <f>'Average Calcs'!G44</f>
        <v>0.7564168196736647</v>
      </c>
      <c r="L36">
        <f>'Average Calcs'!H44</f>
        <v>0.60351168745131401</v>
      </c>
      <c r="M36">
        <f>'Average Calcs'!I44</f>
        <v>0.48929793156349399</v>
      </c>
      <c r="N36">
        <f>'Average Calcs'!J44</f>
        <v>0</v>
      </c>
      <c r="O36">
        <f>'Average Calcs'!K44</f>
        <v>0</v>
      </c>
    </row>
    <row r="37" spans="1:15">
      <c r="A37" s="1">
        <v>9</v>
      </c>
      <c r="B37" s="1">
        <v>90</v>
      </c>
      <c r="C37" s="1">
        <v>10</v>
      </c>
      <c r="D37" s="1">
        <v>0.9</v>
      </c>
      <c r="E37" s="1">
        <v>20</v>
      </c>
      <c r="F37">
        <f>'Average Calcs'!B45</f>
        <v>15.509925185560791</v>
      </c>
      <c r="G37">
        <f>'Average Calcs'!C45</f>
        <v>9.0287897465552394E-2</v>
      </c>
      <c r="H37">
        <f>'Average Calcs'!D45</f>
        <v>2.3919612419036453</v>
      </c>
      <c r="I37">
        <f>'Average Calcs'!E45</f>
        <v>2.7635207357956566</v>
      </c>
      <c r="J37">
        <f>'Average Calcs'!F45</f>
        <v>10.131559614832552</v>
      </c>
      <c r="K37">
        <f>'Average Calcs'!G45</f>
        <v>1.5408822864432621</v>
      </c>
      <c r="L37">
        <f>'Average Calcs'!H45</f>
        <v>2.4103477080927767</v>
      </c>
      <c r="M37">
        <f>'Average Calcs'!I45</f>
        <v>1.1515032106466749</v>
      </c>
      <c r="N37">
        <f>'Average Calcs'!J45</f>
        <v>8.8713310608883392E-2</v>
      </c>
      <c r="O37">
        <f>'Average Calcs'!K45</f>
        <v>0</v>
      </c>
    </row>
    <row r="38" spans="1:15">
      <c r="A38" s="1">
        <v>10</v>
      </c>
      <c r="B38" s="1">
        <v>70</v>
      </c>
      <c r="C38" s="1">
        <v>20</v>
      </c>
      <c r="D38" s="1">
        <v>0.9</v>
      </c>
      <c r="E38" s="1">
        <v>0</v>
      </c>
      <c r="F38" s="1">
        <v>40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s="1">
        <v>10</v>
      </c>
      <c r="B39" s="1">
        <v>70</v>
      </c>
      <c r="C39" s="1">
        <v>20</v>
      </c>
      <c r="D39" s="1">
        <v>0.9</v>
      </c>
      <c r="E39" s="1">
        <v>10</v>
      </c>
      <c r="F39">
        <f>'Average Calcs'!B48</f>
        <v>13.302249047596618</v>
      </c>
      <c r="G39">
        <f>'Average Calcs'!C48</f>
        <v>0.36653440600843562</v>
      </c>
      <c r="H39">
        <f>'Average Calcs'!D48</f>
        <v>3.7818521623010972</v>
      </c>
      <c r="I39">
        <f>'Average Calcs'!E48</f>
        <v>1.6271369302789689</v>
      </c>
      <c r="J39">
        <f>'Average Calcs'!F48</f>
        <v>4.3932423837953598</v>
      </c>
      <c r="K39">
        <f>'Average Calcs'!G48</f>
        <v>4.9919114118611931</v>
      </c>
      <c r="L39">
        <f>'Average Calcs'!H48</f>
        <v>2.036509825609857</v>
      </c>
      <c r="M39">
        <f>'Average Calcs'!I48</f>
        <v>1.3590058748945697</v>
      </c>
      <c r="N39">
        <f>'Average Calcs'!J48</f>
        <v>0.101060503577034</v>
      </c>
      <c r="O39">
        <f>'Average Calcs'!K48</f>
        <v>0</v>
      </c>
    </row>
    <row r="40" spans="1:15">
      <c r="A40" s="1">
        <v>10</v>
      </c>
      <c r="B40" s="1">
        <v>70</v>
      </c>
      <c r="C40" s="1">
        <v>20</v>
      </c>
      <c r="D40" s="1">
        <v>0.9</v>
      </c>
      <c r="E40" s="1">
        <v>15</v>
      </c>
      <c r="F40">
        <f>'Average Calcs'!B49</f>
        <v>10.934028198647283</v>
      </c>
      <c r="G40">
        <f>'Average Calcs'!C49</f>
        <v>0.26514325523160759</v>
      </c>
      <c r="H40">
        <f>'Average Calcs'!D49</f>
        <v>5.4838819891616879</v>
      </c>
      <c r="I40">
        <f>'Average Calcs'!E49</f>
        <v>1.3656414557731535</v>
      </c>
      <c r="J40">
        <f>'Average Calcs'!F49</f>
        <v>5.9505525975725027</v>
      </c>
      <c r="K40">
        <f>'Average Calcs'!G49</f>
        <v>4.6570561221885249</v>
      </c>
      <c r="L40">
        <f>'Average Calcs'!H49</f>
        <v>3.6893407666369296</v>
      </c>
      <c r="M40">
        <f>'Average Calcs'!I49</f>
        <v>1.7010016248120572</v>
      </c>
      <c r="N40">
        <f>'Average Calcs'!J49</f>
        <v>0.19138568478345919</v>
      </c>
      <c r="O40">
        <f>'Average Calcs'!K49</f>
        <v>0</v>
      </c>
    </row>
    <row r="41" spans="1:15">
      <c r="A41" s="1">
        <v>10</v>
      </c>
      <c r="B41" s="1">
        <v>70</v>
      </c>
      <c r="C41" s="1">
        <v>20</v>
      </c>
      <c r="D41" s="1">
        <v>0.9</v>
      </c>
      <c r="E41" s="1">
        <v>20</v>
      </c>
      <c r="F41">
        <f>'Average Calcs'!B50</f>
        <v>4.6030416682758242</v>
      </c>
      <c r="G41">
        <f>'Average Calcs'!C50</f>
        <v>0.84421540935652928</v>
      </c>
      <c r="H41">
        <f>'Average Calcs'!D50</f>
        <v>9.5292672745351279</v>
      </c>
      <c r="I41">
        <f>'Average Calcs'!E50</f>
        <v>0.62471612048322778</v>
      </c>
      <c r="J41">
        <f>'Average Calcs'!F50</f>
        <v>1.8136604760894619</v>
      </c>
      <c r="K41">
        <f>'Average Calcs'!G50</f>
        <v>20.236970310495295</v>
      </c>
      <c r="L41">
        <f>'Average Calcs'!H50</f>
        <v>4.0565440616445896</v>
      </c>
      <c r="M41">
        <f>'Average Calcs'!I50</f>
        <v>5.5865519545138653</v>
      </c>
      <c r="N41">
        <f>'Average Calcs'!J50</f>
        <v>0.74776659131470768</v>
      </c>
      <c r="O41">
        <f>'Average Calcs'!K50</f>
        <v>0.2224257194817767</v>
      </c>
    </row>
    <row r="42" spans="1:15">
      <c r="A42" s="1">
        <v>11</v>
      </c>
      <c r="B42" s="1">
        <v>80</v>
      </c>
      <c r="C42" s="1">
        <v>20</v>
      </c>
      <c r="D42" s="1">
        <v>0.9</v>
      </c>
      <c r="E42" s="1">
        <v>0</v>
      </c>
      <c r="F42" s="1">
        <v>45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 s="1">
        <v>11</v>
      </c>
      <c r="B43" s="1">
        <v>80</v>
      </c>
      <c r="C43" s="1">
        <v>20</v>
      </c>
      <c r="D43" s="1">
        <v>0.9</v>
      </c>
      <c r="E43" s="1">
        <v>10</v>
      </c>
      <c r="F43">
        <f>'Average Calcs'!B53</f>
        <v>8.5815717039927559</v>
      </c>
      <c r="G43">
        <f>'Average Calcs'!C53</f>
        <v>0.46920600097986709</v>
      </c>
      <c r="H43">
        <f>'Average Calcs'!D53</f>
        <v>4.4989521588299972</v>
      </c>
      <c r="I43">
        <f>'Average Calcs'!E53</f>
        <v>1.3698488496941923</v>
      </c>
      <c r="J43">
        <f>'Average Calcs'!F53</f>
        <v>4.9596885121654966</v>
      </c>
      <c r="K43">
        <f>'Average Calcs'!G53</f>
        <v>7.2675243458997505</v>
      </c>
      <c r="L43">
        <f>'Average Calcs'!H53</f>
        <v>2.6003504364605754</v>
      </c>
      <c r="M43">
        <f>'Average Calcs'!I53</f>
        <v>2.2383807935190188</v>
      </c>
      <c r="N43">
        <f>'Average Calcs'!J53</f>
        <v>0.36957076842209508</v>
      </c>
      <c r="O43">
        <f>'Average Calcs'!K53</f>
        <v>0</v>
      </c>
    </row>
    <row r="44" spans="1:15">
      <c r="A44" s="1">
        <v>11</v>
      </c>
      <c r="B44" s="1">
        <v>80</v>
      </c>
      <c r="C44" s="1">
        <v>20</v>
      </c>
      <c r="D44" s="1">
        <v>0.9</v>
      </c>
      <c r="E44" s="1">
        <v>15</v>
      </c>
      <c r="F44">
        <f>'Average Calcs'!B54</f>
        <v>5.6611910477717862</v>
      </c>
      <c r="G44">
        <f>'Average Calcs'!C54</f>
        <v>0.56193258959597381</v>
      </c>
      <c r="H44">
        <f>'Average Calcs'!D54</f>
        <v>9.9947997599671101</v>
      </c>
      <c r="I44">
        <f>'Average Calcs'!E54</f>
        <v>0.95067105155379028</v>
      </c>
      <c r="J44">
        <f>'Average Calcs'!F54</f>
        <v>2.1366895842822928</v>
      </c>
      <c r="K44">
        <f>'Average Calcs'!G54</f>
        <v>16.055272237358889</v>
      </c>
      <c r="L44">
        <f>'Average Calcs'!H54</f>
        <v>4.3655096269942186</v>
      </c>
      <c r="M44">
        <f>'Average Calcs'!I54</f>
        <v>5.0146049981167087</v>
      </c>
      <c r="N44">
        <f>'Average Calcs'!J54</f>
        <v>0.80084517394548504</v>
      </c>
      <c r="O44">
        <f>'Average Calcs'!K54</f>
        <v>0.18253400455794322</v>
      </c>
    </row>
    <row r="45" spans="1:15">
      <c r="A45" s="1">
        <v>11</v>
      </c>
      <c r="B45" s="1">
        <v>80</v>
      </c>
      <c r="C45" s="1">
        <v>20</v>
      </c>
      <c r="D45" s="1">
        <v>0.9</v>
      </c>
      <c r="E45" s="1">
        <v>20</v>
      </c>
      <c r="F45">
        <f>'Average Calcs'!B55</f>
        <v>0.3402266404964161</v>
      </c>
      <c r="G45">
        <f>'Average Calcs'!C55</f>
        <v>1.4290828900248813</v>
      </c>
      <c r="H45">
        <f>'Average Calcs'!D55</f>
        <v>2.803232782407862</v>
      </c>
      <c r="I45">
        <f>'Average Calcs'!E55</f>
        <v>0.26296238360550994</v>
      </c>
      <c r="J45">
        <f>'Average Calcs'!F55</f>
        <v>0.15039283335138784</v>
      </c>
      <c r="K45">
        <f>'Average Calcs'!G55</f>
        <v>26.940526770786178</v>
      </c>
      <c r="L45">
        <f>'Average Calcs'!H55</f>
        <v>0.59027811547536846</v>
      </c>
      <c r="M45">
        <f>'Average Calcs'!I55</f>
        <v>5.4113152427595663</v>
      </c>
      <c r="N45">
        <f>'Average Calcs'!J55</f>
        <v>0.90508593587056885</v>
      </c>
      <c r="O45">
        <f>'Average Calcs'!K55</f>
        <v>0.40862490851260169</v>
      </c>
    </row>
    <row r="46" spans="1:15">
      <c r="A46" s="1">
        <v>12</v>
      </c>
      <c r="B46" s="1">
        <v>90</v>
      </c>
      <c r="C46" s="1">
        <v>20</v>
      </c>
      <c r="D46" s="1">
        <v>0.9</v>
      </c>
      <c r="E46" s="1">
        <v>0</v>
      </c>
      <c r="F46" s="1">
        <v>45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</row>
    <row r="47" spans="1:15">
      <c r="A47" s="1">
        <v>12</v>
      </c>
      <c r="B47" s="1">
        <v>90</v>
      </c>
      <c r="C47" s="1">
        <v>20</v>
      </c>
      <c r="D47" s="1">
        <v>0.9</v>
      </c>
      <c r="E47" s="1">
        <v>10</v>
      </c>
      <c r="F47">
        <f>'Average Calcs'!B58</f>
        <v>7.5913207273112588</v>
      </c>
      <c r="G47">
        <f>'Average Calcs'!C58</f>
        <v>0.50827350385003101</v>
      </c>
      <c r="H47">
        <f>'Average Calcs'!D58</f>
        <v>4.2841068428030527</v>
      </c>
      <c r="I47">
        <f>'Average Calcs'!E58</f>
        <v>1.2891711683682079</v>
      </c>
      <c r="J47">
        <f>'Average Calcs'!F58</f>
        <v>4.5426846696795415</v>
      </c>
      <c r="K47">
        <f>'Average Calcs'!G58</f>
        <v>7.8517852955701972</v>
      </c>
      <c r="L47">
        <f>'Average Calcs'!H58</f>
        <v>2.7383377557055311</v>
      </c>
      <c r="M47">
        <f>'Average Calcs'!I58</f>
        <v>2.4659919431548922</v>
      </c>
      <c r="N47">
        <f>'Average Calcs'!J58</f>
        <v>0.41573695366173741</v>
      </c>
      <c r="O47">
        <f>'Average Calcs'!K58</f>
        <v>0</v>
      </c>
    </row>
    <row r="48" spans="1:15">
      <c r="A48" s="1">
        <v>12</v>
      </c>
      <c r="B48" s="1">
        <v>90</v>
      </c>
      <c r="C48" s="1">
        <v>20</v>
      </c>
      <c r="D48" s="1">
        <v>0.9</v>
      </c>
      <c r="E48" s="1">
        <v>15</v>
      </c>
      <c r="F48">
        <f>'Average Calcs'!B59</f>
        <v>2.8917933544667327</v>
      </c>
      <c r="G48">
        <f>'Average Calcs'!C59</f>
        <v>0.8007871724937804</v>
      </c>
      <c r="H48">
        <f>'Average Calcs'!D59</f>
        <v>9.1673703106688507</v>
      </c>
      <c r="I48">
        <f>'Average Calcs'!E59</f>
        <v>0.94430157061874309</v>
      </c>
      <c r="J48">
        <f>'Average Calcs'!F59</f>
        <v>0.96118744695746372</v>
      </c>
      <c r="K48">
        <f>'Average Calcs'!G59</f>
        <v>22.14959869328543</v>
      </c>
      <c r="L48">
        <f>'Average Calcs'!H59</f>
        <v>3.101149301544845</v>
      </c>
      <c r="M48">
        <f>'Average Calcs'!I59</f>
        <v>6.3066438296638081</v>
      </c>
      <c r="N48">
        <f>'Average Calcs'!J59</f>
        <v>0.80781463726746006</v>
      </c>
      <c r="O48">
        <f>'Average Calcs'!K59</f>
        <v>0.21146809605289343</v>
      </c>
    </row>
    <row r="49" spans="1:16">
      <c r="A49" s="1">
        <v>12</v>
      </c>
      <c r="B49" s="1">
        <v>90</v>
      </c>
      <c r="C49" s="1">
        <v>20</v>
      </c>
      <c r="D49" s="1">
        <v>0.9</v>
      </c>
      <c r="E49" s="1">
        <v>20</v>
      </c>
      <c r="F49">
        <f>'Average Calcs'!B60</f>
        <v>0.35981278127534083</v>
      </c>
      <c r="G49">
        <f>'Average Calcs'!C60</f>
        <v>2.1172808406476102</v>
      </c>
      <c r="H49">
        <f>'Average Calcs'!D60</f>
        <v>2.2539445523971846</v>
      </c>
      <c r="I49">
        <f>'Average Calcs'!E60</f>
        <v>0.17355811429263954</v>
      </c>
      <c r="J49">
        <f>'Average Calcs'!F60</f>
        <v>5.1073866938510688E-2</v>
      </c>
      <c r="K49">
        <f>'Average Calcs'!G60</f>
        <v>26.963174738858104</v>
      </c>
      <c r="L49">
        <f>'Average Calcs'!H60</f>
        <v>0.22214663839693161</v>
      </c>
      <c r="M49">
        <f>'Average Calcs'!I60</f>
        <v>3.3375141741488501</v>
      </c>
      <c r="N49">
        <f>'Average Calcs'!J60</f>
        <v>0.5605987087358153</v>
      </c>
      <c r="O49">
        <f>'Average Calcs'!K60</f>
        <v>0.47371033693410919</v>
      </c>
    </row>
    <row r="50" spans="1:16">
      <c r="A50" s="1">
        <v>13</v>
      </c>
      <c r="B50" s="1">
        <v>70</v>
      </c>
      <c r="C50" s="1">
        <v>40</v>
      </c>
      <c r="D50" s="1">
        <v>0.9</v>
      </c>
      <c r="E50" s="1">
        <v>0</v>
      </c>
      <c r="F50" s="1">
        <v>42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/>
    </row>
    <row r="51" spans="1:16">
      <c r="A51" s="1">
        <v>13</v>
      </c>
      <c r="B51" s="1">
        <v>70</v>
      </c>
      <c r="C51" s="1">
        <v>40</v>
      </c>
      <c r="D51" s="1">
        <v>0.9</v>
      </c>
      <c r="E51" s="1">
        <v>10</v>
      </c>
      <c r="F51">
        <f>'Average Calcs'!B63</f>
        <v>0.52289128906277194</v>
      </c>
      <c r="G51">
        <f>'Average Calcs'!C63</f>
        <v>1.8095848975774931</v>
      </c>
      <c r="H51">
        <f>'Average Calcs'!D63</f>
        <v>3.3677156305424756</v>
      </c>
      <c r="I51">
        <f>'Average Calcs'!E63</f>
        <v>6.1134575752200222E-2</v>
      </c>
      <c r="J51">
        <f>'Average Calcs'!F63</f>
        <v>7.6169379984769373E-2</v>
      </c>
      <c r="K51">
        <f>'Average Calcs'!G63</f>
        <v>25.430948528656216</v>
      </c>
      <c r="L51">
        <f>'Average Calcs'!H63</f>
        <v>0.81550778063360418</v>
      </c>
      <c r="M51">
        <f>'Average Calcs'!I63</f>
        <v>3.4252599552083844</v>
      </c>
      <c r="N51">
        <f>'Average Calcs'!J63</f>
        <v>0.24556999835145957</v>
      </c>
      <c r="O51">
        <f>'Average Calcs'!K63</f>
        <v>5.370974928040817E-2</v>
      </c>
    </row>
    <row r="52" spans="1:16">
      <c r="A52" s="1">
        <v>13</v>
      </c>
      <c r="B52" s="1">
        <v>70</v>
      </c>
      <c r="C52" s="1">
        <v>40</v>
      </c>
      <c r="D52" s="1">
        <v>0.9</v>
      </c>
      <c r="E52" s="1">
        <v>15</v>
      </c>
      <c r="F52">
        <f>'Average Calcs'!B64</f>
        <v>0</v>
      </c>
      <c r="G52">
        <f>'Average Calcs'!C64</f>
        <v>2.9070798722557374</v>
      </c>
      <c r="H52">
        <f>'Average Calcs'!D64</f>
        <v>0.86738786872253471</v>
      </c>
      <c r="I52">
        <f>'Average Calcs'!E64</f>
        <v>0.31389994136882471</v>
      </c>
      <c r="J52">
        <f>'Average Calcs'!F64</f>
        <v>0</v>
      </c>
      <c r="K52">
        <f>'Average Calcs'!G64</f>
        <v>35.404407883906039</v>
      </c>
      <c r="L52">
        <f>'Average Calcs'!H64</f>
        <v>0</v>
      </c>
      <c r="M52">
        <f>'Average Calcs'!I64</f>
        <v>2.6771305228207667</v>
      </c>
      <c r="N52">
        <f>'Average Calcs'!J64</f>
        <v>0.24535005426693188</v>
      </c>
      <c r="O52">
        <f>'Average Calcs'!K64</f>
        <v>5.9708990010220238E-2</v>
      </c>
    </row>
    <row r="53" spans="1:16">
      <c r="A53" s="1">
        <v>13</v>
      </c>
      <c r="B53" s="1">
        <v>70</v>
      </c>
      <c r="C53" s="1">
        <v>40</v>
      </c>
      <c r="D53" s="1">
        <v>0.9</v>
      </c>
      <c r="E53" s="1">
        <v>20</v>
      </c>
      <c r="F53">
        <f>'Average Calcs'!B65</f>
        <v>0</v>
      </c>
      <c r="G53">
        <f>'Average Calcs'!C65</f>
        <v>2.2312353097783286</v>
      </c>
      <c r="H53">
        <f>'Average Calcs'!D65</f>
        <v>0.91186412434277786</v>
      </c>
      <c r="I53">
        <f>'Average Calcs'!E65</f>
        <v>0.35323586249780536</v>
      </c>
      <c r="J53">
        <f>'Average Calcs'!F65</f>
        <v>0</v>
      </c>
      <c r="K53">
        <f>'Average Calcs'!G65</f>
        <v>33.579737493479108</v>
      </c>
      <c r="L53">
        <f>'Average Calcs'!H65</f>
        <v>0</v>
      </c>
      <c r="M53">
        <f>'Average Calcs'!I65</f>
        <v>2.8974572733742492</v>
      </c>
      <c r="N53">
        <f>'Average Calcs'!J65</f>
        <v>0.52019029933781169</v>
      </c>
      <c r="O53">
        <f>'Average Calcs'!K65</f>
        <v>0.26441681152802393</v>
      </c>
    </row>
    <row r="54" spans="1:16">
      <c r="A54" s="1">
        <v>14</v>
      </c>
      <c r="B54" s="1">
        <v>80</v>
      </c>
      <c r="C54" s="1">
        <v>40</v>
      </c>
      <c r="D54" s="1">
        <v>0.9</v>
      </c>
      <c r="E54" s="1">
        <v>0</v>
      </c>
      <c r="F54" s="1">
        <v>40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/>
    </row>
    <row r="55" spans="1:16">
      <c r="A55" s="1">
        <v>14</v>
      </c>
      <c r="B55" s="1">
        <v>80</v>
      </c>
      <c r="C55" s="1">
        <v>40</v>
      </c>
      <c r="D55" s="1">
        <v>0.9</v>
      </c>
      <c r="E55" s="1">
        <v>10</v>
      </c>
      <c r="F55">
        <f>'Average Calcs'!B68</f>
        <v>0.13644051035595381</v>
      </c>
      <c r="G55">
        <f>'Average Calcs'!C68</f>
        <v>1.9454538300128792</v>
      </c>
      <c r="H55">
        <f>'Average Calcs'!D68</f>
        <v>1.9202895870712264</v>
      </c>
      <c r="I55">
        <f>'Average Calcs'!E68</f>
        <v>5.7198850014672065E-2</v>
      </c>
      <c r="J55">
        <f>'Average Calcs'!F68</f>
        <v>0</v>
      </c>
      <c r="K55">
        <f>'Average Calcs'!G68</f>
        <v>30.151395678665363</v>
      </c>
      <c r="L55">
        <f>'Average Calcs'!H68</f>
        <v>0.24420284514518575</v>
      </c>
      <c r="M55">
        <f>'Average Calcs'!I68</f>
        <v>3.2470755687552013</v>
      </c>
      <c r="N55">
        <f>'Average Calcs'!J68</f>
        <v>0.50787732725142465</v>
      </c>
      <c r="O55">
        <f>'Average Calcs'!K68</f>
        <v>8.1627887883044078E-2</v>
      </c>
    </row>
    <row r="56" spans="1:16">
      <c r="A56" s="1">
        <v>14</v>
      </c>
      <c r="B56" s="1">
        <v>80</v>
      </c>
      <c r="C56" s="1">
        <v>40</v>
      </c>
      <c r="D56" s="1">
        <v>0.9</v>
      </c>
      <c r="E56" s="1">
        <v>15</v>
      </c>
      <c r="F56">
        <f>'Average Calcs'!B69</f>
        <v>0</v>
      </c>
      <c r="G56">
        <f>'Average Calcs'!C69</f>
        <v>2.1609452000580123</v>
      </c>
      <c r="H56">
        <f>'Average Calcs'!D69</f>
        <v>0.98155795027762116</v>
      </c>
      <c r="I56">
        <f>'Average Calcs'!E69</f>
        <v>0</v>
      </c>
      <c r="J56">
        <f>'Average Calcs'!F69</f>
        <v>0</v>
      </c>
      <c r="K56">
        <f>'Average Calcs'!G69</f>
        <v>28.719454004139738</v>
      </c>
      <c r="L56">
        <f>'Average Calcs'!H69</f>
        <v>0</v>
      </c>
      <c r="M56">
        <f>'Average Calcs'!I69</f>
        <v>1.2745895271731742</v>
      </c>
      <c r="N56">
        <f>'Average Calcs'!J69</f>
        <v>0.31989693855697032</v>
      </c>
      <c r="O56">
        <f>'Average Calcs'!K69</f>
        <v>0.1488596060728207</v>
      </c>
    </row>
    <row r="57" spans="1:16">
      <c r="A57" s="1">
        <v>14</v>
      </c>
      <c r="B57" s="1">
        <v>80</v>
      </c>
      <c r="C57" s="1">
        <v>40</v>
      </c>
      <c r="D57" s="1">
        <v>0.9</v>
      </c>
      <c r="E57" s="1">
        <v>20</v>
      </c>
      <c r="F57">
        <f>'Average Calcs'!B70</f>
        <v>0</v>
      </c>
      <c r="G57">
        <f>'Average Calcs'!C70</f>
        <v>1.9160452383921662</v>
      </c>
      <c r="H57">
        <f>'Average Calcs'!D70</f>
        <v>1.1259958004240189</v>
      </c>
      <c r="I57">
        <f>'Average Calcs'!E70</f>
        <v>0</v>
      </c>
      <c r="J57">
        <f>'Average Calcs'!F70</f>
        <v>0</v>
      </c>
      <c r="K57">
        <f>'Average Calcs'!G70</f>
        <v>26.410113101329724</v>
      </c>
      <c r="L57">
        <f>'Average Calcs'!H70</f>
        <v>0</v>
      </c>
      <c r="M57">
        <f>'Average Calcs'!I70</f>
        <v>1.1949922084459901</v>
      </c>
      <c r="N57">
        <f>'Average Calcs'!J70</f>
        <v>0.53048723616801086</v>
      </c>
      <c r="O57">
        <f>'Average Calcs'!K70</f>
        <v>0.59181011217284862</v>
      </c>
    </row>
    <row r="58" spans="1:16">
      <c r="A58" s="1">
        <v>15</v>
      </c>
      <c r="B58" s="1">
        <v>90</v>
      </c>
      <c r="C58" s="1">
        <v>40</v>
      </c>
      <c r="D58" s="1">
        <v>0.9</v>
      </c>
      <c r="E58" s="1">
        <v>0</v>
      </c>
      <c r="F58" s="1">
        <v>40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/>
    </row>
    <row r="59" spans="1:16">
      <c r="A59" s="1">
        <v>15</v>
      </c>
      <c r="B59" s="1">
        <v>90</v>
      </c>
      <c r="C59" s="1">
        <v>40</v>
      </c>
      <c r="D59" s="1">
        <v>0.9</v>
      </c>
      <c r="E59" s="1">
        <v>10</v>
      </c>
      <c r="F59">
        <f>'Average Calcs'!B73</f>
        <v>0</v>
      </c>
      <c r="G59">
        <f>'Average Calcs'!C73</f>
        <v>2.1919031809326861</v>
      </c>
      <c r="H59">
        <f>'Average Calcs'!D73</f>
        <v>1.1655328008143815</v>
      </c>
      <c r="I59">
        <f>'Average Calcs'!E73</f>
        <v>0</v>
      </c>
      <c r="J59">
        <f>'Average Calcs'!F73</f>
        <v>0</v>
      </c>
      <c r="K59">
        <f>'Average Calcs'!G73</f>
        <v>30.510106083870827</v>
      </c>
      <c r="L59">
        <f>'Average Calcs'!H73</f>
        <v>0</v>
      </c>
      <c r="M59">
        <f>'Average Calcs'!I73</f>
        <v>1.9669448184039195</v>
      </c>
      <c r="N59">
        <f>'Average Calcs'!J73</f>
        <v>0.60610507021130167</v>
      </c>
      <c r="O59">
        <f>'Average Calcs'!K73</f>
        <v>0.44445201501865356</v>
      </c>
    </row>
    <row r="60" spans="1:16">
      <c r="A60" s="1">
        <v>15</v>
      </c>
      <c r="B60" s="1">
        <v>90</v>
      </c>
      <c r="C60" s="1">
        <v>40</v>
      </c>
      <c r="D60" s="1">
        <v>0.9</v>
      </c>
      <c r="E60" s="1">
        <v>15</v>
      </c>
      <c r="F60">
        <f>'Average Calcs'!B74</f>
        <v>0</v>
      </c>
      <c r="G60">
        <f>'Average Calcs'!C74</f>
        <v>2.1433150658995204</v>
      </c>
      <c r="H60">
        <f>'Average Calcs'!D74</f>
        <v>1.2798876684376745</v>
      </c>
      <c r="I60">
        <f>'Average Calcs'!E74</f>
        <v>0</v>
      </c>
      <c r="J60">
        <f>'Average Calcs'!F74</f>
        <v>0</v>
      </c>
      <c r="K60">
        <f>'Average Calcs'!G74</f>
        <v>27.694524892963173</v>
      </c>
      <c r="L60">
        <f>'Average Calcs'!H74</f>
        <v>0</v>
      </c>
      <c r="M60">
        <f>'Average Calcs'!I74</f>
        <v>0.65957957893241737</v>
      </c>
      <c r="N60">
        <f>'Average Calcs'!J74</f>
        <v>0.33658699997383107</v>
      </c>
      <c r="O60">
        <f>'Average Calcs'!K74</f>
        <v>0.24612141570617765</v>
      </c>
    </row>
    <row r="61" spans="1:16">
      <c r="A61" s="1">
        <v>15</v>
      </c>
      <c r="B61" s="1">
        <v>90</v>
      </c>
      <c r="C61" s="1">
        <v>40</v>
      </c>
      <c r="D61" s="1">
        <v>0.9</v>
      </c>
      <c r="E61" s="1">
        <v>20</v>
      </c>
      <c r="F61">
        <f>'Average Calcs'!B75</f>
        <v>0</v>
      </c>
      <c r="G61">
        <f>'Average Calcs'!C75</f>
        <v>2.0688535041433087</v>
      </c>
      <c r="H61">
        <f>'Average Calcs'!D75</f>
        <v>1.4587522155518819</v>
      </c>
      <c r="I61">
        <f>'Average Calcs'!E75</f>
        <v>0</v>
      </c>
      <c r="J61">
        <f>'Average Calcs'!F75</f>
        <v>0</v>
      </c>
      <c r="K61">
        <f>'Average Calcs'!G75</f>
        <v>25.339476018599054</v>
      </c>
      <c r="L61">
        <f>'Average Calcs'!H75</f>
        <v>0</v>
      </c>
      <c r="M61">
        <f>'Average Calcs'!I75</f>
        <v>0.76419179901492262</v>
      </c>
      <c r="N61">
        <f>'Average Calcs'!J75</f>
        <v>0.48620797048355358</v>
      </c>
      <c r="O61">
        <f>'Average Calcs'!K75</f>
        <v>0.68939400797977279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E3D9-D4DD-46AA-A70F-808586D1B7A0}">
  <dimension ref="B17:D26"/>
  <sheetViews>
    <sheetView workbookViewId="0">
      <selection activeCell="B17" sqref="B17:D26"/>
    </sheetView>
  </sheetViews>
  <sheetFormatPr defaultRowHeight="14.25"/>
  <sheetData>
    <row r="17" spans="2:4">
      <c r="B17" t="s">
        <v>40</v>
      </c>
      <c r="C17" t="s">
        <v>41</v>
      </c>
      <c r="D17" t="s">
        <v>3</v>
      </c>
    </row>
    <row r="18" spans="2:4">
      <c r="B18" t="s">
        <v>31</v>
      </c>
      <c r="C18" t="s">
        <v>42</v>
      </c>
      <c r="D18" t="s">
        <v>4</v>
      </c>
    </row>
    <row r="19" spans="2:4">
      <c r="B19" t="s">
        <v>32</v>
      </c>
      <c r="C19" t="s">
        <v>43</v>
      </c>
      <c r="D19" t="s">
        <v>5</v>
      </c>
    </row>
    <row r="20" spans="2:4">
      <c r="B20" t="s">
        <v>33</v>
      </c>
      <c r="C20" t="s">
        <v>44</v>
      </c>
      <c r="D20" t="s">
        <v>6</v>
      </c>
    </row>
    <row r="21" spans="2:4">
      <c r="B21" t="s">
        <v>34</v>
      </c>
      <c r="C21" t="s">
        <v>45</v>
      </c>
      <c r="D21" t="s">
        <v>7</v>
      </c>
    </row>
    <row r="22" spans="2:4">
      <c r="B22" t="s">
        <v>35</v>
      </c>
      <c r="C22" t="s">
        <v>46</v>
      </c>
      <c r="D22" t="s">
        <v>8</v>
      </c>
    </row>
    <row r="23" spans="2:4">
      <c r="B23" t="s">
        <v>36</v>
      </c>
      <c r="C23" t="s">
        <v>47</v>
      </c>
      <c r="D23" t="s">
        <v>9</v>
      </c>
    </row>
    <row r="24" spans="2:4">
      <c r="B24" t="s">
        <v>37</v>
      </c>
      <c r="C24" t="s">
        <v>48</v>
      </c>
      <c r="D24" t="s">
        <v>52</v>
      </c>
    </row>
    <row r="25" spans="2:4">
      <c r="B25" t="s">
        <v>49</v>
      </c>
      <c r="C25" t="s">
        <v>50</v>
      </c>
      <c r="D25" t="s">
        <v>10</v>
      </c>
    </row>
    <row r="26" spans="2:4">
      <c r="B26" t="s">
        <v>39</v>
      </c>
      <c r="C26" t="s">
        <v>51</v>
      </c>
      <c r="D26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Concentration Calculations</vt:lpstr>
      <vt:lpstr>Average Calcs</vt:lpstr>
      <vt:lpstr>Calcs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Bailey</dc:creator>
  <cp:lastModifiedBy>Colin Bailey</cp:lastModifiedBy>
  <dcterms:created xsi:type="dcterms:W3CDTF">2024-09-19T16:43:34Z</dcterms:created>
  <dcterms:modified xsi:type="dcterms:W3CDTF">2024-12-19T17:42:12Z</dcterms:modified>
</cp:coreProperties>
</file>