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defaultThemeVersion="202300"/>
  <mc:AlternateContent xmlns:mc="http://schemas.openxmlformats.org/markup-compatibility/2006">
    <mc:Choice Requires="x15">
      <x15ac:absPath xmlns:x15ac="http://schemas.microsoft.com/office/spreadsheetml/2010/11/ac" url="https://d.docs.live.net/5b6ae5fea265108b/Desktop/Colin/Projects/AdventureWorks_Excel/"/>
    </mc:Choice>
  </mc:AlternateContent>
  <xr:revisionPtr revIDLastSave="2531" documentId="120_S{7248B743-439B-5329-800D-6F6F1D9C3131}" xr6:coauthVersionLast="47" xr6:coauthVersionMax="47" xr10:uidLastSave="{35C41B8B-5F8A-48EE-8B91-AE6AD59DB91D}"/>
  <bookViews>
    <workbookView xWindow="-110" yWindow="-110" windowWidth="19420" windowHeight="11500" activeTab="1" xr2:uid="{EB5F023F-348F-4AD7-A4CB-CDF959EC8866}"/>
  </bookViews>
  <sheets>
    <sheet name="Analysis" sheetId="3" r:id="rId1"/>
    <sheet name="Dashboard" sheetId="2" r:id="rId2"/>
    <sheet name="Product" sheetId="4" r:id="rId3"/>
  </sheets>
  <definedNames>
    <definedName name="_xleta.RANK" hidden="1" xlm="1">#NAME?</definedName>
    <definedName name="CtryLookupTable">Analysis!$B$71:$E$77</definedName>
    <definedName name="LookupTable">Analysis!$B$4:$L$9</definedName>
    <definedName name="MthLookupTable">Analysis!$B$36:$H$49</definedName>
    <definedName name="Slicer_Fiscal_Year">#N/A</definedName>
    <definedName name="WeekLookupTable">Analysis!$B$52:$E$59</definedName>
  </definedNames>
  <calcPr calcId="191029"/>
  <pivotCaches>
    <pivotCache cacheId="0" r:id="rId4"/>
    <pivotCache cacheId="1" r:id="rId5"/>
    <pivotCache cacheId="2" r:id="rId6"/>
    <pivotCache cacheId="3" r:id="rId7"/>
    <pivotCache cacheId="607" r:id="rId8"/>
    <pivotCache cacheId="610" r:id="rId9"/>
    <pivotCache cacheId="613" r:id="rId10"/>
    <pivotCache cacheId="616" r:id="rId11"/>
    <pivotCache cacheId="619" r:id="rId12"/>
    <pivotCache cacheId="622" r:id="rId13"/>
  </pivotCaches>
  <extLst>
    <ext xmlns:x14="http://schemas.microsoft.com/office/spreadsheetml/2009/9/main" uri="{876F7934-8845-4945-9796-88D515C7AA90}">
      <x14:pivotCaches>
        <pivotCache cacheId="10"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93b94701-6320-4381-a051-b9ddd6c8e2ae" name="FactInternetSales" connection="Query - FactInternetSales"/>
          <x15:modelTable id="DimSalesTerritory_184851ae-4643-4450-9c45-ffed6e9d4cb6" name="DimSalesTerritory" connection="Query - DimSalesTerritory"/>
          <x15:modelTable id="DimProduct_960369bf-8277-4882-8cb9-1ba22f9b6c9d" name="DimProduct" connection="Query - DimProduct"/>
          <x15:modelTable id="DimGeography_e8d82893-72fa-4b41-8ef0-b88acd51ece8" name="DimGeography" connection="Query - DimGeography"/>
          <x15:modelTable id="DimCustomer_72f6b80b-5859-43fe-8a8d-c85ef185c510" name="DimCustomer" connection="Query - DimCustomer"/>
          <x15:modelTable id="DimDate_ea3ff5df-0599-4bce-b441-54d8fbb60cd3" name="DimDate" connection="Query - DimDate"/>
          <x15:modelTable id="All Measures_a2346987-7a53-4712-8388-906c01796bb1" name="All Measures" connection="Query - All 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FactInternetSale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7" i="3" l="1" a="1"/>
  <c r="K77" i="3" s="1"/>
  <c r="K76" i="3" a="1"/>
  <c r="K76" i="3" s="1"/>
  <c r="K75" i="3" a="1"/>
  <c r="K75" i="3" s="1"/>
  <c r="K74" i="3" a="1"/>
  <c r="K74" i="3" s="1"/>
  <c r="K73" i="3" a="1"/>
  <c r="K73" i="3" s="1"/>
  <c r="K72" i="3" a="1"/>
  <c r="K72" i="3" s="1"/>
  <c r="B23" i="3"/>
  <c r="B22" i="3" s="1"/>
  <c r="K78" i="3" l="1"/>
  <c r="J71" i="3" l="1" a="1"/>
  <c r="J71" i="3" s="1"/>
  <c r="J52" i="3" a="1"/>
  <c r="J52" i="3" s="1"/>
  <c r="J36" i="3" a="1"/>
  <c r="J36" i="3" s="1"/>
  <c r="D27" i="3" a="1"/>
  <c r="D27" i="3" s="1"/>
  <c r="L48" i="3" a="1"/>
  <c r="L48" i="3" s="1"/>
  <c r="L47" i="3" a="1"/>
  <c r="L47" i="3" s="1"/>
  <c r="L46" i="3" a="1"/>
  <c r="L46" i="3" s="1"/>
  <c r="L45" i="3" a="1"/>
  <c r="L45" i="3" s="1"/>
  <c r="L44" i="3" a="1"/>
  <c r="L44" i="3" s="1"/>
  <c r="L43" i="3" a="1"/>
  <c r="L43" i="3" s="1"/>
  <c r="L42" i="3" a="1"/>
  <c r="L42" i="3" s="1"/>
  <c r="L41" i="3" a="1"/>
  <c r="L41" i="3" s="1"/>
  <c r="L40" i="3" a="1"/>
  <c r="L40" i="3" s="1"/>
  <c r="L39" i="3" a="1"/>
  <c r="L39" i="3" s="1"/>
  <c r="L38" i="3" a="1"/>
  <c r="L38" i="3" s="1"/>
  <c r="L37" i="3" a="1"/>
  <c r="L37" i="3" s="1"/>
  <c r="K48" i="3" a="1"/>
  <c r="K48" i="3" s="1"/>
  <c r="K47" i="3" a="1"/>
  <c r="K47" i="3" s="1"/>
  <c r="K46" i="3" a="1"/>
  <c r="K46" i="3" s="1"/>
  <c r="K45" i="3" a="1"/>
  <c r="K45" i="3" s="1"/>
  <c r="K44" i="3" a="1"/>
  <c r="K44" i="3" s="1"/>
  <c r="K43" i="3" a="1"/>
  <c r="K43" i="3" s="1"/>
  <c r="K42" i="3" a="1"/>
  <c r="K42" i="3" s="1"/>
  <c r="K41" i="3" a="1"/>
  <c r="K41" i="3" s="1"/>
  <c r="K40" i="3" a="1"/>
  <c r="K40" i="3" s="1"/>
  <c r="K39" i="3" a="1"/>
  <c r="K39" i="3" s="1"/>
  <c r="K38" i="3" a="1"/>
  <c r="K38" i="3" s="1"/>
  <c r="K37" i="3" a="1"/>
  <c r="K37" i="3" s="1"/>
  <c r="K59" i="3" a="1"/>
  <c r="K59" i="3" s="1"/>
  <c r="K58" i="3" a="1"/>
  <c r="K58" i="3" s="1"/>
  <c r="K57" i="3" a="1"/>
  <c r="K57" i="3" s="1"/>
  <c r="K56" i="3" a="1"/>
  <c r="K56" i="3" s="1"/>
  <c r="K55" i="3" a="1"/>
  <c r="K55" i="3" s="1"/>
  <c r="K54" i="3" a="1"/>
  <c r="K54" i="3" s="1"/>
  <c r="K53" i="3" a="1"/>
  <c r="K53" i="3" s="1"/>
  <c r="D22" i="3"/>
  <c r="C35" i="3"/>
  <c r="C32" i="3" a="1"/>
  <c r="C32" i="3" s="1"/>
  <c r="C31" i="3" a="1"/>
  <c r="C31" i="3" s="1"/>
  <c r="C30" i="3" a="1"/>
  <c r="C30" i="3" s="1"/>
  <c r="C29" i="3" a="1"/>
  <c r="C29" i="3" s="1"/>
  <c r="B32" i="3"/>
  <c r="B31" i="3"/>
  <c r="B30" i="3"/>
  <c r="B29" i="3"/>
  <c r="L107" i="3" l="1"/>
  <c r="K107" i="3"/>
  <c r="L99" i="3"/>
  <c r="K99" i="3"/>
  <c r="L90" i="3"/>
  <c r="K90" i="3"/>
  <c r="K71" i="3"/>
  <c r="K36" i="3"/>
  <c r="D32" i="3"/>
  <c r="E32" i="3" s="1"/>
  <c r="D31" i="3"/>
  <c r="E31" i="3" s="1"/>
  <c r="D30" i="3"/>
  <c r="E30" i="3" s="1"/>
  <c r="D29" i="3"/>
  <c r="E29" i="3" s="1"/>
  <c r="K60" i="3"/>
  <c r="L36" i="3"/>
  <c r="K52" i="3"/>
  <c r="C22" i="3"/>
  <c r="K49" i="3"/>
  <c r="L49" i="3"/>
  <c r="E22" i="3"/>
  <c r="F22" i="3"/>
  <c r="G22" i="3"/>
  <c r="H22" i="3"/>
  <c r="G23" i="3"/>
  <c r="E23" i="3"/>
  <c r="C23" i="3"/>
  <c r="D23" i="3"/>
  <c r="D24" i="3" s="1"/>
  <c r="F23" i="3"/>
  <c r="H23" i="3"/>
  <c r="K110" i="3" l="1"/>
  <c r="K108" i="3"/>
  <c r="K109" i="3"/>
  <c r="K102" i="3"/>
  <c r="K101" i="3"/>
  <c r="K100" i="3"/>
  <c r="L102" i="3"/>
  <c r="L101" i="3"/>
  <c r="L100" i="3"/>
  <c r="L108" i="3"/>
  <c r="L110" i="3"/>
  <c r="L109" i="3"/>
  <c r="L94" i="3"/>
  <c r="L93" i="3"/>
  <c r="L92" i="3"/>
  <c r="L91" i="3"/>
  <c r="K94" i="3"/>
  <c r="K93" i="3"/>
  <c r="K92" i="3"/>
  <c r="K91" i="3"/>
  <c r="H24" i="3"/>
  <c r="F24" i="3"/>
  <c r="G24" i="3"/>
  <c r="E24" i="3"/>
  <c r="C24" i="3"/>
  <c r="K103" i="3" l="1"/>
  <c r="M102" i="3" s="1"/>
  <c r="O102" i="3" s="1"/>
  <c r="K111" i="3"/>
  <c r="M109" i="3" s="1"/>
  <c r="O109" i="3" s="1"/>
  <c r="L111" i="3"/>
  <c r="N110" i="3" s="1"/>
  <c r="P110" i="3" s="1"/>
  <c r="L103" i="3"/>
  <c r="N100" i="3" s="1"/>
  <c r="P100" i="3" s="1"/>
  <c r="K95" i="3"/>
  <c r="M94" i="3" s="1"/>
  <c r="O94" i="3" s="1"/>
  <c r="L95" i="3"/>
  <c r="N91" i="3" s="1"/>
  <c r="P91" i="3" s="1"/>
  <c r="N108" i="3" l="1"/>
  <c r="P108" i="3" s="1"/>
  <c r="M110" i="3"/>
  <c r="O110" i="3" s="1"/>
  <c r="M108" i="3"/>
  <c r="O108" i="3" s="1"/>
  <c r="N102" i="3"/>
  <c r="P102" i="3" s="1"/>
  <c r="N101" i="3"/>
  <c r="M91" i="3"/>
  <c r="O91" i="3" s="1"/>
  <c r="M93" i="3"/>
  <c r="O93" i="3" s="1"/>
  <c r="M101" i="3"/>
  <c r="O101" i="3" s="1"/>
  <c r="M100" i="3"/>
  <c r="O100" i="3" s="1"/>
  <c r="N109" i="3"/>
  <c r="M92" i="3"/>
  <c r="O92" i="3" s="1"/>
  <c r="N94" i="3"/>
  <c r="P94" i="3" s="1"/>
  <c r="N93" i="3"/>
  <c r="P93" i="3" s="1"/>
  <c r="N92" i="3"/>
  <c r="M111" i="3" l="1"/>
  <c r="N111" i="3"/>
  <c r="P109" i="3"/>
  <c r="N103" i="3"/>
  <c r="P101" i="3"/>
  <c r="M103" i="3"/>
  <c r="M95" i="3"/>
  <c r="N95" i="3"/>
  <c r="P9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9CF26C-7E66-45B1-9769-8B9F3E9BAE9C}" name="Query - All Measures" description="Connection to the 'All Measures' query in the workbook." type="100" refreshedVersion="8" minRefreshableVersion="5">
    <extLst>
      <ext xmlns:x15="http://schemas.microsoft.com/office/spreadsheetml/2010/11/main" uri="{DE250136-89BD-433C-8126-D09CA5730AF9}">
        <x15:connection id="9ff8bda7-8007-4f2c-bd0d-70007018742c">
          <x15:oledbPr connection="Provider=Microsoft.Mashup.OleDb.1;Data Source=$Workbook$;Location=&quot;All Measures&quot;;Extended Properties=&quot;&quot;">
            <x15:dbTables>
              <x15:dbTable name="All Measures"/>
            </x15:dbTables>
          </x15:oledbPr>
        </x15:connection>
      </ext>
    </extLst>
  </connection>
  <connection id="2" xr16:uid="{16AF7554-6816-40AD-89E9-6EBFE3B25D5A}" name="Query - DimCustomer" description="Connection to the 'DimCustomer' query in the workbook." type="100" refreshedVersion="8" minRefreshableVersion="5">
    <extLst>
      <ext xmlns:x15="http://schemas.microsoft.com/office/spreadsheetml/2010/11/main" uri="{DE250136-89BD-433C-8126-D09CA5730AF9}">
        <x15:connection id="d52f4d31-b71d-4cd1-8488-94e8c5613f00">
          <x15:oledbPr connection="Provider=Microsoft.Mashup.OleDb.1;Data Source=$Workbook$;Location=DimCustomer;Extended Properties=&quot;&quot;">
            <x15:dbTables>
              <x15:dbTable name="DimCustomer"/>
            </x15:dbTables>
          </x15:oledbPr>
        </x15:connection>
      </ext>
    </extLst>
  </connection>
  <connection id="3" xr16:uid="{A9EE1E90-3EF4-44C8-8438-6595F62A95DD}" name="Query - DimDate" description="Connection to the 'DimDate' query in the workbook." type="100" refreshedVersion="8" minRefreshableVersion="5">
    <extLst>
      <ext xmlns:x15="http://schemas.microsoft.com/office/spreadsheetml/2010/11/main" uri="{DE250136-89BD-433C-8126-D09CA5730AF9}">
        <x15:connection id="bbab9daf-d5d6-4e50-bdbe-11c9ad7a90a2">
          <x15:oledbPr connection="Provider=Microsoft.Mashup.OleDb.1;Data Source=$Workbook$;Location=DimDate;Extended Properties=&quot;&quot;">
            <x15:dbTables>
              <x15:dbTable name="DimDate"/>
            </x15:dbTables>
          </x15:oledbPr>
        </x15:connection>
      </ext>
    </extLst>
  </connection>
  <connection id="4" xr16:uid="{9C5A7A1B-C197-4E4E-850B-184793A75547}" name="Query - DimGeography" description="Connection to the 'DimGeography' query in the workbook." type="100" refreshedVersion="8" minRefreshableVersion="5">
    <extLst>
      <ext xmlns:x15="http://schemas.microsoft.com/office/spreadsheetml/2010/11/main" uri="{DE250136-89BD-433C-8126-D09CA5730AF9}">
        <x15:connection id="430ecb4f-6959-4c4e-bdda-f062e70f5b57">
          <x15:oledbPr connection="Provider=Microsoft.Mashup.OleDb.1;Data Source=$Workbook$;Location=DimGeography;Extended Properties=&quot;&quot;">
            <x15:dbTables>
              <x15:dbTable name="DimGeography"/>
            </x15:dbTables>
          </x15:oledbPr>
        </x15:connection>
      </ext>
    </extLst>
  </connection>
  <connection id="5" xr16:uid="{61A8FA48-9A26-4AF1-92BD-4E89C7B5ABFF}" name="Query - DimProduct" description="Connection to the 'DimProduct' query in the workbook." type="100" refreshedVersion="8" minRefreshableVersion="5">
    <extLst>
      <ext xmlns:x15="http://schemas.microsoft.com/office/spreadsheetml/2010/11/main" uri="{DE250136-89BD-433C-8126-D09CA5730AF9}">
        <x15:connection id="5ba8bc23-06f9-46c3-9131-168eaab5aecc"/>
      </ext>
    </extLst>
  </connection>
  <connection id="6" xr16:uid="{49884C11-7AD9-4601-B355-180EB683D256}" name="Query - DimSalesTerritory" description="Connection to the 'DimSalesTerritory' query in the workbook." type="100" refreshedVersion="8" minRefreshableVersion="5">
    <extLst>
      <ext xmlns:x15="http://schemas.microsoft.com/office/spreadsheetml/2010/11/main" uri="{DE250136-89BD-433C-8126-D09CA5730AF9}">
        <x15:connection id="5e60e8e9-0dd0-4e7c-9d45-c59ab5c40cf4">
          <x15:oledbPr connection="Provider=Microsoft.Mashup.OleDb.1;Data Source=$Workbook$;Location=DimSalesTerritory;Extended Properties=&quot;&quot;">
            <x15:dbTables>
              <x15:dbTable name="DimSalesTerritory"/>
            </x15:dbTables>
          </x15:oledbPr>
        </x15:connection>
      </ext>
    </extLst>
  </connection>
  <connection id="7" xr16:uid="{F28F0547-6602-41D0-8D41-0E14A8C77A80}" name="Query - FactInternetSales" description="Connection to the 'FactInternetSales' query in the workbook." type="100" refreshedVersion="8" minRefreshableVersion="5">
    <extLst>
      <ext xmlns:x15="http://schemas.microsoft.com/office/spreadsheetml/2010/11/main" uri="{DE250136-89BD-433C-8126-D09CA5730AF9}">
        <x15:connection id="691db45e-6d04-472f-ade6-941f53a19c0a">
          <x15:oledbPr connection="Provider=Microsoft.Mashup.OleDb.1;Data Source=$Workbook$;Location=FactInternetSales;Extended Properties=&quot;&quot;">
            <x15:dbTables>
              <x15:dbTable name="FactInternetSales"/>
            </x15:dbTables>
          </x15:oledbPr>
        </x15:connection>
      </ext>
    </extLst>
  </connection>
  <connection id="8" xr16:uid="{0DDA46D6-EEF9-4793-A480-9B3208316A0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<sst xmlns="http://schemas.openxmlformats.org/spreadsheetml/2006/main" count="187" uniqueCount="89">
  <si>
    <t>All Products</t>
  </si>
  <si>
    <t>Sold Products</t>
  </si>
  <si>
    <t>Unsold Products</t>
  </si>
  <si>
    <t>% Profit Margin</t>
  </si>
  <si>
    <t># Orders</t>
  </si>
  <si>
    <t xml:space="preserve"> Total Profit</t>
  </si>
  <si>
    <t xml:space="preserve"> Total Revenue</t>
  </si>
  <si>
    <t xml:space="preserve"> COGS</t>
  </si>
  <si>
    <t xml:space="preserve"> OrderQuantity</t>
  </si>
  <si>
    <t>AOV</t>
  </si>
  <si>
    <t>Row Labels</t>
  </si>
  <si>
    <t>Grand Total</t>
  </si>
  <si>
    <t>Year</t>
  </si>
  <si>
    <t>Option Button</t>
  </si>
  <si>
    <t>Selected Year</t>
  </si>
  <si>
    <t>Profit</t>
  </si>
  <si>
    <t>Profit Margin</t>
  </si>
  <si>
    <t>Revenue</t>
  </si>
  <si>
    <t>Cost</t>
  </si>
  <si>
    <t>Unit Solds</t>
  </si>
  <si>
    <t>KPI Cards</t>
  </si>
  <si>
    <t>Slicer for Year</t>
  </si>
  <si>
    <t>Avg</t>
  </si>
  <si>
    <t>Above</t>
  </si>
  <si>
    <t>Below</t>
  </si>
  <si>
    <t>YoY Change</t>
  </si>
  <si>
    <t>Jan</t>
  </si>
  <si>
    <t>Feb</t>
  </si>
  <si>
    <t>Mar</t>
  </si>
  <si>
    <t>Apr</t>
  </si>
  <si>
    <t>May</t>
  </si>
  <si>
    <t>Jun</t>
  </si>
  <si>
    <t>Jul</t>
  </si>
  <si>
    <t>Aug</t>
  </si>
  <si>
    <t>Sep</t>
  </si>
  <si>
    <t>Oct</t>
  </si>
  <si>
    <t>Nov</t>
  </si>
  <si>
    <t>Dec</t>
  </si>
  <si>
    <t>Yearly Summary</t>
  </si>
  <si>
    <t>PY Revenue</t>
  </si>
  <si>
    <t>PY Profit</t>
  </si>
  <si>
    <t>PY COGS</t>
  </si>
  <si>
    <t>Bar Chart for Annual Profit, Revenue, Cost</t>
  </si>
  <si>
    <t>Line Chart for Monthly Profit, Revenue Cost</t>
  </si>
  <si>
    <t>Bar Chart for Day Profit, Revenue, Cost</t>
  </si>
  <si>
    <t>Mon</t>
  </si>
  <si>
    <t>Tue</t>
  </si>
  <si>
    <t>Wed</t>
  </si>
  <si>
    <t>Thu</t>
  </si>
  <si>
    <t>Fri</t>
  </si>
  <si>
    <t>Sat</t>
  </si>
  <si>
    <t>Sun</t>
  </si>
  <si>
    <t>Bar Chart for Quarterly Revenue, Profit, Profit Margin</t>
  </si>
  <si>
    <t>Q3</t>
  </si>
  <si>
    <t>Q4</t>
  </si>
  <si>
    <t>Bar Chart for Revenue, Profit, Profit Margin by Country</t>
  </si>
  <si>
    <t>Country</t>
  </si>
  <si>
    <t>Canada</t>
  </si>
  <si>
    <t>Australia</t>
  </si>
  <si>
    <t>France</t>
  </si>
  <si>
    <t>Germany</t>
  </si>
  <si>
    <t>United Kingdom</t>
  </si>
  <si>
    <t>United States</t>
  </si>
  <si>
    <t>Q1</t>
  </si>
  <si>
    <t>Q2</t>
  </si>
  <si>
    <t>Fiscal Quarter</t>
  </si>
  <si>
    <t>Day Name</t>
  </si>
  <si>
    <t>Month Name</t>
  </si>
  <si>
    <t>AOV = DIVIDE([Sum of Total Revenue],[# Orders],0)</t>
  </si>
  <si>
    <t>Column Labels</t>
  </si>
  <si>
    <t>Sum of OrderQuantity</t>
  </si>
  <si>
    <t>Mountain</t>
  </si>
  <si>
    <t>Road</t>
  </si>
  <si>
    <t>Standard</t>
  </si>
  <si>
    <t>Touring</t>
  </si>
  <si>
    <t>Category</t>
  </si>
  <si>
    <t>High</t>
  </si>
  <si>
    <t>Low</t>
  </si>
  <si>
    <t>Medium</t>
  </si>
  <si>
    <t>Sum of Total Profit</t>
  </si>
  <si>
    <t>Fiscal Year</t>
  </si>
  <si>
    <t>CostCategory</t>
  </si>
  <si>
    <t>Quantity</t>
  </si>
  <si>
    <t>% Profit</t>
  </si>
  <si>
    <t>% Qty</t>
  </si>
  <si>
    <t>Graph Labels</t>
  </si>
  <si>
    <t>High (&gt;$1K)</t>
  </si>
  <si>
    <t>Low (&lt;$100)</t>
  </si>
  <si>
    <t>Medium ($100-$1K)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</si>
</sst>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0%;#,##0.0%"/>
    <numFmt numFmtId="165" formatCode="[&lt;999999]0.00,&quot; K&quot;;[&lt;999999999]0.00,,&quot; M&quot;;\ 0.00,&quot;B&quot;"/>
    <numFmt numFmtId="166" formatCode="[&lt;999999]&quot;$&quot;0.00,&quot; K&quot;;[&lt;999999999]&quot;$&quot;0.00,,&quot; M&quot;;\ &quot;$&quot;0.00,&quot;B&quot;"/>
    <numFmt numFmtId="167" formatCode="&quot;$&quot;#,##0"/>
    <numFmt numFmtId="168" formatCode="[&lt;999999]&quot;$&quot;0,&quot; K&quot;;[&lt;999999999]&quot;$&quot;0,,&quot; M&quot;;\ &quot;$&quot;0,&quot;B&quot;"/>
    <numFmt numFmtId="169" formatCode="\▲\ 0.0%;\▼\ 0.0%;0.0%"/>
    <numFmt numFmtId="170" formatCode="@\ &quot;*&quot;"/>
    <numFmt numFmtId="171" formatCode="[&lt;999999]0.0,&quot; K&quot;;[&lt;999999999]0.0,,&quot; M&quot;;\ 0.0,&quot;B&quot;"/>
    <numFmt numFmtId="172" formatCode="0.0%"/>
    <numFmt numFmtId="173" formatCode="[&lt;999999]&quot;$&quot;0.0,&quot; K&quot;;[&lt;999999999]&quot;$&quot;0.0,,&quot; M&quot;;\ &quot;$&quot;0.0,&quot;B&quot;"/>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b/>
      <sz val="11"/>
      <color rgb="FFFF0000"/>
      <name val="Aptos Narrow"/>
      <family val="2"/>
      <scheme val="minor"/>
    </font>
    <font>
      <sz val="8"/>
      <color rgb="FF000000"/>
      <name val="Segoe UI"/>
      <family val="2"/>
    </font>
    <font>
      <sz val="11"/>
      <color theme="1"/>
      <name val="Aptos Display"/>
      <family val="2"/>
      <scheme val="major"/>
    </font>
    <font>
      <sz val="11"/>
      <color theme="1"/>
      <name val="Aptos Black"/>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9" fontId="1" fillId="0" borderId="0" applyFont="0" applyFill="0" applyBorder="0" applyAlignment="0" applyProtection="0"/>
  </cellStyleXfs>
  <cellXfs count="32">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167" fontId="0" fillId="0" borderId="0" xfId="0" applyNumberFormat="1"/>
    <xf numFmtId="0" fontId="0" fillId="0" borderId="0" xfId="0" pivotButton="1"/>
    <xf numFmtId="0" fontId="0" fillId="0" borderId="0" xfId="0" applyAlignment="1">
      <alignment horizontal="left"/>
    </xf>
    <xf numFmtId="0" fontId="2" fillId="0" borderId="0" xfId="0" applyFont="1" applyAlignment="1">
      <alignment horizontal="left"/>
    </xf>
    <xf numFmtId="0" fontId="2" fillId="0" borderId="0" xfId="0" applyFont="1"/>
    <xf numFmtId="0" fontId="3" fillId="2" borderId="0" xfId="0" applyFont="1" applyFill="1"/>
    <xf numFmtId="0" fontId="0" fillId="0" borderId="1" xfId="0" applyBorder="1"/>
    <xf numFmtId="164" fontId="0" fillId="0" borderId="1" xfId="0" applyNumberFormat="1" applyBorder="1"/>
    <xf numFmtId="0" fontId="0" fillId="0" borderId="1" xfId="0" applyBorder="1" applyAlignment="1">
      <alignment horizontal="center"/>
    </xf>
    <xf numFmtId="168" fontId="0" fillId="0" borderId="1" xfId="0" applyNumberFormat="1" applyBorder="1" applyAlignment="1">
      <alignment horizontal="center"/>
    </xf>
    <xf numFmtId="0" fontId="3" fillId="2" borderId="0" xfId="0" applyFont="1" applyFill="1" applyAlignment="1">
      <alignment horizontal="center" vertical="center"/>
    </xf>
    <xf numFmtId="169" fontId="0" fillId="0" borderId="1" xfId="1" applyNumberFormat="1" applyFont="1" applyBorder="1"/>
    <xf numFmtId="0" fontId="0" fillId="0" borderId="1" xfId="0" applyBorder="1" applyAlignment="1">
      <alignment horizontal="center" vertical="center"/>
    </xf>
    <xf numFmtId="171" fontId="0" fillId="0" borderId="0" xfId="0" applyNumberFormat="1"/>
    <xf numFmtId="0" fontId="3" fillId="2" borderId="0" xfId="0" applyFont="1" applyFill="1" applyAlignment="1">
      <alignment horizontal="center"/>
    </xf>
    <xf numFmtId="171" fontId="2" fillId="0" borderId="2" xfId="0" applyNumberFormat="1" applyFont="1" applyBorder="1"/>
    <xf numFmtId="172" fontId="0" fillId="0" borderId="0" xfId="0" applyNumberFormat="1"/>
    <xf numFmtId="170" fontId="0" fillId="0" borderId="0" xfId="0" applyNumberFormat="1"/>
    <xf numFmtId="0" fontId="5" fillId="0" borderId="0" xfId="0" applyFont="1"/>
    <xf numFmtId="0" fontId="6" fillId="0" borderId="0" xfId="0" applyFont="1"/>
    <xf numFmtId="0" fontId="0" fillId="0" borderId="0" xfId="0" applyAlignment="1">
      <alignment horizontal="center" vertical="center"/>
    </xf>
    <xf numFmtId="0" fontId="2" fillId="0" borderId="2" xfId="0" applyFont="1" applyBorder="1"/>
    <xf numFmtId="9" fontId="0" fillId="0" borderId="0" xfId="1" applyFont="1"/>
    <xf numFmtId="9" fontId="2" fillId="0" borderId="2" xfId="1" applyFont="1" applyBorder="1"/>
    <xf numFmtId="173" fontId="0" fillId="0" borderId="1" xfId="0" applyNumberFormat="1" applyBorder="1"/>
    <xf numFmtId="171" fontId="0" fillId="0" borderId="1" xfId="0" applyNumberFormat="1" applyBorder="1"/>
    <xf numFmtId="9" fontId="0" fillId="0" borderId="0" xfId="1" applyFont="1" applyAlignment="1"/>
  </cellXfs>
  <cellStyles count="2">
    <cellStyle name="Normal" xfId="0" builtinId="0"/>
    <cellStyle name="Percent" xfId="1" builtinId="5"/>
  </cellStyles>
  <dxfs count="98">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65" formatCode="[&lt;999999]0.00,&quot; K&quot;;[&lt;999999999]0.00,,&quot; M&quot;;\ 0.00,&quot;B&quot;"/>
    </dxf>
    <dxf>
      <numFmt numFmtId="165" formatCode="[&lt;999999]0.00,&quot; K&quot;;[&lt;999999999]0.00,,&quot; M&quot;;\ 0.00,&quot;B&quot;"/>
    </dxf>
    <dxf>
      <numFmt numFmtId="166" formatCode="[&lt;999999]&quot;$&quot;0.00,&quot; K&quot;;[&lt;999999999]&quot;$&quot;0.00,,&quot; M&quot;;\ &quot;$&quot;0.00,&quot;B&quot;"/>
    </dxf>
    <dxf>
      <numFmt numFmtId="167" formatCode="&quot;$&quot;#,##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72" formatCode="0.0%"/>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65" formatCode="[&lt;999999]0.00,&quot; K&quot;;[&lt;999999999]0.00,,&quot; M&quot;;\ 0.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71" formatCode="[&lt;999999]0.0,&quot; K&quot;;[&lt;999999999]0.0,,&quot; M&quot;;\ 0.0,&quot;B&quot;"/>
    </dxf>
    <dxf>
      <numFmt numFmtId="165" formatCode="[&lt;999999]0.00,&quot; K&quot;;[&lt;999999999]0.00,,&quot; M&quot;;\ 0.00,&quot;B&quot;"/>
    </dxf>
    <dxf>
      <numFmt numFmtId="165" formatCode="[&lt;999999]0.00,&quot; K&quot;;[&lt;999999999]0.00,,&quot; M&quot;;\ 0.00,&quot;B&quot;"/>
    </dxf>
    <dxf>
      <numFmt numFmtId="166" formatCode="[&lt;999999]&quot;$&quot;0.00,&quot; K&quot;;[&lt;999999999]&quot;$&quot;0.00,,&quot; M&quot;;\ &quot;$&quot;0.00,&quot;B&quot;"/>
    </dxf>
    <dxf>
      <numFmt numFmtId="167" formatCode="&quot;$&quot;#,##0"/>
    </dxf>
    <dxf>
      <font>
        <color theme="6"/>
      </font>
    </dxf>
    <dxf>
      <font>
        <color rgb="FFC00000"/>
      </font>
    </dxf>
    <dxf>
      <numFmt numFmtId="167" formatCode="&quot;$&quot;#,##0"/>
    </dxf>
    <dxf>
      <numFmt numFmtId="166" formatCode="[&lt;999999]&quot;$&quot;0.00,&quot; K&quot;;[&lt;999999999]&quot;$&quot;0.00,,&quot; M&quot;;\ &quot;$&quot;0.00,&quot;B&quot;"/>
    </dxf>
    <dxf>
      <numFmt numFmtId="165" formatCode="[&lt;999999]0.00,&quot; K&quot;;[&lt;999999999]0.00,,&quot; M&quot;;\ 0.00,&quot;B&quot;"/>
    </dxf>
    <dxf>
      <numFmt numFmtId="165" formatCode="[&lt;999999]0.00,&quot; K&quot;;[&lt;999999999]0.00,,&quot; M&quot;;\ 0.00,&quot;B&quot;"/>
    </dxf>
    <dxf>
      <numFmt numFmtId="172" formatCode="0.0%"/>
    </dxf>
    <dxf>
      <numFmt numFmtId="171" formatCode="[&lt;999999]0.0,&quot; K&quot;;[&lt;999999999]0.0,,&quot; M&quot;;\ 0.0,&quot;B&quot;"/>
    </dxf>
    <dxf>
      <numFmt numFmtId="166" formatCode="[&lt;999999]&quot;$&quot;0.00,&quot; K&quot;;[&lt;999999999]&quot;$&quot;0.00,,&quot; M&quot;;\ &quot;$&quot;0.00,&quot;B&quot;"/>
    </dxf>
    <dxf>
      <numFmt numFmtId="166" formatCode="[&lt;999999]&quot;$&quot;0.00,&quot; K&quot;;[&lt;999999999]&quot;$&quot;0.00,,&quot; M&quot;;\ &quot;$&quot;0.00,&quot;B&quot;"/>
    </dxf>
    <dxf>
      <numFmt numFmtId="165" formatCode="[&lt;999999]0.00,&quot; K&quot;;[&lt;999999999]0.00,,&quot; M&quot;;\ 0.00,&quot;B&quot;"/>
    </dxf>
    <dxf>
      <numFmt numFmtId="172" formatCode="0.0%"/>
    </dxf>
    <dxf>
      <numFmt numFmtId="171" formatCode="[&lt;999999]0.0,&quot; K&quot;;[&lt;999999999]0.0,,&quot; M&quot;;\ 0.0,&quot;B&quot;"/>
    </dxf>
    <dxf>
      <numFmt numFmtId="166" formatCode="[&lt;999999]&quot;$&quot;0.00,&quot; K&quot;;[&lt;999999999]&quot;$&quot;0.00,,&quot; M&quot;;\ &quot;$&quot;0.00,&quot;B&quot;"/>
    </dxf>
    <dxf>
      <numFmt numFmtId="166" formatCode="[&lt;999999]&quot;$&quot;0.00,&quot; K&quot;;[&lt;999999999]&quot;$&quot;0.00,,&quot; M&quot;;\ &quot;$&quot;0.00,&quot;B&quot;"/>
    </dxf>
    <dxf>
      <numFmt numFmtId="165" formatCode="[&lt;999999]0.00,&quot; K&quot;;[&lt;999999999]0.00,,&quot; M&quot;;\ 0.00,&quot;B&quot;"/>
    </dxf>
    <dxf>
      <numFmt numFmtId="171" formatCode="[&lt;999999]0.0,&quot; K&quot;;[&lt;999999999]0.0,,&quot; M&quot;;\ 0.0,&quot;B&quot;"/>
    </dxf>
    <dxf>
      <numFmt numFmtId="171" formatCode="[&lt;999999]0.0,&quot; K&quot;;[&lt;999999999]0.0,,&quot; M&quot;;\ 0.0,&quot;B&quot;"/>
    </dxf>
    <dxf>
      <numFmt numFmtId="167" formatCode="&quot;$&quot;#,##0"/>
    </dxf>
    <dxf>
      <numFmt numFmtId="166" formatCode="[&lt;999999]&quot;$&quot;0.00,&quot; K&quot;;[&lt;999999999]&quot;$&quot;0.00,,&quot; M&quot;;\ &quot;$&quot;0.00,&quot;B&quot;"/>
    </dxf>
    <dxf>
      <numFmt numFmtId="165" formatCode="[&lt;999999]0.00,&quot; K&quot;;[&lt;999999999]0.00,,&quot; M&quot;;\ 0.00,&quot;B&quot;"/>
    </dxf>
    <dxf>
      <numFmt numFmtId="165" formatCode="[&lt;999999]0.00,&quot; K&quot;;[&lt;999999999]0.00,,&quot; M&quot;;\ 0.00,&quot;B&quot;"/>
    </dxf>
    <dxf>
      <numFmt numFmtId="171" formatCode="[&lt;999999]0.0,&quot; K&quot;;[&lt;999999999]0.0,,&quot; M&quot;;\ 0.0,&quot;B&quot;"/>
    </dxf>
    <dxf>
      <numFmt numFmtId="171" formatCode="[&lt;999999]0.0,&quot; K&quot;;[&lt;999999999]0.0,,&quot; M&quot;;\ 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65" formatCode="[&lt;999999]0.00,&quot; K&quot;;[&lt;999999999]0.00,,&quot; M&quot;;\ 0.00,&quot;B&quot;"/>
    </dxf>
    <dxf>
      <numFmt numFmtId="171" formatCode="[&lt;999999]0.0,&quot; K&quot;;[&lt;999999999]0.0,,&quot; M&quot;;\ 0.0,&quot;B&quot;"/>
    </dxf>
    <dxf>
      <numFmt numFmtId="166" formatCode="[&lt;999999]&quot;$&quot;0.00,&quot; K&quot;;[&lt;999999999]&quot;$&quot;0.00,,&quot; M&quot;;\ &quot;$&quot;0.00,&quot;B&quot;"/>
    </dxf>
    <dxf>
      <numFmt numFmtId="166" formatCode="[&lt;999999]&quot;$&quot;0.00,&quot; K&quot;;[&lt;999999999]&quot;$&quot;0.00,,&quot; M&quot;;\ &quot;$&quot;0.00,&quot;B&quot;"/>
    </dxf>
    <dxf>
      <numFmt numFmtId="166" formatCode="[&lt;999999]&quot;$&quot;0.00,&quot; K&quot;;[&lt;999999999]&quot;$&quot;0.00,,&quot; M&quot;;\ &quot;$&quot;0.00,&quot;B&quot;"/>
    </dxf>
    <dxf>
      <numFmt numFmtId="165" formatCode="[&lt;999999]0.00,&quot; K&quot;;[&lt;999999999]0.00,,&quot; M&quot;;\ 0.00,&quot;B&quot;"/>
    </dxf>
    <dxf>
      <numFmt numFmtId="172" formatCode="0.0%"/>
    </dxf>
    <dxf>
      <numFmt numFmtId="171" formatCode="[&lt;999999]0.0,&quot; K&quot;;[&lt;999999999]0.0,,&quot; M&quot;;\ 0.0,&quot;B&quot;"/>
    </dxf>
    <dxf>
      <numFmt numFmtId="166" formatCode="[&lt;999999]&quot;$&quot;0.00,&quot; K&quot;;[&lt;999999999]&quot;$&quot;0.00,,&quot; M&quot;;\ &quot;$&quot;0.00,&quot;B&quot;"/>
    </dxf>
    <dxf>
      <numFmt numFmtId="166" formatCode="[&lt;999999]&quot;$&quot;0.00,&quot; K&quot;;[&lt;999999999]&quot;$&quot;0.00,,&quot; M&quot;;\ &quot;$&quot;0.00,&quot;B&quot;"/>
    </dxf>
    <dxf>
      <numFmt numFmtId="165" formatCode="[&lt;999999]0.00,&quot; K&quot;;[&lt;999999999]0.00,,&quot; M&quot;;\ 0.00,&quot;B&quot;"/>
    </dxf>
    <dxf>
      <font>
        <b/>
        <i val="0"/>
        <sz val="18"/>
        <color auto="1"/>
      </font>
      <border>
        <bottom style="thin">
          <color theme="4"/>
        </bottom>
        <vertical/>
        <horizontal/>
      </border>
    </dxf>
    <dxf>
      <font>
        <sz val="18"/>
        <color theme="1"/>
      </font>
      <fill>
        <patternFill patternType="solid">
          <bgColor theme="4" tint="-0.24994659260841701"/>
        </patternFill>
      </fill>
      <border diagonalUp="0" diagonalDown="0">
        <left/>
        <right/>
        <top/>
        <bottom/>
        <vertical/>
        <horizontal/>
      </border>
    </dxf>
  </dxfs>
  <tableStyles count="1" defaultTableStyle="TableStyleMedium2" defaultPivotStyle="PivotStyleLight16">
    <tableStyle name="SlicerStyleDark1 2" pivot="0" table="0" count="10" xr9:uid="{24B3FC16-2A30-464C-8DD5-E5B93B616A8F}">
      <tableStyleElement type="wholeTable" dxfId="97"/>
      <tableStyleElement type="headerRow" dxfId="96"/>
    </tableStyle>
  </tableStyles>
  <colors>
    <mruColors>
      <color rgb="FFFFFF66"/>
      <color rgb="FFFFFF99"/>
      <color rgb="FF1A759E"/>
      <color rgb="FF1B7DA9"/>
    </mruColors>
  </colors>
  <extLst>
    <ext xmlns:x14="http://schemas.microsoft.com/office/spreadsheetml/2009/9/main" uri="{46F421CA-312F-682f-3DD2-61675219B42D}">
      <x14:dxfs count="8">
        <dxf>
          <font>
            <sz val="1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8"/>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i val="0"/>
            <sz val="18"/>
            <color auto="1"/>
          </font>
          <fill>
            <patternFill patternType="solid">
              <fgColor theme="4"/>
              <bgColor theme="0"/>
            </patternFill>
          </fill>
          <border>
            <left style="thin">
              <color theme="4"/>
            </left>
            <right style="thin">
              <color theme="4"/>
            </right>
            <top style="thin">
              <color theme="4"/>
            </top>
            <bottom style="thin">
              <color theme="4"/>
            </bottom>
            <vertical/>
            <horizontal/>
          </border>
        </dxf>
        <dxf>
          <font>
            <sz val="18"/>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18"/>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styles" Target="style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8" Type="http://schemas.openxmlformats.org/officeDocument/2006/relationships/customXml" Target="../customXml/item35.xml"/><Relationship Id="rId5"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openxmlformats.org/officeDocument/2006/relationships/customXml" Target="../customXml/item33.xml"/><Relationship Id="rId8" Type="http://schemas.openxmlformats.org/officeDocument/2006/relationships/pivotCacheDefinition" Target="pivotCache/pivotCacheDefinition5.xml"/><Relationship Id="rId51"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connections" Target="connections.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eetMetadata" Target="metadata.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 Id="rId57" Type="http://schemas.openxmlformats.org/officeDocument/2006/relationships/customXml" Target="../customXml/item34.xml"/><Relationship Id="rId10" Type="http://schemas.openxmlformats.org/officeDocument/2006/relationships/pivotCacheDefinition" Target="pivotCache/pivotCacheDefinition7.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Analysis!$C$28</c:f>
              <c:strCache>
                <c:ptCount val="1"/>
                <c:pt idx="0">
                  <c:v>Below</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Analysis!$B$29:$B$32</c:f>
              <c:numCache>
                <c:formatCode>General</c:formatCode>
                <c:ptCount val="4"/>
                <c:pt idx="0">
                  <c:v>2022</c:v>
                </c:pt>
                <c:pt idx="1">
                  <c:v>2023</c:v>
                </c:pt>
                <c:pt idx="2">
                  <c:v>2024</c:v>
                </c:pt>
                <c:pt idx="3">
                  <c:v>2025</c:v>
                </c:pt>
              </c:numCache>
            </c:numRef>
          </c:cat>
          <c:val>
            <c:numRef>
              <c:f>Analysis!$C$29:$C$32</c:f>
              <c:numCache>
                <c:formatCode>[&lt;999999]"$"0," K";[&lt;999999999]"$"0,," M";\ "$"0,"B"</c:formatCode>
                <c:ptCount val="4"/>
                <c:pt idx="0">
                  <c:v>74138780.342000082</c:v>
                </c:pt>
                <c:pt idx="1">
                  <c:v>59749209.846099928</c:v>
                </c:pt>
                <c:pt idx="2">
                  <c:v>172672731.99999896</c:v>
                </c:pt>
                <c:pt idx="3">
                  <c:v>532223.0099999985</c:v>
                </c:pt>
              </c:numCache>
            </c:numRef>
          </c:val>
          <c:extLst>
            <c:ext xmlns:c16="http://schemas.microsoft.com/office/drawing/2014/chart" uri="{C3380CC4-5D6E-409C-BE32-E72D297353CC}">
              <c16:uniqueId val="{00000000-2499-4222-86E4-4A5E6CBFAC8A}"/>
            </c:ext>
          </c:extLst>
        </c:ser>
        <c:ser>
          <c:idx val="2"/>
          <c:order val="2"/>
          <c:tx>
            <c:strRef>
              <c:f>Analysis!$E$28</c:f>
              <c:strCache>
                <c:ptCount val="1"/>
                <c:pt idx="0">
                  <c:v>Above</c:v>
                </c:pt>
              </c:strCache>
            </c:strRef>
          </c:tx>
          <c:spPr>
            <a:solidFill>
              <a:srgbClr val="1A759E"/>
            </a:solidFill>
            <a:ln>
              <a:noFill/>
            </a:ln>
            <a:effectLst/>
          </c:spPr>
          <c:invertIfNegative val="0"/>
          <c:cat>
            <c:numRef>
              <c:f>Analysis!$B$29:$B$32</c:f>
              <c:numCache>
                <c:formatCode>General</c:formatCode>
                <c:ptCount val="4"/>
                <c:pt idx="0">
                  <c:v>2022</c:v>
                </c:pt>
                <c:pt idx="1">
                  <c:v>2023</c:v>
                </c:pt>
                <c:pt idx="2">
                  <c:v>2024</c:v>
                </c:pt>
                <c:pt idx="3">
                  <c:v>2025</c:v>
                </c:pt>
              </c:numCache>
            </c:numRef>
          </c:cat>
          <c:val>
            <c:numRef>
              <c:f>Analysis!$E$29:$E$32</c:f>
              <c:numCache>
                <c:formatCode>[&lt;999999]"$"0," K";[&lt;999999999]"$"0,," M";\ "$"0,"B"</c:formatCode>
                <c:ptCount val="4"/>
                <c:pt idx="0">
                  <c:v>0</c:v>
                </c:pt>
                <c:pt idx="1">
                  <c:v>0</c:v>
                </c:pt>
                <c:pt idx="2">
                  <c:v>172672731.99999896</c:v>
                </c:pt>
                <c:pt idx="3">
                  <c:v>0</c:v>
                </c:pt>
              </c:numCache>
            </c:numRef>
          </c:val>
          <c:extLst>
            <c:ext xmlns:c16="http://schemas.microsoft.com/office/drawing/2014/chart" uri="{C3380CC4-5D6E-409C-BE32-E72D297353CC}">
              <c16:uniqueId val="{00000002-2499-4222-86E4-4A5E6CBFAC8A}"/>
            </c:ext>
          </c:extLst>
        </c:ser>
        <c:dLbls>
          <c:showLegendKey val="0"/>
          <c:showVal val="0"/>
          <c:showCatName val="0"/>
          <c:showSerName val="0"/>
          <c:showPercent val="0"/>
          <c:showBubbleSize val="0"/>
        </c:dLbls>
        <c:gapWidth val="38"/>
        <c:overlap val="100"/>
        <c:axId val="1840530543"/>
        <c:axId val="1840532463"/>
      </c:barChart>
      <c:lineChart>
        <c:grouping val="standard"/>
        <c:varyColors val="0"/>
        <c:ser>
          <c:idx val="1"/>
          <c:order val="1"/>
          <c:tx>
            <c:strRef>
              <c:f>Analysis!$D$28</c:f>
              <c:strCache>
                <c:ptCount val="1"/>
                <c:pt idx="0">
                  <c:v>Avg</c:v>
                </c:pt>
              </c:strCache>
            </c:strRef>
          </c:tx>
          <c:spPr>
            <a:ln w="19050" cap="rnd">
              <a:solidFill>
                <a:schemeClr val="bg1">
                  <a:lumMod val="50000"/>
                </a:schemeClr>
              </a:solidFill>
              <a:prstDash val="sysDash"/>
              <a:round/>
            </a:ln>
            <a:effectLst/>
          </c:spPr>
          <c:marker>
            <c:symbol val="none"/>
          </c:marker>
          <c:cat>
            <c:numRef>
              <c:f>Analysis!$B$29:$B$32</c:f>
              <c:numCache>
                <c:formatCode>General</c:formatCode>
                <c:ptCount val="4"/>
                <c:pt idx="0">
                  <c:v>2022</c:v>
                </c:pt>
                <c:pt idx="1">
                  <c:v>2023</c:v>
                </c:pt>
                <c:pt idx="2">
                  <c:v>2024</c:v>
                </c:pt>
                <c:pt idx="3">
                  <c:v>2025</c:v>
                </c:pt>
              </c:numCache>
            </c:numRef>
          </c:cat>
          <c:val>
            <c:numRef>
              <c:f>Analysis!$D$29:$D$32</c:f>
              <c:numCache>
                <c:formatCode>[&lt;999999]"$"0," K";[&lt;999999999]"$"0,," M";\ "$"0,"B"</c:formatCode>
                <c:ptCount val="4"/>
                <c:pt idx="0">
                  <c:v>102186907.39603299</c:v>
                </c:pt>
                <c:pt idx="1">
                  <c:v>102186907.39603299</c:v>
                </c:pt>
                <c:pt idx="2">
                  <c:v>102186907.39603299</c:v>
                </c:pt>
                <c:pt idx="3">
                  <c:v>102186907.39603299</c:v>
                </c:pt>
              </c:numCache>
            </c:numRef>
          </c:val>
          <c:smooth val="0"/>
          <c:extLst>
            <c:ext xmlns:c16="http://schemas.microsoft.com/office/drawing/2014/chart" uri="{C3380CC4-5D6E-409C-BE32-E72D297353CC}">
              <c16:uniqueId val="{00000001-2499-4222-86E4-4A5E6CBFAC8A}"/>
            </c:ext>
          </c:extLst>
        </c:ser>
        <c:dLbls>
          <c:showLegendKey val="0"/>
          <c:showVal val="0"/>
          <c:showCatName val="0"/>
          <c:showSerName val="0"/>
          <c:showPercent val="0"/>
          <c:showBubbleSize val="0"/>
        </c:dLbls>
        <c:marker val="1"/>
        <c:smooth val="0"/>
        <c:axId val="1840530543"/>
        <c:axId val="1840532463"/>
      </c:lineChart>
      <c:catAx>
        <c:axId val="184053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532463"/>
        <c:crosses val="autoZero"/>
        <c:auto val="1"/>
        <c:lblAlgn val="ctr"/>
        <c:lblOffset val="100"/>
        <c:noMultiLvlLbl val="0"/>
      </c:catAx>
      <c:valAx>
        <c:axId val="1840532463"/>
        <c:scaling>
          <c:orientation val="minMax"/>
        </c:scaling>
        <c:delete val="1"/>
        <c:axPos val="l"/>
        <c:majorGridlines>
          <c:spPr>
            <a:ln w="9525" cap="flat" cmpd="sng" algn="ctr">
              <a:noFill/>
              <a:round/>
            </a:ln>
            <a:effectLst/>
          </c:spPr>
        </c:majorGridlines>
        <c:numFmt formatCode="[&lt;999999]&quot;$&quot;0,&quot; K&quot;;[&lt;999999999]&quot;$&quot;0,,&quot; M&quot;;\ &quot;$&quot;0,&quot;B&quot;" sourceLinked="1"/>
        <c:majorTickMark val="none"/>
        <c:minorTickMark val="none"/>
        <c:tickLblPos val="nextTo"/>
        <c:crossAx val="1840530543"/>
        <c:crosses val="autoZero"/>
        <c:crossBetween val="between"/>
      </c:valAx>
      <c:spPr>
        <a:noFill/>
        <a:ln>
          <a:noFill/>
        </a:ln>
        <a:effectLst/>
      </c:spPr>
    </c:plotArea>
    <c:legend>
      <c:legendPos val="t"/>
      <c:layout>
        <c:manualLayout>
          <c:xMode val="edge"/>
          <c:yMode val="edge"/>
          <c:x val="7.3980730851538043E-2"/>
          <c:y val="4.6153846153846156E-2"/>
          <c:w val="0.75338042418760875"/>
          <c:h val="0.129808600847970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Analysis!$K$36</c:f>
              <c:strCache>
                <c:ptCount val="1"/>
                <c:pt idx="0">
                  <c:v>2023</c:v>
                </c:pt>
              </c:strCache>
            </c:strRef>
          </c:tx>
          <c:spPr>
            <a:ln w="28575" cap="rnd">
              <a:solidFill>
                <a:schemeClr val="bg1">
                  <a:lumMod val="75000"/>
                </a:schemeClr>
              </a:solidFill>
              <a:round/>
            </a:ln>
            <a:effectLst/>
          </c:spPr>
          <c:marker>
            <c:symbol val="none"/>
          </c:marker>
          <c:cat>
            <c:strRef>
              <c:f>Analysis!$J$37:$J$48</c:f>
              <c:strCache>
                <c:ptCount val="12"/>
                <c:pt idx="0">
                  <c:v>Jul</c:v>
                </c:pt>
                <c:pt idx="1">
                  <c:v>Aug</c:v>
                </c:pt>
                <c:pt idx="2">
                  <c:v>Sep</c:v>
                </c:pt>
                <c:pt idx="3">
                  <c:v>Oct</c:v>
                </c:pt>
                <c:pt idx="4">
                  <c:v>Nov</c:v>
                </c:pt>
                <c:pt idx="5">
                  <c:v>Dec</c:v>
                </c:pt>
                <c:pt idx="6">
                  <c:v>Jan</c:v>
                </c:pt>
                <c:pt idx="7">
                  <c:v>Feb</c:v>
                </c:pt>
                <c:pt idx="8">
                  <c:v>Mar</c:v>
                </c:pt>
                <c:pt idx="9">
                  <c:v>Apr</c:v>
                </c:pt>
                <c:pt idx="10">
                  <c:v>May</c:v>
                </c:pt>
                <c:pt idx="11">
                  <c:v>Jun</c:v>
                </c:pt>
              </c:strCache>
            </c:strRef>
          </c:cat>
          <c:val>
            <c:numRef>
              <c:f>Analysis!$K$37:$K$48</c:f>
              <c:numCache>
                <c:formatCode>[&lt;999999]0.0," K";[&lt;999999999]0.0,," M";\ 0.0,"B"</c:formatCode>
                <c:ptCount val="12"/>
                <c:pt idx="0">
                  <c:v>5221664.0228000004</c:v>
                </c:pt>
                <c:pt idx="1">
                  <c:v>5729915.441899999</c:v>
                </c:pt>
                <c:pt idx="2">
                  <c:v>3897526.6459000004</c:v>
                </c:pt>
                <c:pt idx="3">
                  <c:v>4235194.8893999998</c:v>
                </c:pt>
                <c:pt idx="4">
                  <c:v>3479942.2291000001</c:v>
                </c:pt>
                <c:pt idx="5">
                  <c:v>6151691.8006999996</c:v>
                </c:pt>
                <c:pt idx="6">
                  <c:v>4562516.584999999</c:v>
                </c:pt>
                <c:pt idx="7">
                  <c:v>5032586.7455000002</c:v>
                </c:pt>
                <c:pt idx="8">
                  <c:v>4964857.9693999998</c:v>
                </c:pt>
                <c:pt idx="9">
                  <c:v>5304878.1284000007</c:v>
                </c:pt>
                <c:pt idx="10">
                  <c:v>5626108.9785000002</c:v>
                </c:pt>
                <c:pt idx="11">
                  <c:v>5542326.4095000019</c:v>
                </c:pt>
              </c:numCache>
            </c:numRef>
          </c:val>
          <c:smooth val="1"/>
          <c:extLst>
            <c:ext xmlns:c16="http://schemas.microsoft.com/office/drawing/2014/chart" uri="{C3380CC4-5D6E-409C-BE32-E72D297353CC}">
              <c16:uniqueId val="{00000000-180A-4DD9-AA39-0A85BC1610F8}"/>
            </c:ext>
          </c:extLst>
        </c:ser>
        <c:ser>
          <c:idx val="1"/>
          <c:order val="1"/>
          <c:tx>
            <c:strRef>
              <c:f>Analysis!$L$36</c:f>
              <c:strCache>
                <c:ptCount val="1"/>
                <c:pt idx="0">
                  <c:v>2024</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Analysis!$L$37:$L$48</c:f>
              <c:numCache>
                <c:formatCode>[&lt;999999]0.0," K";[&lt;999999999]0.0,," M";\ 0.0,"B"</c:formatCode>
                <c:ptCount val="12"/>
                <c:pt idx="0">
                  <c:v>9288353.6400000174</c:v>
                </c:pt>
                <c:pt idx="1">
                  <c:v>8744056.7300000563</c:v>
                </c:pt>
                <c:pt idx="2">
                  <c:v>10708999.990000127</c:v>
                </c:pt>
                <c:pt idx="3">
                  <c:v>11587932.870000133</c:v>
                </c:pt>
                <c:pt idx="4">
                  <c:v>12586008.540000184</c:v>
                </c:pt>
                <c:pt idx="5">
                  <c:v>18430986.530000251</c:v>
                </c:pt>
                <c:pt idx="6">
                  <c:v>13901555.480000231</c:v>
                </c:pt>
                <c:pt idx="7">
                  <c:v>15327678.27000018</c:v>
                </c:pt>
                <c:pt idx="8">
                  <c:v>15304380.98000019</c:v>
                </c:pt>
                <c:pt idx="9">
                  <c:v>16794232.980000261</c:v>
                </c:pt>
                <c:pt idx="10">
                  <c:v>19944264.190000225</c:v>
                </c:pt>
                <c:pt idx="11">
                  <c:v>20054281.800000228</c:v>
                </c:pt>
              </c:numCache>
            </c:numRef>
          </c:val>
          <c:smooth val="1"/>
          <c:extLst>
            <c:ext xmlns:c16="http://schemas.microsoft.com/office/drawing/2014/chart" uri="{C3380CC4-5D6E-409C-BE32-E72D297353CC}">
              <c16:uniqueId val="{00000002-180A-4DD9-AA39-0A85BC1610F8}"/>
            </c:ext>
          </c:extLst>
        </c:ser>
        <c:dLbls>
          <c:showLegendKey val="0"/>
          <c:showVal val="0"/>
          <c:showCatName val="0"/>
          <c:showSerName val="0"/>
          <c:showPercent val="0"/>
          <c:showBubbleSize val="0"/>
        </c:dLbls>
        <c:smooth val="0"/>
        <c:axId val="1917139135"/>
        <c:axId val="1917135775"/>
      </c:lineChart>
      <c:catAx>
        <c:axId val="1917139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135775"/>
        <c:crosses val="autoZero"/>
        <c:auto val="1"/>
        <c:lblAlgn val="ctr"/>
        <c:lblOffset val="100"/>
        <c:noMultiLvlLbl val="0"/>
      </c:catAx>
      <c:valAx>
        <c:axId val="1917135775"/>
        <c:scaling>
          <c:orientation val="minMax"/>
        </c:scaling>
        <c:delete val="1"/>
        <c:axPos val="l"/>
        <c:numFmt formatCode="[&lt;999999]0.0,&quot; K&quot;;[&lt;999999999]0.0,,&quot; M&quot;;\ 0.0,&quot;B&quot;" sourceLinked="1"/>
        <c:majorTickMark val="none"/>
        <c:minorTickMark val="none"/>
        <c:tickLblPos val="nextTo"/>
        <c:crossAx val="1917139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Analysis!$J$53:$J$59</c:f>
              <c:strCache>
                <c:ptCount val="7"/>
                <c:pt idx="0">
                  <c:v>Mon</c:v>
                </c:pt>
                <c:pt idx="1">
                  <c:v>Tue</c:v>
                </c:pt>
                <c:pt idx="2">
                  <c:v>Wed</c:v>
                </c:pt>
                <c:pt idx="3">
                  <c:v>Thu</c:v>
                </c:pt>
                <c:pt idx="4">
                  <c:v>Fri</c:v>
                </c:pt>
                <c:pt idx="5">
                  <c:v>Sat</c:v>
                </c:pt>
                <c:pt idx="6">
                  <c:v>Sun</c:v>
                </c:pt>
              </c:strCache>
            </c:strRef>
          </c:cat>
          <c:val>
            <c:numRef>
              <c:f>Analysis!$K$53:$K$59</c:f>
              <c:numCache>
                <c:formatCode>[&lt;999999]0.0," K";[&lt;999999999]0.0,," M";\ 0.0,"B"</c:formatCode>
                <c:ptCount val="7"/>
                <c:pt idx="0">
                  <c:v>23840642.450000204</c:v>
                </c:pt>
                <c:pt idx="1">
                  <c:v>26136302.560000144</c:v>
                </c:pt>
                <c:pt idx="2">
                  <c:v>26097954.350000121</c:v>
                </c:pt>
                <c:pt idx="3">
                  <c:v>24264189.970000252</c:v>
                </c:pt>
                <c:pt idx="4">
                  <c:v>24792491.910000235</c:v>
                </c:pt>
                <c:pt idx="5">
                  <c:v>24071961.670000233</c:v>
                </c:pt>
                <c:pt idx="6">
                  <c:v>23469189.090000287</c:v>
                </c:pt>
              </c:numCache>
            </c:numRef>
          </c:val>
          <c:extLst>
            <c:ext xmlns:c16="http://schemas.microsoft.com/office/drawing/2014/chart" uri="{C3380CC4-5D6E-409C-BE32-E72D297353CC}">
              <c16:uniqueId val="{00000000-7DB8-4D59-8FBC-D4D80DE4F0C8}"/>
            </c:ext>
          </c:extLst>
        </c:ser>
        <c:dLbls>
          <c:dLblPos val="outEnd"/>
          <c:showLegendKey val="0"/>
          <c:showVal val="1"/>
          <c:showCatName val="0"/>
          <c:showSerName val="0"/>
          <c:showPercent val="0"/>
          <c:showBubbleSize val="0"/>
        </c:dLbls>
        <c:gapWidth val="63"/>
        <c:overlap val="-27"/>
        <c:axId val="176132720"/>
        <c:axId val="176136080"/>
      </c:barChart>
      <c:catAx>
        <c:axId val="17613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136080"/>
        <c:crosses val="autoZero"/>
        <c:auto val="1"/>
        <c:lblAlgn val="ctr"/>
        <c:lblOffset val="100"/>
        <c:noMultiLvlLbl val="0"/>
      </c:catAx>
      <c:valAx>
        <c:axId val="176136080"/>
        <c:scaling>
          <c:orientation val="minMax"/>
        </c:scaling>
        <c:delete val="1"/>
        <c:axPos val="l"/>
        <c:numFmt formatCode="[&lt;999999]0.0,&quot; K&quot;;[&lt;999999999]0.0,,&quot; M&quot;;\ 0.0,&quot;B&quot;" sourceLinked="1"/>
        <c:majorTickMark val="none"/>
        <c:minorTickMark val="none"/>
        <c:tickLblPos val="nextTo"/>
        <c:crossAx val="176132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[Dashboard_FY.xlsm]Analysis!PivotTable5</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40000"/>
              <a:lumOff val="6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Analysis!$C$63</c:f>
              <c:strCache>
                <c:ptCount val="1"/>
                <c:pt idx="0">
                  <c:v> Total 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Analysis!$B$64:$B$68</c:f>
              <c:strCache>
                <c:ptCount val="4"/>
                <c:pt idx="0">
                  <c:v>Q1</c:v>
                </c:pt>
                <c:pt idx="1">
                  <c:v>Q2</c:v>
                </c:pt>
                <c:pt idx="2">
                  <c:v>Q3</c:v>
                </c:pt>
                <c:pt idx="3">
                  <c:v>Q4</c:v>
                </c:pt>
              </c:strCache>
            </c:strRef>
          </c:cat>
          <c:val>
            <c:numRef>
              <c:f>Analysis!$C$64:$C$68</c:f>
              <c:numCache>
                <c:formatCode>[&lt;999999]0.0," K";[&lt;999999999]0.0,," M";\ 0.0,"B"</c:formatCode>
                <c:ptCount val="4"/>
                <c:pt idx="0">
                  <c:v>28741410.360000003</c:v>
                </c:pt>
                <c:pt idx="1">
                  <c:v>42604927.93999961</c:v>
                </c:pt>
                <c:pt idx="2">
                  <c:v>44533614.729999311</c:v>
                </c:pt>
                <c:pt idx="3">
                  <c:v>56792778.969999075</c:v>
                </c:pt>
              </c:numCache>
            </c:numRef>
          </c:val>
          <c:extLst>
            <c:ext xmlns:c16="http://schemas.microsoft.com/office/drawing/2014/chart" uri="{C3380CC4-5D6E-409C-BE32-E72D297353CC}">
              <c16:uniqueId val="{00000000-87BE-4D25-9394-691E03A76A13}"/>
            </c:ext>
          </c:extLst>
        </c:ser>
        <c:ser>
          <c:idx val="1"/>
          <c:order val="1"/>
          <c:tx>
            <c:strRef>
              <c:f>Analysis!$D$63</c:f>
              <c:strCache>
                <c:ptCount val="1"/>
                <c:pt idx="0">
                  <c:v> Total Profit</c:v>
                </c:pt>
              </c:strCache>
            </c:strRef>
          </c:tx>
          <c:spPr>
            <a:solidFill>
              <a:schemeClr val="accent1">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Analysis!$B$64:$B$68</c:f>
              <c:strCache>
                <c:ptCount val="4"/>
                <c:pt idx="0">
                  <c:v>Q1</c:v>
                </c:pt>
                <c:pt idx="1">
                  <c:v>Q2</c:v>
                </c:pt>
                <c:pt idx="2">
                  <c:v>Q3</c:v>
                </c:pt>
                <c:pt idx="3">
                  <c:v>Q4</c:v>
                </c:pt>
              </c:strCache>
            </c:strRef>
          </c:cat>
          <c:val>
            <c:numRef>
              <c:f>Analysis!$D$64:$D$68</c:f>
              <c:numCache>
                <c:formatCode>[&lt;999999]0.0," K";[&lt;999999999]0.0,," M";\ 0.0,"B"</c:formatCode>
                <c:ptCount val="4"/>
                <c:pt idx="0">
                  <c:v>11875628.588200066</c:v>
                </c:pt>
                <c:pt idx="1">
                  <c:v>17629154.556000076</c:v>
                </c:pt>
                <c:pt idx="2">
                  <c:v>18436556.303799897</c:v>
                </c:pt>
                <c:pt idx="3">
                  <c:v>23428980.527200114</c:v>
                </c:pt>
              </c:numCache>
            </c:numRef>
          </c:val>
          <c:extLst>
            <c:ext xmlns:c16="http://schemas.microsoft.com/office/drawing/2014/chart" uri="{C3380CC4-5D6E-409C-BE32-E72D297353CC}">
              <c16:uniqueId val="{00000001-87BE-4D25-9394-691E03A76A13}"/>
            </c:ext>
          </c:extLst>
        </c:ser>
        <c:dLbls>
          <c:showLegendKey val="0"/>
          <c:showVal val="0"/>
          <c:showCatName val="0"/>
          <c:showSerName val="0"/>
          <c:showPercent val="0"/>
          <c:showBubbleSize val="0"/>
        </c:dLbls>
        <c:gapWidth val="135"/>
        <c:axId val="1214196224"/>
        <c:axId val="1214193824"/>
      </c:barChart>
      <c:lineChart>
        <c:grouping val="standard"/>
        <c:varyColors val="0"/>
        <c:ser>
          <c:idx val="2"/>
          <c:order val="2"/>
          <c:tx>
            <c:strRef>
              <c:f>Analysis!$E$63</c:f>
              <c:strCache>
                <c:ptCount val="1"/>
                <c:pt idx="0">
                  <c:v>% Profit Margin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Analysis!$B$64:$B$68</c:f>
              <c:strCache>
                <c:ptCount val="4"/>
                <c:pt idx="0">
                  <c:v>Q1</c:v>
                </c:pt>
                <c:pt idx="1">
                  <c:v>Q2</c:v>
                </c:pt>
                <c:pt idx="2">
                  <c:v>Q3</c:v>
                </c:pt>
                <c:pt idx="3">
                  <c:v>Q4</c:v>
                </c:pt>
              </c:strCache>
            </c:strRef>
          </c:cat>
          <c:val>
            <c:numRef>
              <c:f>Analysis!$E$64:$E$68</c:f>
              <c:numCache>
                <c:formatCode>0.0%</c:formatCode>
                <c:ptCount val="4"/>
                <c:pt idx="0">
                  <c:v>0.41318879064917485</c:v>
                </c:pt>
                <c:pt idx="1">
                  <c:v>0.41378205311899979</c:v>
                </c:pt>
                <c:pt idx="2">
                  <c:v>0.4139919118530575</c:v>
                </c:pt>
                <c:pt idx="3">
                  <c:v>0.41253449737996672</c:v>
                </c:pt>
              </c:numCache>
            </c:numRef>
          </c:val>
          <c:smooth val="0"/>
          <c:extLst>
            <c:ext xmlns:c16="http://schemas.microsoft.com/office/drawing/2014/chart" uri="{C3380CC4-5D6E-409C-BE32-E72D297353CC}">
              <c16:uniqueId val="{00000002-87BE-4D25-9394-691E03A76A13}"/>
            </c:ext>
          </c:extLst>
        </c:ser>
        <c:dLbls>
          <c:showLegendKey val="0"/>
          <c:showVal val="0"/>
          <c:showCatName val="0"/>
          <c:showSerName val="0"/>
          <c:showPercent val="0"/>
          <c:showBubbleSize val="0"/>
        </c:dLbls>
        <c:marker val="1"/>
        <c:smooth val="0"/>
        <c:axId val="1176902288"/>
        <c:axId val="1176901328"/>
      </c:lineChart>
      <c:catAx>
        <c:axId val="121419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193824"/>
        <c:crosses val="autoZero"/>
        <c:auto val="1"/>
        <c:lblAlgn val="ctr"/>
        <c:lblOffset val="100"/>
        <c:noMultiLvlLbl val="0"/>
      </c:catAx>
      <c:valAx>
        <c:axId val="1214193824"/>
        <c:scaling>
          <c:orientation val="minMax"/>
          <c:max val="60000000"/>
        </c:scaling>
        <c:delete val="0"/>
        <c:axPos val="l"/>
        <c:numFmt formatCode="[&lt;999999]0.0,&quot; K&quot;;[&lt;999999999]0.0,,&quot; M&quot;;\ 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196224"/>
        <c:crosses val="autoZero"/>
        <c:crossBetween val="between"/>
      </c:valAx>
      <c:valAx>
        <c:axId val="1176901328"/>
        <c:scaling>
          <c:orientation val="minMax"/>
          <c:max val="0.55000000000000004"/>
          <c:min val="0.25"/>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902288"/>
        <c:crosses val="max"/>
        <c:crossBetween val="between"/>
      </c:valAx>
      <c:catAx>
        <c:axId val="1176902288"/>
        <c:scaling>
          <c:orientation val="minMax"/>
        </c:scaling>
        <c:delete val="1"/>
        <c:axPos val="b"/>
        <c:numFmt formatCode="General" sourceLinked="1"/>
        <c:majorTickMark val="out"/>
        <c:minorTickMark val="none"/>
        <c:tickLblPos val="nextTo"/>
        <c:crossAx val="117690132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[Dashboard_FY.xlsm]Analysis!PivotTable6</c:name>
    <c:fmtId val="2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Analysis!$C$71</c:f>
              <c:strCache>
                <c:ptCount val="1"/>
                <c:pt idx="0">
                  <c:v> Total 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Analysis!$B$72:$B$78</c:f>
              <c:strCache>
                <c:ptCount val="6"/>
                <c:pt idx="0">
                  <c:v>Australia</c:v>
                </c:pt>
                <c:pt idx="1">
                  <c:v>Canada</c:v>
                </c:pt>
                <c:pt idx="2">
                  <c:v>France</c:v>
                </c:pt>
                <c:pt idx="3">
                  <c:v>Germany</c:v>
                </c:pt>
                <c:pt idx="4">
                  <c:v>United Kingdom</c:v>
                </c:pt>
                <c:pt idx="5">
                  <c:v>United States</c:v>
                </c:pt>
              </c:strCache>
            </c:strRef>
          </c:cat>
          <c:val>
            <c:numRef>
              <c:f>Analysis!$C$72:$C$78</c:f>
              <c:numCache>
                <c:formatCode>[&lt;999999]0.0," K";[&lt;999999999]0.0,," M";\ 0.0,"B"</c:formatCode>
                <c:ptCount val="6"/>
                <c:pt idx="0">
                  <c:v>46526508.119999617</c:v>
                </c:pt>
                <c:pt idx="1">
                  <c:v>11089361.650000395</c:v>
                </c:pt>
                <c:pt idx="2">
                  <c:v>16470303.810000159</c:v>
                </c:pt>
                <c:pt idx="3">
                  <c:v>18634298.079999868</c:v>
                </c:pt>
                <c:pt idx="4">
                  <c:v>22684475.539999943</c:v>
                </c:pt>
                <c:pt idx="5">
                  <c:v>57267784.799999356</c:v>
                </c:pt>
              </c:numCache>
            </c:numRef>
          </c:val>
          <c:extLst>
            <c:ext xmlns:c16="http://schemas.microsoft.com/office/drawing/2014/chart" uri="{C3380CC4-5D6E-409C-BE32-E72D297353CC}">
              <c16:uniqueId val="{00000000-AAC7-4A67-8C31-A475FCA4BACF}"/>
            </c:ext>
          </c:extLst>
        </c:ser>
        <c:ser>
          <c:idx val="1"/>
          <c:order val="1"/>
          <c:tx>
            <c:strRef>
              <c:f>Analysis!$D$71</c:f>
              <c:strCache>
                <c:ptCount val="1"/>
                <c:pt idx="0">
                  <c:v> Total Profit</c:v>
                </c:pt>
              </c:strCache>
            </c:strRef>
          </c:tx>
          <c:spPr>
            <a:solidFill>
              <a:schemeClr val="accent1">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Analysis!$B$72:$B$78</c:f>
              <c:strCache>
                <c:ptCount val="6"/>
                <c:pt idx="0">
                  <c:v>Australia</c:v>
                </c:pt>
                <c:pt idx="1">
                  <c:v>Canada</c:v>
                </c:pt>
                <c:pt idx="2">
                  <c:v>France</c:v>
                </c:pt>
                <c:pt idx="3">
                  <c:v>Germany</c:v>
                </c:pt>
                <c:pt idx="4">
                  <c:v>United Kingdom</c:v>
                </c:pt>
                <c:pt idx="5">
                  <c:v>United States</c:v>
                </c:pt>
              </c:strCache>
            </c:strRef>
          </c:cat>
          <c:val>
            <c:numRef>
              <c:f>Analysis!$D$72:$D$78</c:f>
              <c:numCache>
                <c:formatCode>[&lt;999999]0.0," K";[&lt;999999999]0.0,," M";\ 0.0,"B"</c:formatCode>
                <c:ptCount val="6"/>
                <c:pt idx="0">
                  <c:v>18655834.203800149</c:v>
                </c:pt>
                <c:pt idx="1">
                  <c:v>4793776.9281000504</c:v>
                </c:pt>
                <c:pt idx="2">
                  <c:v>6815232.8737999778</c:v>
                </c:pt>
                <c:pt idx="3">
                  <c:v>7677731.5600000015</c:v>
                </c:pt>
                <c:pt idx="4">
                  <c:v>9327721.7485000342</c:v>
                </c:pt>
                <c:pt idx="5">
                  <c:v>24100022.660999924</c:v>
                </c:pt>
              </c:numCache>
            </c:numRef>
          </c:val>
          <c:extLst>
            <c:ext xmlns:c16="http://schemas.microsoft.com/office/drawing/2014/chart" uri="{C3380CC4-5D6E-409C-BE32-E72D297353CC}">
              <c16:uniqueId val="{00000001-AAC7-4A67-8C31-A475FCA4BACF}"/>
            </c:ext>
          </c:extLst>
        </c:ser>
        <c:dLbls>
          <c:showLegendKey val="0"/>
          <c:showVal val="0"/>
          <c:showCatName val="0"/>
          <c:showSerName val="0"/>
          <c:showPercent val="0"/>
          <c:showBubbleSize val="0"/>
        </c:dLbls>
        <c:gapWidth val="93"/>
        <c:axId val="1581495983"/>
        <c:axId val="1581504623"/>
      </c:barChart>
      <c:lineChart>
        <c:grouping val="standard"/>
        <c:varyColors val="0"/>
        <c:ser>
          <c:idx val="2"/>
          <c:order val="2"/>
          <c:tx>
            <c:strRef>
              <c:f>Analysis!$E$71</c:f>
              <c:strCache>
                <c:ptCount val="1"/>
                <c:pt idx="0">
                  <c:v>% Profit Margin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Analysis!$B$72:$B$78</c:f>
              <c:strCache>
                <c:ptCount val="6"/>
                <c:pt idx="0">
                  <c:v>Australia</c:v>
                </c:pt>
                <c:pt idx="1">
                  <c:v>Canada</c:v>
                </c:pt>
                <c:pt idx="2">
                  <c:v>France</c:v>
                </c:pt>
                <c:pt idx="3">
                  <c:v>Germany</c:v>
                </c:pt>
                <c:pt idx="4">
                  <c:v>United Kingdom</c:v>
                </c:pt>
                <c:pt idx="5">
                  <c:v>United States</c:v>
                </c:pt>
              </c:strCache>
            </c:strRef>
          </c:cat>
          <c:val>
            <c:numRef>
              <c:f>Analysis!$E$72:$E$78</c:f>
              <c:numCache>
                <c:formatCode>0.0%</c:formatCode>
                <c:ptCount val="6"/>
                <c:pt idx="0">
                  <c:v>0.40097215453357565</c:v>
                </c:pt>
                <c:pt idx="1">
                  <c:v>0.43228610260897027</c:v>
                </c:pt>
                <c:pt idx="2">
                  <c:v>0.4137891415009613</c:v>
                </c:pt>
                <c:pt idx="3">
                  <c:v>0.41202150609796706</c:v>
                </c:pt>
                <c:pt idx="4">
                  <c:v>0.41119406671105507</c:v>
                </c:pt>
                <c:pt idx="5">
                  <c:v>0.4208303629198557</c:v>
                </c:pt>
              </c:numCache>
            </c:numRef>
          </c:val>
          <c:smooth val="0"/>
          <c:extLst>
            <c:ext xmlns:c16="http://schemas.microsoft.com/office/drawing/2014/chart" uri="{C3380CC4-5D6E-409C-BE32-E72D297353CC}">
              <c16:uniqueId val="{00000002-AAC7-4A67-8C31-A475FCA4BACF}"/>
            </c:ext>
          </c:extLst>
        </c:ser>
        <c:dLbls>
          <c:showLegendKey val="0"/>
          <c:showVal val="0"/>
          <c:showCatName val="0"/>
          <c:showSerName val="0"/>
          <c:showPercent val="0"/>
          <c:showBubbleSize val="0"/>
        </c:dLbls>
        <c:marker val="1"/>
        <c:smooth val="0"/>
        <c:axId val="1281000352"/>
        <c:axId val="1281001312"/>
      </c:lineChart>
      <c:catAx>
        <c:axId val="158149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504623"/>
        <c:crosses val="autoZero"/>
        <c:auto val="1"/>
        <c:lblAlgn val="ctr"/>
        <c:lblOffset val="100"/>
        <c:noMultiLvlLbl val="0"/>
      </c:catAx>
      <c:valAx>
        <c:axId val="1581504623"/>
        <c:scaling>
          <c:orientation val="minMax"/>
          <c:max val="60000000"/>
        </c:scaling>
        <c:delete val="0"/>
        <c:axPos val="l"/>
        <c:numFmt formatCode="[&lt;999999]0.0,&quot; K&quot;;[&lt;999999999]0.0,,&quot; M&quot;;\ 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495983"/>
        <c:crosses val="autoZero"/>
        <c:crossBetween val="between"/>
      </c:valAx>
      <c:valAx>
        <c:axId val="1281001312"/>
        <c:scaling>
          <c:orientation val="minMax"/>
          <c:max val="0.55000000000000004"/>
          <c:min val="0.25"/>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000352"/>
        <c:crosses val="max"/>
        <c:crossBetween val="between"/>
      </c:valAx>
      <c:catAx>
        <c:axId val="1281000352"/>
        <c:scaling>
          <c:orientation val="minMax"/>
        </c:scaling>
        <c:delete val="1"/>
        <c:axPos val="b"/>
        <c:numFmt formatCode="General" sourceLinked="1"/>
        <c:majorTickMark val="out"/>
        <c:minorTickMark val="none"/>
        <c:tickLblPos val="nextTo"/>
        <c:crossAx val="12810013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10591110881263"/>
          <c:y val="5.268449705852743E-2"/>
          <c:w val="0.71827579730697111"/>
          <c:h val="0.82376591092720275"/>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683592A8-566C-46DF-83CF-4B0FED810CBF}"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145-459B-A058-111997247556}"/>
                </c:ext>
              </c:extLst>
            </c:dLbl>
            <c:dLbl>
              <c:idx val="1"/>
              <c:tx>
                <c:rich>
                  <a:bodyPr/>
                  <a:lstStyle/>
                  <a:p>
                    <a:fld id="{7F2BF40D-3F54-49ED-B3C2-B09CE70EAA66}"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145-459B-A058-111997247556}"/>
                </c:ext>
              </c:extLst>
            </c:dLbl>
            <c:dLbl>
              <c:idx val="2"/>
              <c:tx>
                <c:rich>
                  <a:bodyPr/>
                  <a:lstStyle/>
                  <a:p>
                    <a:fld id="{B5F469AE-BA90-4793-9064-5A895230B1F5}"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145-459B-A058-111997247556}"/>
                </c:ext>
              </c:extLst>
            </c:dLbl>
            <c:dLbl>
              <c:idx val="3"/>
              <c:tx>
                <c:rich>
                  <a:bodyPr/>
                  <a:lstStyle/>
                  <a:p>
                    <a:fld id="{B634A894-850D-4D6D-AC40-7B2A726A9E78}"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145-459B-A058-11199724755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Analysis!$J$91:$J$94</c:f>
              <c:strCache>
                <c:ptCount val="4"/>
                <c:pt idx="0">
                  <c:v>Mountain</c:v>
                </c:pt>
                <c:pt idx="1">
                  <c:v>Road</c:v>
                </c:pt>
                <c:pt idx="2">
                  <c:v>Touring</c:v>
                </c:pt>
                <c:pt idx="3">
                  <c:v>Standard</c:v>
                </c:pt>
              </c:strCache>
            </c:strRef>
          </c:cat>
          <c:val>
            <c:numRef>
              <c:f>Analysis!$K$91:$K$94</c:f>
              <c:numCache>
                <c:formatCode>[&lt;999999]0.0," K";[&lt;999999999]0.0,," M";\ 0.0,"B"</c:formatCode>
                <c:ptCount val="4"/>
                <c:pt idx="0">
                  <c:v>31973854.579999741</c:v>
                </c:pt>
                <c:pt idx="1">
                  <c:v>20651714.484999835</c:v>
                </c:pt>
                <c:pt idx="2">
                  <c:v>15725939.041200092</c:v>
                </c:pt>
                <c:pt idx="3">
                  <c:v>3018811.8690001494</c:v>
                </c:pt>
              </c:numCache>
            </c:numRef>
          </c:val>
          <c:extLst>
            <c:ext xmlns:c15="http://schemas.microsoft.com/office/drawing/2012/chart" uri="{02D57815-91ED-43cb-92C2-25804820EDAC}">
              <c15:datalabelsRange>
                <c15:f>Analysis!$O$91:$O$94</c15:f>
                <c15:dlblRangeCache>
                  <c:ptCount val="4"/>
                  <c:pt idx="0">
                    <c:v>32.0M (45%)</c:v>
                  </c:pt>
                  <c:pt idx="1">
                    <c:v>20.7M (29%)</c:v>
                  </c:pt>
                  <c:pt idx="2">
                    <c:v>15.7M (22%)</c:v>
                  </c:pt>
                  <c:pt idx="3">
                    <c:v>3.0M (4%)</c:v>
                  </c:pt>
                </c15:dlblRangeCache>
              </c15:datalabelsRange>
            </c:ext>
            <c:ext xmlns:c16="http://schemas.microsoft.com/office/drawing/2014/chart" uri="{C3380CC4-5D6E-409C-BE32-E72D297353CC}">
              <c16:uniqueId val="{00000004-8145-459B-A058-111997247556}"/>
            </c:ext>
          </c:extLst>
        </c:ser>
        <c:ser>
          <c:idx val="1"/>
          <c:order val="1"/>
          <c:spPr>
            <a:solidFill>
              <a:schemeClr val="bg1">
                <a:lumMod val="75000"/>
              </a:schemeClr>
            </a:solidFill>
            <a:ln>
              <a:noFill/>
            </a:ln>
            <a:effectLst/>
          </c:spPr>
          <c:invertIfNegative val="0"/>
          <c:dLbls>
            <c:dLbl>
              <c:idx val="0"/>
              <c:tx>
                <c:rich>
                  <a:bodyPr/>
                  <a:lstStyle/>
                  <a:p>
                    <a:fld id="{51987D41-B404-4217-AA02-55A9D9A68709}"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8145-459B-A058-111997247556}"/>
                </c:ext>
              </c:extLst>
            </c:dLbl>
            <c:dLbl>
              <c:idx val="1"/>
              <c:tx>
                <c:rich>
                  <a:bodyPr/>
                  <a:lstStyle/>
                  <a:p>
                    <a:fld id="{ABABC6A7-9BA6-40E7-9572-EA8B59F5EEBB}"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145-459B-A058-111997247556}"/>
                </c:ext>
              </c:extLst>
            </c:dLbl>
            <c:dLbl>
              <c:idx val="2"/>
              <c:tx>
                <c:rich>
                  <a:bodyPr/>
                  <a:lstStyle/>
                  <a:p>
                    <a:fld id="{B6E2AB2B-22C3-4FB3-8352-29F754CBFE89}"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145-459B-A058-111997247556}"/>
                </c:ext>
              </c:extLst>
            </c:dLbl>
            <c:dLbl>
              <c:idx val="3"/>
              <c:tx>
                <c:rich>
                  <a:bodyPr/>
                  <a:lstStyle/>
                  <a:p>
                    <a:fld id="{F27EFF7A-3411-483F-AF2F-BC937DAA22DE}"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145-459B-A058-11199724755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50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Analysis!$J$91:$J$94</c:f>
              <c:strCache>
                <c:ptCount val="4"/>
                <c:pt idx="0">
                  <c:v>Mountain</c:v>
                </c:pt>
                <c:pt idx="1">
                  <c:v>Road</c:v>
                </c:pt>
                <c:pt idx="2">
                  <c:v>Touring</c:v>
                </c:pt>
                <c:pt idx="3">
                  <c:v>Standard</c:v>
                </c:pt>
              </c:strCache>
            </c:strRef>
          </c:cat>
          <c:val>
            <c:numRef>
              <c:f>Analysis!$L$91:$L$94</c:f>
              <c:numCache>
                <c:formatCode>[&lt;999999]0.0," K";[&lt;999999999]0.0,," M";\ 0.0,"B"</c:formatCode>
                <c:ptCount val="4"/>
                <c:pt idx="0">
                  <c:v>10430324.142800013</c:v>
                </c:pt>
                <c:pt idx="1">
                  <c:v>14378113.72929991</c:v>
                </c:pt>
                <c:pt idx="2">
                  <c:v>0</c:v>
                </c:pt>
                <c:pt idx="3">
                  <c:v>0</c:v>
                </c:pt>
              </c:numCache>
            </c:numRef>
          </c:val>
          <c:extLst>
            <c:ext xmlns:c15="http://schemas.microsoft.com/office/drawing/2012/chart" uri="{02D57815-91ED-43cb-92C2-25804820EDAC}">
              <c15:datalabelsRange>
                <c15:f>Analysis!$P$91:$P$94</c15:f>
                <c15:dlblRangeCache>
                  <c:ptCount val="4"/>
                  <c:pt idx="0">
                    <c:v>10.4M (42%)</c:v>
                  </c:pt>
                  <c:pt idx="1">
                    <c:v>14.4M (58%)</c:v>
                  </c:pt>
                </c15:dlblRangeCache>
              </c15:datalabelsRange>
            </c:ext>
            <c:ext xmlns:c16="http://schemas.microsoft.com/office/drawing/2014/chart" uri="{C3380CC4-5D6E-409C-BE32-E72D297353CC}">
              <c16:uniqueId val="{00000009-8145-459B-A058-111997247556}"/>
            </c:ext>
          </c:extLst>
        </c:ser>
        <c:dLbls>
          <c:showLegendKey val="0"/>
          <c:showVal val="0"/>
          <c:showCatName val="0"/>
          <c:showSerName val="0"/>
          <c:showPercent val="0"/>
          <c:showBubbleSize val="0"/>
        </c:dLbls>
        <c:gapWidth val="50"/>
        <c:axId val="897576399"/>
        <c:axId val="897582159"/>
      </c:barChart>
      <c:catAx>
        <c:axId val="89757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582159"/>
        <c:crosses val="autoZero"/>
        <c:auto val="1"/>
        <c:lblAlgn val="ctr"/>
        <c:lblOffset val="100"/>
        <c:noMultiLvlLbl val="0"/>
      </c:catAx>
      <c:valAx>
        <c:axId val="897582159"/>
        <c:scaling>
          <c:orientation val="minMax"/>
        </c:scaling>
        <c:delete val="0"/>
        <c:axPos val="b"/>
        <c:numFmt formatCode="[&lt;999999]0.0,&quot; K&quot;;[&lt;999999999]0.0,,&quot; M&quot;;\ 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576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63846968118263"/>
          <c:y val="6.24651070802009E-2"/>
          <c:w val="0.72998604724808958"/>
          <c:h val="0.83466155257615438"/>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1044FF1F-A0DF-451D-8323-CB8B50BD4623}"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06-4A74-B658-F69CCCF6CDDE}"/>
                </c:ext>
              </c:extLst>
            </c:dLbl>
            <c:dLbl>
              <c:idx val="1"/>
              <c:tx>
                <c:rich>
                  <a:bodyPr/>
                  <a:lstStyle/>
                  <a:p>
                    <a:fld id="{56005557-83B1-4537-B918-44E0A353F589}"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06-4A74-B658-F69CCCF6CDDE}"/>
                </c:ext>
              </c:extLst>
            </c:dLbl>
            <c:dLbl>
              <c:idx val="2"/>
              <c:tx>
                <c:rich>
                  <a:bodyPr/>
                  <a:lstStyle/>
                  <a:p>
                    <a:fld id="{E3FFB1FD-8F97-44F8-AE2D-9A1EB471B8D8}"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06-4A74-B658-F69CCCF6CDD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Analysis!$I$100:$I$102</c:f>
              <c:strCache>
                <c:ptCount val="3"/>
                <c:pt idx="0">
                  <c:v>High (&gt;$1K)</c:v>
                </c:pt>
                <c:pt idx="1">
                  <c:v>Medium ($100-$1K)</c:v>
                </c:pt>
                <c:pt idx="2">
                  <c:v>Low (&lt;$100)</c:v>
                </c:pt>
              </c:strCache>
            </c:strRef>
          </c:cat>
          <c:val>
            <c:numRef>
              <c:f>Analysis!$K$100:$K$102</c:f>
              <c:numCache>
                <c:formatCode>[&lt;999999]0.0," K";[&lt;999999999]0.0,," M";\ 0.0,"B"</c:formatCode>
                <c:ptCount val="3"/>
                <c:pt idx="0">
                  <c:v>51629329.254499778</c:v>
                </c:pt>
                <c:pt idx="1">
                  <c:v>14001601.784200097</c:v>
                </c:pt>
                <c:pt idx="2">
                  <c:v>5739388.9364999393</c:v>
                </c:pt>
              </c:numCache>
            </c:numRef>
          </c:val>
          <c:extLst>
            <c:ext xmlns:c15="http://schemas.microsoft.com/office/drawing/2012/chart" uri="{02D57815-91ED-43cb-92C2-25804820EDAC}">
              <c15:datalabelsRange>
                <c15:f>Analysis!$O$100:$O$102</c15:f>
                <c15:dlblRangeCache>
                  <c:ptCount val="3"/>
                  <c:pt idx="0">
                    <c:v>51.6M (72%)</c:v>
                  </c:pt>
                  <c:pt idx="1">
                    <c:v>14.0M (20%)</c:v>
                  </c:pt>
                  <c:pt idx="2">
                    <c:v>5.7M (8%)</c:v>
                  </c:pt>
                </c15:dlblRangeCache>
              </c15:datalabelsRange>
            </c:ext>
            <c:ext xmlns:c16="http://schemas.microsoft.com/office/drawing/2014/chart" uri="{C3380CC4-5D6E-409C-BE32-E72D297353CC}">
              <c16:uniqueId val="{00000003-2706-4A74-B658-F69CCCF6CDDE}"/>
            </c:ext>
          </c:extLst>
        </c:ser>
        <c:ser>
          <c:idx val="1"/>
          <c:order val="1"/>
          <c:spPr>
            <a:solidFill>
              <a:schemeClr val="bg1">
                <a:lumMod val="75000"/>
              </a:schemeClr>
            </a:solidFill>
            <a:ln>
              <a:noFill/>
            </a:ln>
            <a:effectLst/>
          </c:spPr>
          <c:invertIfNegative val="0"/>
          <c:dLbls>
            <c:dLbl>
              <c:idx val="0"/>
              <c:tx>
                <c:rich>
                  <a:bodyPr/>
                  <a:lstStyle/>
                  <a:p>
                    <a:fld id="{28037D77-6207-4507-89BB-057B940E94DF}"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706-4A74-B658-F69CCCF6CDDE}"/>
                </c:ext>
              </c:extLst>
            </c:dLbl>
            <c:dLbl>
              <c:idx val="1"/>
              <c:tx>
                <c:rich>
                  <a:bodyPr/>
                  <a:lstStyle/>
                  <a:p>
                    <a:fld id="{204CEDF1-7423-4C31-8E8C-ED55942D5F14}"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06-4A74-B658-F69CCCF6CDDE}"/>
                </c:ext>
              </c:extLst>
            </c:dLbl>
            <c:dLbl>
              <c:idx val="2"/>
              <c:tx>
                <c:rich>
                  <a:bodyPr/>
                  <a:lstStyle/>
                  <a:p>
                    <a:fld id="{1F7EE68A-3D8D-4072-B3DC-9476D7AE098E}"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06-4A74-B658-F69CCCF6CDD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50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Analysis!$I$100:$I$102</c:f>
              <c:strCache>
                <c:ptCount val="3"/>
                <c:pt idx="0">
                  <c:v>High (&gt;$1K)</c:v>
                </c:pt>
                <c:pt idx="1">
                  <c:v>Medium ($100-$1K)</c:v>
                </c:pt>
                <c:pt idx="2">
                  <c:v>Low (&lt;$100)</c:v>
                </c:pt>
              </c:strCache>
            </c:strRef>
          </c:cat>
          <c:val>
            <c:numRef>
              <c:f>Analysis!$L$100:$L$102</c:f>
              <c:numCache>
                <c:formatCode>[&lt;999999]0.0," K";[&lt;999999999]0.0,," M";\ 0.0,"B"</c:formatCode>
                <c:ptCount val="3"/>
                <c:pt idx="0">
                  <c:v>21508563.151499946</c:v>
                </c:pt>
                <c:pt idx="1">
                  <c:v>3299874.7205999955</c:v>
                </c:pt>
                <c:pt idx="2">
                  <c:v>0</c:v>
                </c:pt>
              </c:numCache>
            </c:numRef>
          </c:val>
          <c:extLst>
            <c:ext xmlns:c15="http://schemas.microsoft.com/office/drawing/2012/chart" uri="{02D57815-91ED-43cb-92C2-25804820EDAC}">
              <c15:datalabelsRange>
                <c15:f>Analysis!$P$100:$P$102</c15:f>
                <c15:dlblRangeCache>
                  <c:ptCount val="3"/>
                  <c:pt idx="0">
                    <c:v>21.5M (87%)</c:v>
                  </c:pt>
                  <c:pt idx="1">
                    <c:v>3.3M (13%)</c:v>
                  </c:pt>
                </c15:dlblRangeCache>
              </c15:datalabelsRange>
            </c:ext>
            <c:ext xmlns:c16="http://schemas.microsoft.com/office/drawing/2014/chart" uri="{C3380CC4-5D6E-409C-BE32-E72D297353CC}">
              <c16:uniqueId val="{00000007-2706-4A74-B658-F69CCCF6CDDE}"/>
            </c:ext>
          </c:extLst>
        </c:ser>
        <c:dLbls>
          <c:showLegendKey val="0"/>
          <c:showVal val="0"/>
          <c:showCatName val="0"/>
          <c:showSerName val="0"/>
          <c:showPercent val="0"/>
          <c:showBubbleSize val="0"/>
        </c:dLbls>
        <c:gapWidth val="50"/>
        <c:axId val="837863375"/>
        <c:axId val="837865295"/>
      </c:barChart>
      <c:catAx>
        <c:axId val="837863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865295"/>
        <c:crosses val="autoZero"/>
        <c:auto val="1"/>
        <c:lblAlgn val="ctr"/>
        <c:lblOffset val="100"/>
        <c:noMultiLvlLbl val="0"/>
      </c:catAx>
      <c:valAx>
        <c:axId val="837865295"/>
        <c:scaling>
          <c:orientation val="minMax"/>
        </c:scaling>
        <c:delete val="0"/>
        <c:axPos val="b"/>
        <c:numFmt formatCode="[&lt;999999]0.0,&quot; K&quot;;[&lt;999999999]0.0,,&quot; M&quot;;\ 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86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63846968118263"/>
          <c:y val="6.24651070802009E-2"/>
          <c:w val="0.72998604724808958"/>
          <c:h val="0.83466155257615438"/>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8B450920-FFD8-4934-BCB0-AEA84DE5A132}"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9AB-4962-BC89-793FF5192B00}"/>
                </c:ext>
              </c:extLst>
            </c:dLbl>
            <c:dLbl>
              <c:idx val="1"/>
              <c:tx>
                <c:rich>
                  <a:bodyPr/>
                  <a:lstStyle/>
                  <a:p>
                    <a:fld id="{F118948E-124A-43A9-B7E0-9717A3BA935C}"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9AB-4962-BC89-793FF5192B00}"/>
                </c:ext>
              </c:extLst>
            </c:dLbl>
            <c:dLbl>
              <c:idx val="2"/>
              <c:tx>
                <c:rich>
                  <a:bodyPr/>
                  <a:lstStyle/>
                  <a:p>
                    <a:fld id="{7421C8EE-5D2E-4B5E-A904-1C1B44DCF337}"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9AB-4962-BC89-793FF5192B0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Analysis!$I$108:$I$110</c:f>
              <c:strCache>
                <c:ptCount val="3"/>
                <c:pt idx="0">
                  <c:v>High (&gt;$1K)</c:v>
                </c:pt>
                <c:pt idx="1">
                  <c:v>Medium ($100-$1K)</c:v>
                </c:pt>
                <c:pt idx="2">
                  <c:v>Low (&lt;$100)</c:v>
                </c:pt>
              </c:strCache>
            </c:strRef>
          </c:cat>
          <c:val>
            <c:numRef>
              <c:f>Analysis!$K$108:$K$110</c:f>
              <c:numCache>
                <c:formatCode>[&lt;999999]0.0," K";[&lt;999999999]0.0,," M";\ 0.0,"B"</c:formatCode>
                <c:ptCount val="3"/>
                <c:pt idx="0">
                  <c:v>56324</c:v>
                </c:pt>
                <c:pt idx="1">
                  <c:v>46110</c:v>
                </c:pt>
                <c:pt idx="2">
                  <c:v>450046</c:v>
                </c:pt>
              </c:numCache>
            </c:numRef>
          </c:val>
          <c:extLst>
            <c:ext xmlns:c15="http://schemas.microsoft.com/office/drawing/2012/chart" uri="{02D57815-91ED-43cb-92C2-25804820EDAC}">
              <c15:datalabelsRange>
                <c15:f>Analysis!$O$108:$O$110</c15:f>
                <c15:dlblRangeCache>
                  <c:ptCount val="3"/>
                  <c:pt idx="0">
                    <c:v>56.3K (10%)</c:v>
                  </c:pt>
                  <c:pt idx="1">
                    <c:v>46.1K (8%)</c:v>
                  </c:pt>
                  <c:pt idx="2">
                    <c:v>450.0K (81%)</c:v>
                  </c:pt>
                </c15:dlblRangeCache>
              </c15:datalabelsRange>
            </c:ext>
            <c:ext xmlns:c16="http://schemas.microsoft.com/office/drawing/2014/chart" uri="{C3380CC4-5D6E-409C-BE32-E72D297353CC}">
              <c16:uniqueId val="{00000003-89AB-4962-BC89-793FF5192B00}"/>
            </c:ext>
          </c:extLst>
        </c:ser>
        <c:ser>
          <c:idx val="1"/>
          <c:order val="1"/>
          <c:spPr>
            <a:solidFill>
              <a:schemeClr val="bg1">
                <a:lumMod val="75000"/>
              </a:schemeClr>
            </a:solidFill>
            <a:ln>
              <a:noFill/>
            </a:ln>
            <a:effectLst/>
          </c:spPr>
          <c:invertIfNegative val="0"/>
          <c:dLbls>
            <c:dLbl>
              <c:idx val="0"/>
              <c:tx>
                <c:rich>
                  <a:bodyPr/>
                  <a:lstStyle/>
                  <a:p>
                    <a:fld id="{0A25E476-ABCF-4BF2-AF31-6AA9094E4F84}" type="CELLRANGE">
                      <a:rPr lang="en-US"/>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9AB-4962-BC89-793FF5192B00}"/>
                </c:ext>
              </c:extLst>
            </c:dLbl>
            <c:dLbl>
              <c:idx val="1"/>
              <c:tx>
                <c:rich>
                  <a:bodyPr/>
                  <a:lstStyle/>
                  <a:p>
                    <a:fld id="{362E173E-7D2C-46FE-BF9F-7BB5798E981B}"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9AB-4962-BC89-793FF5192B00}"/>
                </c:ext>
              </c:extLst>
            </c:dLbl>
            <c:dLbl>
              <c:idx val="2"/>
              <c:tx>
                <c:rich>
                  <a:bodyPr/>
                  <a:lstStyle/>
                  <a:p>
                    <a:fld id="{ED815C86-6031-4F2D-B9E8-C37FF5AF7514}" type="CELLRANGE">
                      <a:rPr lang="en-AU"/>
                      <a:pPr/>
                      <a:t>[CELLRANGE]</a:t>
                    </a:fld>
                    <a:endParaRPr lang="en-AU"/>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9AB-4962-BC89-793FF5192B0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50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Analysis!$I$108:$I$110</c:f>
              <c:strCache>
                <c:ptCount val="3"/>
                <c:pt idx="0">
                  <c:v>High (&gt;$1K)</c:v>
                </c:pt>
                <c:pt idx="1">
                  <c:v>Medium ($100-$1K)</c:v>
                </c:pt>
                <c:pt idx="2">
                  <c:v>Low (&lt;$100)</c:v>
                </c:pt>
              </c:strCache>
            </c:strRef>
          </c:cat>
          <c:val>
            <c:numRef>
              <c:f>Analysis!$L$108:$L$110</c:f>
              <c:numCache>
                <c:formatCode>[&lt;999999]0.0," K";[&lt;999999999]0.0,," M";\ 0.0,"B"</c:formatCode>
                <c:ptCount val="3"/>
                <c:pt idx="0">
                  <c:v>23535</c:v>
                </c:pt>
                <c:pt idx="1">
                  <c:v>9944</c:v>
                </c:pt>
                <c:pt idx="2">
                  <c:v>0</c:v>
                </c:pt>
              </c:numCache>
            </c:numRef>
          </c:val>
          <c:extLst>
            <c:ext xmlns:c15="http://schemas.microsoft.com/office/drawing/2012/chart" uri="{02D57815-91ED-43cb-92C2-25804820EDAC}">
              <c15:datalabelsRange>
                <c15:f>Analysis!$P$108:$P$110</c15:f>
                <c15:dlblRangeCache>
                  <c:ptCount val="3"/>
                  <c:pt idx="0">
                    <c:v>23.5K (70%)</c:v>
                  </c:pt>
                  <c:pt idx="1">
                    <c:v>9.9K (30%)</c:v>
                  </c:pt>
                </c15:dlblRangeCache>
              </c15:datalabelsRange>
            </c:ext>
            <c:ext xmlns:c16="http://schemas.microsoft.com/office/drawing/2014/chart" uri="{C3380CC4-5D6E-409C-BE32-E72D297353CC}">
              <c16:uniqueId val="{00000007-89AB-4962-BC89-793FF5192B00}"/>
            </c:ext>
          </c:extLst>
        </c:ser>
        <c:dLbls>
          <c:showLegendKey val="0"/>
          <c:showVal val="0"/>
          <c:showCatName val="0"/>
          <c:showSerName val="0"/>
          <c:showPercent val="0"/>
          <c:showBubbleSize val="0"/>
        </c:dLbls>
        <c:gapWidth val="50"/>
        <c:axId val="837863375"/>
        <c:axId val="837865295"/>
      </c:barChart>
      <c:catAx>
        <c:axId val="837863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865295"/>
        <c:crosses val="autoZero"/>
        <c:auto val="1"/>
        <c:lblAlgn val="ctr"/>
        <c:lblOffset val="100"/>
        <c:noMultiLvlLbl val="0"/>
      </c:catAx>
      <c:valAx>
        <c:axId val="837865295"/>
        <c:scaling>
          <c:orientation val="minMax"/>
        </c:scaling>
        <c:delete val="0"/>
        <c:axPos val="b"/>
        <c:numFmt formatCode="[&lt;999999]0.0,&quot; K&quot;;[&lt;999999999]0.0,,&quot; M&quot;;\ 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86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C$2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275773</xdr:colOff>
      <xdr:row>1</xdr:row>
      <xdr:rowOff>44448</xdr:rowOff>
    </xdr:from>
    <xdr:to>
      <xdr:col>16</xdr:col>
      <xdr:colOff>544285</xdr:colOff>
      <xdr:row>40</xdr:row>
      <xdr:rowOff>145143</xdr:rowOff>
    </xdr:to>
    <xdr:sp macro="" textlink="">
      <xdr:nvSpPr>
        <xdr:cNvPr id="2" name="Rectangle: Rounded Corners 1">
          <a:extLst>
            <a:ext uri="{FF2B5EF4-FFF2-40B4-BE49-F238E27FC236}">
              <a16:creationId xmlns:a16="http://schemas.microsoft.com/office/drawing/2014/main" id="{57823B50-BC17-84AB-273A-599A21CAE859}"/>
            </a:ext>
          </a:extLst>
        </xdr:cNvPr>
        <xdr:cNvSpPr/>
      </xdr:nvSpPr>
      <xdr:spPr>
        <a:xfrm>
          <a:off x="275773" y="229175"/>
          <a:ext cx="12356603" cy="7305059"/>
        </a:xfrm>
        <a:prstGeom prst="roundRect">
          <a:avLst>
            <a:gd name="adj" fmla="val 5511"/>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275773</xdr:colOff>
      <xdr:row>9</xdr:row>
      <xdr:rowOff>60194</xdr:rowOff>
    </xdr:from>
    <xdr:to>
      <xdr:col>16</xdr:col>
      <xdr:colOff>544285</xdr:colOff>
      <xdr:row>48</xdr:row>
      <xdr:rowOff>80812</xdr:rowOff>
    </xdr:to>
    <xdr:sp macro="" textlink="">
      <xdr:nvSpPr>
        <xdr:cNvPr id="10" name="Rectangle: Top Corners Rounded 9">
          <a:extLst>
            <a:ext uri="{FF2B5EF4-FFF2-40B4-BE49-F238E27FC236}">
              <a16:creationId xmlns:a16="http://schemas.microsoft.com/office/drawing/2014/main" id="{475DBBA4-DBD4-45CC-ADAA-5B05BF430CD7}"/>
            </a:ext>
          </a:extLst>
        </xdr:cNvPr>
        <xdr:cNvSpPr/>
      </xdr:nvSpPr>
      <xdr:spPr>
        <a:xfrm flipV="1">
          <a:off x="275773" y="1722739"/>
          <a:ext cx="12356603" cy="7224982"/>
        </a:xfrm>
        <a:prstGeom prst="round2SameRect">
          <a:avLst>
            <a:gd name="adj1" fmla="val 2772"/>
            <a:gd name="adj2" fmla="val 0"/>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endParaRPr lang="en-AU" sz="1100"/>
        </a:p>
      </xdr:txBody>
    </xdr:sp>
    <xdr:clientData/>
  </xdr:twoCellAnchor>
  <xdr:twoCellAnchor>
    <xdr:from>
      <xdr:col>4</xdr:col>
      <xdr:colOff>804308</xdr:colOff>
      <xdr:row>6</xdr:row>
      <xdr:rowOff>157013</xdr:rowOff>
    </xdr:from>
    <xdr:to>
      <xdr:col>6</xdr:col>
      <xdr:colOff>653802</xdr:colOff>
      <xdr:row>13</xdr:row>
      <xdr:rowOff>163365</xdr:rowOff>
    </xdr:to>
    <xdr:sp macro="" textlink="">
      <xdr:nvSpPr>
        <xdr:cNvPr id="15" name="Rectangle: Rounded Corners 14">
          <a:extLst>
            <a:ext uri="{FF2B5EF4-FFF2-40B4-BE49-F238E27FC236}">
              <a16:creationId xmlns:a16="http://schemas.microsoft.com/office/drawing/2014/main" id="{3B93C60E-146C-BB41-E878-8D738221E1F3}"/>
            </a:ext>
          </a:extLst>
        </xdr:cNvPr>
        <xdr:cNvSpPr/>
      </xdr:nvSpPr>
      <xdr:spPr>
        <a:xfrm>
          <a:off x="4475763" y="1265377"/>
          <a:ext cx="1893039"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587913</xdr:colOff>
      <xdr:row>6</xdr:row>
      <xdr:rowOff>157013</xdr:rowOff>
    </xdr:from>
    <xdr:to>
      <xdr:col>4</xdr:col>
      <xdr:colOff>683160</xdr:colOff>
      <xdr:row>13</xdr:row>
      <xdr:rowOff>163365</xdr:rowOff>
    </xdr:to>
    <xdr:sp macro="" textlink="">
      <xdr:nvSpPr>
        <xdr:cNvPr id="17" name="Rectangle: Rounded Corners 16">
          <a:extLst>
            <a:ext uri="{FF2B5EF4-FFF2-40B4-BE49-F238E27FC236}">
              <a16:creationId xmlns:a16="http://schemas.microsoft.com/office/drawing/2014/main" id="{3DD21167-6E57-4CBB-8A83-0403CED23610}"/>
            </a:ext>
          </a:extLst>
        </xdr:cNvPr>
        <xdr:cNvSpPr/>
      </xdr:nvSpPr>
      <xdr:spPr>
        <a:xfrm>
          <a:off x="2458277" y="1265377"/>
          <a:ext cx="1896338"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443266</xdr:colOff>
      <xdr:row>6</xdr:row>
      <xdr:rowOff>157013</xdr:rowOff>
    </xdr:from>
    <xdr:to>
      <xdr:col>2</xdr:col>
      <xdr:colOff>466765</xdr:colOff>
      <xdr:row>13</xdr:row>
      <xdr:rowOff>163365</xdr:rowOff>
    </xdr:to>
    <xdr:sp macro="" textlink="">
      <xdr:nvSpPr>
        <xdr:cNvPr id="18" name="Rectangle: Rounded Corners 17">
          <a:extLst>
            <a:ext uri="{FF2B5EF4-FFF2-40B4-BE49-F238E27FC236}">
              <a16:creationId xmlns:a16="http://schemas.microsoft.com/office/drawing/2014/main" id="{2B60F0DF-17B4-4169-B91A-B3330704839A}"/>
            </a:ext>
          </a:extLst>
        </xdr:cNvPr>
        <xdr:cNvSpPr/>
      </xdr:nvSpPr>
      <xdr:spPr>
        <a:xfrm>
          <a:off x="443266" y="1265377"/>
          <a:ext cx="1893863"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47586</xdr:colOff>
      <xdr:row>6</xdr:row>
      <xdr:rowOff>157013</xdr:rowOff>
    </xdr:from>
    <xdr:to>
      <xdr:col>9</xdr:col>
      <xdr:colOff>587333</xdr:colOff>
      <xdr:row>13</xdr:row>
      <xdr:rowOff>163365</xdr:rowOff>
    </xdr:to>
    <xdr:sp macro="" textlink="">
      <xdr:nvSpPr>
        <xdr:cNvPr id="19" name="Rectangle: Rounded Corners 18">
          <a:extLst>
            <a:ext uri="{FF2B5EF4-FFF2-40B4-BE49-F238E27FC236}">
              <a16:creationId xmlns:a16="http://schemas.microsoft.com/office/drawing/2014/main" id="{BF898F30-99FE-4B4B-BDD9-8F725DCB5C1B}"/>
            </a:ext>
          </a:extLst>
        </xdr:cNvPr>
        <xdr:cNvSpPr/>
      </xdr:nvSpPr>
      <xdr:spPr>
        <a:xfrm>
          <a:off x="6489950" y="1265377"/>
          <a:ext cx="1902110"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4</xdr:col>
      <xdr:colOff>1177240</xdr:colOff>
      <xdr:row>7</xdr:row>
      <xdr:rowOff>85927</xdr:rowOff>
    </xdr:from>
    <xdr:ext cx="1147174" cy="342851"/>
    <xdr:sp macro="" textlink="">
      <xdr:nvSpPr>
        <xdr:cNvPr id="20" name="TextBox 19">
          <a:extLst>
            <a:ext uri="{FF2B5EF4-FFF2-40B4-BE49-F238E27FC236}">
              <a16:creationId xmlns:a16="http://schemas.microsoft.com/office/drawing/2014/main" id="{482A46AC-6353-1048-692E-F55048A128C2}"/>
            </a:ext>
          </a:extLst>
        </xdr:cNvPr>
        <xdr:cNvSpPr txBox="1"/>
      </xdr:nvSpPr>
      <xdr:spPr>
        <a:xfrm>
          <a:off x="4848695" y="1379018"/>
          <a:ext cx="1147174"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Profit</a:t>
          </a:r>
          <a:endParaRPr lang="en-AU" sz="1600" b="1">
            <a:latin typeface="+mj-lt"/>
          </a:endParaRPr>
        </a:p>
      </xdr:txBody>
    </xdr:sp>
    <xdr:clientData/>
  </xdr:oneCellAnchor>
  <xdr:oneCellAnchor>
    <xdr:from>
      <xdr:col>2</xdr:col>
      <xdr:colOff>840382</xdr:colOff>
      <xdr:row>7</xdr:row>
      <xdr:rowOff>97472</xdr:rowOff>
    </xdr:from>
    <xdr:ext cx="1299202" cy="342851"/>
    <xdr:sp macro="" textlink="">
      <xdr:nvSpPr>
        <xdr:cNvPr id="21" name="TextBox 20">
          <a:extLst>
            <a:ext uri="{FF2B5EF4-FFF2-40B4-BE49-F238E27FC236}">
              <a16:creationId xmlns:a16="http://schemas.microsoft.com/office/drawing/2014/main" id="{320A9026-98B4-43AC-8E17-09C519583EE2}"/>
            </a:ext>
          </a:extLst>
        </xdr:cNvPr>
        <xdr:cNvSpPr txBox="1"/>
      </xdr:nvSpPr>
      <xdr:spPr>
        <a:xfrm>
          <a:off x="2710746" y="1390563"/>
          <a:ext cx="1299202"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Profit</a:t>
          </a:r>
          <a:r>
            <a:rPr lang="en-AU" sz="1600" b="1" baseline="0">
              <a:latin typeface="+mj-lt"/>
            </a:rPr>
            <a:t> Margin</a:t>
          </a:r>
          <a:endParaRPr lang="en-AU" sz="1600" b="1">
            <a:latin typeface="+mj-lt"/>
          </a:endParaRPr>
        </a:p>
      </xdr:txBody>
    </xdr:sp>
    <xdr:clientData/>
  </xdr:oneCellAnchor>
  <xdr:oneCellAnchor>
    <xdr:from>
      <xdr:col>0</xdr:col>
      <xdr:colOff>658641</xdr:colOff>
      <xdr:row>7</xdr:row>
      <xdr:rowOff>97472</xdr:rowOff>
    </xdr:from>
    <xdr:ext cx="1423531" cy="342851"/>
    <xdr:sp macro="" textlink="">
      <xdr:nvSpPr>
        <xdr:cNvPr id="22" name="TextBox 21">
          <a:extLst>
            <a:ext uri="{FF2B5EF4-FFF2-40B4-BE49-F238E27FC236}">
              <a16:creationId xmlns:a16="http://schemas.microsoft.com/office/drawing/2014/main" id="{13F86AD6-B2DB-4283-A0FD-76A31B3B11BB}"/>
            </a:ext>
          </a:extLst>
        </xdr:cNvPr>
        <xdr:cNvSpPr txBox="1"/>
      </xdr:nvSpPr>
      <xdr:spPr>
        <a:xfrm>
          <a:off x="658641" y="1390563"/>
          <a:ext cx="142353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Revenue</a:t>
          </a:r>
          <a:endParaRPr lang="en-AU" sz="1600" b="1">
            <a:latin typeface="+mj-lt"/>
          </a:endParaRPr>
        </a:p>
      </xdr:txBody>
    </xdr:sp>
    <xdr:clientData/>
  </xdr:oneCellAnchor>
  <xdr:oneCellAnchor>
    <xdr:from>
      <xdr:col>7</xdr:col>
      <xdr:colOff>432957</xdr:colOff>
      <xdr:row>7</xdr:row>
      <xdr:rowOff>97472</xdr:rowOff>
    </xdr:from>
    <xdr:ext cx="1079911" cy="342851"/>
    <xdr:sp macro="" textlink="">
      <xdr:nvSpPr>
        <xdr:cNvPr id="23" name="TextBox 22">
          <a:extLst>
            <a:ext uri="{FF2B5EF4-FFF2-40B4-BE49-F238E27FC236}">
              <a16:creationId xmlns:a16="http://schemas.microsoft.com/office/drawing/2014/main" id="{3BFD4455-EAB5-4FB3-B6AA-596764E8DB6C}"/>
            </a:ext>
          </a:extLst>
        </xdr:cNvPr>
        <xdr:cNvSpPr txBox="1"/>
      </xdr:nvSpPr>
      <xdr:spPr>
        <a:xfrm>
          <a:off x="6875321" y="1390563"/>
          <a:ext cx="107991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Cost</a:t>
          </a:r>
          <a:endParaRPr lang="en-AU" sz="1600" b="1">
            <a:latin typeface="+mj-lt"/>
          </a:endParaRPr>
        </a:p>
      </xdr:txBody>
    </xdr:sp>
    <xdr:clientData/>
  </xdr:oneCellAnchor>
  <xdr:twoCellAnchor>
    <xdr:from>
      <xdr:col>10</xdr:col>
      <xdr:colOff>96572</xdr:colOff>
      <xdr:row>6</xdr:row>
      <xdr:rowOff>157013</xdr:rowOff>
    </xdr:from>
    <xdr:to>
      <xdr:col>13</xdr:col>
      <xdr:colOff>173676</xdr:colOff>
      <xdr:row>13</xdr:row>
      <xdr:rowOff>163365</xdr:rowOff>
    </xdr:to>
    <xdr:sp macro="" textlink="">
      <xdr:nvSpPr>
        <xdr:cNvPr id="24" name="Rectangle: Rounded Corners 23">
          <a:extLst>
            <a:ext uri="{FF2B5EF4-FFF2-40B4-BE49-F238E27FC236}">
              <a16:creationId xmlns:a16="http://schemas.microsoft.com/office/drawing/2014/main" id="{6DB0E91E-B7B0-4276-9945-5B5EBBC9B19F}"/>
            </a:ext>
          </a:extLst>
        </xdr:cNvPr>
        <xdr:cNvSpPr/>
      </xdr:nvSpPr>
      <xdr:spPr>
        <a:xfrm>
          <a:off x="8513208" y="1265377"/>
          <a:ext cx="1912832"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11</xdr:col>
      <xdr:colOff>139765</xdr:colOff>
      <xdr:row>7</xdr:row>
      <xdr:rowOff>97472</xdr:rowOff>
    </xdr:from>
    <xdr:ext cx="577722" cy="342851"/>
    <xdr:sp macro="" textlink="">
      <xdr:nvSpPr>
        <xdr:cNvPr id="25" name="TextBox 24">
          <a:extLst>
            <a:ext uri="{FF2B5EF4-FFF2-40B4-BE49-F238E27FC236}">
              <a16:creationId xmlns:a16="http://schemas.microsoft.com/office/drawing/2014/main" id="{FF7BA26E-025A-4EA4-8323-3AE964117CB6}"/>
            </a:ext>
          </a:extLst>
        </xdr:cNvPr>
        <xdr:cNvSpPr txBox="1"/>
      </xdr:nvSpPr>
      <xdr:spPr>
        <a:xfrm>
          <a:off x="9168310" y="1390563"/>
          <a:ext cx="577722"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AOV</a:t>
          </a:r>
        </a:p>
      </xdr:txBody>
    </xdr:sp>
    <xdr:clientData/>
  </xdr:oneCellAnchor>
  <xdr:twoCellAnchor>
    <xdr:from>
      <xdr:col>13</xdr:col>
      <xdr:colOff>294824</xdr:colOff>
      <xdr:row>6</xdr:row>
      <xdr:rowOff>157013</xdr:rowOff>
    </xdr:from>
    <xdr:to>
      <xdr:col>16</xdr:col>
      <xdr:colOff>371928</xdr:colOff>
      <xdr:row>13</xdr:row>
      <xdr:rowOff>163365</xdr:rowOff>
    </xdr:to>
    <xdr:sp macro="" textlink="">
      <xdr:nvSpPr>
        <xdr:cNvPr id="26" name="Rectangle: Rounded Corners 25">
          <a:extLst>
            <a:ext uri="{FF2B5EF4-FFF2-40B4-BE49-F238E27FC236}">
              <a16:creationId xmlns:a16="http://schemas.microsoft.com/office/drawing/2014/main" id="{B5116FF0-DEFF-4E07-8FFB-1415C3A245E9}"/>
            </a:ext>
          </a:extLst>
        </xdr:cNvPr>
        <xdr:cNvSpPr/>
      </xdr:nvSpPr>
      <xdr:spPr>
        <a:xfrm>
          <a:off x="10547188" y="1265377"/>
          <a:ext cx="1912831" cy="1299443"/>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14</xdr:col>
      <xdr:colOff>95774</xdr:colOff>
      <xdr:row>7</xdr:row>
      <xdr:rowOff>97472</xdr:rowOff>
    </xdr:from>
    <xdr:ext cx="1082989" cy="342851"/>
    <xdr:sp macro="" textlink="">
      <xdr:nvSpPr>
        <xdr:cNvPr id="27" name="TextBox 26">
          <a:extLst>
            <a:ext uri="{FF2B5EF4-FFF2-40B4-BE49-F238E27FC236}">
              <a16:creationId xmlns:a16="http://schemas.microsoft.com/office/drawing/2014/main" id="{DA46F31C-9A81-4A37-9DD5-1FD980D61347}"/>
            </a:ext>
          </a:extLst>
        </xdr:cNvPr>
        <xdr:cNvSpPr txBox="1"/>
      </xdr:nvSpPr>
      <xdr:spPr>
        <a:xfrm>
          <a:off x="10960047" y="1390563"/>
          <a:ext cx="108298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Unit</a:t>
          </a:r>
          <a:r>
            <a:rPr lang="en-AU" sz="1600" b="1" baseline="0">
              <a:latin typeface="+mj-lt"/>
            </a:rPr>
            <a:t>s Sold</a:t>
          </a:r>
          <a:endParaRPr lang="en-AU" sz="1600" b="1">
            <a:latin typeface="+mj-lt"/>
          </a:endParaRPr>
        </a:p>
      </xdr:txBody>
    </xdr:sp>
    <xdr:clientData/>
  </xdr:oneCellAnchor>
  <xdr:oneCellAnchor>
    <xdr:from>
      <xdr:col>4</xdr:col>
      <xdr:colOff>1082375</xdr:colOff>
      <xdr:row>8</xdr:row>
      <xdr:rowOff>155778</xdr:rowOff>
    </xdr:from>
    <xdr:ext cx="1336904" cy="530658"/>
    <xdr:sp macro="" textlink="Analysis!E23">
      <xdr:nvSpPr>
        <xdr:cNvPr id="41" name="TextBox 40">
          <a:extLst>
            <a:ext uri="{FF2B5EF4-FFF2-40B4-BE49-F238E27FC236}">
              <a16:creationId xmlns:a16="http://schemas.microsoft.com/office/drawing/2014/main" id="{35F7035A-E508-46C1-BF6D-72F9A9BAE91D}"/>
            </a:ext>
          </a:extLst>
        </xdr:cNvPr>
        <xdr:cNvSpPr txBox="1"/>
      </xdr:nvSpPr>
      <xdr:spPr>
        <a:xfrm>
          <a:off x="4753830" y="1633596"/>
          <a:ext cx="133690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74FA2D01-4E13-4670-8D38-F12EB4D27229}" type="TxLink">
            <a:rPr lang="en-US" sz="2800" b="1" i="0" u="none" strike="noStrike">
              <a:solidFill>
                <a:schemeClr val="accent1">
                  <a:lumMod val="75000"/>
                </a:schemeClr>
              </a:solidFill>
              <a:latin typeface="Aptos Narrow"/>
              <a:ea typeface="+mn-ea"/>
              <a:cs typeface="+mn-cs"/>
            </a:rPr>
            <a:pPr marL="0" indent="0" algn="ctr"/>
            <a:t>$71.4 M</a:t>
          </a:fld>
          <a:endParaRPr lang="en-AU" sz="2800" b="1" i="0" u="none" strike="noStrike">
            <a:solidFill>
              <a:schemeClr val="accent1">
                <a:lumMod val="75000"/>
              </a:schemeClr>
            </a:solidFill>
            <a:latin typeface="Aptos Narrow"/>
            <a:ea typeface="+mn-ea"/>
            <a:cs typeface="+mn-cs"/>
          </a:endParaRPr>
        </a:p>
      </xdr:txBody>
    </xdr:sp>
    <xdr:clientData/>
  </xdr:oneCellAnchor>
  <xdr:twoCellAnchor>
    <xdr:from>
      <xdr:col>0</xdr:col>
      <xdr:colOff>453571</xdr:colOff>
      <xdr:row>14</xdr:row>
      <xdr:rowOff>158578</xdr:rowOff>
    </xdr:from>
    <xdr:to>
      <xdr:col>3</xdr:col>
      <xdr:colOff>544286</xdr:colOff>
      <xdr:row>27</xdr:row>
      <xdr:rowOff>34633</xdr:rowOff>
    </xdr:to>
    <xdr:grpSp>
      <xdr:nvGrpSpPr>
        <xdr:cNvPr id="42" name="Group 41">
          <a:extLst>
            <a:ext uri="{FF2B5EF4-FFF2-40B4-BE49-F238E27FC236}">
              <a16:creationId xmlns:a16="http://schemas.microsoft.com/office/drawing/2014/main" id="{881EEEF7-D414-900A-C56E-C4FEF86E1E93}"/>
            </a:ext>
          </a:extLst>
        </xdr:cNvPr>
        <xdr:cNvGrpSpPr/>
      </xdr:nvGrpSpPr>
      <xdr:grpSpPr>
        <a:xfrm>
          <a:off x="453571" y="2744760"/>
          <a:ext cx="3000170" cy="2277509"/>
          <a:chOff x="735695" y="3150504"/>
          <a:chExt cx="2802161" cy="2029282"/>
        </a:xfrm>
      </xdr:grpSpPr>
      <xdr:sp macro="" textlink="">
        <xdr:nvSpPr>
          <xdr:cNvPr id="16" name="Rectangle: Rounded Corners 15">
            <a:extLst>
              <a:ext uri="{FF2B5EF4-FFF2-40B4-BE49-F238E27FC236}">
                <a16:creationId xmlns:a16="http://schemas.microsoft.com/office/drawing/2014/main" id="{E41ABA22-B7E5-386E-46D1-6522780A6397}"/>
              </a:ext>
            </a:extLst>
          </xdr:cNvPr>
          <xdr:cNvSpPr/>
        </xdr:nvSpPr>
        <xdr:spPr>
          <a:xfrm>
            <a:off x="735695" y="3150504"/>
            <a:ext cx="2802161" cy="202928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mc:AlternateContent xmlns:mc="http://schemas.openxmlformats.org/markup-compatibility/2006">
        <mc:Choice xmlns:a14="http://schemas.microsoft.com/office/drawing/2010/main" Requires="a14">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981530" y="3287252"/>
                <a:ext cx="660400" cy="23313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U" sz="800" b="0" i="0" u="none" strike="noStrike" baseline="0">
                    <a:solidFill>
                      <a:srgbClr val="000000"/>
                    </a:solidFill>
                    <a:latin typeface="Segoe UI"/>
                    <a:cs typeface="Segoe UI"/>
                  </a:rPr>
                  <a:t>Revenue</a:t>
                </a:r>
              </a:p>
            </xdr:txBody>
          </xdr:sp>
        </mc:Choice>
        <mc:Fallback/>
      </mc:AlternateContent>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1870058" y="3250513"/>
                <a:ext cx="623740" cy="306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U" sz="800" b="0" i="0" u="none" strike="noStrike" baseline="0">
                    <a:solidFill>
                      <a:srgbClr val="000000"/>
                    </a:solidFill>
                    <a:latin typeface="Segoe UI"/>
                    <a:cs typeface="Segoe UI"/>
                  </a:rPr>
                  <a:t>Profit</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2568122" y="3250966"/>
                <a:ext cx="902607" cy="3057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U" sz="800" b="0" i="0" u="none" strike="noStrike" baseline="0">
                    <a:solidFill>
                      <a:srgbClr val="000000"/>
                    </a:solidFill>
                    <a:latin typeface="Segoe UI"/>
                    <a:cs typeface="Segoe UI"/>
                  </a:rPr>
                  <a:t>Cost</a:t>
                </a:r>
              </a:p>
            </xdr:txBody>
          </xdr:sp>
        </mc:Choice>
        <mc:Fallback/>
      </mc:AlternateContent>
    </xdr:grpSp>
    <xdr:clientData/>
  </xdr:twoCellAnchor>
  <xdr:oneCellAnchor>
    <xdr:from>
      <xdr:col>2</xdr:col>
      <xdr:colOff>941724</xdr:colOff>
      <xdr:row>8</xdr:row>
      <xdr:rowOff>167323</xdr:rowOff>
    </xdr:from>
    <xdr:ext cx="1096519" cy="530658"/>
    <xdr:sp macro="" textlink="Analysis!D23">
      <xdr:nvSpPr>
        <xdr:cNvPr id="43" name="TextBox 42">
          <a:extLst>
            <a:ext uri="{FF2B5EF4-FFF2-40B4-BE49-F238E27FC236}">
              <a16:creationId xmlns:a16="http://schemas.microsoft.com/office/drawing/2014/main" id="{BD852101-9735-4A22-B555-B5214987E537}"/>
            </a:ext>
          </a:extLst>
        </xdr:cNvPr>
        <xdr:cNvSpPr txBox="1"/>
      </xdr:nvSpPr>
      <xdr:spPr>
        <a:xfrm>
          <a:off x="2812088" y="1645141"/>
          <a:ext cx="109651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240884FF-4A61-489C-89E8-12DC2F4B0B15}" type="TxLink">
            <a:rPr lang="en-US" sz="2800" b="1" i="0" u="none" strike="noStrike">
              <a:solidFill>
                <a:schemeClr val="accent1">
                  <a:lumMod val="75000"/>
                </a:schemeClr>
              </a:solidFill>
              <a:latin typeface="Aptos Narrow"/>
            </a:rPr>
            <a:pPr algn="ctr"/>
            <a:t>41.3%</a:t>
          </a:fld>
          <a:endParaRPr lang="en-AU" sz="2800" b="1">
            <a:solidFill>
              <a:schemeClr val="accent1">
                <a:lumMod val="75000"/>
              </a:schemeClr>
            </a:solidFill>
            <a:latin typeface="+mj-lt"/>
          </a:endParaRPr>
        </a:p>
      </xdr:txBody>
    </xdr:sp>
    <xdr:clientData/>
  </xdr:oneCellAnchor>
  <xdr:oneCellAnchor>
    <xdr:from>
      <xdr:col>0</xdr:col>
      <xdr:colOff>610967</xdr:colOff>
      <xdr:row>8</xdr:row>
      <xdr:rowOff>167323</xdr:rowOff>
    </xdr:from>
    <xdr:ext cx="1518877" cy="530658"/>
    <xdr:sp macro="" textlink="Analysis!C23">
      <xdr:nvSpPr>
        <xdr:cNvPr id="44" name="TextBox 43">
          <a:extLst>
            <a:ext uri="{FF2B5EF4-FFF2-40B4-BE49-F238E27FC236}">
              <a16:creationId xmlns:a16="http://schemas.microsoft.com/office/drawing/2014/main" id="{8F7A83EA-C140-4E19-BBC3-262241B88B53}"/>
            </a:ext>
          </a:extLst>
        </xdr:cNvPr>
        <xdr:cNvSpPr txBox="1"/>
      </xdr:nvSpPr>
      <xdr:spPr>
        <a:xfrm>
          <a:off x="610967" y="1645141"/>
          <a:ext cx="151887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7FD93CE-FCE2-47D0-8118-99C78852D02F}" type="TxLink">
            <a:rPr lang="en-US" sz="2800" b="1" i="0" u="none" strike="noStrike">
              <a:solidFill>
                <a:schemeClr val="accent1">
                  <a:lumMod val="75000"/>
                </a:schemeClr>
              </a:solidFill>
              <a:latin typeface="Aptos Narrow"/>
              <a:ea typeface="+mn-ea"/>
              <a:cs typeface="+mn-cs"/>
            </a:rPr>
            <a:pPr marL="0" indent="0" algn="ctr"/>
            <a:t>$172.7 M</a:t>
          </a:fld>
          <a:endParaRPr lang="en-AU" sz="2800" b="1" i="0" u="none" strike="noStrike">
            <a:solidFill>
              <a:schemeClr val="accent1">
                <a:lumMod val="75000"/>
              </a:schemeClr>
            </a:solidFill>
            <a:latin typeface="Aptos Narrow"/>
            <a:ea typeface="+mn-ea"/>
            <a:cs typeface="+mn-cs"/>
          </a:endParaRPr>
        </a:p>
      </xdr:txBody>
    </xdr:sp>
    <xdr:clientData/>
  </xdr:oneCellAnchor>
  <xdr:oneCellAnchor>
    <xdr:from>
      <xdr:col>7</xdr:col>
      <xdr:colOff>213474</xdr:colOff>
      <xdr:row>8</xdr:row>
      <xdr:rowOff>167323</xdr:rowOff>
    </xdr:from>
    <xdr:ext cx="1518877" cy="530658"/>
    <xdr:sp macro="" textlink="Analysis!F23">
      <xdr:nvSpPr>
        <xdr:cNvPr id="45" name="TextBox 44">
          <a:extLst>
            <a:ext uri="{FF2B5EF4-FFF2-40B4-BE49-F238E27FC236}">
              <a16:creationId xmlns:a16="http://schemas.microsoft.com/office/drawing/2014/main" id="{D88CE5F0-BC85-46C4-9869-39C937B8761C}"/>
            </a:ext>
          </a:extLst>
        </xdr:cNvPr>
        <xdr:cNvSpPr txBox="1"/>
      </xdr:nvSpPr>
      <xdr:spPr>
        <a:xfrm>
          <a:off x="6655838" y="1645141"/>
          <a:ext cx="151887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543DBE97-EB1B-44B2-A76D-474EC72C08B9}" type="TxLink">
            <a:rPr lang="en-US" sz="2800" b="1" i="0" u="none" strike="noStrike">
              <a:solidFill>
                <a:schemeClr val="accent1">
                  <a:lumMod val="75000"/>
                </a:schemeClr>
              </a:solidFill>
              <a:latin typeface="Aptos Narrow"/>
            </a:rPr>
            <a:pPr algn="ctr"/>
            <a:t>$101.3 M</a:t>
          </a:fld>
          <a:endParaRPr lang="en-AU" sz="2800" b="1">
            <a:solidFill>
              <a:schemeClr val="accent1">
                <a:lumMod val="75000"/>
              </a:schemeClr>
            </a:solidFill>
            <a:latin typeface="+mj-lt"/>
          </a:endParaRPr>
        </a:p>
      </xdr:txBody>
    </xdr:sp>
    <xdr:clientData/>
  </xdr:oneCellAnchor>
  <xdr:oneCellAnchor>
    <xdr:from>
      <xdr:col>10</xdr:col>
      <xdr:colOff>489916</xdr:colOff>
      <xdr:row>8</xdr:row>
      <xdr:rowOff>167323</xdr:rowOff>
    </xdr:from>
    <xdr:ext cx="1092992" cy="530658"/>
    <xdr:sp macro="" textlink="Analysis!G23">
      <xdr:nvSpPr>
        <xdr:cNvPr id="46" name="TextBox 45">
          <a:extLst>
            <a:ext uri="{FF2B5EF4-FFF2-40B4-BE49-F238E27FC236}">
              <a16:creationId xmlns:a16="http://schemas.microsoft.com/office/drawing/2014/main" id="{D964D0FF-6142-469F-A9A9-5D4172CACB72}"/>
            </a:ext>
          </a:extLst>
        </xdr:cNvPr>
        <xdr:cNvSpPr txBox="1"/>
      </xdr:nvSpPr>
      <xdr:spPr>
        <a:xfrm>
          <a:off x="8906552" y="1645141"/>
          <a:ext cx="109299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FFB85910-B43C-4D86-8668-344CD84082CA}" type="TxLink">
            <a:rPr lang="en-US" sz="2800" b="1" i="0" u="none" strike="noStrike">
              <a:solidFill>
                <a:schemeClr val="accent1">
                  <a:lumMod val="75000"/>
                </a:schemeClr>
              </a:solidFill>
              <a:latin typeface="Aptos Narrow"/>
            </a:rPr>
            <a:pPr algn="ctr"/>
            <a:t>$3.3 K</a:t>
          </a:fld>
          <a:endParaRPr lang="en-AU" sz="2800" b="1">
            <a:solidFill>
              <a:schemeClr val="accent1">
                <a:lumMod val="75000"/>
              </a:schemeClr>
            </a:solidFill>
            <a:latin typeface="+mj-lt"/>
          </a:endParaRPr>
        </a:p>
      </xdr:txBody>
    </xdr:sp>
    <xdr:clientData/>
  </xdr:oneCellAnchor>
  <xdr:oneCellAnchor>
    <xdr:from>
      <xdr:col>13</xdr:col>
      <xdr:colOff>507894</xdr:colOff>
      <xdr:row>8</xdr:row>
      <xdr:rowOff>167323</xdr:rowOff>
    </xdr:from>
    <xdr:ext cx="1474321" cy="530658"/>
    <xdr:sp macro="" textlink="Analysis!H23">
      <xdr:nvSpPr>
        <xdr:cNvPr id="47" name="TextBox 46">
          <a:extLst>
            <a:ext uri="{FF2B5EF4-FFF2-40B4-BE49-F238E27FC236}">
              <a16:creationId xmlns:a16="http://schemas.microsoft.com/office/drawing/2014/main" id="{5E989E63-34D6-4A83-A78A-5C831F17D9FA}"/>
            </a:ext>
          </a:extLst>
        </xdr:cNvPr>
        <xdr:cNvSpPr txBox="1"/>
      </xdr:nvSpPr>
      <xdr:spPr>
        <a:xfrm>
          <a:off x="10760258" y="1645141"/>
          <a:ext cx="147432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D2B8305-CDA2-4822-A3E8-88E0E4C4EDC4}" type="TxLink">
            <a:rPr lang="en-US" sz="2800" b="1" i="0" u="none" strike="noStrike">
              <a:solidFill>
                <a:schemeClr val="accent1">
                  <a:lumMod val="75000"/>
                </a:schemeClr>
              </a:solidFill>
              <a:latin typeface="Aptos Narrow"/>
            </a:rPr>
            <a:pPr algn="ctr"/>
            <a:t>552.5 K</a:t>
          </a:fld>
          <a:endParaRPr lang="en-AU" sz="2800" b="1">
            <a:solidFill>
              <a:schemeClr val="accent1">
                <a:lumMod val="75000"/>
              </a:schemeClr>
            </a:solidFill>
            <a:latin typeface="+mj-lt"/>
          </a:endParaRPr>
        </a:p>
      </xdr:txBody>
    </xdr:sp>
    <xdr:clientData/>
  </xdr:oneCellAnchor>
  <xdr:twoCellAnchor>
    <xdr:from>
      <xdr:col>0</xdr:col>
      <xdr:colOff>580572</xdr:colOff>
      <xdr:row>17</xdr:row>
      <xdr:rowOff>61846</xdr:rowOff>
    </xdr:from>
    <xdr:to>
      <xdr:col>3</xdr:col>
      <xdr:colOff>362857</xdr:colOff>
      <xdr:row>26</xdr:row>
      <xdr:rowOff>79990</xdr:rowOff>
    </xdr:to>
    <xdr:graphicFrame macro="">
      <xdr:nvGraphicFramePr>
        <xdr:cNvPr id="48" name="Chart 47">
          <a:extLst>
            <a:ext uri="{FF2B5EF4-FFF2-40B4-BE49-F238E27FC236}">
              <a16:creationId xmlns:a16="http://schemas.microsoft.com/office/drawing/2014/main" id="{A196F264-2820-4F9C-9DEA-F5028B5C8D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869226</xdr:colOff>
      <xdr:row>17</xdr:row>
      <xdr:rowOff>135915</xdr:rowOff>
    </xdr:from>
    <xdr:to>
      <xdr:col>3</xdr:col>
      <xdr:colOff>291076</xdr:colOff>
      <xdr:row>19</xdr:row>
      <xdr:rowOff>2965</xdr:rowOff>
    </xdr:to>
    <xdr:sp macro="" textlink="Analysis!D29">
      <xdr:nvSpPr>
        <xdr:cNvPr id="51" name="TextBox 50">
          <a:extLst>
            <a:ext uri="{FF2B5EF4-FFF2-40B4-BE49-F238E27FC236}">
              <a16:creationId xmlns:a16="http://schemas.microsoft.com/office/drawing/2014/main" id="{741FDA57-119E-462C-B95D-002C3D4DE2DA}"/>
            </a:ext>
          </a:extLst>
        </xdr:cNvPr>
        <xdr:cNvSpPr txBox="1"/>
      </xdr:nvSpPr>
      <xdr:spPr>
        <a:xfrm>
          <a:off x="2739590" y="3276279"/>
          <a:ext cx="460941" cy="2365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D6D758E-D0B0-4F21-9A77-C69216BA545F}" type="TxLink">
            <a:rPr lang="en-US" sz="900" b="0" i="0" u="none" strike="noStrike">
              <a:solidFill>
                <a:schemeClr val="tx1">
                  <a:lumMod val="65000"/>
                  <a:lumOff val="35000"/>
                </a:schemeClr>
              </a:solidFill>
              <a:latin typeface="Aptos Narrow"/>
            </a:rPr>
            <a:pPr/>
            <a:t>$102 M</a:t>
          </a:fld>
          <a:endParaRPr lang="en-AU" sz="1100" b="1">
            <a:solidFill>
              <a:schemeClr val="tx1">
                <a:lumMod val="65000"/>
                <a:lumOff val="35000"/>
              </a:schemeClr>
            </a:solidFill>
            <a:latin typeface="+mj-lt"/>
          </a:endParaRPr>
        </a:p>
      </xdr:txBody>
    </xdr:sp>
    <xdr:clientData/>
  </xdr:twoCellAnchor>
  <xdr:oneCellAnchor>
    <xdr:from>
      <xdr:col>4</xdr:col>
      <xdr:colOff>1030827</xdr:colOff>
      <xdr:row>11</xdr:row>
      <xdr:rowOff>88649</xdr:rowOff>
    </xdr:from>
    <xdr:ext cx="1440000" cy="311496"/>
    <xdr:sp macro="" textlink="Analysis!E24">
      <xdr:nvSpPr>
        <xdr:cNvPr id="54" name="TextBox 53">
          <a:extLst>
            <a:ext uri="{FF2B5EF4-FFF2-40B4-BE49-F238E27FC236}">
              <a16:creationId xmlns:a16="http://schemas.microsoft.com/office/drawing/2014/main" id="{EFCF8D30-A547-481D-99BB-DDE701B963C6}"/>
            </a:ext>
          </a:extLst>
        </xdr:cNvPr>
        <xdr:cNvSpPr txBox="1"/>
      </xdr:nvSpPr>
      <xdr:spPr>
        <a:xfrm>
          <a:off x="4702282" y="2120649"/>
          <a:ext cx="144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ADE15E50-BAD0-4AE3-946E-253DE5EA6C7A}" type="TxLink">
            <a:rPr lang="en-US" sz="1400" b="1" i="0" u="none" strike="noStrike">
              <a:solidFill>
                <a:schemeClr val="tx1">
                  <a:lumMod val="65000"/>
                  <a:lumOff val="35000"/>
                </a:schemeClr>
              </a:solidFill>
              <a:latin typeface="Aptos Narrow"/>
              <a:ea typeface="+mn-ea"/>
              <a:cs typeface="+mn-cs"/>
            </a:rPr>
            <a:pPr marL="0" indent="0" algn="ctr"/>
            <a:t>▲ 187.7%</a:t>
          </a:fld>
          <a:r>
            <a:rPr lang="en-US" sz="1400" b="1" i="0" u="none" strike="noStrike">
              <a:solidFill>
                <a:schemeClr val="tx1">
                  <a:lumMod val="65000"/>
                  <a:lumOff val="35000"/>
                </a:schemeClr>
              </a:solidFill>
              <a:latin typeface="Aptos Narrow"/>
              <a:ea typeface="+mn-ea"/>
              <a:cs typeface="+mn-cs"/>
            </a:rPr>
            <a:t> vs. PY</a:t>
          </a:r>
          <a:endParaRPr lang="en-AU" sz="1400" b="1" i="0" u="none" strike="noStrike">
            <a:solidFill>
              <a:schemeClr val="tx1">
                <a:lumMod val="65000"/>
                <a:lumOff val="35000"/>
              </a:schemeClr>
            </a:solidFill>
            <a:latin typeface="Aptos Narrow"/>
            <a:ea typeface="+mn-ea"/>
            <a:cs typeface="+mn-cs"/>
          </a:endParaRPr>
        </a:p>
      </xdr:txBody>
    </xdr:sp>
    <xdr:clientData/>
  </xdr:oneCellAnchor>
  <xdr:oneCellAnchor>
    <xdr:from>
      <xdr:col>2</xdr:col>
      <xdr:colOff>854983</xdr:colOff>
      <xdr:row>11</xdr:row>
      <xdr:rowOff>100194</xdr:rowOff>
    </xdr:from>
    <xdr:ext cx="1270000" cy="311496"/>
    <xdr:sp macro="" textlink="Analysis!D24">
      <xdr:nvSpPr>
        <xdr:cNvPr id="55" name="TextBox 54">
          <a:extLst>
            <a:ext uri="{FF2B5EF4-FFF2-40B4-BE49-F238E27FC236}">
              <a16:creationId xmlns:a16="http://schemas.microsoft.com/office/drawing/2014/main" id="{0E0D54E9-857B-40FE-B0BB-B70A65AB039F}"/>
            </a:ext>
          </a:extLst>
        </xdr:cNvPr>
        <xdr:cNvSpPr txBox="1"/>
      </xdr:nvSpPr>
      <xdr:spPr>
        <a:xfrm>
          <a:off x="2725347" y="2132194"/>
          <a:ext cx="127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9B97078E-F12C-41E2-A5D1-2F8C8C3FD8EB}" type="TxLink">
            <a:rPr lang="en-US" sz="1400" b="1" i="0" u="none" strike="noStrike">
              <a:solidFill>
                <a:schemeClr val="tx1">
                  <a:lumMod val="65000"/>
                  <a:lumOff val="35000"/>
                </a:schemeClr>
              </a:solidFill>
              <a:latin typeface="Aptos Narrow"/>
            </a:rPr>
            <a:pPr algn="ctr"/>
            <a:t>▼ 0.5%</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0</xdr:col>
      <xdr:colOff>693922</xdr:colOff>
      <xdr:row>11</xdr:row>
      <xdr:rowOff>113802</xdr:rowOff>
    </xdr:from>
    <xdr:ext cx="1397304" cy="311496"/>
    <xdr:sp macro="" textlink="Analysis!C24">
      <xdr:nvSpPr>
        <xdr:cNvPr id="56" name="TextBox 55">
          <a:extLst>
            <a:ext uri="{FF2B5EF4-FFF2-40B4-BE49-F238E27FC236}">
              <a16:creationId xmlns:a16="http://schemas.microsoft.com/office/drawing/2014/main" id="{7DC99F42-661B-4A47-951F-7852C5DCD00A}"/>
            </a:ext>
          </a:extLst>
        </xdr:cNvPr>
        <xdr:cNvSpPr txBox="1"/>
      </xdr:nvSpPr>
      <xdr:spPr>
        <a:xfrm>
          <a:off x="693922" y="2145802"/>
          <a:ext cx="13973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DB267ABC-B89E-4C06-BF58-4CED4B43788B}" type="TxLink">
            <a:rPr lang="en-US" sz="1400" b="1" i="0" u="none" strike="noStrike">
              <a:solidFill>
                <a:schemeClr val="tx1">
                  <a:lumMod val="65000"/>
                  <a:lumOff val="35000"/>
                </a:schemeClr>
              </a:solidFill>
              <a:latin typeface="Aptos Narrow"/>
              <a:ea typeface="+mn-ea"/>
              <a:cs typeface="+mn-cs"/>
            </a:rPr>
            <a:pPr marL="0" indent="0" algn="ctr"/>
            <a:t>▲ 189.0%</a:t>
          </a:fld>
          <a:r>
            <a:rPr lang="en-US" sz="1400" b="1" i="0" u="none" strike="noStrike">
              <a:solidFill>
                <a:schemeClr val="tx1">
                  <a:lumMod val="65000"/>
                  <a:lumOff val="35000"/>
                </a:schemeClr>
              </a:solidFill>
              <a:latin typeface="Aptos Narrow"/>
              <a:ea typeface="+mn-ea"/>
              <a:cs typeface="+mn-cs"/>
            </a:rPr>
            <a:t> vs. PY</a:t>
          </a:r>
          <a:endParaRPr lang="en-AU" sz="1400" b="1" i="0" u="none" strike="noStrike">
            <a:solidFill>
              <a:schemeClr val="tx1">
                <a:lumMod val="65000"/>
                <a:lumOff val="35000"/>
              </a:schemeClr>
            </a:solidFill>
            <a:latin typeface="Aptos Narrow"/>
            <a:ea typeface="+mn-ea"/>
            <a:cs typeface="+mn-cs"/>
          </a:endParaRPr>
        </a:p>
      </xdr:txBody>
    </xdr:sp>
    <xdr:clientData/>
  </xdr:oneCellAnchor>
  <xdr:oneCellAnchor>
    <xdr:from>
      <xdr:col>7</xdr:col>
      <xdr:colOff>268360</xdr:colOff>
      <xdr:row>11</xdr:row>
      <xdr:rowOff>100194</xdr:rowOff>
    </xdr:from>
    <xdr:ext cx="1409104" cy="311496"/>
    <xdr:sp macro="" textlink="Analysis!F24">
      <xdr:nvSpPr>
        <xdr:cNvPr id="57" name="TextBox 56">
          <a:extLst>
            <a:ext uri="{FF2B5EF4-FFF2-40B4-BE49-F238E27FC236}">
              <a16:creationId xmlns:a16="http://schemas.microsoft.com/office/drawing/2014/main" id="{C4A8674E-C0FE-45C9-8F72-B597E745298B}"/>
            </a:ext>
          </a:extLst>
        </xdr:cNvPr>
        <xdr:cNvSpPr txBox="1"/>
      </xdr:nvSpPr>
      <xdr:spPr>
        <a:xfrm>
          <a:off x="6710724" y="2132194"/>
          <a:ext cx="14091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1415E39B-3123-4D7D-B18F-FF2EBE87910C}" type="TxLink">
            <a:rPr lang="en-US" sz="1400" b="1" i="0" u="none" strike="noStrike">
              <a:solidFill>
                <a:schemeClr val="tx1">
                  <a:lumMod val="65000"/>
                  <a:lumOff val="35000"/>
                </a:schemeClr>
              </a:solidFill>
              <a:latin typeface="Aptos Narrow"/>
            </a:rPr>
            <a:pPr algn="ctr"/>
            <a:t>▲ 189.9%</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10</xdr:col>
      <xdr:colOff>342449</xdr:colOff>
      <xdr:row>11</xdr:row>
      <xdr:rowOff>100194</xdr:rowOff>
    </xdr:from>
    <xdr:ext cx="1387927" cy="311496"/>
    <xdr:sp macro="" textlink="Analysis!G24">
      <xdr:nvSpPr>
        <xdr:cNvPr id="58" name="TextBox 57">
          <a:extLst>
            <a:ext uri="{FF2B5EF4-FFF2-40B4-BE49-F238E27FC236}">
              <a16:creationId xmlns:a16="http://schemas.microsoft.com/office/drawing/2014/main" id="{BFB22B32-948C-4014-8448-03DC2FBFB468}"/>
            </a:ext>
          </a:extLst>
        </xdr:cNvPr>
        <xdr:cNvSpPr txBox="1"/>
      </xdr:nvSpPr>
      <xdr:spPr>
        <a:xfrm>
          <a:off x="8759085" y="2132194"/>
          <a:ext cx="138792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438D2F7-15D1-4691-8EF7-A2489AAA69AE}" type="TxLink">
            <a:rPr lang="en-US" sz="1400" b="1" i="0" u="none" strike="noStrike">
              <a:solidFill>
                <a:schemeClr val="tx1">
                  <a:lumMod val="65000"/>
                  <a:lumOff val="35000"/>
                </a:schemeClr>
              </a:solidFill>
              <a:latin typeface="Aptos Narrow"/>
            </a:rPr>
            <a:pPr algn="ctr"/>
            <a:t>▼ 82.4%</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13</xdr:col>
      <xdr:colOff>495009</xdr:colOff>
      <xdr:row>11</xdr:row>
      <xdr:rowOff>100194</xdr:rowOff>
    </xdr:from>
    <xdr:ext cx="1500091" cy="311496"/>
    <xdr:sp macro="" textlink="Analysis!H24">
      <xdr:nvSpPr>
        <xdr:cNvPr id="59" name="TextBox 58">
          <a:extLst>
            <a:ext uri="{FF2B5EF4-FFF2-40B4-BE49-F238E27FC236}">
              <a16:creationId xmlns:a16="http://schemas.microsoft.com/office/drawing/2014/main" id="{082C23F7-4705-459A-98D9-5D9BE7335910}"/>
            </a:ext>
          </a:extLst>
        </xdr:cNvPr>
        <xdr:cNvSpPr txBox="1"/>
      </xdr:nvSpPr>
      <xdr:spPr>
        <a:xfrm>
          <a:off x="10747373" y="2132194"/>
          <a:ext cx="150009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85BA3770-AA82-49E1-80F6-F6DAA22436DB}" type="TxLink">
            <a:rPr lang="en-US" sz="1400" b="1" i="0" u="none" strike="noStrike">
              <a:solidFill>
                <a:schemeClr val="tx1">
                  <a:lumMod val="65000"/>
                  <a:lumOff val="35000"/>
                </a:schemeClr>
              </a:solidFill>
              <a:latin typeface="Aptos Narrow"/>
            </a:rPr>
            <a:pPr algn="ctr"/>
            <a:t>▲ 1550.2%</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twoCellAnchor>
    <xdr:from>
      <xdr:col>11</xdr:col>
      <xdr:colOff>397656</xdr:colOff>
      <xdr:row>14</xdr:row>
      <xdr:rowOff>158578</xdr:rowOff>
    </xdr:from>
    <xdr:to>
      <xdr:col>16</xdr:col>
      <xdr:colOff>371928</xdr:colOff>
      <xdr:row>27</xdr:row>
      <xdr:rowOff>35908</xdr:rowOff>
    </xdr:to>
    <xdr:sp macro="" textlink="">
      <xdr:nvSpPr>
        <xdr:cNvPr id="5" name="Rectangle: Rounded Corners 4">
          <a:extLst>
            <a:ext uri="{FF2B5EF4-FFF2-40B4-BE49-F238E27FC236}">
              <a16:creationId xmlns:a16="http://schemas.microsoft.com/office/drawing/2014/main" id="{D97E4CF3-3CAC-46A2-9DD3-5160697FD29E}"/>
            </a:ext>
          </a:extLst>
        </xdr:cNvPr>
        <xdr:cNvSpPr/>
      </xdr:nvSpPr>
      <xdr:spPr>
        <a:xfrm>
          <a:off x="9426201" y="2744760"/>
          <a:ext cx="3033818" cy="2278784"/>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 </a:t>
          </a:r>
        </a:p>
      </xdr:txBody>
    </xdr:sp>
    <xdr:clientData/>
  </xdr:twoCellAnchor>
  <xdr:twoCellAnchor>
    <xdr:from>
      <xdr:col>3</xdr:col>
      <xdr:colOff>734043</xdr:colOff>
      <xdr:row>14</xdr:row>
      <xdr:rowOff>176720</xdr:rowOff>
    </xdr:from>
    <xdr:to>
      <xdr:col>11</xdr:col>
      <xdr:colOff>207900</xdr:colOff>
      <xdr:row>27</xdr:row>
      <xdr:rowOff>54050</xdr:rowOff>
    </xdr:to>
    <xdr:sp macro="" textlink="">
      <xdr:nvSpPr>
        <xdr:cNvPr id="6" name="Rectangle: Rounded Corners 5">
          <a:extLst>
            <a:ext uri="{FF2B5EF4-FFF2-40B4-BE49-F238E27FC236}">
              <a16:creationId xmlns:a16="http://schemas.microsoft.com/office/drawing/2014/main" id="{A9138FB4-62B1-4998-9280-29F9ADEF809E}"/>
            </a:ext>
          </a:extLst>
        </xdr:cNvPr>
        <xdr:cNvSpPr/>
      </xdr:nvSpPr>
      <xdr:spPr>
        <a:xfrm>
          <a:off x="3643498" y="2762902"/>
          <a:ext cx="5592947" cy="2278784"/>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172358</xdr:colOff>
      <xdr:row>18</xdr:row>
      <xdr:rowOff>7417</xdr:rowOff>
    </xdr:from>
    <xdr:to>
      <xdr:col>10</xdr:col>
      <xdr:colOff>498929</xdr:colOff>
      <xdr:row>25</xdr:row>
      <xdr:rowOff>183073</xdr:rowOff>
    </xdr:to>
    <xdr:graphicFrame macro="">
      <xdr:nvGraphicFramePr>
        <xdr:cNvPr id="8" name="Chart 7">
          <a:extLst>
            <a:ext uri="{FF2B5EF4-FFF2-40B4-BE49-F238E27FC236}">
              <a16:creationId xmlns:a16="http://schemas.microsoft.com/office/drawing/2014/main" id="{28DA282A-22EA-4984-A27E-39CF9F7A2F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185407</xdr:colOff>
      <xdr:row>16</xdr:row>
      <xdr:rowOff>128187</xdr:rowOff>
    </xdr:from>
    <xdr:to>
      <xdr:col>4</xdr:col>
      <xdr:colOff>869963</xdr:colOff>
      <xdr:row>18</xdr:row>
      <xdr:rowOff>107828</xdr:rowOff>
    </xdr:to>
    <xdr:sp macro="" textlink="Analysis!L36">
      <xdr:nvSpPr>
        <xdr:cNvPr id="13" name="TextBox 12">
          <a:extLst>
            <a:ext uri="{FF2B5EF4-FFF2-40B4-BE49-F238E27FC236}">
              <a16:creationId xmlns:a16="http://schemas.microsoft.com/office/drawing/2014/main" id="{633C04B9-6671-4973-8722-C205F731C85E}"/>
            </a:ext>
          </a:extLst>
        </xdr:cNvPr>
        <xdr:cNvSpPr txBox="1"/>
      </xdr:nvSpPr>
      <xdr:spPr>
        <a:xfrm>
          <a:off x="3856862" y="3083823"/>
          <a:ext cx="684556" cy="349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i="0" u="none" strike="noStrike">
              <a:solidFill>
                <a:schemeClr val="accent1"/>
              </a:solidFill>
              <a:latin typeface="Aptos Narrow"/>
            </a:rPr>
            <a:t>● </a:t>
          </a:r>
          <a:fld id="{A808165B-2469-4E15-8A27-35BC6A4114ED}" type="TxLink">
            <a:rPr lang="en-US" sz="1200" b="1" i="0" u="none" strike="noStrike">
              <a:solidFill>
                <a:schemeClr val="accent1"/>
              </a:solidFill>
              <a:latin typeface="Aptos Narrow"/>
            </a:rPr>
            <a:pPr algn="l"/>
            <a:t>2024</a:t>
          </a:fld>
          <a:endParaRPr lang="en-AU" sz="2800" b="1">
            <a:solidFill>
              <a:schemeClr val="accent1"/>
            </a:solidFill>
            <a:latin typeface="+mj-lt"/>
          </a:endParaRPr>
        </a:p>
      </xdr:txBody>
    </xdr:sp>
    <xdr:clientData/>
  </xdr:twoCellAnchor>
  <xdr:twoCellAnchor>
    <xdr:from>
      <xdr:col>4</xdr:col>
      <xdr:colOff>738616</xdr:colOff>
      <xdr:row>16</xdr:row>
      <xdr:rowOff>128187</xdr:rowOff>
    </xdr:from>
    <xdr:to>
      <xdr:col>5</xdr:col>
      <xdr:colOff>187809</xdr:colOff>
      <xdr:row>18</xdr:row>
      <xdr:rowOff>107828</xdr:rowOff>
    </xdr:to>
    <xdr:sp macro="" textlink="Analysis!K36">
      <xdr:nvSpPr>
        <xdr:cNvPr id="28" name="TextBox 27">
          <a:extLst>
            <a:ext uri="{FF2B5EF4-FFF2-40B4-BE49-F238E27FC236}">
              <a16:creationId xmlns:a16="http://schemas.microsoft.com/office/drawing/2014/main" id="{480ED524-8BA1-43DE-8EE7-D38AB7D44ADF}"/>
            </a:ext>
          </a:extLst>
        </xdr:cNvPr>
        <xdr:cNvSpPr txBox="1"/>
      </xdr:nvSpPr>
      <xdr:spPr>
        <a:xfrm>
          <a:off x="4410071" y="3083823"/>
          <a:ext cx="684556" cy="3490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200" b="1" i="0" u="none" strike="noStrike">
              <a:solidFill>
                <a:schemeClr val="bg2">
                  <a:lumMod val="50000"/>
                </a:schemeClr>
              </a:solidFill>
              <a:latin typeface="Aptos Narrow"/>
              <a:ea typeface="+mn-ea"/>
              <a:cs typeface="+mn-cs"/>
            </a:rPr>
            <a:t>● </a:t>
          </a:r>
          <a:fld id="{F1E085D3-B433-4795-8213-C3190B2BFF91}" type="TxLink">
            <a:rPr lang="en-US" sz="1200" b="1" i="0" u="none" strike="noStrike">
              <a:solidFill>
                <a:schemeClr val="bg2">
                  <a:lumMod val="50000"/>
                </a:schemeClr>
              </a:solidFill>
              <a:latin typeface="Aptos Narrow"/>
              <a:ea typeface="+mn-ea"/>
              <a:cs typeface="+mn-cs"/>
            </a:rPr>
            <a:pPr marL="0" indent="0" algn="l"/>
            <a:t>2023</a:t>
          </a:fld>
          <a:endParaRPr lang="en-AU" sz="1200" b="1" i="0" u="none" strike="noStrike">
            <a:solidFill>
              <a:schemeClr val="bg2">
                <a:lumMod val="50000"/>
              </a:schemeClr>
            </a:solidFill>
            <a:latin typeface="Aptos Narrow"/>
            <a:ea typeface="+mn-ea"/>
            <a:cs typeface="+mn-cs"/>
          </a:endParaRPr>
        </a:p>
      </xdr:txBody>
    </xdr:sp>
    <xdr:clientData/>
  </xdr:twoCellAnchor>
  <xdr:twoCellAnchor>
    <xdr:from>
      <xdr:col>11</xdr:col>
      <xdr:colOff>542637</xdr:colOff>
      <xdr:row>17</xdr:row>
      <xdr:rowOff>61846</xdr:rowOff>
    </xdr:from>
    <xdr:to>
      <xdr:col>16</xdr:col>
      <xdr:colOff>230909</xdr:colOff>
      <xdr:row>26</xdr:row>
      <xdr:rowOff>80815</xdr:rowOff>
    </xdr:to>
    <xdr:graphicFrame macro="">
      <xdr:nvGraphicFramePr>
        <xdr:cNvPr id="3" name="Chart 2">
          <a:extLst>
            <a:ext uri="{FF2B5EF4-FFF2-40B4-BE49-F238E27FC236}">
              <a16:creationId xmlns:a16="http://schemas.microsoft.com/office/drawing/2014/main" id="{BF031D7C-777B-4EF4-BBAA-4C40AFC9E2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582376</xdr:colOff>
      <xdr:row>15</xdr:row>
      <xdr:rowOff>83913</xdr:rowOff>
    </xdr:from>
    <xdr:to>
      <xdr:col>15</xdr:col>
      <xdr:colOff>468794</xdr:colOff>
      <xdr:row>17</xdr:row>
      <xdr:rowOff>60515</xdr:rowOff>
    </xdr:to>
    <xdr:sp macro="" textlink="Analysis!D27">
      <xdr:nvSpPr>
        <xdr:cNvPr id="9" name="TextBox 8">
          <a:extLst>
            <a:ext uri="{FF2B5EF4-FFF2-40B4-BE49-F238E27FC236}">
              <a16:creationId xmlns:a16="http://schemas.microsoft.com/office/drawing/2014/main" id="{23CEEE5C-B28E-4598-9911-DCD1FE383981}"/>
            </a:ext>
          </a:extLst>
        </xdr:cNvPr>
        <xdr:cNvSpPr txBox="1"/>
      </xdr:nvSpPr>
      <xdr:spPr>
        <a:xfrm>
          <a:off x="9610921" y="2854822"/>
          <a:ext cx="2334055" cy="3460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fld id="{7562EFEF-C97C-4C29-A541-33A3D772656F}" type="TxLink">
            <a:rPr lang="en-US" sz="1600" b="1" i="0" u="none" strike="noStrike">
              <a:solidFill>
                <a:schemeClr val="tx1">
                  <a:lumMod val="75000"/>
                  <a:lumOff val="25000"/>
                </a:schemeClr>
              </a:solidFill>
              <a:latin typeface="Aptos Narrow"/>
              <a:ea typeface="+mn-ea"/>
              <a:cs typeface="+mn-cs"/>
            </a:rPr>
            <a:pPr marL="0" indent="0"/>
            <a:t>Revenue</a:t>
          </a:fld>
          <a:r>
            <a:rPr lang="en-US" sz="1600" b="1" i="0" u="none" strike="noStrike">
              <a:solidFill>
                <a:schemeClr val="tx1">
                  <a:lumMod val="75000"/>
                  <a:lumOff val="25000"/>
                </a:schemeClr>
              </a:solidFill>
              <a:latin typeface="Aptos Narrow"/>
              <a:ea typeface="+mn-ea"/>
              <a:cs typeface="+mn-cs"/>
            </a:rPr>
            <a:t> </a:t>
          </a:r>
          <a:r>
            <a:rPr lang="en-US" sz="1600" b="0" i="0" u="none" strike="noStrike">
              <a:solidFill>
                <a:schemeClr val="tx1">
                  <a:lumMod val="75000"/>
                  <a:lumOff val="25000"/>
                </a:schemeClr>
              </a:solidFill>
              <a:latin typeface="Aptos Narrow"/>
              <a:ea typeface="+mn-ea"/>
              <a:cs typeface="+mn-cs"/>
            </a:rPr>
            <a:t>by</a:t>
          </a:r>
          <a:r>
            <a:rPr lang="en-US" sz="1600" b="0" i="0" u="none" strike="noStrike" baseline="0">
              <a:solidFill>
                <a:schemeClr val="tx1">
                  <a:lumMod val="75000"/>
                  <a:lumOff val="25000"/>
                </a:schemeClr>
              </a:solidFill>
              <a:latin typeface="Aptos Narrow"/>
              <a:ea typeface="+mn-ea"/>
              <a:cs typeface="+mn-cs"/>
            </a:rPr>
            <a:t> </a:t>
          </a:r>
          <a:r>
            <a:rPr lang="en-US" sz="1600" b="1" i="0" u="none" strike="noStrike" baseline="0">
              <a:solidFill>
                <a:schemeClr val="tx1">
                  <a:lumMod val="75000"/>
                  <a:lumOff val="25000"/>
                </a:schemeClr>
              </a:solidFill>
              <a:latin typeface="Aptos Narrow"/>
              <a:ea typeface="+mn-ea"/>
              <a:cs typeface="+mn-cs"/>
            </a:rPr>
            <a:t>Day of Week</a:t>
          </a:r>
          <a:endParaRPr lang="en-AU" sz="1600" b="1" i="0" u="none" strike="noStrike">
            <a:solidFill>
              <a:schemeClr val="tx1">
                <a:lumMod val="75000"/>
                <a:lumOff val="25000"/>
              </a:schemeClr>
            </a:solidFill>
            <a:latin typeface="Aptos Narrow"/>
            <a:ea typeface="+mn-ea"/>
            <a:cs typeface="+mn-cs"/>
          </a:endParaRPr>
        </a:p>
      </xdr:txBody>
    </xdr:sp>
    <xdr:clientData/>
  </xdr:twoCellAnchor>
  <xdr:twoCellAnchor>
    <xdr:from>
      <xdr:col>0</xdr:col>
      <xdr:colOff>470805</xdr:colOff>
      <xdr:row>28</xdr:row>
      <xdr:rowOff>86676</xdr:rowOff>
    </xdr:from>
    <xdr:to>
      <xdr:col>6</xdr:col>
      <xdr:colOff>634998</xdr:colOff>
      <xdr:row>47</xdr:row>
      <xdr:rowOff>46189</xdr:rowOff>
    </xdr:to>
    <xdr:sp macro="" textlink="">
      <xdr:nvSpPr>
        <xdr:cNvPr id="34" name="Rectangle: Rounded Corners 33">
          <a:extLst>
            <a:ext uri="{FF2B5EF4-FFF2-40B4-BE49-F238E27FC236}">
              <a16:creationId xmlns:a16="http://schemas.microsoft.com/office/drawing/2014/main" id="{3682C7DE-7BC2-4C2F-8DB8-C1C5A60F1A48}"/>
            </a:ext>
          </a:extLst>
        </xdr:cNvPr>
        <xdr:cNvSpPr/>
      </xdr:nvSpPr>
      <xdr:spPr>
        <a:xfrm>
          <a:off x="470805" y="5259040"/>
          <a:ext cx="5879193" cy="3469331"/>
        </a:xfrm>
        <a:prstGeom prst="roundRect">
          <a:avLst>
            <a:gd name="adj" fmla="val 7114"/>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747525</xdr:colOff>
      <xdr:row>31</xdr:row>
      <xdr:rowOff>127008</xdr:rowOff>
    </xdr:from>
    <xdr:to>
      <xdr:col>6</xdr:col>
      <xdr:colOff>358278</xdr:colOff>
      <xdr:row>46</xdr:row>
      <xdr:rowOff>56098</xdr:rowOff>
    </xdr:to>
    <xdr:graphicFrame macro="">
      <xdr:nvGraphicFramePr>
        <xdr:cNvPr id="32" name="Chart 31">
          <a:extLst>
            <a:ext uri="{FF2B5EF4-FFF2-40B4-BE49-F238E27FC236}">
              <a16:creationId xmlns:a16="http://schemas.microsoft.com/office/drawing/2014/main" id="{9B8DE500-5DB6-44CA-A63E-BC4FA83C9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138462</xdr:colOff>
      <xdr:row>28</xdr:row>
      <xdr:rowOff>100530</xdr:rowOff>
    </xdr:from>
    <xdr:to>
      <xdr:col>16</xdr:col>
      <xdr:colOff>371928</xdr:colOff>
      <xdr:row>47</xdr:row>
      <xdr:rowOff>60043</xdr:rowOff>
    </xdr:to>
    <xdr:sp macro="" textlink="">
      <xdr:nvSpPr>
        <xdr:cNvPr id="35" name="Rectangle: Rounded Corners 34">
          <a:extLst>
            <a:ext uri="{FF2B5EF4-FFF2-40B4-BE49-F238E27FC236}">
              <a16:creationId xmlns:a16="http://schemas.microsoft.com/office/drawing/2014/main" id="{6A9D0F93-BD18-40E5-9B8F-4B11CCFD80FE}"/>
            </a:ext>
          </a:extLst>
        </xdr:cNvPr>
        <xdr:cNvSpPr/>
      </xdr:nvSpPr>
      <xdr:spPr>
        <a:xfrm>
          <a:off x="6580826" y="5272894"/>
          <a:ext cx="5879193" cy="3469331"/>
        </a:xfrm>
        <a:prstGeom prst="roundRect">
          <a:avLst>
            <a:gd name="adj" fmla="val 7114"/>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161372</xdr:colOff>
      <xdr:row>15</xdr:row>
      <xdr:rowOff>83913</xdr:rowOff>
    </xdr:from>
    <xdr:to>
      <xdr:col>6</xdr:col>
      <xdr:colOff>447059</xdr:colOff>
      <xdr:row>17</xdr:row>
      <xdr:rowOff>58473</xdr:rowOff>
    </xdr:to>
    <xdr:sp macro="" textlink="Analysis!D27">
      <xdr:nvSpPr>
        <xdr:cNvPr id="4" name="TextBox 3">
          <a:extLst>
            <a:ext uri="{FF2B5EF4-FFF2-40B4-BE49-F238E27FC236}">
              <a16:creationId xmlns:a16="http://schemas.microsoft.com/office/drawing/2014/main" id="{DB0828D3-DC10-4AFC-AFE7-7812BBA87DCA}"/>
            </a:ext>
          </a:extLst>
        </xdr:cNvPr>
        <xdr:cNvSpPr txBox="1"/>
      </xdr:nvSpPr>
      <xdr:spPr>
        <a:xfrm>
          <a:off x="3832827" y="2854822"/>
          <a:ext cx="2329232" cy="344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fld id="{7562EFEF-C97C-4C29-A541-33A3D772656F}" type="TxLink">
            <a:rPr lang="en-US" sz="1600" b="1" i="0" u="none" strike="noStrike">
              <a:solidFill>
                <a:schemeClr val="tx1">
                  <a:lumMod val="75000"/>
                  <a:lumOff val="25000"/>
                </a:schemeClr>
              </a:solidFill>
              <a:latin typeface="Aptos Narrow"/>
              <a:ea typeface="+mn-ea"/>
              <a:cs typeface="+mn-cs"/>
            </a:rPr>
            <a:pPr marL="0" indent="0"/>
            <a:t>Revenue</a:t>
          </a:fld>
          <a:r>
            <a:rPr lang="en-US" sz="1600" b="1" i="0" u="none" strike="noStrike">
              <a:solidFill>
                <a:schemeClr val="tx1">
                  <a:lumMod val="75000"/>
                  <a:lumOff val="25000"/>
                </a:schemeClr>
              </a:solidFill>
              <a:latin typeface="Aptos Narrow"/>
              <a:ea typeface="+mn-ea"/>
              <a:cs typeface="+mn-cs"/>
            </a:rPr>
            <a:t> </a:t>
          </a:r>
          <a:r>
            <a:rPr lang="en-US" sz="1600" b="0" i="0" u="none" strike="noStrike">
              <a:solidFill>
                <a:schemeClr val="tx1">
                  <a:lumMod val="75000"/>
                  <a:lumOff val="25000"/>
                </a:schemeClr>
              </a:solidFill>
              <a:latin typeface="Aptos Narrow"/>
              <a:ea typeface="+mn-ea"/>
              <a:cs typeface="+mn-cs"/>
            </a:rPr>
            <a:t>by</a:t>
          </a:r>
          <a:r>
            <a:rPr lang="en-US" sz="1600" b="0" i="0" u="none" strike="noStrike" baseline="0">
              <a:solidFill>
                <a:schemeClr val="tx1">
                  <a:lumMod val="75000"/>
                  <a:lumOff val="25000"/>
                </a:schemeClr>
              </a:solidFill>
              <a:latin typeface="Aptos Narrow"/>
              <a:ea typeface="+mn-ea"/>
              <a:cs typeface="+mn-cs"/>
            </a:rPr>
            <a:t> </a:t>
          </a:r>
          <a:r>
            <a:rPr lang="en-US" sz="1600" b="1" i="0" u="none" strike="noStrike" baseline="0">
              <a:solidFill>
                <a:schemeClr val="tx1">
                  <a:lumMod val="75000"/>
                  <a:lumOff val="25000"/>
                </a:schemeClr>
              </a:solidFill>
              <a:latin typeface="Aptos Narrow"/>
              <a:ea typeface="+mn-ea"/>
              <a:cs typeface="+mn-cs"/>
            </a:rPr>
            <a:t>Month</a:t>
          </a:r>
          <a:endParaRPr lang="en-AU" sz="1600" b="1" i="0" u="none" strike="noStrike">
            <a:solidFill>
              <a:schemeClr val="tx1">
                <a:lumMod val="75000"/>
                <a:lumOff val="25000"/>
              </a:schemeClr>
            </a:solidFill>
            <a:latin typeface="Aptos Narrow"/>
            <a:ea typeface="+mn-ea"/>
            <a:cs typeface="+mn-cs"/>
          </a:endParaRPr>
        </a:p>
      </xdr:txBody>
    </xdr:sp>
    <xdr:clientData/>
  </xdr:twoCellAnchor>
  <xdr:twoCellAnchor>
    <xdr:from>
      <xdr:col>0</xdr:col>
      <xdr:colOff>647646</xdr:colOff>
      <xdr:row>29</xdr:row>
      <xdr:rowOff>134075</xdr:rowOff>
    </xdr:from>
    <xdr:to>
      <xdr:col>4</xdr:col>
      <xdr:colOff>207823</xdr:colOff>
      <xdr:row>31</xdr:row>
      <xdr:rowOff>23098</xdr:rowOff>
    </xdr:to>
    <xdr:sp macro="" textlink="">
      <xdr:nvSpPr>
        <xdr:cNvPr id="33" name="TextBox 32">
          <a:extLst>
            <a:ext uri="{FF2B5EF4-FFF2-40B4-BE49-F238E27FC236}">
              <a16:creationId xmlns:a16="http://schemas.microsoft.com/office/drawing/2014/main" id="{1F4F7A75-9AB5-45CC-9DD5-A8A51B46A83C}"/>
            </a:ext>
          </a:extLst>
        </xdr:cNvPr>
        <xdr:cNvSpPr txBox="1"/>
      </xdr:nvSpPr>
      <xdr:spPr>
        <a:xfrm>
          <a:off x="647646" y="5491166"/>
          <a:ext cx="3231632" cy="258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0" i="0" u="none" strike="noStrike">
              <a:solidFill>
                <a:schemeClr val="tx1">
                  <a:lumMod val="75000"/>
                  <a:lumOff val="25000"/>
                </a:schemeClr>
              </a:solidFill>
              <a:latin typeface="Aptos Narrow"/>
              <a:ea typeface="+mn-ea"/>
              <a:cs typeface="+mn-cs"/>
            </a:rPr>
            <a:t>Revenue</a:t>
          </a:r>
          <a:r>
            <a:rPr lang="en-US" sz="1600" b="0" i="0" u="none" strike="noStrike" baseline="0">
              <a:solidFill>
                <a:schemeClr val="tx1">
                  <a:lumMod val="75000"/>
                  <a:lumOff val="25000"/>
                </a:schemeClr>
              </a:solidFill>
              <a:latin typeface="Aptos Narrow"/>
              <a:ea typeface="+mn-ea"/>
              <a:cs typeface="+mn-cs"/>
            </a:rPr>
            <a:t> &amp; </a:t>
          </a:r>
          <a:r>
            <a:rPr lang="en-US" sz="1600" b="0" i="0" u="none" strike="noStrike">
              <a:solidFill>
                <a:schemeClr val="tx1">
                  <a:lumMod val="75000"/>
                  <a:lumOff val="25000"/>
                </a:schemeClr>
              </a:solidFill>
              <a:latin typeface="Aptos Narrow"/>
              <a:ea typeface="+mn-ea"/>
              <a:cs typeface="+mn-cs"/>
            </a:rPr>
            <a:t>Profit</a:t>
          </a:r>
          <a:r>
            <a:rPr lang="en-US" sz="1600" b="0" i="0" u="none" strike="noStrike" baseline="0">
              <a:solidFill>
                <a:schemeClr val="tx1">
                  <a:lumMod val="75000"/>
                  <a:lumOff val="25000"/>
                </a:schemeClr>
              </a:solidFill>
              <a:latin typeface="Aptos Narrow"/>
              <a:ea typeface="+mn-ea"/>
              <a:cs typeface="+mn-cs"/>
            </a:rPr>
            <a:t> Analysis by</a:t>
          </a:r>
          <a:r>
            <a:rPr lang="en-US" sz="1600" b="1" i="0" u="none" strike="noStrike" baseline="0">
              <a:solidFill>
                <a:schemeClr val="tx1">
                  <a:lumMod val="75000"/>
                  <a:lumOff val="25000"/>
                </a:schemeClr>
              </a:solidFill>
              <a:latin typeface="Aptos Narrow"/>
              <a:ea typeface="+mn-ea"/>
              <a:cs typeface="+mn-cs"/>
            </a:rPr>
            <a:t> Quarter</a:t>
          </a:r>
          <a:endParaRPr lang="en-US" sz="1600" b="1" i="0" u="none" strike="noStrike">
            <a:solidFill>
              <a:schemeClr val="tx1">
                <a:lumMod val="75000"/>
                <a:lumOff val="25000"/>
              </a:schemeClr>
            </a:solidFill>
            <a:latin typeface="Aptos Narrow"/>
            <a:ea typeface="+mn-ea"/>
            <a:cs typeface="+mn-cs"/>
          </a:endParaRPr>
        </a:p>
      </xdr:txBody>
    </xdr:sp>
    <xdr:clientData/>
  </xdr:twoCellAnchor>
  <xdr:twoCellAnchor>
    <xdr:from>
      <xdr:col>7</xdr:col>
      <xdr:colOff>346364</xdr:colOff>
      <xdr:row>31</xdr:row>
      <xdr:rowOff>127008</xdr:rowOff>
    </xdr:from>
    <xdr:to>
      <xdr:col>16</xdr:col>
      <xdr:colOff>57727</xdr:colOff>
      <xdr:row>46</xdr:row>
      <xdr:rowOff>56098</xdr:rowOff>
    </xdr:to>
    <xdr:graphicFrame macro="">
      <xdr:nvGraphicFramePr>
        <xdr:cNvPr id="37" name="Chart 36">
          <a:extLst>
            <a:ext uri="{FF2B5EF4-FFF2-40B4-BE49-F238E27FC236}">
              <a16:creationId xmlns:a16="http://schemas.microsoft.com/office/drawing/2014/main" id="{E78F4EE4-1703-4F7B-BE5F-30D4215D7D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361319</xdr:colOff>
      <xdr:row>29</xdr:row>
      <xdr:rowOff>136384</xdr:rowOff>
    </xdr:from>
    <xdr:to>
      <xdr:col>12</xdr:col>
      <xdr:colOff>394860</xdr:colOff>
      <xdr:row>31</xdr:row>
      <xdr:rowOff>25407</xdr:rowOff>
    </xdr:to>
    <xdr:sp macro="" textlink="">
      <xdr:nvSpPr>
        <xdr:cNvPr id="39" name="TextBox 38">
          <a:extLst>
            <a:ext uri="{FF2B5EF4-FFF2-40B4-BE49-F238E27FC236}">
              <a16:creationId xmlns:a16="http://schemas.microsoft.com/office/drawing/2014/main" id="{9E59C47A-BE13-4433-8E93-FC96C1B4DF60}"/>
            </a:ext>
          </a:extLst>
        </xdr:cNvPr>
        <xdr:cNvSpPr txBox="1"/>
      </xdr:nvSpPr>
      <xdr:spPr>
        <a:xfrm>
          <a:off x="6803683" y="5493475"/>
          <a:ext cx="3231632" cy="258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0" i="0" u="none" strike="noStrike">
              <a:solidFill>
                <a:schemeClr val="tx1">
                  <a:lumMod val="75000"/>
                  <a:lumOff val="25000"/>
                </a:schemeClr>
              </a:solidFill>
              <a:latin typeface="Aptos Narrow"/>
              <a:ea typeface="+mn-ea"/>
              <a:cs typeface="+mn-cs"/>
            </a:rPr>
            <a:t>Revenue &amp; Profit</a:t>
          </a:r>
          <a:r>
            <a:rPr lang="en-US" sz="1600" b="0" i="0" u="none" strike="noStrike" baseline="0">
              <a:solidFill>
                <a:schemeClr val="tx1">
                  <a:lumMod val="75000"/>
                  <a:lumOff val="25000"/>
                </a:schemeClr>
              </a:solidFill>
              <a:latin typeface="Aptos Narrow"/>
              <a:ea typeface="+mn-ea"/>
              <a:cs typeface="+mn-cs"/>
            </a:rPr>
            <a:t> Analysis by </a:t>
          </a:r>
          <a:r>
            <a:rPr lang="en-US" sz="1600" b="1" i="0" u="none" strike="noStrike" baseline="0">
              <a:solidFill>
                <a:schemeClr val="tx1">
                  <a:lumMod val="75000"/>
                  <a:lumOff val="25000"/>
                </a:schemeClr>
              </a:solidFill>
              <a:latin typeface="Aptos Narrow"/>
              <a:ea typeface="+mn-ea"/>
              <a:cs typeface="+mn-cs"/>
            </a:rPr>
            <a:t>Country</a:t>
          </a:r>
          <a:endParaRPr lang="en-US" sz="1600" b="1" i="0" u="none" strike="noStrike">
            <a:solidFill>
              <a:schemeClr val="tx1">
                <a:lumMod val="75000"/>
                <a:lumOff val="25000"/>
              </a:schemeClr>
            </a:solidFill>
            <a:latin typeface="Aptos Narrow"/>
            <a:ea typeface="+mn-ea"/>
            <a:cs typeface="+mn-cs"/>
          </a:endParaRPr>
        </a:p>
      </xdr:txBody>
    </xdr:sp>
    <xdr:clientData/>
  </xdr:twoCellAnchor>
  <xdr:oneCellAnchor>
    <xdr:from>
      <xdr:col>0</xdr:col>
      <xdr:colOff>545496</xdr:colOff>
      <xdr:row>2</xdr:row>
      <xdr:rowOff>53607</xdr:rowOff>
    </xdr:from>
    <xdr:ext cx="5764399" cy="655949"/>
    <xdr:sp macro="" textlink="">
      <xdr:nvSpPr>
        <xdr:cNvPr id="40" name="TextBox 39">
          <a:extLst>
            <a:ext uri="{FF2B5EF4-FFF2-40B4-BE49-F238E27FC236}">
              <a16:creationId xmlns:a16="http://schemas.microsoft.com/office/drawing/2014/main" id="{8908C7E2-3BE2-4029-B601-BB9FB02325AF}"/>
            </a:ext>
          </a:extLst>
        </xdr:cNvPr>
        <xdr:cNvSpPr txBox="1"/>
      </xdr:nvSpPr>
      <xdr:spPr>
        <a:xfrm>
          <a:off x="545496" y="423062"/>
          <a:ext cx="57643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FF66"/>
              </a:solidFill>
              <a:latin typeface="+mj-lt"/>
              <a:ea typeface="ADLaM Display" panose="020F0502020204030204" pitchFamily="2" charset="0"/>
              <a:cs typeface="ADLaM Display" panose="020F0502020204030204" pitchFamily="2" charset="0"/>
            </a:rPr>
            <a:t>Adventure</a:t>
          </a:r>
          <a:r>
            <a:rPr lang="en-AU" sz="3600" b="1" baseline="0">
              <a:solidFill>
                <a:srgbClr val="FFFF66"/>
              </a:solidFill>
              <a:latin typeface="+mj-lt"/>
              <a:ea typeface="ADLaM Display" panose="020F0502020204030204" pitchFamily="2" charset="0"/>
              <a:cs typeface="ADLaM Display" panose="020F0502020204030204" pitchFamily="2" charset="0"/>
            </a:rPr>
            <a:t> Works </a:t>
          </a:r>
          <a:r>
            <a:rPr lang="en-AU" sz="2800" b="0" baseline="0">
              <a:solidFill>
                <a:schemeClr val="bg1"/>
              </a:solidFill>
              <a:latin typeface="+mj-lt"/>
              <a:ea typeface="ADLaM Display" panose="020F0502020204030204" pitchFamily="2" charset="0"/>
              <a:cs typeface="ADLaM Display" panose="020F0502020204030204" pitchFamily="2" charset="0"/>
            </a:rPr>
            <a:t>Sales Analysis</a:t>
          </a:r>
          <a:endParaRPr lang="en-AU" sz="2800" b="0">
            <a:solidFill>
              <a:schemeClr val="bg1"/>
            </a:solidFill>
            <a:latin typeface="+mj-lt"/>
            <a:ea typeface="ADLaM Display" panose="020F0502020204030204" pitchFamily="2" charset="0"/>
            <a:cs typeface="ADLaM Display" panose="020F0502020204030204" pitchFamily="2" charset="0"/>
          </a:endParaRPr>
        </a:p>
      </xdr:txBody>
    </xdr:sp>
    <xdr:clientData/>
  </xdr:oneCellAnchor>
  <xdr:twoCellAnchor>
    <xdr:from>
      <xdr:col>6</xdr:col>
      <xdr:colOff>464802</xdr:colOff>
      <xdr:row>2</xdr:row>
      <xdr:rowOff>130999</xdr:rowOff>
    </xdr:from>
    <xdr:to>
      <xdr:col>8</xdr:col>
      <xdr:colOff>265541</xdr:colOff>
      <xdr:row>5</xdr:row>
      <xdr:rowOff>147253</xdr:rowOff>
    </xdr:to>
    <xdr:sp macro="" textlink="Analysis!L36">
      <xdr:nvSpPr>
        <xdr:cNvPr id="11" name="TextBox 10">
          <a:extLst>
            <a:ext uri="{FF2B5EF4-FFF2-40B4-BE49-F238E27FC236}">
              <a16:creationId xmlns:a16="http://schemas.microsoft.com/office/drawing/2014/main" id="{88FD2EE7-72FE-46C6-B0CF-D87E67BEC3F0}"/>
            </a:ext>
          </a:extLst>
        </xdr:cNvPr>
        <xdr:cNvSpPr txBox="1"/>
      </xdr:nvSpPr>
      <xdr:spPr>
        <a:xfrm>
          <a:off x="6179802" y="500454"/>
          <a:ext cx="1278557" cy="570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808165B-2469-4E15-8A27-35BC6A4114ED}" type="TxLink">
            <a:rPr lang="en-US" sz="2800" b="1" i="0" u="none" strike="noStrike">
              <a:solidFill>
                <a:schemeClr val="bg1"/>
              </a:solidFill>
              <a:latin typeface="+mj-lt"/>
            </a:rPr>
            <a:pPr algn="ctr"/>
            <a:t>2024</a:t>
          </a:fld>
          <a:endParaRPr lang="en-AU" sz="5400" b="1">
            <a:solidFill>
              <a:schemeClr val="bg1"/>
            </a:solidFill>
            <a:latin typeface="+mj-lt"/>
          </a:endParaRPr>
        </a:p>
      </xdr:txBody>
    </xdr:sp>
    <xdr:clientData/>
  </xdr:twoCellAnchor>
  <xdr:twoCellAnchor>
    <xdr:from>
      <xdr:col>6</xdr:col>
      <xdr:colOff>565727</xdr:colOff>
      <xdr:row>3</xdr:row>
      <xdr:rowOff>15489</xdr:rowOff>
    </xdr:from>
    <xdr:to>
      <xdr:col>6</xdr:col>
      <xdr:colOff>565727</xdr:colOff>
      <xdr:row>5</xdr:row>
      <xdr:rowOff>78035</xdr:rowOff>
    </xdr:to>
    <xdr:cxnSp macro="">
      <xdr:nvCxnSpPr>
        <xdr:cNvPr id="36" name="Straight Connector 35">
          <a:extLst>
            <a:ext uri="{FF2B5EF4-FFF2-40B4-BE49-F238E27FC236}">
              <a16:creationId xmlns:a16="http://schemas.microsoft.com/office/drawing/2014/main" id="{7D68EBFC-7D30-2B55-841C-58F1E50B30B9}"/>
            </a:ext>
          </a:extLst>
        </xdr:cNvPr>
        <xdr:cNvCxnSpPr/>
      </xdr:nvCxnSpPr>
      <xdr:spPr>
        <a:xfrm>
          <a:off x="6280727" y="569671"/>
          <a:ext cx="0" cy="432000"/>
        </a:xfrm>
        <a:prstGeom prst="line">
          <a:avLst/>
        </a:prstGeom>
        <a:ln w="3810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11</xdr:col>
      <xdr:colOff>588817</xdr:colOff>
      <xdr:row>2</xdr:row>
      <xdr:rowOff>161635</xdr:rowOff>
    </xdr:from>
    <xdr:to>
      <xdr:col>16</xdr:col>
      <xdr:colOff>378447</xdr:colOff>
      <xdr:row>5</xdr:row>
      <xdr:rowOff>147454</xdr:rowOff>
    </xdr:to>
    <mc:AlternateContent xmlns:mc="http://schemas.openxmlformats.org/markup-compatibility/2006" xmlns:a14="http://schemas.microsoft.com/office/drawing/2010/main">
      <mc:Choice Requires="a14">
        <xdr:graphicFrame macro="">
          <xdr:nvGraphicFramePr>
            <xdr:cNvPr id="29" name="Fiscal Year 1">
              <a:extLst>
                <a:ext uri="{FF2B5EF4-FFF2-40B4-BE49-F238E27FC236}">
                  <a16:creationId xmlns:a16="http://schemas.microsoft.com/office/drawing/2014/main" id="{1BBF7E76-F326-4330-938F-BF7FDC2969DF}"/>
                </a:ext>
              </a:extLst>
            </xdr:cNvPr>
            <xdr:cNvGraphicFramePr/>
          </xdr:nvGraphicFramePr>
          <xdr:xfrm>
            <a:off x="0" y="0"/>
            <a:ext cx="0" cy="0"/>
          </xdr:xfrm>
          <a:graphic>
            <a:graphicData uri="http://schemas.microsoft.com/office/drawing/2010/slicer">
              <sle:slicer xmlns:sle="http://schemas.microsoft.com/office/drawing/2010/slicer" name="Fiscal Year 1"/>
            </a:graphicData>
          </a:graphic>
        </xdr:graphicFrame>
      </mc:Choice>
      <mc:Fallback xmlns="">
        <xdr:sp macro="" textlink="">
          <xdr:nvSpPr>
            <xdr:cNvPr id="0" name=""/>
            <xdr:cNvSpPr>
              <a:spLocks noTextEdit="1"/>
            </xdr:cNvSpPr>
          </xdr:nvSpPr>
          <xdr:spPr>
            <a:xfrm>
              <a:off x="9617362" y="531090"/>
              <a:ext cx="2849176" cy="540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275773</xdr:colOff>
      <xdr:row>1</xdr:row>
      <xdr:rowOff>44448</xdr:rowOff>
    </xdr:from>
    <xdr:to>
      <xdr:col>16</xdr:col>
      <xdr:colOff>544285</xdr:colOff>
      <xdr:row>40</xdr:row>
      <xdr:rowOff>145143</xdr:rowOff>
    </xdr:to>
    <xdr:sp macro="" textlink="">
      <xdr:nvSpPr>
        <xdr:cNvPr id="2" name="Rectangle: Rounded Corners 1">
          <a:extLst>
            <a:ext uri="{FF2B5EF4-FFF2-40B4-BE49-F238E27FC236}">
              <a16:creationId xmlns:a16="http://schemas.microsoft.com/office/drawing/2014/main" id="{67A31D39-5323-491F-8434-52E257DF98FA}"/>
            </a:ext>
          </a:extLst>
        </xdr:cNvPr>
        <xdr:cNvSpPr/>
      </xdr:nvSpPr>
      <xdr:spPr>
        <a:xfrm>
          <a:off x="275773" y="228598"/>
          <a:ext cx="12352562" cy="7282545"/>
        </a:xfrm>
        <a:prstGeom prst="roundRect">
          <a:avLst>
            <a:gd name="adj" fmla="val 5511"/>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279897</xdr:colOff>
      <xdr:row>9</xdr:row>
      <xdr:rowOff>60194</xdr:rowOff>
    </xdr:from>
    <xdr:to>
      <xdr:col>16</xdr:col>
      <xdr:colOff>548409</xdr:colOff>
      <xdr:row>48</xdr:row>
      <xdr:rowOff>80812</xdr:rowOff>
    </xdr:to>
    <xdr:sp macro="" textlink="">
      <xdr:nvSpPr>
        <xdr:cNvPr id="3" name="Rectangle: Top Corners Rounded 2">
          <a:extLst>
            <a:ext uri="{FF2B5EF4-FFF2-40B4-BE49-F238E27FC236}">
              <a16:creationId xmlns:a16="http://schemas.microsoft.com/office/drawing/2014/main" id="{1350DBEF-3C8E-4FA1-A920-B251A86E51B6}"/>
            </a:ext>
          </a:extLst>
        </xdr:cNvPr>
        <xdr:cNvSpPr/>
      </xdr:nvSpPr>
      <xdr:spPr>
        <a:xfrm flipV="1">
          <a:off x="279897" y="1722739"/>
          <a:ext cx="12356603" cy="7224982"/>
        </a:xfrm>
        <a:prstGeom prst="round2SameRect">
          <a:avLst>
            <a:gd name="adj1" fmla="val 2772"/>
            <a:gd name="adj2" fmla="val 0"/>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endParaRPr lang="en-AU" sz="1100"/>
        </a:p>
      </xdr:txBody>
    </xdr:sp>
    <xdr:clientData/>
  </xdr:twoCellAnchor>
  <xdr:twoCellAnchor>
    <xdr:from>
      <xdr:col>4</xdr:col>
      <xdr:colOff>804308</xdr:colOff>
      <xdr:row>6</xdr:row>
      <xdr:rowOff>157013</xdr:rowOff>
    </xdr:from>
    <xdr:to>
      <xdr:col>6</xdr:col>
      <xdr:colOff>653802</xdr:colOff>
      <xdr:row>13</xdr:row>
      <xdr:rowOff>163365</xdr:rowOff>
    </xdr:to>
    <xdr:sp macro="" textlink="">
      <xdr:nvSpPr>
        <xdr:cNvPr id="4" name="Rectangle: Rounded Corners 3">
          <a:extLst>
            <a:ext uri="{FF2B5EF4-FFF2-40B4-BE49-F238E27FC236}">
              <a16:creationId xmlns:a16="http://schemas.microsoft.com/office/drawing/2014/main" id="{34EE5C35-4C09-46A4-A0DF-14CEFD40E219}"/>
            </a:ext>
          </a:extLst>
        </xdr:cNvPr>
        <xdr:cNvSpPr/>
      </xdr:nvSpPr>
      <xdr:spPr>
        <a:xfrm>
          <a:off x="4487308" y="1245584"/>
          <a:ext cx="1899637" cy="127635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587913</xdr:colOff>
      <xdr:row>6</xdr:row>
      <xdr:rowOff>157013</xdr:rowOff>
    </xdr:from>
    <xdr:to>
      <xdr:col>4</xdr:col>
      <xdr:colOff>683160</xdr:colOff>
      <xdr:row>13</xdr:row>
      <xdr:rowOff>163365</xdr:rowOff>
    </xdr:to>
    <xdr:sp macro="" textlink="">
      <xdr:nvSpPr>
        <xdr:cNvPr id="5" name="Rectangle: Rounded Corners 4">
          <a:extLst>
            <a:ext uri="{FF2B5EF4-FFF2-40B4-BE49-F238E27FC236}">
              <a16:creationId xmlns:a16="http://schemas.microsoft.com/office/drawing/2014/main" id="{B8362AEB-20E9-47C5-B7C4-F1D168A68D89}"/>
            </a:ext>
          </a:extLst>
        </xdr:cNvPr>
        <xdr:cNvSpPr/>
      </xdr:nvSpPr>
      <xdr:spPr>
        <a:xfrm>
          <a:off x="2467513" y="1261913"/>
          <a:ext cx="1898647" cy="129540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443266</xdr:colOff>
      <xdr:row>6</xdr:row>
      <xdr:rowOff>157013</xdr:rowOff>
    </xdr:from>
    <xdr:to>
      <xdr:col>2</xdr:col>
      <xdr:colOff>466765</xdr:colOff>
      <xdr:row>13</xdr:row>
      <xdr:rowOff>163365</xdr:rowOff>
    </xdr:to>
    <xdr:sp macro="" textlink="">
      <xdr:nvSpPr>
        <xdr:cNvPr id="6" name="Rectangle: Rounded Corners 5">
          <a:extLst>
            <a:ext uri="{FF2B5EF4-FFF2-40B4-BE49-F238E27FC236}">
              <a16:creationId xmlns:a16="http://schemas.microsoft.com/office/drawing/2014/main" id="{B6D25756-7B4F-471D-8867-918FCF812A2E}"/>
            </a:ext>
          </a:extLst>
        </xdr:cNvPr>
        <xdr:cNvSpPr/>
      </xdr:nvSpPr>
      <xdr:spPr>
        <a:xfrm>
          <a:off x="443266" y="1245584"/>
          <a:ext cx="1901285" cy="127635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47586</xdr:colOff>
      <xdr:row>6</xdr:row>
      <xdr:rowOff>157013</xdr:rowOff>
    </xdr:from>
    <xdr:to>
      <xdr:col>9</xdr:col>
      <xdr:colOff>587333</xdr:colOff>
      <xdr:row>13</xdr:row>
      <xdr:rowOff>163365</xdr:rowOff>
    </xdr:to>
    <xdr:sp macro="" textlink="">
      <xdr:nvSpPr>
        <xdr:cNvPr id="7" name="Rectangle: Rounded Corners 6">
          <a:extLst>
            <a:ext uri="{FF2B5EF4-FFF2-40B4-BE49-F238E27FC236}">
              <a16:creationId xmlns:a16="http://schemas.microsoft.com/office/drawing/2014/main" id="{EBB87AFF-2464-4233-BD50-70B650E32E09}"/>
            </a:ext>
          </a:extLst>
        </xdr:cNvPr>
        <xdr:cNvSpPr/>
      </xdr:nvSpPr>
      <xdr:spPr>
        <a:xfrm>
          <a:off x="6499186" y="1261913"/>
          <a:ext cx="1904997" cy="129540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4</xdr:col>
      <xdr:colOff>1177240</xdr:colOff>
      <xdr:row>7</xdr:row>
      <xdr:rowOff>85927</xdr:rowOff>
    </xdr:from>
    <xdr:ext cx="1147174" cy="342851"/>
    <xdr:sp macro="" textlink="">
      <xdr:nvSpPr>
        <xdr:cNvPr id="8" name="TextBox 7">
          <a:extLst>
            <a:ext uri="{FF2B5EF4-FFF2-40B4-BE49-F238E27FC236}">
              <a16:creationId xmlns:a16="http://schemas.microsoft.com/office/drawing/2014/main" id="{E3BC962F-7E75-4429-9DAD-A065AC6C7BE3}"/>
            </a:ext>
          </a:extLst>
        </xdr:cNvPr>
        <xdr:cNvSpPr txBox="1"/>
      </xdr:nvSpPr>
      <xdr:spPr>
        <a:xfrm>
          <a:off x="4860240" y="1374977"/>
          <a:ext cx="1147174"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Profit</a:t>
          </a:r>
          <a:endParaRPr lang="en-AU" sz="1600" b="1">
            <a:latin typeface="+mj-lt"/>
          </a:endParaRPr>
        </a:p>
      </xdr:txBody>
    </xdr:sp>
    <xdr:clientData/>
  </xdr:oneCellAnchor>
  <xdr:oneCellAnchor>
    <xdr:from>
      <xdr:col>2</xdr:col>
      <xdr:colOff>840382</xdr:colOff>
      <xdr:row>7</xdr:row>
      <xdr:rowOff>97472</xdr:rowOff>
    </xdr:from>
    <xdr:ext cx="1299202" cy="342851"/>
    <xdr:sp macro="" textlink="">
      <xdr:nvSpPr>
        <xdr:cNvPr id="9" name="TextBox 8">
          <a:extLst>
            <a:ext uri="{FF2B5EF4-FFF2-40B4-BE49-F238E27FC236}">
              <a16:creationId xmlns:a16="http://schemas.microsoft.com/office/drawing/2014/main" id="{102AAFFD-95C5-4EDE-AEC0-CF91188AA802}"/>
            </a:ext>
          </a:extLst>
        </xdr:cNvPr>
        <xdr:cNvSpPr txBox="1"/>
      </xdr:nvSpPr>
      <xdr:spPr>
        <a:xfrm>
          <a:off x="2719982" y="1386522"/>
          <a:ext cx="1299202"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Profit</a:t>
          </a:r>
          <a:r>
            <a:rPr lang="en-AU" sz="1600" b="1" baseline="0">
              <a:latin typeface="+mj-lt"/>
            </a:rPr>
            <a:t> Margin</a:t>
          </a:r>
          <a:endParaRPr lang="en-AU" sz="1600" b="1">
            <a:latin typeface="+mj-lt"/>
          </a:endParaRPr>
        </a:p>
      </xdr:txBody>
    </xdr:sp>
    <xdr:clientData/>
  </xdr:oneCellAnchor>
  <xdr:oneCellAnchor>
    <xdr:from>
      <xdr:col>0</xdr:col>
      <xdr:colOff>658641</xdr:colOff>
      <xdr:row>7</xdr:row>
      <xdr:rowOff>97472</xdr:rowOff>
    </xdr:from>
    <xdr:ext cx="1423531" cy="342851"/>
    <xdr:sp macro="" textlink="">
      <xdr:nvSpPr>
        <xdr:cNvPr id="10" name="TextBox 9">
          <a:extLst>
            <a:ext uri="{FF2B5EF4-FFF2-40B4-BE49-F238E27FC236}">
              <a16:creationId xmlns:a16="http://schemas.microsoft.com/office/drawing/2014/main" id="{220DCAD6-4681-4F68-88AC-91A970AEA91A}"/>
            </a:ext>
          </a:extLst>
        </xdr:cNvPr>
        <xdr:cNvSpPr txBox="1"/>
      </xdr:nvSpPr>
      <xdr:spPr>
        <a:xfrm>
          <a:off x="658641" y="1386522"/>
          <a:ext cx="142353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Revenue</a:t>
          </a:r>
          <a:endParaRPr lang="en-AU" sz="1600" b="1">
            <a:latin typeface="+mj-lt"/>
          </a:endParaRPr>
        </a:p>
      </xdr:txBody>
    </xdr:sp>
    <xdr:clientData/>
  </xdr:oneCellAnchor>
  <xdr:oneCellAnchor>
    <xdr:from>
      <xdr:col>7</xdr:col>
      <xdr:colOff>432957</xdr:colOff>
      <xdr:row>7</xdr:row>
      <xdr:rowOff>97472</xdr:rowOff>
    </xdr:from>
    <xdr:ext cx="1079911" cy="342851"/>
    <xdr:sp macro="" textlink="">
      <xdr:nvSpPr>
        <xdr:cNvPr id="11" name="TextBox 10">
          <a:extLst>
            <a:ext uri="{FF2B5EF4-FFF2-40B4-BE49-F238E27FC236}">
              <a16:creationId xmlns:a16="http://schemas.microsoft.com/office/drawing/2014/main" id="{DCAE15F4-48FE-489A-9CDE-C377BB92EEB6}"/>
            </a:ext>
          </a:extLst>
        </xdr:cNvPr>
        <xdr:cNvSpPr txBox="1"/>
      </xdr:nvSpPr>
      <xdr:spPr>
        <a:xfrm>
          <a:off x="6884557" y="1386522"/>
          <a:ext cx="107991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Total</a:t>
          </a:r>
          <a:r>
            <a:rPr lang="en-AU" sz="1600" b="1" baseline="0">
              <a:latin typeface="+mj-lt"/>
            </a:rPr>
            <a:t> Cost</a:t>
          </a:r>
          <a:endParaRPr lang="en-AU" sz="1600" b="1">
            <a:latin typeface="+mj-lt"/>
          </a:endParaRPr>
        </a:p>
      </xdr:txBody>
    </xdr:sp>
    <xdr:clientData/>
  </xdr:oneCellAnchor>
  <xdr:twoCellAnchor>
    <xdr:from>
      <xdr:col>10</xdr:col>
      <xdr:colOff>96572</xdr:colOff>
      <xdr:row>6</xdr:row>
      <xdr:rowOff>157013</xdr:rowOff>
    </xdr:from>
    <xdr:to>
      <xdr:col>13</xdr:col>
      <xdr:colOff>173676</xdr:colOff>
      <xdr:row>13</xdr:row>
      <xdr:rowOff>163365</xdr:rowOff>
    </xdr:to>
    <xdr:sp macro="" textlink="">
      <xdr:nvSpPr>
        <xdr:cNvPr id="12" name="Rectangle: Rounded Corners 11">
          <a:extLst>
            <a:ext uri="{FF2B5EF4-FFF2-40B4-BE49-F238E27FC236}">
              <a16:creationId xmlns:a16="http://schemas.microsoft.com/office/drawing/2014/main" id="{C0E1243E-CCA2-4390-9521-D76698D83905}"/>
            </a:ext>
          </a:extLst>
        </xdr:cNvPr>
        <xdr:cNvSpPr/>
      </xdr:nvSpPr>
      <xdr:spPr>
        <a:xfrm>
          <a:off x="8523022" y="1261913"/>
          <a:ext cx="1905904" cy="129540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11</xdr:col>
      <xdr:colOff>139765</xdr:colOff>
      <xdr:row>7</xdr:row>
      <xdr:rowOff>97472</xdr:rowOff>
    </xdr:from>
    <xdr:ext cx="577722" cy="342851"/>
    <xdr:sp macro="" textlink="">
      <xdr:nvSpPr>
        <xdr:cNvPr id="13" name="TextBox 12">
          <a:extLst>
            <a:ext uri="{FF2B5EF4-FFF2-40B4-BE49-F238E27FC236}">
              <a16:creationId xmlns:a16="http://schemas.microsoft.com/office/drawing/2014/main" id="{26903EE3-EA12-4F69-B3D3-6A11E631265F}"/>
            </a:ext>
          </a:extLst>
        </xdr:cNvPr>
        <xdr:cNvSpPr txBox="1"/>
      </xdr:nvSpPr>
      <xdr:spPr>
        <a:xfrm>
          <a:off x="9168310" y="1390563"/>
          <a:ext cx="577722"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AOV</a:t>
          </a:r>
        </a:p>
      </xdr:txBody>
    </xdr:sp>
    <xdr:clientData/>
  </xdr:oneCellAnchor>
  <xdr:twoCellAnchor>
    <xdr:from>
      <xdr:col>13</xdr:col>
      <xdr:colOff>294824</xdr:colOff>
      <xdr:row>6</xdr:row>
      <xdr:rowOff>157013</xdr:rowOff>
    </xdr:from>
    <xdr:to>
      <xdr:col>16</xdr:col>
      <xdr:colOff>371928</xdr:colOff>
      <xdr:row>13</xdr:row>
      <xdr:rowOff>163365</xdr:rowOff>
    </xdr:to>
    <xdr:sp macro="" textlink="">
      <xdr:nvSpPr>
        <xdr:cNvPr id="14" name="Rectangle: Rounded Corners 13">
          <a:extLst>
            <a:ext uri="{FF2B5EF4-FFF2-40B4-BE49-F238E27FC236}">
              <a16:creationId xmlns:a16="http://schemas.microsoft.com/office/drawing/2014/main" id="{72C48C7A-C498-4CC6-A324-3BDF8F77EA2A}"/>
            </a:ext>
          </a:extLst>
        </xdr:cNvPr>
        <xdr:cNvSpPr/>
      </xdr:nvSpPr>
      <xdr:spPr>
        <a:xfrm>
          <a:off x="10545538" y="1245584"/>
          <a:ext cx="1900461" cy="1276352"/>
        </a:xfrm>
        <a:prstGeom prst="roundRect">
          <a:avLst>
            <a:gd name="adj" fmla="val 15766"/>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14</xdr:col>
      <xdr:colOff>95774</xdr:colOff>
      <xdr:row>7</xdr:row>
      <xdr:rowOff>97472</xdr:rowOff>
    </xdr:from>
    <xdr:ext cx="1082989" cy="342851"/>
    <xdr:sp macro="" textlink="">
      <xdr:nvSpPr>
        <xdr:cNvPr id="15" name="TextBox 14">
          <a:extLst>
            <a:ext uri="{FF2B5EF4-FFF2-40B4-BE49-F238E27FC236}">
              <a16:creationId xmlns:a16="http://schemas.microsoft.com/office/drawing/2014/main" id="{34D4914A-45E3-4C5B-8C70-0C464AAE475B}"/>
            </a:ext>
          </a:extLst>
        </xdr:cNvPr>
        <xdr:cNvSpPr txBox="1"/>
      </xdr:nvSpPr>
      <xdr:spPr>
        <a:xfrm>
          <a:off x="10960624" y="1386522"/>
          <a:ext cx="108298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latin typeface="+mj-lt"/>
            </a:rPr>
            <a:t>Unit</a:t>
          </a:r>
          <a:r>
            <a:rPr lang="en-AU" sz="1600" b="1" baseline="0">
              <a:latin typeface="+mj-lt"/>
            </a:rPr>
            <a:t>s Sold</a:t>
          </a:r>
          <a:endParaRPr lang="en-AU" sz="1600" b="1">
            <a:latin typeface="+mj-lt"/>
          </a:endParaRPr>
        </a:p>
      </xdr:txBody>
    </xdr:sp>
    <xdr:clientData/>
  </xdr:oneCellAnchor>
  <xdr:oneCellAnchor>
    <xdr:from>
      <xdr:col>4</xdr:col>
      <xdr:colOff>1082375</xdr:colOff>
      <xdr:row>8</xdr:row>
      <xdr:rowOff>155778</xdr:rowOff>
    </xdr:from>
    <xdr:ext cx="1336904" cy="530658"/>
    <xdr:sp macro="" textlink="Analysis!E23">
      <xdr:nvSpPr>
        <xdr:cNvPr id="16" name="TextBox 15">
          <a:extLst>
            <a:ext uri="{FF2B5EF4-FFF2-40B4-BE49-F238E27FC236}">
              <a16:creationId xmlns:a16="http://schemas.microsoft.com/office/drawing/2014/main" id="{4B67690B-E484-4F32-822F-86023F825143}"/>
            </a:ext>
          </a:extLst>
        </xdr:cNvPr>
        <xdr:cNvSpPr txBox="1"/>
      </xdr:nvSpPr>
      <xdr:spPr>
        <a:xfrm>
          <a:off x="4765375" y="1607207"/>
          <a:ext cx="133690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74FA2D01-4E13-4670-8D38-F12EB4D27229}" type="TxLink">
            <a:rPr lang="en-US" sz="2800" b="1" i="0" u="none" strike="noStrike">
              <a:solidFill>
                <a:schemeClr val="accent1">
                  <a:lumMod val="75000"/>
                </a:schemeClr>
              </a:solidFill>
              <a:latin typeface="Aptos Narrow"/>
              <a:ea typeface="+mn-ea"/>
              <a:cs typeface="+mn-cs"/>
            </a:rPr>
            <a:pPr marL="0" indent="0" algn="ctr"/>
            <a:t>$71.4 M</a:t>
          </a:fld>
          <a:endParaRPr lang="en-AU" sz="2800" b="1" i="0" u="none" strike="noStrike">
            <a:solidFill>
              <a:schemeClr val="accent1">
                <a:lumMod val="75000"/>
              </a:schemeClr>
            </a:solidFill>
            <a:latin typeface="Aptos Narrow"/>
            <a:ea typeface="+mn-ea"/>
            <a:cs typeface="+mn-cs"/>
          </a:endParaRPr>
        </a:p>
      </xdr:txBody>
    </xdr:sp>
    <xdr:clientData/>
  </xdr:oneCellAnchor>
  <xdr:oneCellAnchor>
    <xdr:from>
      <xdr:col>2</xdr:col>
      <xdr:colOff>941724</xdr:colOff>
      <xdr:row>8</xdr:row>
      <xdr:rowOff>167323</xdr:rowOff>
    </xdr:from>
    <xdr:ext cx="1096519" cy="530658"/>
    <xdr:sp macro="" textlink="Analysis!D23">
      <xdr:nvSpPr>
        <xdr:cNvPr id="19" name="TextBox 18">
          <a:extLst>
            <a:ext uri="{FF2B5EF4-FFF2-40B4-BE49-F238E27FC236}">
              <a16:creationId xmlns:a16="http://schemas.microsoft.com/office/drawing/2014/main" id="{FA970963-6516-47CF-8774-901A4426F09F}"/>
            </a:ext>
          </a:extLst>
        </xdr:cNvPr>
        <xdr:cNvSpPr txBox="1"/>
      </xdr:nvSpPr>
      <xdr:spPr>
        <a:xfrm>
          <a:off x="2821324" y="1640523"/>
          <a:ext cx="109651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240884FF-4A61-489C-89E8-12DC2F4B0B15}" type="TxLink">
            <a:rPr lang="en-US" sz="2800" b="1" i="0" u="none" strike="noStrike">
              <a:solidFill>
                <a:schemeClr val="accent1">
                  <a:lumMod val="75000"/>
                </a:schemeClr>
              </a:solidFill>
              <a:latin typeface="Aptos Narrow"/>
            </a:rPr>
            <a:pPr algn="ctr"/>
            <a:t>41.3%</a:t>
          </a:fld>
          <a:endParaRPr lang="en-AU" sz="2800" b="1">
            <a:solidFill>
              <a:schemeClr val="accent1">
                <a:lumMod val="75000"/>
              </a:schemeClr>
            </a:solidFill>
            <a:latin typeface="+mj-lt"/>
          </a:endParaRPr>
        </a:p>
      </xdr:txBody>
    </xdr:sp>
    <xdr:clientData/>
  </xdr:oneCellAnchor>
  <xdr:oneCellAnchor>
    <xdr:from>
      <xdr:col>0</xdr:col>
      <xdr:colOff>610967</xdr:colOff>
      <xdr:row>8</xdr:row>
      <xdr:rowOff>167323</xdr:rowOff>
    </xdr:from>
    <xdr:ext cx="1518877" cy="530658"/>
    <xdr:sp macro="" textlink="Analysis!C23">
      <xdr:nvSpPr>
        <xdr:cNvPr id="20" name="TextBox 19">
          <a:extLst>
            <a:ext uri="{FF2B5EF4-FFF2-40B4-BE49-F238E27FC236}">
              <a16:creationId xmlns:a16="http://schemas.microsoft.com/office/drawing/2014/main" id="{E0EC2384-6A05-488D-A300-17EAD1A6EEC8}"/>
            </a:ext>
          </a:extLst>
        </xdr:cNvPr>
        <xdr:cNvSpPr txBox="1"/>
      </xdr:nvSpPr>
      <xdr:spPr>
        <a:xfrm>
          <a:off x="610967" y="1640523"/>
          <a:ext cx="151887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7FD93CE-FCE2-47D0-8118-99C78852D02F}" type="TxLink">
            <a:rPr lang="en-US" sz="2800" b="1" i="0" u="none" strike="noStrike">
              <a:solidFill>
                <a:schemeClr val="accent1">
                  <a:lumMod val="75000"/>
                </a:schemeClr>
              </a:solidFill>
              <a:latin typeface="Aptos Narrow"/>
              <a:ea typeface="+mn-ea"/>
              <a:cs typeface="+mn-cs"/>
            </a:rPr>
            <a:pPr marL="0" indent="0" algn="ctr"/>
            <a:t>$172.7 M</a:t>
          </a:fld>
          <a:endParaRPr lang="en-AU" sz="2800" b="1" i="0" u="none" strike="noStrike">
            <a:solidFill>
              <a:schemeClr val="accent1">
                <a:lumMod val="75000"/>
              </a:schemeClr>
            </a:solidFill>
            <a:latin typeface="Aptos Narrow"/>
            <a:ea typeface="+mn-ea"/>
            <a:cs typeface="+mn-cs"/>
          </a:endParaRPr>
        </a:p>
      </xdr:txBody>
    </xdr:sp>
    <xdr:clientData/>
  </xdr:oneCellAnchor>
  <xdr:oneCellAnchor>
    <xdr:from>
      <xdr:col>7</xdr:col>
      <xdr:colOff>213474</xdr:colOff>
      <xdr:row>8</xdr:row>
      <xdr:rowOff>167323</xdr:rowOff>
    </xdr:from>
    <xdr:ext cx="1518877" cy="530658"/>
    <xdr:sp macro="" textlink="Analysis!F23">
      <xdr:nvSpPr>
        <xdr:cNvPr id="21" name="TextBox 20">
          <a:extLst>
            <a:ext uri="{FF2B5EF4-FFF2-40B4-BE49-F238E27FC236}">
              <a16:creationId xmlns:a16="http://schemas.microsoft.com/office/drawing/2014/main" id="{FE5468E9-A586-460A-9FC6-F1F7E9205227}"/>
            </a:ext>
          </a:extLst>
        </xdr:cNvPr>
        <xdr:cNvSpPr txBox="1"/>
      </xdr:nvSpPr>
      <xdr:spPr>
        <a:xfrm>
          <a:off x="6665074" y="1640523"/>
          <a:ext cx="151887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543DBE97-EB1B-44B2-A76D-474EC72C08B9}" type="TxLink">
            <a:rPr lang="en-US" sz="2800" b="1" i="0" u="none" strike="noStrike">
              <a:solidFill>
                <a:schemeClr val="accent1">
                  <a:lumMod val="75000"/>
                </a:schemeClr>
              </a:solidFill>
              <a:latin typeface="Aptos Narrow"/>
            </a:rPr>
            <a:pPr algn="ctr"/>
            <a:t>$101.3 M</a:t>
          </a:fld>
          <a:endParaRPr lang="en-AU" sz="2800" b="1">
            <a:solidFill>
              <a:schemeClr val="accent1">
                <a:lumMod val="75000"/>
              </a:schemeClr>
            </a:solidFill>
            <a:latin typeface="+mj-lt"/>
          </a:endParaRPr>
        </a:p>
      </xdr:txBody>
    </xdr:sp>
    <xdr:clientData/>
  </xdr:oneCellAnchor>
  <xdr:oneCellAnchor>
    <xdr:from>
      <xdr:col>10</xdr:col>
      <xdr:colOff>489916</xdr:colOff>
      <xdr:row>8</xdr:row>
      <xdr:rowOff>167323</xdr:rowOff>
    </xdr:from>
    <xdr:ext cx="1092992" cy="530658"/>
    <xdr:sp macro="" textlink="Analysis!G23">
      <xdr:nvSpPr>
        <xdr:cNvPr id="22" name="TextBox 21">
          <a:extLst>
            <a:ext uri="{FF2B5EF4-FFF2-40B4-BE49-F238E27FC236}">
              <a16:creationId xmlns:a16="http://schemas.microsoft.com/office/drawing/2014/main" id="{89FCA047-DB5D-4FB7-801E-7A87EF249BE6}"/>
            </a:ext>
          </a:extLst>
        </xdr:cNvPr>
        <xdr:cNvSpPr txBox="1"/>
      </xdr:nvSpPr>
      <xdr:spPr>
        <a:xfrm>
          <a:off x="8917273" y="1618752"/>
          <a:ext cx="109299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FFB85910-B43C-4D86-8668-344CD84082CA}" type="TxLink">
            <a:rPr lang="en-US" sz="2800" b="1" i="0" u="none" strike="noStrike">
              <a:solidFill>
                <a:schemeClr val="accent1">
                  <a:lumMod val="75000"/>
                </a:schemeClr>
              </a:solidFill>
              <a:latin typeface="Aptos Narrow"/>
            </a:rPr>
            <a:pPr algn="ctr"/>
            <a:t>$3.3 K</a:t>
          </a:fld>
          <a:endParaRPr lang="en-AU" sz="2800" b="1">
            <a:solidFill>
              <a:schemeClr val="accent1">
                <a:lumMod val="75000"/>
              </a:schemeClr>
            </a:solidFill>
            <a:latin typeface="+mj-lt"/>
          </a:endParaRPr>
        </a:p>
      </xdr:txBody>
    </xdr:sp>
    <xdr:clientData/>
  </xdr:oneCellAnchor>
  <xdr:oneCellAnchor>
    <xdr:from>
      <xdr:col>13</xdr:col>
      <xdr:colOff>507894</xdr:colOff>
      <xdr:row>8</xdr:row>
      <xdr:rowOff>167323</xdr:rowOff>
    </xdr:from>
    <xdr:ext cx="1474321" cy="530658"/>
    <xdr:sp macro="" textlink="Analysis!H23">
      <xdr:nvSpPr>
        <xdr:cNvPr id="23" name="TextBox 22">
          <a:extLst>
            <a:ext uri="{FF2B5EF4-FFF2-40B4-BE49-F238E27FC236}">
              <a16:creationId xmlns:a16="http://schemas.microsoft.com/office/drawing/2014/main" id="{028D948B-5425-45E5-9100-8B4C9A3A315C}"/>
            </a:ext>
          </a:extLst>
        </xdr:cNvPr>
        <xdr:cNvSpPr txBox="1"/>
      </xdr:nvSpPr>
      <xdr:spPr>
        <a:xfrm>
          <a:off x="10763144" y="1640523"/>
          <a:ext cx="147432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D2B8305-CDA2-4822-A3E8-88E0E4C4EDC4}" type="TxLink">
            <a:rPr lang="en-US" sz="2800" b="1" i="0" u="none" strike="noStrike">
              <a:solidFill>
                <a:schemeClr val="accent1">
                  <a:lumMod val="75000"/>
                </a:schemeClr>
              </a:solidFill>
              <a:latin typeface="Aptos Narrow"/>
            </a:rPr>
            <a:pPr algn="ctr"/>
            <a:t>552.5 K</a:t>
          </a:fld>
          <a:endParaRPr lang="en-AU" sz="2800" b="1">
            <a:solidFill>
              <a:schemeClr val="accent1">
                <a:lumMod val="75000"/>
              </a:schemeClr>
            </a:solidFill>
            <a:latin typeface="+mj-lt"/>
          </a:endParaRPr>
        </a:p>
      </xdr:txBody>
    </xdr:sp>
    <xdr:clientData/>
  </xdr:oneCellAnchor>
  <xdr:oneCellAnchor>
    <xdr:from>
      <xdr:col>4</xdr:col>
      <xdr:colOff>1030827</xdr:colOff>
      <xdr:row>11</xdr:row>
      <xdr:rowOff>91948</xdr:rowOff>
    </xdr:from>
    <xdr:ext cx="1440000" cy="311496"/>
    <xdr:sp macro="" textlink="Analysis!E24">
      <xdr:nvSpPr>
        <xdr:cNvPr id="26" name="TextBox 25">
          <a:extLst>
            <a:ext uri="{FF2B5EF4-FFF2-40B4-BE49-F238E27FC236}">
              <a16:creationId xmlns:a16="http://schemas.microsoft.com/office/drawing/2014/main" id="{97CCDACA-095E-4086-82CD-888541A56478}"/>
            </a:ext>
          </a:extLst>
        </xdr:cNvPr>
        <xdr:cNvSpPr txBox="1"/>
      </xdr:nvSpPr>
      <xdr:spPr>
        <a:xfrm>
          <a:off x="4713827" y="2087662"/>
          <a:ext cx="144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ADE15E50-BAD0-4AE3-946E-253DE5EA6C7A}" type="TxLink">
            <a:rPr lang="en-US" sz="1400" b="1" i="0" u="none" strike="noStrike">
              <a:solidFill>
                <a:schemeClr val="tx1">
                  <a:lumMod val="65000"/>
                  <a:lumOff val="35000"/>
                </a:schemeClr>
              </a:solidFill>
              <a:latin typeface="Aptos Narrow"/>
              <a:ea typeface="+mn-ea"/>
              <a:cs typeface="+mn-cs"/>
            </a:rPr>
            <a:pPr marL="0" indent="0" algn="ctr"/>
            <a:t>▲ 187.7%</a:t>
          </a:fld>
          <a:r>
            <a:rPr lang="en-US" sz="1400" b="1" i="0" u="none" strike="noStrike">
              <a:solidFill>
                <a:schemeClr val="tx1">
                  <a:lumMod val="65000"/>
                  <a:lumOff val="35000"/>
                </a:schemeClr>
              </a:solidFill>
              <a:latin typeface="Aptos Narrow"/>
              <a:ea typeface="+mn-ea"/>
              <a:cs typeface="+mn-cs"/>
            </a:rPr>
            <a:t> vs. PY</a:t>
          </a:r>
          <a:endParaRPr lang="en-AU" sz="1400" b="1" i="0" u="none" strike="noStrike">
            <a:solidFill>
              <a:schemeClr val="tx1">
                <a:lumMod val="65000"/>
                <a:lumOff val="35000"/>
              </a:schemeClr>
            </a:solidFill>
            <a:latin typeface="Aptos Narrow"/>
            <a:ea typeface="+mn-ea"/>
            <a:cs typeface="+mn-cs"/>
          </a:endParaRPr>
        </a:p>
      </xdr:txBody>
    </xdr:sp>
    <xdr:clientData/>
  </xdr:oneCellAnchor>
  <xdr:oneCellAnchor>
    <xdr:from>
      <xdr:col>2</xdr:col>
      <xdr:colOff>854983</xdr:colOff>
      <xdr:row>11</xdr:row>
      <xdr:rowOff>100194</xdr:rowOff>
    </xdr:from>
    <xdr:ext cx="1270000" cy="311496"/>
    <xdr:sp macro="" textlink="Analysis!D24">
      <xdr:nvSpPr>
        <xdr:cNvPr id="27" name="TextBox 26">
          <a:extLst>
            <a:ext uri="{FF2B5EF4-FFF2-40B4-BE49-F238E27FC236}">
              <a16:creationId xmlns:a16="http://schemas.microsoft.com/office/drawing/2014/main" id="{04D64DBF-E283-41D1-A7AB-3A19FDA7DAF6}"/>
            </a:ext>
          </a:extLst>
        </xdr:cNvPr>
        <xdr:cNvSpPr txBox="1"/>
      </xdr:nvSpPr>
      <xdr:spPr>
        <a:xfrm>
          <a:off x="2734583" y="2125844"/>
          <a:ext cx="12700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9B97078E-F12C-41E2-A5D1-2F8C8C3FD8EB}" type="TxLink">
            <a:rPr lang="en-US" sz="1400" b="1" i="0" u="none" strike="noStrike">
              <a:solidFill>
                <a:schemeClr val="tx1">
                  <a:lumMod val="65000"/>
                  <a:lumOff val="35000"/>
                </a:schemeClr>
              </a:solidFill>
              <a:latin typeface="Aptos Narrow"/>
            </a:rPr>
            <a:pPr algn="ctr"/>
            <a:t>▼ 0.5%</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0</xdr:col>
      <xdr:colOff>693922</xdr:colOff>
      <xdr:row>11</xdr:row>
      <xdr:rowOff>113802</xdr:rowOff>
    </xdr:from>
    <xdr:ext cx="1397304" cy="311496"/>
    <xdr:sp macro="" textlink="Analysis!C24">
      <xdr:nvSpPr>
        <xdr:cNvPr id="28" name="TextBox 27">
          <a:extLst>
            <a:ext uri="{FF2B5EF4-FFF2-40B4-BE49-F238E27FC236}">
              <a16:creationId xmlns:a16="http://schemas.microsoft.com/office/drawing/2014/main" id="{2BA87E1F-825F-4D9F-B86A-F158D12E6FD4}"/>
            </a:ext>
          </a:extLst>
        </xdr:cNvPr>
        <xdr:cNvSpPr txBox="1"/>
      </xdr:nvSpPr>
      <xdr:spPr>
        <a:xfrm>
          <a:off x="693922" y="2139452"/>
          <a:ext cx="13973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DB267ABC-B89E-4C06-BF58-4CED4B43788B}" type="TxLink">
            <a:rPr lang="en-US" sz="1400" b="1" i="0" u="none" strike="noStrike">
              <a:solidFill>
                <a:schemeClr val="tx1">
                  <a:lumMod val="65000"/>
                  <a:lumOff val="35000"/>
                </a:schemeClr>
              </a:solidFill>
              <a:latin typeface="Aptos Narrow"/>
              <a:ea typeface="+mn-ea"/>
              <a:cs typeface="+mn-cs"/>
            </a:rPr>
            <a:pPr marL="0" indent="0" algn="ctr"/>
            <a:t>▲ 189.0%</a:t>
          </a:fld>
          <a:r>
            <a:rPr lang="en-US" sz="1400" b="1" i="0" u="none" strike="noStrike">
              <a:solidFill>
                <a:schemeClr val="tx1">
                  <a:lumMod val="65000"/>
                  <a:lumOff val="35000"/>
                </a:schemeClr>
              </a:solidFill>
              <a:latin typeface="Aptos Narrow"/>
              <a:ea typeface="+mn-ea"/>
              <a:cs typeface="+mn-cs"/>
            </a:rPr>
            <a:t> vs. PY</a:t>
          </a:r>
          <a:endParaRPr lang="en-AU" sz="1400" b="1" i="0" u="none" strike="noStrike">
            <a:solidFill>
              <a:schemeClr val="tx1">
                <a:lumMod val="65000"/>
                <a:lumOff val="35000"/>
              </a:schemeClr>
            </a:solidFill>
            <a:latin typeface="Aptos Narrow"/>
            <a:ea typeface="+mn-ea"/>
            <a:cs typeface="+mn-cs"/>
          </a:endParaRPr>
        </a:p>
      </xdr:txBody>
    </xdr:sp>
    <xdr:clientData/>
  </xdr:oneCellAnchor>
  <xdr:oneCellAnchor>
    <xdr:from>
      <xdr:col>7</xdr:col>
      <xdr:colOff>268360</xdr:colOff>
      <xdr:row>11</xdr:row>
      <xdr:rowOff>100194</xdr:rowOff>
    </xdr:from>
    <xdr:ext cx="1409104" cy="311496"/>
    <xdr:sp macro="" textlink="Analysis!F24">
      <xdr:nvSpPr>
        <xdr:cNvPr id="29" name="TextBox 28">
          <a:extLst>
            <a:ext uri="{FF2B5EF4-FFF2-40B4-BE49-F238E27FC236}">
              <a16:creationId xmlns:a16="http://schemas.microsoft.com/office/drawing/2014/main" id="{C9FBCA98-A3F3-47D4-A839-5AB093DB168D}"/>
            </a:ext>
          </a:extLst>
        </xdr:cNvPr>
        <xdr:cNvSpPr txBox="1"/>
      </xdr:nvSpPr>
      <xdr:spPr>
        <a:xfrm>
          <a:off x="6719960" y="2125844"/>
          <a:ext cx="14091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1415E39B-3123-4D7D-B18F-FF2EBE87910C}" type="TxLink">
            <a:rPr lang="en-US" sz="1400" b="1" i="0" u="none" strike="noStrike">
              <a:solidFill>
                <a:schemeClr val="tx1">
                  <a:lumMod val="65000"/>
                  <a:lumOff val="35000"/>
                </a:schemeClr>
              </a:solidFill>
              <a:latin typeface="Aptos Narrow"/>
            </a:rPr>
            <a:pPr algn="ctr"/>
            <a:t>▲ 189.9%</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10</xdr:col>
      <xdr:colOff>342449</xdr:colOff>
      <xdr:row>11</xdr:row>
      <xdr:rowOff>100194</xdr:rowOff>
    </xdr:from>
    <xdr:ext cx="1387927" cy="311496"/>
    <xdr:sp macro="" textlink="Analysis!G24">
      <xdr:nvSpPr>
        <xdr:cNvPr id="30" name="TextBox 29">
          <a:extLst>
            <a:ext uri="{FF2B5EF4-FFF2-40B4-BE49-F238E27FC236}">
              <a16:creationId xmlns:a16="http://schemas.microsoft.com/office/drawing/2014/main" id="{77C81A34-A5E4-4608-A669-31B464561991}"/>
            </a:ext>
          </a:extLst>
        </xdr:cNvPr>
        <xdr:cNvSpPr txBox="1"/>
      </xdr:nvSpPr>
      <xdr:spPr>
        <a:xfrm>
          <a:off x="8768899" y="2125844"/>
          <a:ext cx="138792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438D2F7-15D1-4691-8EF7-A2489AAA69AE}" type="TxLink">
            <a:rPr lang="en-US" sz="1400" b="1" i="0" u="none" strike="noStrike">
              <a:solidFill>
                <a:schemeClr val="tx1">
                  <a:lumMod val="65000"/>
                  <a:lumOff val="35000"/>
                </a:schemeClr>
              </a:solidFill>
              <a:latin typeface="Aptos Narrow"/>
            </a:rPr>
            <a:pPr algn="ctr"/>
            <a:t>▼ 82.4%</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oneCellAnchor>
    <xdr:from>
      <xdr:col>13</xdr:col>
      <xdr:colOff>495009</xdr:colOff>
      <xdr:row>11</xdr:row>
      <xdr:rowOff>100194</xdr:rowOff>
    </xdr:from>
    <xdr:ext cx="1500091" cy="311496"/>
    <xdr:sp macro="" textlink="Analysis!H24">
      <xdr:nvSpPr>
        <xdr:cNvPr id="31" name="TextBox 30">
          <a:extLst>
            <a:ext uri="{FF2B5EF4-FFF2-40B4-BE49-F238E27FC236}">
              <a16:creationId xmlns:a16="http://schemas.microsoft.com/office/drawing/2014/main" id="{0C42BB49-2E81-42C2-BFB4-5A299B950352}"/>
            </a:ext>
          </a:extLst>
        </xdr:cNvPr>
        <xdr:cNvSpPr txBox="1"/>
      </xdr:nvSpPr>
      <xdr:spPr>
        <a:xfrm>
          <a:off x="10745723" y="2095908"/>
          <a:ext cx="150009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85BA3770-AA82-49E1-80F6-F6DAA22436DB}" type="TxLink">
            <a:rPr lang="en-US" sz="1400" b="1" i="0" u="none" strike="noStrike">
              <a:solidFill>
                <a:schemeClr val="tx1">
                  <a:lumMod val="65000"/>
                  <a:lumOff val="35000"/>
                </a:schemeClr>
              </a:solidFill>
              <a:latin typeface="Aptos Narrow"/>
            </a:rPr>
            <a:pPr algn="ctr"/>
            <a:t>▲ 1550.2%</a:t>
          </a:fld>
          <a:r>
            <a:rPr lang="en-US" sz="1400" b="1" i="0" u="none" strike="noStrike">
              <a:solidFill>
                <a:schemeClr val="tx1">
                  <a:lumMod val="65000"/>
                  <a:lumOff val="35000"/>
                </a:schemeClr>
              </a:solidFill>
              <a:latin typeface="Aptos Narrow"/>
            </a:rPr>
            <a:t> vs. PY</a:t>
          </a:r>
          <a:endParaRPr lang="en-AU" sz="1400" b="1">
            <a:solidFill>
              <a:schemeClr val="tx1">
                <a:lumMod val="65000"/>
                <a:lumOff val="35000"/>
              </a:schemeClr>
            </a:solidFill>
            <a:latin typeface="+mj-lt"/>
          </a:endParaRPr>
        </a:p>
      </xdr:txBody>
    </xdr:sp>
    <xdr:clientData/>
  </xdr:oneCellAnchor>
  <xdr:twoCellAnchor>
    <xdr:from>
      <xdr:col>4</xdr:col>
      <xdr:colOff>804308</xdr:colOff>
      <xdr:row>14</xdr:row>
      <xdr:rowOff>171945</xdr:rowOff>
    </xdr:from>
    <xdr:to>
      <xdr:col>9</xdr:col>
      <xdr:colOff>555737</xdr:colOff>
      <xdr:row>35</xdr:row>
      <xdr:rowOff>141945</xdr:rowOff>
    </xdr:to>
    <xdr:sp macro="" textlink="">
      <xdr:nvSpPr>
        <xdr:cNvPr id="41" name="Rectangle: Rounded Corners 40">
          <a:extLst>
            <a:ext uri="{FF2B5EF4-FFF2-40B4-BE49-F238E27FC236}">
              <a16:creationId xmlns:a16="http://schemas.microsoft.com/office/drawing/2014/main" id="{197E961E-7269-4D3E-8905-3980E437B9EB}"/>
            </a:ext>
          </a:extLst>
        </xdr:cNvPr>
        <xdr:cNvSpPr/>
      </xdr:nvSpPr>
      <xdr:spPr>
        <a:xfrm>
          <a:off x="4487308" y="2711945"/>
          <a:ext cx="3888000" cy="3780000"/>
        </a:xfrm>
        <a:prstGeom prst="roundRect">
          <a:avLst>
            <a:gd name="adj" fmla="val 7114"/>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10</xdr:col>
      <xdr:colOff>130642</xdr:colOff>
      <xdr:row>14</xdr:row>
      <xdr:rowOff>171945</xdr:rowOff>
    </xdr:from>
    <xdr:to>
      <xdr:col>16</xdr:col>
      <xdr:colOff>371928</xdr:colOff>
      <xdr:row>35</xdr:row>
      <xdr:rowOff>141945</xdr:rowOff>
    </xdr:to>
    <xdr:sp macro="" textlink="">
      <xdr:nvSpPr>
        <xdr:cNvPr id="43" name="Rectangle: Rounded Corners 42">
          <a:extLst>
            <a:ext uri="{FF2B5EF4-FFF2-40B4-BE49-F238E27FC236}">
              <a16:creationId xmlns:a16="http://schemas.microsoft.com/office/drawing/2014/main" id="{4DDEE91A-36EE-41C3-8CAF-70C1E828E28A}"/>
            </a:ext>
          </a:extLst>
        </xdr:cNvPr>
        <xdr:cNvSpPr/>
      </xdr:nvSpPr>
      <xdr:spPr>
        <a:xfrm>
          <a:off x="8557999" y="2711945"/>
          <a:ext cx="3888000" cy="3780000"/>
        </a:xfrm>
        <a:prstGeom prst="roundRect">
          <a:avLst>
            <a:gd name="adj" fmla="val 7114"/>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0</xdr:col>
      <xdr:colOff>545496</xdr:colOff>
      <xdr:row>2</xdr:row>
      <xdr:rowOff>53607</xdr:rowOff>
    </xdr:from>
    <xdr:ext cx="5764399" cy="655949"/>
    <xdr:sp macro="" textlink="">
      <xdr:nvSpPr>
        <xdr:cNvPr id="48" name="TextBox 47">
          <a:extLst>
            <a:ext uri="{FF2B5EF4-FFF2-40B4-BE49-F238E27FC236}">
              <a16:creationId xmlns:a16="http://schemas.microsoft.com/office/drawing/2014/main" id="{B15D8DB0-D6E0-4375-A187-360367DA4E70}"/>
            </a:ext>
          </a:extLst>
        </xdr:cNvPr>
        <xdr:cNvSpPr txBox="1"/>
      </xdr:nvSpPr>
      <xdr:spPr>
        <a:xfrm>
          <a:off x="545496" y="421907"/>
          <a:ext cx="57643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FF66"/>
              </a:solidFill>
              <a:latin typeface="+mj-lt"/>
              <a:ea typeface="ADLaM Display" panose="020F0502020204030204" pitchFamily="2" charset="0"/>
              <a:cs typeface="ADLaM Display" panose="020F0502020204030204" pitchFamily="2" charset="0"/>
            </a:rPr>
            <a:t>Adventure</a:t>
          </a:r>
          <a:r>
            <a:rPr lang="en-AU" sz="3600" b="1" baseline="0">
              <a:solidFill>
                <a:srgbClr val="FFFF66"/>
              </a:solidFill>
              <a:latin typeface="+mj-lt"/>
              <a:ea typeface="ADLaM Display" panose="020F0502020204030204" pitchFamily="2" charset="0"/>
              <a:cs typeface="ADLaM Display" panose="020F0502020204030204" pitchFamily="2" charset="0"/>
            </a:rPr>
            <a:t> Works </a:t>
          </a:r>
          <a:r>
            <a:rPr lang="en-AU" sz="2800" b="0" baseline="0">
              <a:solidFill>
                <a:schemeClr val="bg1"/>
              </a:solidFill>
              <a:latin typeface="+mj-lt"/>
              <a:ea typeface="ADLaM Display" panose="020F0502020204030204" pitchFamily="2" charset="0"/>
              <a:cs typeface="ADLaM Display" panose="020F0502020204030204" pitchFamily="2" charset="0"/>
            </a:rPr>
            <a:t>Sales Analysis</a:t>
          </a:r>
          <a:endParaRPr lang="en-AU" sz="2800" b="0">
            <a:solidFill>
              <a:schemeClr val="bg1"/>
            </a:solidFill>
            <a:latin typeface="+mj-lt"/>
            <a:ea typeface="ADLaM Display" panose="020F0502020204030204" pitchFamily="2" charset="0"/>
            <a:cs typeface="ADLaM Display" panose="020F0502020204030204" pitchFamily="2" charset="0"/>
          </a:endParaRPr>
        </a:p>
      </xdr:txBody>
    </xdr:sp>
    <xdr:clientData/>
  </xdr:oneCellAnchor>
  <xdr:twoCellAnchor>
    <xdr:from>
      <xdr:col>6</xdr:col>
      <xdr:colOff>464802</xdr:colOff>
      <xdr:row>2</xdr:row>
      <xdr:rowOff>130999</xdr:rowOff>
    </xdr:from>
    <xdr:to>
      <xdr:col>8</xdr:col>
      <xdr:colOff>265541</xdr:colOff>
      <xdr:row>5</xdr:row>
      <xdr:rowOff>147253</xdr:rowOff>
    </xdr:to>
    <xdr:sp macro="" textlink="Analysis!L36">
      <xdr:nvSpPr>
        <xdr:cNvPr id="49" name="TextBox 48">
          <a:extLst>
            <a:ext uri="{FF2B5EF4-FFF2-40B4-BE49-F238E27FC236}">
              <a16:creationId xmlns:a16="http://schemas.microsoft.com/office/drawing/2014/main" id="{D3B19269-8555-48D6-A148-04A0B2B0A38C}"/>
            </a:ext>
          </a:extLst>
        </xdr:cNvPr>
        <xdr:cNvSpPr txBox="1"/>
      </xdr:nvSpPr>
      <xdr:spPr>
        <a:xfrm>
          <a:off x="6192502" y="499299"/>
          <a:ext cx="1280289" cy="5687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808165B-2469-4E15-8A27-35BC6A4114ED}" type="TxLink">
            <a:rPr lang="en-US" sz="2800" b="1" i="0" u="none" strike="noStrike">
              <a:solidFill>
                <a:schemeClr val="bg1"/>
              </a:solidFill>
              <a:latin typeface="+mj-lt"/>
            </a:rPr>
            <a:pPr algn="ctr"/>
            <a:t>2024</a:t>
          </a:fld>
          <a:endParaRPr lang="en-AU" sz="5400" b="1">
            <a:solidFill>
              <a:schemeClr val="bg1"/>
            </a:solidFill>
            <a:latin typeface="+mj-lt"/>
          </a:endParaRPr>
        </a:p>
      </xdr:txBody>
    </xdr:sp>
    <xdr:clientData/>
  </xdr:twoCellAnchor>
  <xdr:twoCellAnchor>
    <xdr:from>
      <xdr:col>6</xdr:col>
      <xdr:colOff>565727</xdr:colOff>
      <xdr:row>3</xdr:row>
      <xdr:rowOff>15489</xdr:rowOff>
    </xdr:from>
    <xdr:to>
      <xdr:col>6</xdr:col>
      <xdr:colOff>565727</xdr:colOff>
      <xdr:row>5</xdr:row>
      <xdr:rowOff>78035</xdr:rowOff>
    </xdr:to>
    <xdr:cxnSp macro="">
      <xdr:nvCxnSpPr>
        <xdr:cNvPr id="50" name="Straight Connector 49">
          <a:extLst>
            <a:ext uri="{FF2B5EF4-FFF2-40B4-BE49-F238E27FC236}">
              <a16:creationId xmlns:a16="http://schemas.microsoft.com/office/drawing/2014/main" id="{05111B48-2B2E-4052-A4FD-CD42C15877D5}"/>
            </a:ext>
          </a:extLst>
        </xdr:cNvPr>
        <xdr:cNvCxnSpPr/>
      </xdr:nvCxnSpPr>
      <xdr:spPr>
        <a:xfrm>
          <a:off x="6293427" y="567939"/>
          <a:ext cx="0" cy="430846"/>
        </a:xfrm>
        <a:prstGeom prst="line">
          <a:avLst/>
        </a:prstGeom>
        <a:ln w="38100">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11</xdr:col>
      <xdr:colOff>588817</xdr:colOff>
      <xdr:row>2</xdr:row>
      <xdr:rowOff>161635</xdr:rowOff>
    </xdr:from>
    <xdr:to>
      <xdr:col>16</xdr:col>
      <xdr:colOff>378447</xdr:colOff>
      <xdr:row>5</xdr:row>
      <xdr:rowOff>147454</xdr:rowOff>
    </xdr:to>
    <mc:AlternateContent xmlns:mc="http://schemas.openxmlformats.org/markup-compatibility/2006" xmlns:a14="http://schemas.microsoft.com/office/drawing/2010/main">
      <mc:Choice Requires="a14">
        <xdr:graphicFrame macro="">
          <xdr:nvGraphicFramePr>
            <xdr:cNvPr id="51" name="Fiscal Year 2">
              <a:extLst>
                <a:ext uri="{FF2B5EF4-FFF2-40B4-BE49-F238E27FC236}">
                  <a16:creationId xmlns:a16="http://schemas.microsoft.com/office/drawing/2014/main" id="{3122DE93-52BA-41AD-9EDE-2CF7D4D9A333}"/>
                </a:ext>
              </a:extLst>
            </xdr:cNvPr>
            <xdr:cNvGraphicFramePr/>
          </xdr:nvGraphicFramePr>
          <xdr:xfrm>
            <a:off x="0" y="0"/>
            <a:ext cx="0" cy="0"/>
          </xdr:xfrm>
          <a:graphic>
            <a:graphicData uri="http://schemas.microsoft.com/office/drawing/2010/slicer">
              <sle:slicer xmlns:sle="http://schemas.microsoft.com/office/drawing/2010/slicer" name="Fiscal Year 2"/>
            </a:graphicData>
          </a:graphic>
        </xdr:graphicFrame>
      </mc:Choice>
      <mc:Fallback xmlns="">
        <xdr:sp macro="" textlink="">
          <xdr:nvSpPr>
            <xdr:cNvPr id="0" name=""/>
            <xdr:cNvSpPr>
              <a:spLocks noTextEdit="1"/>
            </xdr:cNvSpPr>
          </xdr:nvSpPr>
          <xdr:spPr>
            <a:xfrm>
              <a:off x="9617362" y="531090"/>
              <a:ext cx="2849176" cy="540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443266</xdr:colOff>
      <xdr:row>14</xdr:row>
      <xdr:rowOff>171945</xdr:rowOff>
    </xdr:from>
    <xdr:to>
      <xdr:col>4</xdr:col>
      <xdr:colOff>648266</xdr:colOff>
      <xdr:row>35</xdr:row>
      <xdr:rowOff>141945</xdr:rowOff>
    </xdr:to>
    <xdr:sp macro="" textlink="">
      <xdr:nvSpPr>
        <xdr:cNvPr id="53" name="Rectangle: Rounded Corners 52">
          <a:extLst>
            <a:ext uri="{FF2B5EF4-FFF2-40B4-BE49-F238E27FC236}">
              <a16:creationId xmlns:a16="http://schemas.microsoft.com/office/drawing/2014/main" id="{3AEF675A-018C-49DC-9E30-4E4B5CA6B79A}"/>
            </a:ext>
          </a:extLst>
        </xdr:cNvPr>
        <xdr:cNvSpPr/>
      </xdr:nvSpPr>
      <xdr:spPr>
        <a:xfrm>
          <a:off x="443266" y="2711945"/>
          <a:ext cx="3888000" cy="3780000"/>
        </a:xfrm>
        <a:prstGeom prst="roundRect">
          <a:avLst>
            <a:gd name="adj" fmla="val 7114"/>
          </a:avLst>
        </a:prstGeom>
        <a:solidFill>
          <a:schemeClr val="bg1"/>
        </a:solidFill>
        <a:ln>
          <a:noFill/>
        </a:ln>
        <a:effectLst>
          <a:outerShdw blurRad="38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608727</xdr:colOff>
      <xdr:row>15</xdr:row>
      <xdr:rowOff>152054</xdr:rowOff>
    </xdr:from>
    <xdr:to>
      <xdr:col>4</xdr:col>
      <xdr:colOff>168904</xdr:colOff>
      <xdr:row>17</xdr:row>
      <xdr:rowOff>41076</xdr:rowOff>
    </xdr:to>
    <xdr:sp macro="" textlink="">
      <xdr:nvSpPr>
        <xdr:cNvPr id="54" name="TextBox 53">
          <a:extLst>
            <a:ext uri="{FF2B5EF4-FFF2-40B4-BE49-F238E27FC236}">
              <a16:creationId xmlns:a16="http://schemas.microsoft.com/office/drawing/2014/main" id="{89048280-5600-42AE-AB3A-E653CA10BBBA}"/>
            </a:ext>
          </a:extLst>
        </xdr:cNvPr>
        <xdr:cNvSpPr txBox="1"/>
      </xdr:nvSpPr>
      <xdr:spPr>
        <a:xfrm>
          <a:off x="608727" y="2922963"/>
          <a:ext cx="3231632" cy="258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0" i="0" u="none" strike="noStrike">
              <a:solidFill>
                <a:schemeClr val="tx1">
                  <a:lumMod val="75000"/>
                  <a:lumOff val="25000"/>
                </a:schemeClr>
              </a:solidFill>
              <a:latin typeface="Aptos Narrow"/>
              <a:ea typeface="+mn-ea"/>
              <a:cs typeface="+mn-cs"/>
            </a:rPr>
            <a:t>Profit</a:t>
          </a:r>
          <a:r>
            <a:rPr lang="en-US" sz="1600" b="0" i="0" u="none" strike="noStrike" baseline="0">
              <a:solidFill>
                <a:schemeClr val="tx1">
                  <a:lumMod val="75000"/>
                  <a:lumOff val="25000"/>
                </a:schemeClr>
              </a:solidFill>
              <a:latin typeface="Aptos Narrow"/>
              <a:ea typeface="+mn-ea"/>
              <a:cs typeface="+mn-cs"/>
            </a:rPr>
            <a:t> by </a:t>
          </a:r>
          <a:r>
            <a:rPr lang="en-US" sz="1600" b="1" i="0" u="none" strike="noStrike" baseline="0">
              <a:solidFill>
                <a:schemeClr val="tx1">
                  <a:lumMod val="75000"/>
                  <a:lumOff val="25000"/>
                </a:schemeClr>
              </a:solidFill>
              <a:latin typeface="Aptos Narrow"/>
              <a:ea typeface="+mn-ea"/>
              <a:cs typeface="+mn-cs"/>
            </a:rPr>
            <a:t>Product Category</a:t>
          </a:r>
          <a:endParaRPr lang="en-US" sz="1600" b="1" i="0" u="none" strike="noStrike">
            <a:solidFill>
              <a:schemeClr val="tx1">
                <a:lumMod val="75000"/>
                <a:lumOff val="25000"/>
              </a:schemeClr>
            </a:solidFill>
            <a:latin typeface="Aptos Narrow"/>
            <a:ea typeface="+mn-ea"/>
            <a:cs typeface="+mn-cs"/>
          </a:endParaRPr>
        </a:p>
      </xdr:txBody>
    </xdr:sp>
    <xdr:clientData/>
  </xdr:twoCellAnchor>
  <xdr:twoCellAnchor>
    <xdr:from>
      <xdr:col>0</xdr:col>
      <xdr:colOff>544286</xdr:colOff>
      <xdr:row>18</xdr:row>
      <xdr:rowOff>39587</xdr:rowOff>
    </xdr:from>
    <xdr:to>
      <xdr:col>4</xdr:col>
      <xdr:colOff>535216</xdr:colOff>
      <xdr:row>35</xdr:row>
      <xdr:rowOff>54429</xdr:rowOff>
    </xdr:to>
    <xdr:graphicFrame macro="">
      <xdr:nvGraphicFramePr>
        <xdr:cNvPr id="55" name="Chart 54">
          <a:extLst>
            <a:ext uri="{FF2B5EF4-FFF2-40B4-BE49-F238E27FC236}">
              <a16:creationId xmlns:a16="http://schemas.microsoft.com/office/drawing/2014/main" id="{D7908A35-B202-4B22-BD9F-9E2E72E614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450273</xdr:colOff>
      <xdr:row>36</xdr:row>
      <xdr:rowOff>163286</xdr:rowOff>
    </xdr:from>
    <xdr:to>
      <xdr:col>16</xdr:col>
      <xdr:colOff>346364</xdr:colOff>
      <xdr:row>47</xdr:row>
      <xdr:rowOff>85588</xdr:rowOff>
    </xdr:to>
    <xdr:sp macro="" textlink="">
      <xdr:nvSpPr>
        <xdr:cNvPr id="56" name="Rectangle: Rounded Corners 55">
          <a:extLst>
            <a:ext uri="{FF2B5EF4-FFF2-40B4-BE49-F238E27FC236}">
              <a16:creationId xmlns:a16="http://schemas.microsoft.com/office/drawing/2014/main" id="{E065D088-33BE-4B3B-8E3B-0FAB6D9ACFEE}"/>
            </a:ext>
          </a:extLst>
        </xdr:cNvPr>
        <xdr:cNvSpPr/>
      </xdr:nvSpPr>
      <xdr:spPr>
        <a:xfrm>
          <a:off x="450273" y="6694715"/>
          <a:ext cx="11970162" cy="1918016"/>
        </a:xfrm>
        <a:prstGeom prst="roundRect">
          <a:avLst>
            <a:gd name="adj" fmla="val 7114"/>
          </a:avLst>
        </a:prstGeom>
        <a:solidFill>
          <a:schemeClr val="bg1"/>
        </a:solidFill>
        <a:ln>
          <a:noFill/>
        </a:ln>
        <a:effectLst>
          <a:outerShdw blurRad="38100" dir="5400000" sx="101000" sy="101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934359</xdr:colOff>
      <xdr:row>18</xdr:row>
      <xdr:rowOff>36286</xdr:rowOff>
    </xdr:from>
    <xdr:to>
      <xdr:col>9</xdr:col>
      <xdr:colOff>381002</xdr:colOff>
      <xdr:row>35</xdr:row>
      <xdr:rowOff>63501</xdr:rowOff>
    </xdr:to>
    <xdr:graphicFrame macro="">
      <xdr:nvGraphicFramePr>
        <xdr:cNvPr id="57" name="Chart 56">
          <a:extLst>
            <a:ext uri="{FF2B5EF4-FFF2-40B4-BE49-F238E27FC236}">
              <a16:creationId xmlns:a16="http://schemas.microsoft.com/office/drawing/2014/main" id="{53A75818-04CA-4196-B305-D1A14E597F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917165</xdr:colOff>
      <xdr:row>15</xdr:row>
      <xdr:rowOff>152054</xdr:rowOff>
    </xdr:from>
    <xdr:to>
      <xdr:col>8</xdr:col>
      <xdr:colOff>605992</xdr:colOff>
      <xdr:row>17</xdr:row>
      <xdr:rowOff>41076</xdr:rowOff>
    </xdr:to>
    <xdr:sp macro="" textlink="">
      <xdr:nvSpPr>
        <xdr:cNvPr id="58" name="TextBox 57">
          <a:extLst>
            <a:ext uri="{FF2B5EF4-FFF2-40B4-BE49-F238E27FC236}">
              <a16:creationId xmlns:a16="http://schemas.microsoft.com/office/drawing/2014/main" id="{3957BB67-EA51-42F3-874B-774DE3001468}"/>
            </a:ext>
          </a:extLst>
        </xdr:cNvPr>
        <xdr:cNvSpPr txBox="1"/>
      </xdr:nvSpPr>
      <xdr:spPr>
        <a:xfrm>
          <a:off x="4588620" y="2922963"/>
          <a:ext cx="3210190" cy="258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0" i="0" u="none" strike="noStrike">
              <a:solidFill>
                <a:schemeClr val="tx1">
                  <a:lumMod val="75000"/>
                  <a:lumOff val="25000"/>
                </a:schemeClr>
              </a:solidFill>
              <a:latin typeface="Aptos Narrow"/>
              <a:ea typeface="+mn-ea"/>
              <a:cs typeface="+mn-cs"/>
            </a:rPr>
            <a:t>Profit</a:t>
          </a:r>
          <a:r>
            <a:rPr lang="en-US" sz="1600" b="0" i="0" u="none" strike="noStrike" baseline="0">
              <a:solidFill>
                <a:schemeClr val="tx1">
                  <a:lumMod val="75000"/>
                  <a:lumOff val="25000"/>
                </a:schemeClr>
              </a:solidFill>
              <a:latin typeface="Aptos Narrow"/>
              <a:ea typeface="+mn-ea"/>
              <a:cs typeface="+mn-cs"/>
            </a:rPr>
            <a:t> by </a:t>
          </a:r>
          <a:r>
            <a:rPr lang="en-US" sz="1600" b="1" i="0" u="none" strike="noStrike" baseline="0">
              <a:solidFill>
                <a:schemeClr val="tx1">
                  <a:lumMod val="75000"/>
                  <a:lumOff val="25000"/>
                </a:schemeClr>
              </a:solidFill>
              <a:latin typeface="Aptos Narrow"/>
              <a:ea typeface="+mn-ea"/>
              <a:cs typeface="+mn-cs"/>
            </a:rPr>
            <a:t>Product Pricing Type</a:t>
          </a:r>
          <a:endParaRPr lang="en-US" sz="1600" b="1" i="0" u="none" strike="noStrike">
            <a:solidFill>
              <a:schemeClr val="tx1">
                <a:lumMod val="75000"/>
                <a:lumOff val="25000"/>
              </a:schemeClr>
            </a:solidFill>
            <a:latin typeface="Aptos Narrow"/>
            <a:ea typeface="+mn-ea"/>
            <a:cs typeface="+mn-cs"/>
          </a:endParaRPr>
        </a:p>
      </xdr:txBody>
    </xdr:sp>
    <xdr:clientData/>
  </xdr:twoCellAnchor>
  <xdr:twoCellAnchor>
    <xdr:from>
      <xdr:col>0</xdr:col>
      <xdr:colOff>619334</xdr:colOff>
      <xdr:row>17</xdr:row>
      <xdr:rowOff>110390</xdr:rowOff>
    </xdr:from>
    <xdr:to>
      <xdr:col>1</xdr:col>
      <xdr:colOff>425879</xdr:colOff>
      <xdr:row>18</xdr:row>
      <xdr:rowOff>69663</xdr:rowOff>
    </xdr:to>
    <xdr:sp macro="" textlink="Analysis!L36">
      <xdr:nvSpPr>
        <xdr:cNvPr id="60" name="TextBox 59">
          <a:extLst>
            <a:ext uri="{FF2B5EF4-FFF2-40B4-BE49-F238E27FC236}">
              <a16:creationId xmlns:a16="http://schemas.microsoft.com/office/drawing/2014/main" id="{1DE82319-21A4-C112-F130-565E1ECF6990}"/>
            </a:ext>
          </a:extLst>
        </xdr:cNvPr>
        <xdr:cNvSpPr txBox="1"/>
      </xdr:nvSpPr>
      <xdr:spPr>
        <a:xfrm>
          <a:off x="619334" y="3194676"/>
          <a:ext cx="686474"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i="0" u="none" strike="noStrike">
              <a:solidFill>
                <a:schemeClr val="accent1"/>
              </a:solidFill>
              <a:latin typeface="Aptos Narrow"/>
            </a:rPr>
            <a:t>● </a:t>
          </a:r>
          <a:fld id="{989797E7-37B9-4C7E-AB81-ECA98882C400}" type="TxLink">
            <a:rPr lang="en-US" sz="1200" b="1" i="0" u="none" strike="noStrike">
              <a:solidFill>
                <a:schemeClr val="accent1"/>
              </a:solidFill>
              <a:latin typeface="Aptos Narrow"/>
            </a:rPr>
            <a:pPr algn="l"/>
            <a:t>2024</a:t>
          </a:fld>
          <a:endParaRPr lang="en-AU" sz="3200" b="1">
            <a:solidFill>
              <a:schemeClr val="accent1"/>
            </a:solidFill>
            <a:latin typeface="+mj-lt"/>
          </a:endParaRPr>
        </a:p>
      </xdr:txBody>
    </xdr:sp>
    <xdr:clientData/>
  </xdr:twoCellAnchor>
  <xdr:twoCellAnchor>
    <xdr:from>
      <xdr:col>1</xdr:col>
      <xdr:colOff>280243</xdr:colOff>
      <xdr:row>17</xdr:row>
      <xdr:rowOff>110390</xdr:rowOff>
    </xdr:from>
    <xdr:to>
      <xdr:col>1</xdr:col>
      <xdr:colOff>928243</xdr:colOff>
      <xdr:row>18</xdr:row>
      <xdr:rowOff>69663</xdr:rowOff>
    </xdr:to>
    <xdr:sp macro="" textlink="Analysis!K36">
      <xdr:nvSpPr>
        <xdr:cNvPr id="62" name="TextBox 61">
          <a:extLst>
            <a:ext uri="{FF2B5EF4-FFF2-40B4-BE49-F238E27FC236}">
              <a16:creationId xmlns:a16="http://schemas.microsoft.com/office/drawing/2014/main" id="{041942DF-E432-6CC1-0F6B-3C0F30415595}"/>
            </a:ext>
          </a:extLst>
        </xdr:cNvPr>
        <xdr:cNvSpPr txBox="1"/>
      </xdr:nvSpPr>
      <xdr:spPr>
        <a:xfrm>
          <a:off x="1160172" y="3194676"/>
          <a:ext cx="648000"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200" b="1" i="0" u="none" strike="noStrike">
              <a:solidFill>
                <a:schemeClr val="bg2">
                  <a:lumMod val="50000"/>
                </a:schemeClr>
              </a:solidFill>
              <a:latin typeface="Aptos Narrow"/>
              <a:ea typeface="+mn-ea"/>
              <a:cs typeface="+mn-cs"/>
            </a:rPr>
            <a:t>● </a:t>
          </a:r>
          <a:fld id="{05E4401B-7D32-4006-9DB9-6A833E94A0C9}" type="TxLink">
            <a:rPr lang="en-US" sz="1200" b="1" i="0" u="none" strike="noStrike">
              <a:solidFill>
                <a:schemeClr val="bg2">
                  <a:lumMod val="50000"/>
                </a:schemeClr>
              </a:solidFill>
              <a:latin typeface="Aptos Narrow"/>
              <a:ea typeface="+mn-ea"/>
              <a:cs typeface="+mn-cs"/>
            </a:rPr>
            <a:pPr marL="0" indent="0" algn="l"/>
            <a:t>2023</a:t>
          </a:fld>
          <a:endParaRPr lang="en-AU" sz="1400" b="1" i="0" u="none" strike="noStrike">
            <a:solidFill>
              <a:schemeClr val="bg2">
                <a:lumMod val="50000"/>
              </a:schemeClr>
            </a:solidFill>
            <a:latin typeface="Aptos Narrow"/>
            <a:ea typeface="+mn-ea"/>
            <a:cs typeface="+mn-cs"/>
          </a:endParaRPr>
        </a:p>
      </xdr:txBody>
    </xdr:sp>
    <xdr:clientData/>
  </xdr:twoCellAnchor>
  <xdr:twoCellAnchor>
    <xdr:from>
      <xdr:col>10</xdr:col>
      <xdr:colOff>265829</xdr:colOff>
      <xdr:row>15</xdr:row>
      <xdr:rowOff>152054</xdr:rowOff>
    </xdr:from>
    <xdr:to>
      <xdr:col>15</xdr:col>
      <xdr:colOff>470077</xdr:colOff>
      <xdr:row>17</xdr:row>
      <xdr:rowOff>41076</xdr:rowOff>
    </xdr:to>
    <xdr:sp macro="" textlink="">
      <xdr:nvSpPr>
        <xdr:cNvPr id="45" name="TextBox 44">
          <a:extLst>
            <a:ext uri="{FF2B5EF4-FFF2-40B4-BE49-F238E27FC236}">
              <a16:creationId xmlns:a16="http://schemas.microsoft.com/office/drawing/2014/main" id="{EE0614A4-8257-4D8D-ADF8-8FE267927C36}"/>
            </a:ext>
          </a:extLst>
        </xdr:cNvPr>
        <xdr:cNvSpPr txBox="1"/>
      </xdr:nvSpPr>
      <xdr:spPr>
        <a:xfrm>
          <a:off x="8682465" y="2922963"/>
          <a:ext cx="3263794" cy="258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0" i="0" u="none" strike="noStrike" baseline="0">
              <a:solidFill>
                <a:schemeClr val="tx1">
                  <a:lumMod val="75000"/>
                  <a:lumOff val="25000"/>
                </a:schemeClr>
              </a:solidFill>
              <a:latin typeface="Aptos Narrow"/>
              <a:ea typeface="+mn-ea"/>
              <a:cs typeface="+mn-cs"/>
            </a:rPr>
            <a:t>Unit Solds by </a:t>
          </a:r>
          <a:r>
            <a:rPr lang="en-US" sz="1600" b="1" i="0" u="none" strike="noStrike" baseline="0">
              <a:solidFill>
                <a:schemeClr val="tx1">
                  <a:lumMod val="75000"/>
                  <a:lumOff val="25000"/>
                </a:schemeClr>
              </a:solidFill>
              <a:latin typeface="Aptos Narrow"/>
              <a:ea typeface="+mn-ea"/>
              <a:cs typeface="+mn-cs"/>
            </a:rPr>
            <a:t>Product Pricing Type</a:t>
          </a:r>
          <a:endParaRPr lang="en-US" sz="1600" b="1" i="0" u="none" strike="noStrike">
            <a:solidFill>
              <a:schemeClr val="tx1">
                <a:lumMod val="75000"/>
                <a:lumOff val="25000"/>
              </a:schemeClr>
            </a:solidFill>
            <a:latin typeface="Aptos Narrow"/>
            <a:ea typeface="+mn-ea"/>
            <a:cs typeface="+mn-cs"/>
          </a:endParaRPr>
        </a:p>
      </xdr:txBody>
    </xdr:sp>
    <xdr:clientData/>
  </xdr:twoCellAnchor>
  <xdr:twoCellAnchor>
    <xdr:from>
      <xdr:col>4</xdr:col>
      <xdr:colOff>944094</xdr:colOff>
      <xdr:row>17</xdr:row>
      <xdr:rowOff>110390</xdr:rowOff>
    </xdr:from>
    <xdr:to>
      <xdr:col>5</xdr:col>
      <xdr:colOff>396854</xdr:colOff>
      <xdr:row>18</xdr:row>
      <xdr:rowOff>69663</xdr:rowOff>
    </xdr:to>
    <xdr:sp macro="" textlink="Analysis!L36">
      <xdr:nvSpPr>
        <xdr:cNvPr id="4096" name="TextBox 4095">
          <a:extLst>
            <a:ext uri="{FF2B5EF4-FFF2-40B4-BE49-F238E27FC236}">
              <a16:creationId xmlns:a16="http://schemas.microsoft.com/office/drawing/2014/main" id="{5998829C-6A68-4DDA-818B-E99F99218E88}"/>
            </a:ext>
          </a:extLst>
        </xdr:cNvPr>
        <xdr:cNvSpPr txBox="1"/>
      </xdr:nvSpPr>
      <xdr:spPr>
        <a:xfrm>
          <a:off x="4627094" y="3194676"/>
          <a:ext cx="686474"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i="0" u="none" strike="noStrike">
              <a:solidFill>
                <a:schemeClr val="accent1"/>
              </a:solidFill>
              <a:latin typeface="Aptos Narrow"/>
            </a:rPr>
            <a:t>● </a:t>
          </a:r>
          <a:fld id="{652483B6-ED92-40C8-B3DF-24A11E6BF4DA}" type="TxLink">
            <a:rPr lang="en-US" sz="1200" b="1" i="0" u="none" strike="noStrike">
              <a:solidFill>
                <a:schemeClr val="accent1"/>
              </a:solidFill>
              <a:latin typeface="Aptos Narrow"/>
            </a:rPr>
            <a:pPr algn="l"/>
            <a:t>2024</a:t>
          </a:fld>
          <a:endParaRPr lang="en-AU" sz="3200" b="1">
            <a:solidFill>
              <a:schemeClr val="accent1"/>
            </a:solidFill>
            <a:latin typeface="+mj-lt"/>
          </a:endParaRPr>
        </a:p>
      </xdr:txBody>
    </xdr:sp>
    <xdr:clientData/>
  </xdr:twoCellAnchor>
  <xdr:twoCellAnchor>
    <xdr:from>
      <xdr:col>5</xdr:col>
      <xdr:colOff>251218</xdr:colOff>
      <xdr:row>17</xdr:row>
      <xdr:rowOff>110390</xdr:rowOff>
    </xdr:from>
    <xdr:to>
      <xdr:col>6</xdr:col>
      <xdr:colOff>82789</xdr:colOff>
      <xdr:row>18</xdr:row>
      <xdr:rowOff>69663</xdr:rowOff>
    </xdr:to>
    <xdr:sp macro="" textlink="Analysis!K36">
      <xdr:nvSpPr>
        <xdr:cNvPr id="4100" name="TextBox 4099">
          <a:extLst>
            <a:ext uri="{FF2B5EF4-FFF2-40B4-BE49-F238E27FC236}">
              <a16:creationId xmlns:a16="http://schemas.microsoft.com/office/drawing/2014/main" id="{A446259F-35AD-47C7-8487-3D84BEDC8080}"/>
            </a:ext>
          </a:extLst>
        </xdr:cNvPr>
        <xdr:cNvSpPr txBox="1"/>
      </xdr:nvSpPr>
      <xdr:spPr>
        <a:xfrm>
          <a:off x="5167932" y="3194676"/>
          <a:ext cx="648000"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200" b="1" i="0" u="none" strike="noStrike">
              <a:solidFill>
                <a:schemeClr val="bg2">
                  <a:lumMod val="50000"/>
                </a:schemeClr>
              </a:solidFill>
              <a:latin typeface="Aptos Narrow"/>
              <a:ea typeface="+mn-ea"/>
              <a:cs typeface="+mn-cs"/>
            </a:rPr>
            <a:t>● </a:t>
          </a:r>
          <a:fld id="{57484504-3EC5-4D83-86FE-FBAE591CDA0A}" type="TxLink">
            <a:rPr lang="en-US" sz="1200" b="1" i="0" u="none" strike="noStrike">
              <a:solidFill>
                <a:schemeClr val="bg2">
                  <a:lumMod val="50000"/>
                </a:schemeClr>
              </a:solidFill>
              <a:latin typeface="Aptos Narrow"/>
              <a:ea typeface="+mn-ea"/>
              <a:cs typeface="+mn-cs"/>
            </a:rPr>
            <a:pPr marL="0" indent="0" algn="l"/>
            <a:t>2023</a:t>
          </a:fld>
          <a:endParaRPr lang="en-AU" sz="1400" b="1" i="0" u="none" strike="noStrike">
            <a:solidFill>
              <a:schemeClr val="bg2">
                <a:lumMod val="50000"/>
              </a:schemeClr>
            </a:solidFill>
            <a:latin typeface="Aptos Narrow"/>
            <a:ea typeface="+mn-ea"/>
            <a:cs typeface="+mn-cs"/>
          </a:endParaRPr>
        </a:p>
      </xdr:txBody>
    </xdr:sp>
    <xdr:clientData/>
  </xdr:twoCellAnchor>
  <xdr:twoCellAnchor>
    <xdr:from>
      <xdr:col>0</xdr:col>
      <xdr:colOff>624390</xdr:colOff>
      <xdr:row>37</xdr:row>
      <xdr:rowOff>145457</xdr:rowOff>
    </xdr:from>
    <xdr:to>
      <xdr:col>4</xdr:col>
      <xdr:colOff>159003</xdr:colOff>
      <xdr:row>39</xdr:row>
      <xdr:rowOff>34480</xdr:rowOff>
    </xdr:to>
    <xdr:sp macro="" textlink="">
      <xdr:nvSpPr>
        <xdr:cNvPr id="47" name="TextBox 46">
          <a:extLst>
            <a:ext uri="{FF2B5EF4-FFF2-40B4-BE49-F238E27FC236}">
              <a16:creationId xmlns:a16="http://schemas.microsoft.com/office/drawing/2014/main" id="{AD084855-8C5B-4645-8B62-A8FB4E02156A}"/>
            </a:ext>
          </a:extLst>
        </xdr:cNvPr>
        <xdr:cNvSpPr txBox="1"/>
      </xdr:nvSpPr>
      <xdr:spPr>
        <a:xfrm>
          <a:off x="624390" y="6858314"/>
          <a:ext cx="3217613" cy="2518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r>
            <a:rPr lang="en-US" sz="1600" b="1" i="0" u="none" strike="noStrike">
              <a:solidFill>
                <a:schemeClr val="tx1">
                  <a:lumMod val="75000"/>
                  <a:lumOff val="25000"/>
                </a:schemeClr>
              </a:solidFill>
              <a:latin typeface="Aptos Narrow"/>
              <a:ea typeface="+mn-ea"/>
              <a:cs typeface="+mn-cs"/>
            </a:rPr>
            <a:t>Key Insights:</a:t>
          </a:r>
        </a:p>
      </xdr:txBody>
    </xdr:sp>
    <xdr:clientData/>
  </xdr:twoCellAnchor>
  <xdr:twoCellAnchor>
    <xdr:from>
      <xdr:col>10</xdr:col>
      <xdr:colOff>230428</xdr:colOff>
      <xdr:row>18</xdr:row>
      <xdr:rowOff>1</xdr:rowOff>
    </xdr:from>
    <xdr:to>
      <xdr:col>16</xdr:col>
      <xdr:colOff>166928</xdr:colOff>
      <xdr:row>35</xdr:row>
      <xdr:rowOff>19383</xdr:rowOff>
    </xdr:to>
    <xdr:graphicFrame macro="">
      <xdr:nvGraphicFramePr>
        <xdr:cNvPr id="4102" name="Chart 4101">
          <a:extLst>
            <a:ext uri="{FF2B5EF4-FFF2-40B4-BE49-F238E27FC236}">
              <a16:creationId xmlns:a16="http://schemas.microsoft.com/office/drawing/2014/main" id="{5AFC66A3-308D-4101-BD72-2DAAE3A00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325423</xdr:colOff>
      <xdr:row>17</xdr:row>
      <xdr:rowOff>99504</xdr:rowOff>
    </xdr:from>
    <xdr:to>
      <xdr:col>11</xdr:col>
      <xdr:colOff>404111</xdr:colOff>
      <xdr:row>18</xdr:row>
      <xdr:rowOff>58777</xdr:rowOff>
    </xdr:to>
    <xdr:sp macro="" textlink="Analysis!L36">
      <xdr:nvSpPr>
        <xdr:cNvPr id="4105" name="TextBox 4104">
          <a:extLst>
            <a:ext uri="{FF2B5EF4-FFF2-40B4-BE49-F238E27FC236}">
              <a16:creationId xmlns:a16="http://schemas.microsoft.com/office/drawing/2014/main" id="{07DC80BE-9779-4573-8124-A4F332470274}"/>
            </a:ext>
          </a:extLst>
        </xdr:cNvPr>
        <xdr:cNvSpPr txBox="1"/>
      </xdr:nvSpPr>
      <xdr:spPr>
        <a:xfrm>
          <a:off x="8752780" y="3183790"/>
          <a:ext cx="686474"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i="0" u="none" strike="noStrike">
              <a:solidFill>
                <a:schemeClr val="accent1"/>
              </a:solidFill>
              <a:latin typeface="Aptos Narrow"/>
            </a:rPr>
            <a:t>● </a:t>
          </a:r>
          <a:fld id="{79EE2B93-C8EE-461F-A415-2A2C95AA6370}" type="TxLink">
            <a:rPr lang="en-US" sz="1200" b="1" i="0" u="none" strike="noStrike">
              <a:solidFill>
                <a:schemeClr val="accent1"/>
              </a:solidFill>
              <a:latin typeface="Aptos Narrow"/>
            </a:rPr>
            <a:pPr algn="l"/>
            <a:t>2024</a:t>
          </a:fld>
          <a:endParaRPr lang="en-AU" sz="3200" b="1">
            <a:solidFill>
              <a:schemeClr val="accent1"/>
            </a:solidFill>
            <a:latin typeface="+mj-lt"/>
          </a:endParaRPr>
        </a:p>
      </xdr:txBody>
    </xdr:sp>
    <xdr:clientData/>
  </xdr:twoCellAnchor>
  <xdr:twoCellAnchor>
    <xdr:from>
      <xdr:col>11</xdr:col>
      <xdr:colOff>222191</xdr:colOff>
      <xdr:row>17</xdr:row>
      <xdr:rowOff>99504</xdr:rowOff>
    </xdr:from>
    <xdr:to>
      <xdr:col>12</xdr:col>
      <xdr:colOff>262405</xdr:colOff>
      <xdr:row>18</xdr:row>
      <xdr:rowOff>58777</xdr:rowOff>
    </xdr:to>
    <xdr:sp macro="" textlink="Analysis!K36">
      <xdr:nvSpPr>
        <xdr:cNvPr id="4106" name="TextBox 4105">
          <a:extLst>
            <a:ext uri="{FF2B5EF4-FFF2-40B4-BE49-F238E27FC236}">
              <a16:creationId xmlns:a16="http://schemas.microsoft.com/office/drawing/2014/main" id="{3C6047EA-8602-48C8-BC24-975964483C09}"/>
            </a:ext>
          </a:extLst>
        </xdr:cNvPr>
        <xdr:cNvSpPr txBox="1"/>
      </xdr:nvSpPr>
      <xdr:spPr>
        <a:xfrm>
          <a:off x="9257334" y="3183790"/>
          <a:ext cx="648000" cy="140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200" b="1" i="0" u="none" strike="noStrike">
              <a:solidFill>
                <a:schemeClr val="bg2">
                  <a:lumMod val="50000"/>
                </a:schemeClr>
              </a:solidFill>
              <a:latin typeface="Aptos Narrow"/>
              <a:ea typeface="+mn-ea"/>
              <a:cs typeface="+mn-cs"/>
            </a:rPr>
            <a:t>● </a:t>
          </a:r>
          <a:fld id="{CB41FC7B-67A9-4CDB-8598-D46DC37A646A}" type="TxLink">
            <a:rPr lang="en-US" sz="1200" b="1" i="0" u="none" strike="noStrike">
              <a:solidFill>
                <a:schemeClr val="bg2">
                  <a:lumMod val="50000"/>
                </a:schemeClr>
              </a:solidFill>
              <a:latin typeface="Aptos Narrow"/>
              <a:ea typeface="+mn-ea"/>
              <a:cs typeface="+mn-cs"/>
            </a:rPr>
            <a:pPr marL="0" indent="0" algn="l"/>
            <a:t>2023</a:t>
          </a:fld>
          <a:endParaRPr lang="en-AU" sz="1400" b="1" i="0" u="none" strike="noStrike">
            <a:solidFill>
              <a:schemeClr val="bg2">
                <a:lumMod val="50000"/>
              </a:schemeClr>
            </a:solidFill>
            <a:latin typeface="Aptos Narrow"/>
            <a:ea typeface="+mn-ea"/>
            <a:cs typeface="+mn-cs"/>
          </a:endParaRPr>
        </a:p>
      </xdr:txBody>
    </xdr:sp>
    <xdr:clientData/>
  </xdr:twoCellAnchor>
  <xdr:oneCellAnchor>
    <xdr:from>
      <xdr:col>0</xdr:col>
      <xdr:colOff>588818</xdr:colOff>
      <xdr:row>39</xdr:row>
      <xdr:rowOff>40410</xdr:rowOff>
    </xdr:from>
    <xdr:ext cx="11693073" cy="1433845"/>
    <xdr:sp macro="" textlink="">
      <xdr:nvSpPr>
        <xdr:cNvPr id="4108" name="TextBox 4107">
          <a:extLst>
            <a:ext uri="{FF2B5EF4-FFF2-40B4-BE49-F238E27FC236}">
              <a16:creationId xmlns:a16="http://schemas.microsoft.com/office/drawing/2014/main" id="{481CE3EC-831B-4397-AB1F-E3D23B67BEDE}"/>
            </a:ext>
          </a:extLst>
        </xdr:cNvPr>
        <xdr:cNvSpPr txBox="1"/>
      </xdr:nvSpPr>
      <xdr:spPr>
        <a:xfrm>
          <a:off x="588818" y="7244774"/>
          <a:ext cx="11693073" cy="14338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tIns="72000" rtlCol="0" anchor="t">
          <a:spAutoFit/>
        </a:bodyPr>
        <a:lstStyle/>
        <a:p>
          <a:pPr marL="0" indent="0"/>
          <a:r>
            <a:rPr lang="en-US" sz="1400" b="0" i="0" u="none" strike="noStrike">
              <a:solidFill>
                <a:schemeClr val="tx1">
                  <a:lumMod val="75000"/>
                  <a:lumOff val="25000"/>
                </a:schemeClr>
              </a:solidFill>
              <a:latin typeface="Aptos Narrow"/>
              <a:ea typeface="+mn-ea"/>
              <a:cs typeface="+mn-cs"/>
            </a:rPr>
            <a:t>- </a:t>
          </a:r>
          <a:r>
            <a:rPr lang="en-US" sz="1400" b="1" i="0" u="none" strike="noStrike" baseline="0">
              <a:solidFill>
                <a:schemeClr val="tx1">
                  <a:lumMod val="75000"/>
                  <a:lumOff val="25000"/>
                </a:schemeClr>
              </a:solidFill>
              <a:latin typeface="Aptos Narrow"/>
              <a:ea typeface="+mn-ea"/>
              <a:cs typeface="+mn-cs"/>
            </a:rPr>
            <a:t>FY2024 </a:t>
          </a:r>
          <a:r>
            <a:rPr lang="en-US" sz="1400" b="0" i="0" u="none" strike="noStrike" baseline="0">
              <a:solidFill>
                <a:schemeClr val="tx1">
                  <a:lumMod val="75000"/>
                  <a:lumOff val="25000"/>
                </a:schemeClr>
              </a:solidFill>
              <a:latin typeface="Aptos Narrow"/>
              <a:ea typeface="+mn-ea"/>
              <a:cs typeface="+mn-cs"/>
            </a:rPr>
            <a:t>delivered exceptional </a:t>
          </a:r>
          <a:r>
            <a:rPr lang="en-US" sz="1400" b="1" i="0" u="none" strike="noStrike" baseline="0">
              <a:solidFill>
                <a:schemeClr val="tx1">
                  <a:lumMod val="75000"/>
                  <a:lumOff val="25000"/>
                </a:schemeClr>
              </a:solidFill>
              <a:latin typeface="Aptos Narrow"/>
              <a:ea typeface="+mn-ea"/>
              <a:cs typeface="+mn-cs"/>
            </a:rPr>
            <a:t>189% growth across revenue, profit and costs </a:t>
          </a:r>
          <a:r>
            <a:rPr lang="en-US" sz="1400" b="0" i="0" u="none" strike="noStrike" baseline="0">
              <a:solidFill>
                <a:schemeClr val="tx1">
                  <a:lumMod val="75000"/>
                  <a:lumOff val="25000"/>
                </a:schemeClr>
              </a:solidFill>
              <a:latin typeface="Aptos Narrow"/>
              <a:ea typeface="+mn-ea"/>
              <a:cs typeface="+mn-cs"/>
            </a:rPr>
            <a:t>while maintaining robust  </a:t>
          </a:r>
          <a:r>
            <a:rPr lang="en-US" sz="1400" b="1" i="0" u="none" strike="noStrike" baseline="0">
              <a:solidFill>
                <a:schemeClr val="tx1">
                  <a:lumMod val="75000"/>
                  <a:lumOff val="25000"/>
                </a:schemeClr>
              </a:solidFill>
              <a:latin typeface="Aptos Narrow"/>
              <a:ea typeface="+mn-ea"/>
              <a:cs typeface="+mn-cs"/>
            </a:rPr>
            <a:t>41.3% profit margin</a:t>
          </a:r>
          <a:r>
            <a:rPr lang="en-US" sz="1400" b="0" i="0" u="none" strike="noStrike" baseline="0">
              <a:solidFill>
                <a:schemeClr val="tx1">
                  <a:lumMod val="75000"/>
                  <a:lumOff val="25000"/>
                </a:schemeClr>
              </a:solidFill>
              <a:latin typeface="Aptos Narrow"/>
              <a:ea typeface="+mn-ea"/>
              <a:cs typeface="+mn-cs"/>
            </a:rPr>
            <a:t>, demonstrating operational excellence during rapid expansion.</a:t>
          </a:r>
        </a:p>
        <a:p>
          <a:pPr marL="0" indent="0"/>
          <a:r>
            <a:rPr lang="en-US" sz="1400" b="0" i="0" u="none" strike="noStrike" baseline="0">
              <a:solidFill>
                <a:schemeClr val="tx1">
                  <a:lumMod val="75000"/>
                  <a:lumOff val="25000"/>
                </a:schemeClr>
              </a:solidFill>
              <a:latin typeface="Aptos Narrow"/>
              <a:ea typeface="+mn-ea"/>
              <a:cs typeface="+mn-cs"/>
            </a:rPr>
            <a:t>- Sucessfully pivoted from premium niche to </a:t>
          </a:r>
          <a:r>
            <a:rPr lang="en-US" sz="1400" b="1" i="0" u="none" strike="noStrike" baseline="0">
              <a:solidFill>
                <a:schemeClr val="tx1">
                  <a:lumMod val="75000"/>
                  <a:lumOff val="25000"/>
                </a:schemeClr>
              </a:solidFill>
              <a:latin typeface="Aptos Narrow"/>
              <a:ea typeface="+mn-ea"/>
              <a:cs typeface="+mn-cs"/>
            </a:rPr>
            <a:t>mass-market dominance </a:t>
          </a:r>
          <a:r>
            <a:rPr lang="en-US" sz="1400" b="0" i="0" u="none" strike="noStrike" baseline="0">
              <a:solidFill>
                <a:schemeClr val="tx1">
                  <a:lumMod val="75000"/>
                  <a:lumOff val="25000"/>
                </a:schemeClr>
              </a:solidFill>
              <a:latin typeface="Aptos Narrow"/>
              <a:ea typeface="+mn-ea"/>
              <a:cs typeface="+mn-cs"/>
            </a:rPr>
            <a:t>with </a:t>
          </a:r>
          <a:r>
            <a:rPr lang="en-US" sz="1400" b="1" i="0" u="none" strike="noStrike" baseline="0">
              <a:solidFill>
                <a:schemeClr val="tx1">
                  <a:lumMod val="75000"/>
                  <a:lumOff val="25000"/>
                </a:schemeClr>
              </a:solidFill>
              <a:latin typeface="Aptos Narrow"/>
              <a:ea typeface="+mn-ea"/>
              <a:cs typeface="+mn-cs"/>
            </a:rPr>
            <a:t>16x unit volume increase (33.5K to 552.5K) </a:t>
          </a:r>
          <a:r>
            <a:rPr lang="en-US" sz="1400" b="0" i="0" u="none" strike="noStrike" baseline="0">
              <a:solidFill>
                <a:schemeClr val="tx1">
                  <a:lumMod val="75000"/>
                  <a:lumOff val="25000"/>
                </a:schemeClr>
              </a:solidFill>
              <a:latin typeface="Aptos Narrow"/>
              <a:ea typeface="+mn-ea"/>
              <a:cs typeface="+mn-cs"/>
            </a:rPr>
            <a:t>and </a:t>
          </a:r>
          <a:r>
            <a:rPr lang="en-US" sz="1400" b="1" i="0" u="none" strike="noStrike" baseline="0">
              <a:solidFill>
                <a:schemeClr val="tx1">
                  <a:lumMod val="75000"/>
                  <a:lumOff val="25000"/>
                </a:schemeClr>
              </a:solidFill>
              <a:latin typeface="Aptos Narrow"/>
              <a:ea typeface="+mn-ea"/>
              <a:cs typeface="+mn-cs"/>
            </a:rPr>
            <a:t>82% AOV decline</a:t>
          </a:r>
          <a:r>
            <a:rPr lang="en-US" sz="1400" b="0" i="0" u="none" strike="noStrike" baseline="0">
              <a:solidFill>
                <a:schemeClr val="tx1">
                  <a:lumMod val="75000"/>
                  <a:lumOff val="25000"/>
                </a:schemeClr>
              </a:solidFill>
              <a:latin typeface="Aptos Narrow"/>
              <a:ea typeface="+mn-ea"/>
              <a:cs typeface="+mn-cs"/>
            </a:rPr>
            <a:t>.</a:t>
          </a:r>
        </a:p>
        <a:p>
          <a:pPr marL="0" indent="0"/>
          <a:r>
            <a:rPr lang="en-US" sz="1400" b="0" i="0" u="none" strike="noStrike" baseline="0">
              <a:solidFill>
                <a:schemeClr val="tx1">
                  <a:lumMod val="75000"/>
                  <a:lumOff val="25000"/>
                </a:schemeClr>
              </a:solidFill>
              <a:latin typeface="Aptos Narrow"/>
              <a:ea typeface="+mn-ea"/>
              <a:cs typeface="+mn-cs"/>
            </a:rPr>
            <a:t>- Revenue growth peaked in </a:t>
          </a:r>
          <a:r>
            <a:rPr lang="en-US" sz="1400" b="1" i="0" u="none" strike="noStrike" baseline="0">
              <a:solidFill>
                <a:schemeClr val="tx1">
                  <a:lumMod val="75000"/>
                  <a:lumOff val="25000"/>
                </a:schemeClr>
              </a:solidFill>
              <a:latin typeface="Aptos Narrow"/>
              <a:ea typeface="+mn-ea"/>
              <a:cs typeface="+mn-cs"/>
            </a:rPr>
            <a:t>December</a:t>
          </a:r>
          <a:r>
            <a:rPr lang="en-US" sz="1400" b="0" i="0" u="none" strike="noStrike" baseline="0">
              <a:solidFill>
                <a:schemeClr val="tx1">
                  <a:lumMod val="75000"/>
                  <a:lumOff val="25000"/>
                </a:schemeClr>
              </a:solidFill>
              <a:latin typeface="Aptos Narrow"/>
              <a:ea typeface="+mn-ea"/>
              <a:cs typeface="+mn-cs"/>
            </a:rPr>
            <a:t> with consistent mid-week strength (</a:t>
          </a:r>
          <a:r>
            <a:rPr lang="en-US" sz="1400" b="1" i="0" u="none" strike="noStrike" baseline="0">
              <a:solidFill>
                <a:schemeClr val="tx1">
                  <a:lumMod val="75000"/>
                  <a:lumOff val="25000"/>
                </a:schemeClr>
              </a:solidFill>
              <a:latin typeface="Aptos Narrow"/>
              <a:ea typeface="+mn-ea"/>
              <a:cs typeface="+mn-cs"/>
            </a:rPr>
            <a:t>Tuesday/Wednesday</a:t>
          </a:r>
          <a:r>
            <a:rPr lang="en-US" sz="1400" b="0" i="0" u="none" strike="noStrike" baseline="0">
              <a:solidFill>
                <a:schemeClr val="tx1">
                  <a:lumMod val="75000"/>
                  <a:lumOff val="25000"/>
                </a:schemeClr>
              </a:solidFill>
              <a:latin typeface="Aptos Narrow"/>
              <a:ea typeface="+mn-ea"/>
              <a:cs typeface="+mn-cs"/>
            </a:rPr>
            <a:t>), while </a:t>
          </a:r>
          <a:r>
            <a:rPr lang="en-US" sz="1400" b="1" i="0" u="none" strike="noStrike" baseline="0">
              <a:solidFill>
                <a:schemeClr val="tx1">
                  <a:lumMod val="75000"/>
                  <a:lumOff val="25000"/>
                </a:schemeClr>
              </a:solidFill>
              <a:latin typeface="Aptos Narrow"/>
              <a:ea typeface="+mn-ea"/>
              <a:cs typeface="+mn-cs"/>
            </a:rPr>
            <a:t>US and Australia</a:t>
          </a:r>
          <a:r>
            <a:rPr lang="en-US" sz="1400" b="0" i="0" u="none" strike="noStrike" baseline="0">
              <a:solidFill>
                <a:schemeClr val="tx1">
                  <a:lumMod val="75000"/>
                  <a:lumOff val="25000"/>
                </a:schemeClr>
              </a:solidFill>
              <a:latin typeface="Aptos Narrow"/>
              <a:ea typeface="+mn-ea"/>
              <a:cs typeface="+mn-cs"/>
            </a:rPr>
            <a:t> generated dominant profit contributions.</a:t>
          </a:r>
        </a:p>
        <a:p>
          <a:pPr marL="0" indent="0"/>
          <a:r>
            <a:rPr lang="en-US" sz="1400" b="0" i="0" u="none" strike="noStrike" baseline="0">
              <a:solidFill>
                <a:schemeClr val="tx1">
                  <a:lumMod val="75000"/>
                  <a:lumOff val="25000"/>
                </a:schemeClr>
              </a:solidFill>
              <a:latin typeface="Aptos Narrow"/>
              <a:ea typeface="+mn-ea"/>
              <a:cs typeface="+mn-cs"/>
            </a:rPr>
            <a:t>- </a:t>
          </a:r>
          <a:r>
            <a:rPr lang="en-US" sz="1400" b="1" i="0" u="none" strike="noStrike" baseline="0">
              <a:solidFill>
                <a:schemeClr val="tx1">
                  <a:lumMod val="75000"/>
                  <a:lumOff val="25000"/>
                </a:schemeClr>
              </a:solidFill>
              <a:latin typeface="Aptos Narrow"/>
              <a:ea typeface="+mn-ea"/>
              <a:cs typeface="+mn-cs"/>
            </a:rPr>
            <a:t>Mountain products</a:t>
          </a:r>
          <a:r>
            <a:rPr lang="en-US" sz="1400" b="0" i="0" u="none" strike="noStrike" baseline="0">
              <a:solidFill>
                <a:schemeClr val="tx1">
                  <a:lumMod val="75000"/>
                  <a:lumOff val="25000"/>
                </a:schemeClr>
              </a:solidFill>
              <a:latin typeface="Aptos Narrow"/>
              <a:ea typeface="+mn-ea"/>
              <a:cs typeface="+mn-cs"/>
            </a:rPr>
            <a:t> overtook Road as the </a:t>
          </a:r>
          <a:r>
            <a:rPr lang="en-US" sz="1400" b="1" i="0" u="none" strike="noStrike" baseline="0">
              <a:solidFill>
                <a:schemeClr val="tx1">
                  <a:lumMod val="75000"/>
                  <a:lumOff val="25000"/>
                </a:schemeClr>
              </a:solidFill>
              <a:latin typeface="Aptos Narrow"/>
              <a:ea typeface="+mn-ea"/>
              <a:cs typeface="+mn-cs"/>
            </a:rPr>
            <a:t>profit leader</a:t>
          </a:r>
          <a:r>
            <a:rPr lang="en-US" sz="1400" b="0" i="0" u="none" strike="noStrike" baseline="0">
              <a:solidFill>
                <a:schemeClr val="tx1">
                  <a:lumMod val="75000"/>
                  <a:lumOff val="25000"/>
                </a:schemeClr>
              </a:solidFill>
              <a:latin typeface="Aptos Narrow"/>
              <a:ea typeface="+mn-ea"/>
              <a:cs typeface="+mn-cs"/>
            </a:rPr>
            <a:t>, while successful diversification added profitable Standard and Touring categories in FY2024.</a:t>
          </a:r>
        </a:p>
        <a:p>
          <a:pPr marL="0" indent="0"/>
          <a:r>
            <a:rPr lang="en-US" sz="1400" b="0" i="0" u="none" strike="noStrike" baseline="0">
              <a:solidFill>
                <a:schemeClr val="tx1">
                  <a:lumMod val="75000"/>
                  <a:lumOff val="25000"/>
                </a:schemeClr>
              </a:solidFill>
              <a:latin typeface="Aptos Narrow"/>
              <a:ea typeface="+mn-ea"/>
              <a:cs typeface="+mn-cs"/>
            </a:rPr>
            <a:t>- </a:t>
          </a:r>
          <a:r>
            <a:rPr lang="en-US" sz="1400" b="1" i="0" u="none" strike="noStrike" baseline="0">
              <a:solidFill>
                <a:schemeClr val="tx1">
                  <a:lumMod val="75000"/>
                  <a:lumOff val="25000"/>
                </a:schemeClr>
              </a:solidFill>
              <a:latin typeface="Aptos Narrow"/>
              <a:ea typeface="+mn-ea"/>
              <a:cs typeface="+mn-cs"/>
            </a:rPr>
            <a:t>High-cost products ($&gt;1000) </a:t>
          </a:r>
          <a:r>
            <a:rPr lang="en-US" sz="1400" b="0" i="0" u="none" strike="noStrike" baseline="0">
              <a:solidFill>
                <a:schemeClr val="tx1">
                  <a:lumMod val="75000"/>
                  <a:lumOff val="25000"/>
                </a:schemeClr>
              </a:solidFill>
              <a:latin typeface="Aptos Narrow"/>
              <a:ea typeface="+mn-ea"/>
              <a:cs typeface="+mn-cs"/>
            </a:rPr>
            <a:t>retained </a:t>
          </a:r>
          <a:r>
            <a:rPr lang="en-US" sz="1400" b="1" i="0" u="none" strike="noStrike" baseline="0">
              <a:solidFill>
                <a:schemeClr val="tx1">
                  <a:lumMod val="75000"/>
                  <a:lumOff val="25000"/>
                </a:schemeClr>
              </a:solidFill>
              <a:latin typeface="Aptos Narrow"/>
              <a:ea typeface="+mn-ea"/>
              <a:cs typeface="+mn-cs"/>
            </a:rPr>
            <a:t>72% of profit </a:t>
          </a:r>
          <a:r>
            <a:rPr lang="en-US" sz="1400" b="0" i="0" u="none" strike="noStrike" baseline="0">
              <a:solidFill>
                <a:schemeClr val="tx1">
                  <a:lumMod val="75000"/>
                  <a:lumOff val="25000"/>
                </a:schemeClr>
              </a:solidFill>
              <a:latin typeface="Aptos Narrow"/>
              <a:ea typeface="+mn-ea"/>
              <a:cs typeface="+mn-cs"/>
            </a:rPr>
            <a:t>dominance while strategic entry into </a:t>
          </a:r>
          <a:r>
            <a:rPr lang="en-US" sz="1400" b="1" i="0" u="none" strike="noStrike" baseline="0">
              <a:solidFill>
                <a:schemeClr val="tx1">
                  <a:lumMod val="75000"/>
                  <a:lumOff val="25000"/>
                </a:schemeClr>
              </a:solidFill>
              <a:latin typeface="Aptos Narrow"/>
              <a:ea typeface="+mn-ea"/>
              <a:cs typeface="+mn-cs"/>
            </a:rPr>
            <a:t>low-cost products (&lt;$100) </a:t>
          </a:r>
          <a:r>
            <a:rPr lang="en-US" sz="1400" b="0" i="0" u="none" strike="noStrike" baseline="0">
              <a:solidFill>
                <a:schemeClr val="tx1">
                  <a:lumMod val="75000"/>
                  <a:lumOff val="25000"/>
                </a:schemeClr>
              </a:solidFill>
              <a:latin typeface="Aptos Narrow"/>
              <a:ea typeface="+mn-ea"/>
              <a:cs typeface="+mn-cs"/>
            </a:rPr>
            <a:t>captured </a:t>
          </a:r>
          <a:r>
            <a:rPr lang="en-US" sz="1400" b="1" i="0" u="none" strike="noStrike" baseline="0">
              <a:solidFill>
                <a:schemeClr val="tx1">
                  <a:lumMod val="75000"/>
                  <a:lumOff val="25000"/>
                </a:schemeClr>
              </a:solidFill>
              <a:latin typeface="Aptos Narrow"/>
              <a:ea typeface="+mn-ea"/>
              <a:cs typeface="+mn-cs"/>
            </a:rPr>
            <a:t>81% of unit volume</a:t>
          </a:r>
          <a:r>
            <a:rPr lang="en-US" sz="1400" b="0" i="0" u="none" strike="noStrike" baseline="0">
              <a:solidFill>
                <a:schemeClr val="tx1">
                  <a:lumMod val="75000"/>
                  <a:lumOff val="25000"/>
                </a:schemeClr>
              </a:solidFill>
              <a:latin typeface="Aptos Narrow"/>
              <a:ea typeface="+mn-ea"/>
              <a:cs typeface="+mn-cs"/>
            </a:rPr>
            <a:t>.</a:t>
          </a:r>
          <a:endParaRPr lang="en-US" sz="1400" b="0" i="0" u="none" strike="noStrike">
            <a:solidFill>
              <a:schemeClr val="tx1">
                <a:lumMod val="75000"/>
                <a:lumOff val="25000"/>
              </a:schemeClr>
            </a:solidFill>
            <a:latin typeface="Aptos Narrow"/>
            <a:ea typeface="+mn-ea"/>
            <a:cs typeface="+mn-cs"/>
          </a:endParaRP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2.48325740741" backgroundQuery="1" createdVersion="8" refreshedVersion="8" minRefreshableVersion="3" recordCount="0" supportSubquery="1" supportAdvancedDrill="1" xr:uid="{A5A37569-9553-44C6-A463-DBE50931C795}">
  <cacheSource type="external" connectionId="8"/>
  <cacheFields count="11">
    <cacheField name="[Measures].[# Orders]" caption="# Orders" numFmtId="0" hierarchy="50" level="32767"/>
    <cacheField name="[Measures].[Sum of Total Revenue]" caption="Sum of Total Revenue" numFmtId="0" hierarchy="68" level="32767"/>
    <cacheField name="[Measures].[Sum of COGS]" caption="Sum of COGS" numFmtId="0" hierarchy="69" level="32767"/>
    <cacheField name="[Measures].[Sum of Total Profit]" caption="Sum of Total Profit" numFmtId="0" hierarchy="70" level="32767"/>
    <cacheField name="[Measures].[Sum of OrderQuantity]" caption="Sum of OrderQuantity" numFmtId="0" hierarchy="71" level="32767"/>
    <cacheField name="[Measures].[All Products]" caption="All Products" numFmtId="0" hierarchy="51" level="32767"/>
    <cacheField name="[Measures].[Sold Products]" caption="Sold Products" numFmtId="0" hierarchy="52" level="32767"/>
    <cacheField name="[Measures].[Unsold Products]" caption="Unsold Products" numFmtId="0" hierarchy="53" level="32767"/>
    <cacheField name="[Measures].[% Profit Margin]" caption="% Profit Margin" numFmtId="0" hierarchy="54" level="32767"/>
    <cacheField name="[Measures].[AOV]" caption="AOV" numFmtId="0" hierarchy="55" level="32767"/>
    <cacheField name="[DimDate].[Fiscal Year].[Fiscal Year]" caption="Fiscal Year" numFmtId="0" hierarchy="15" level="1">
      <sharedItems containsSemiMixedTypes="0" containsString="0" containsNumber="1" containsInteger="1" minValue="2022" maxValue="2025" count="4">
        <n v="2022"/>
        <n v="2023"/>
        <n v="2024"/>
        <n v="2025"/>
      </sharedItems>
      <extLst>
        <ext xmlns:x15="http://schemas.microsoft.com/office/spreadsheetml/2010/11/main" uri="{4F2E5C28-24EA-4eb8-9CBF-B6C8F9C3D259}">
          <x15:cachedUniqueNames>
            <x15:cachedUniqueName index="0" name="[DimDate].[Fiscal Year].&amp;[2022]"/>
            <x15:cachedUniqueName index="1" name="[DimDate].[Fiscal Year].&amp;[2023]"/>
            <x15:cachedUniqueName index="2" name="[DimDate].[Fiscal Year].&amp;[2024]"/>
            <x15:cachedUniqueName index="3" name="[DimDate].[Fiscal Year].&amp;[2025]"/>
          </x15:cachedUniqueNames>
        </ext>
      </extLst>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10"/>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AOV]" caption="AOV" measure="1" displayFolder="" measureGroup="All Measures" count="0" oneField="1">
      <fieldsUsage count="1">
        <fieldUsage x="9"/>
      </fieldsUsage>
    </cacheHierarchy>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2.486715277781" backgroundQuery="1" createdVersion="8" refreshedVersion="8" minRefreshableVersion="3" recordCount="0" supportSubquery="1" supportAdvancedDrill="1" xr:uid="{AAF292E8-D135-45FB-9AD7-297952E8A1C2}">
  <cacheSource type="external" connectionId="8"/>
  <cacheFields count="3">
    <cacheField name="[DimDate].[Fiscal Year].[Fiscal Year]" caption="Fiscal Year" numFmtId="0" hierarchy="15" level="1">
      <sharedItems containsSemiMixedTypes="0" containsString="0" containsNumber="1" containsInteger="1" minValue="2022" maxValue="2024" count="3">
        <n v="2022"/>
        <n v="2023"/>
        <n v="2024"/>
      </sharedItems>
      <extLst>
        <ext xmlns:x15="http://schemas.microsoft.com/office/spreadsheetml/2010/11/main" uri="{4F2E5C28-24EA-4eb8-9CBF-B6C8F9C3D259}">
          <x15:cachedUniqueNames>
            <x15:cachedUniqueName index="0" name="[DimDate].[Fiscal Year].&amp;[2022]"/>
            <x15:cachedUniqueName index="1" name="[DimDate].[Fiscal Year].&amp;[2023]"/>
            <x15:cachedUniqueName index="2" name="[DimDate].[Fiscal Year].&amp;[2024]"/>
          </x15:cachedUniqueNames>
        </ext>
      </extLst>
    </cacheField>
    <cacheField name="[DimProduct].[CostCategory].[CostCategory]" caption="CostCategory" numFmtId="0" hierarchy="28" level="1">
      <sharedItems count="3">
        <s v="High"/>
        <s v="Low"/>
        <s v="Medium"/>
      </sharedItems>
    </cacheField>
    <cacheField name="[Measures].[Sum of OrderQuantity]" caption="Sum of OrderQuantity" numFmtId="0" hierarchy="71"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0"/>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CostCategory]" caption="CostCategory" attribute="1" defaultMemberUniqueName="[DimProduct].[CostCategory].[All]" allUniqueName="[DimProduct].[CostCategory].[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2.497772337963" backgroundQuery="1" createdVersion="8" refreshedVersion="8" minRefreshableVersion="3" recordCount="0" supportSubquery="1" supportAdvancedDrill="1" xr:uid="{70041074-597B-4462-9FC1-6D22D923B401}">
  <cacheSource type="external" connectionId="8"/>
  <cacheFields count="3">
    <cacheField name="[DimDate].[Fiscal Year].[Fiscal Year]" caption="Fiscal Year" numFmtId="0" hierarchy="15" level="1">
      <sharedItems containsSemiMixedTypes="0" containsString="0" containsNumber="1" containsInteger="1" minValue="2022" maxValue="2024" count="3">
        <n v="2022"/>
        <n v="2023"/>
        <n v="2024"/>
      </sharedItems>
      <extLst>
        <ext xmlns:x15="http://schemas.microsoft.com/office/spreadsheetml/2010/11/main" uri="{4F2E5C28-24EA-4eb8-9CBF-B6C8F9C3D259}">
          <x15:cachedUniqueNames>
            <x15:cachedUniqueName index="0" name="[DimDate].[Fiscal Year].&amp;[2022]"/>
            <x15:cachedUniqueName index="1" name="[DimDate].[Fiscal Year].&amp;[2023]"/>
            <x15:cachedUniqueName index="2" name="[DimDate].[Fiscal Year].&amp;[2024]"/>
          </x15:cachedUniqueNames>
        </ext>
      </extLst>
    </cacheField>
    <cacheField name="[DimProduct].[Category].[Category]" caption="Category" numFmtId="0" hierarchy="27" level="1">
      <sharedItems count="4">
        <s v="Mountain"/>
        <s v="Road"/>
        <s v="Standard"/>
        <s v="Touring"/>
      </sharedItems>
    </cacheField>
    <cacheField name="[Measures].[Sum of Total Profit]" caption="Sum of Total Profit" numFmtId="0" hierarchy="70"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0"/>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1"/>
      </fieldsUsage>
    </cacheHierarchy>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2.499290277781" backgroundQuery="1" createdVersion="8" refreshedVersion="8" minRefreshableVersion="3" recordCount="0" supportSubquery="1" supportAdvancedDrill="1" xr:uid="{3E8B7712-2149-4A7A-AD1A-FB996502584D}">
  <cacheSource type="external" connectionId="8"/>
  <cacheFields count="3">
    <cacheField name="[DimDate].[Fiscal Year].[Fiscal Year]" caption="Fiscal Year" numFmtId="0" hierarchy="15" level="1">
      <sharedItems containsSemiMixedTypes="0" containsString="0" containsNumber="1" containsInteger="1" minValue="2022" maxValue="2024" count="3">
        <n v="2022"/>
        <n v="2023"/>
        <n v="2024"/>
      </sharedItems>
      <extLst>
        <ext xmlns:x15="http://schemas.microsoft.com/office/spreadsheetml/2010/11/main" uri="{4F2E5C28-24EA-4eb8-9CBF-B6C8F9C3D259}">
          <x15:cachedUniqueNames>
            <x15:cachedUniqueName index="0" name="[DimDate].[Fiscal Year].&amp;[2022]"/>
            <x15:cachedUniqueName index="1" name="[DimDate].[Fiscal Year].&amp;[2023]"/>
            <x15:cachedUniqueName index="2" name="[DimDate].[Fiscal Year].&amp;[2024]"/>
          </x15:cachedUniqueNames>
        </ext>
      </extLst>
    </cacheField>
    <cacheField name="[DimProduct].[CostCategory].[CostCategory]" caption="CostCategory" numFmtId="0" hierarchy="28" level="1">
      <sharedItems count="3">
        <s v="High"/>
        <s v="Low"/>
        <s v="Medium"/>
      </sharedItems>
    </cacheField>
    <cacheField name="[Measures].[Sum of Total Profit]" caption="Sum of Total Profit" numFmtId="0" hierarchy="70"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0"/>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CostCategory]" caption="CostCategory" attribute="1" defaultMemberUniqueName="[DimProduct].[CostCategory].[All]" allUniqueName="[DimProduct].[CostCategory].[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4745373" backgroundQuery="1" createdVersion="8" refreshedVersion="8" minRefreshableVersion="3" recordCount="0" supportSubquery="1" supportAdvancedDrill="1" xr:uid="{77F0122C-985B-4153-9BF0-99547D1A97FB}">
  <cacheSource type="external" connectionId="8"/>
  <cacheFields count="13">
    <cacheField name="[Measures].[# Orders]" caption="# Orders" numFmtId="0" hierarchy="50" level="32767"/>
    <cacheField name="[Measures].[Sum of Total Revenue]" caption="Sum of Total Revenue" numFmtId="0" hierarchy="68" level="32767"/>
    <cacheField name="[Measures].[Sum of COGS]" caption="Sum of COGS" numFmtId="0" hierarchy="69" level="32767"/>
    <cacheField name="[Measures].[Sum of Total Profit]" caption="Sum of Total Profit" numFmtId="0" hierarchy="70" level="32767"/>
    <cacheField name="[Measures].[Sum of OrderQuantity]" caption="Sum of OrderQuantity" numFmtId="0" hierarchy="71" level="32767"/>
    <cacheField name="[Measures].[All Products]" caption="All Products" numFmtId="0" hierarchy="51" level="32767"/>
    <cacheField name="[Measures].[Sold Products]" caption="Sold Products" numFmtId="0" hierarchy="52" level="32767"/>
    <cacheField name="[Measures].[Unsold Products]" caption="Unsold Products" numFmtId="0" hierarchy="53" level="32767"/>
    <cacheField name="[Measures].[% Profit Margin]" caption="% Profit Margin" numFmtId="0" hierarchy="54" level="32767"/>
    <cacheField name="[Measures].[AOV]" caption="AOV" numFmtId="0" hierarchy="55" level="32767"/>
    <cacheField name="[FactInternetSales].[OrderDate (Year)].[OrderDate (Year)]" caption="OrderDate (Year)" numFmtId="0" hierarchy="46" level="1">
      <sharedItems count="1">
        <s v="2022"/>
      </sharedItems>
    </cacheField>
    <cacheField name="[DimDate].[Year].[Year]" caption="Year" numFmtId="0" hierarchy="8"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DimDate].[Year].&amp;[2024]"/>
          </x15:cachedUniqueNames>
        </ext>
      </extLst>
    </cacheField>
    <cacheField name="[DimDate].[Fiscal Year].[Fiscal Year]" caption="Fiscal Year" numFmtId="0" hierarchy="15"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DimDate].[Fiscal Year].&amp;[2024]"/>
          </x15:cachedUniqueNames>
        </ext>
      </extLst>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12"/>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0"/>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AOV]" caption="AOV" measure="1" displayFolder="" measureGroup="All Measures" count="0" oneField="1">
      <fieldsUsage count="1">
        <fieldUsage x="9"/>
      </fieldsUsage>
    </cacheHierarchy>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5439813" backgroundQuery="1" createdVersion="8" refreshedVersion="8" minRefreshableVersion="3" recordCount="0" supportSubquery="1" supportAdvancedDrill="1" xr:uid="{025DF16A-EE08-4463-880D-51BA83E7F0D6}">
  <cacheSource type="external" connectionId="8"/>
  <cacheFields count="10">
    <cacheField name="[Measures].[Sum of Total Profit]" caption="Sum of Total Profit" numFmtId="0" hierarchy="70" level="32767"/>
    <cacheField name="[FactInternetSales].[OrderDate (Year)].[OrderDate (Year)]" caption="OrderDate (Year)" numFmtId="0" hierarchy="46" level="1">
      <sharedItems containsSemiMixedTypes="0" containsNonDate="0" containsString="0"/>
    </cacheField>
    <cacheField name="[Measures].[Sum of COGS]" caption="Sum of COGS" numFmtId="0" hierarchy="69" level="32767"/>
    <cacheField name="[Measures].[Sum of Total Revenue]" caption="Sum of Total Revenue" numFmtId="0" hierarchy="68" level="32767"/>
    <cacheField name="[Measures].[PY Revenue]" caption="PY Revenue" numFmtId="0" hierarchy="56" level="32767"/>
    <cacheField name="[DimDate].[Year].[Year]" caption="Year" numFmtId="0" hierarchy="8" level="1">
      <sharedItems containsSemiMixedTypes="0" containsNonDate="0" containsString="0"/>
    </cacheField>
    <cacheField name="[Measures].[PY Profit]" caption="PY Profit" numFmtId="0" hierarchy="57" level="32767"/>
    <cacheField name="[Measures].[PY COGS]" caption="PY COGS" numFmtId="0" hierarchy="58" level="32767"/>
    <cacheField name="[DimDate].[Month Name].[Month Name]" caption="Month Name" numFmtId="0" hierarchy="10" level="1">
      <sharedItems count="12">
        <s v="Jul"/>
        <s v="Aug"/>
        <s v="Sep"/>
        <s v="Oct"/>
        <s v="Nov"/>
        <s v="Dec"/>
        <s v="Jan"/>
        <s v="Feb"/>
        <s v="Mar"/>
        <s v="Apr"/>
        <s v="May"/>
        <s v="Jun"/>
      </sharedItems>
    </cacheField>
    <cacheField name="[DimDate].[Fiscal Year].[Fiscal Year]" caption="Fiscal Year" numFmtId="0" hierarchy="15"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8"/>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9"/>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oneField="1">
      <fieldsUsage count="1">
        <fieldUsage x="4"/>
      </fieldsUsage>
    </cacheHierarchy>
    <cacheHierarchy uniqueName="[Measures].[PY Profit]" caption="PY Profit" measure="1" displayFolder="" measureGroup="FactInternetSales" count="0" oneField="1">
      <fieldsUsage count="1">
        <fieldUsage x="6"/>
      </fieldsUsage>
    </cacheHierarchy>
    <cacheHierarchy uniqueName="[Measures].[PY COGS]" caption="PY COGS" measure="1" displayFolder="" measureGroup="FactInternetSales" count="0" oneField="1">
      <fieldsUsage count="1">
        <fieldUsage x="7"/>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6249998" backgroundQuery="1" createdVersion="8" refreshedVersion="8" minRefreshableVersion="3" recordCount="0" supportSubquery="1" supportAdvancedDrill="1" xr:uid="{A3D7B434-6804-49A3-B99C-7FFC2D496752}">
  <cacheSource type="external" connectionId="8"/>
  <cacheFields count="7">
    <cacheField name="[Measures].[Sum of Total Profit]" caption="Sum of Total Profit" numFmtId="0" hierarchy="70" level="32767"/>
    <cacheField name="[FactInternetSales].[OrderDate (Year)].[OrderDate (Year)]" caption="OrderDate (Year)" numFmtId="0" hierarchy="46" level="1">
      <sharedItems containsSemiMixedTypes="0" containsNonDate="0" containsString="0"/>
    </cacheField>
    <cacheField name="[Measures].[Sum of COGS]" caption="Sum of COGS" numFmtId="0" hierarchy="69" level="32767"/>
    <cacheField name="[Measures].[Sum of Total Revenue]" caption="Sum of Total Revenue" numFmtId="0" hierarchy="68" level="32767"/>
    <cacheField name="[DimDate].[Year].[Year]" caption="Year" numFmtId="0" hierarchy="8" level="1">
      <sharedItems containsSemiMixedTypes="0" containsNonDate="0" containsString="0"/>
    </cacheField>
    <cacheField name="[DimDate].[Day Name].[Day Name]" caption="Day Name" numFmtId="0" hierarchy="11" level="1">
      <sharedItems count="7">
        <s v="Mon"/>
        <s v="Tue"/>
        <s v="Wed"/>
        <s v="Thu"/>
        <s v="Fri"/>
        <s v="Sat"/>
        <s v="Sun"/>
      </sharedItems>
    </cacheField>
    <cacheField name="[DimDate].[Fiscal Year].[Fiscal Year]" caption="Fiscal Year" numFmtId="0" hierarchy="15"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5"/>
      </fieldsUsage>
    </cacheHierarchy>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6"/>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6944444" backgroundQuery="1" createdVersion="8" refreshedVersion="8" minRefreshableVersion="3" recordCount="0" supportSubquery="1" supportAdvancedDrill="1" xr:uid="{DADAB5DF-CEF2-4379-8E0A-559906B1E113}">
  <cacheSource type="external" connectionId="8"/>
  <cacheFields count="8">
    <cacheField name="[Measures].[Sum of Total Profit]" caption="Sum of Total Profit" numFmtId="0" hierarchy="70" level="32767"/>
    <cacheField name="[FactInternetSales].[OrderDate (Year)].[OrderDate (Year)]" caption="OrderDate (Year)" numFmtId="0" hierarchy="46" level="1">
      <sharedItems containsSemiMixedTypes="0" containsNonDate="0" containsString="0"/>
    </cacheField>
    <cacheField name="[Measures].[Sum of Total Revenue]" caption="Sum of Total Revenue" numFmtId="0" hierarchy="68" level="32767"/>
    <cacheField name="[DimDate].[Year].[Year]" caption="Year" numFmtId="0" hierarchy="8" level="1">
      <sharedItems containsSemiMixedTypes="0" containsNonDate="0" containsString="0"/>
    </cacheField>
    <cacheField name="[Measures].[% Profit Margin]" caption="% Profit Margin" numFmtId="0" hierarchy="54" level="32767"/>
    <cacheField name="[DimGeography].[Country].[Country]" caption="Country" numFmtId="0" hierarchy="20" level="1">
      <sharedItems containsSemiMixedTypes="0" containsNonDate="0" containsString="0"/>
    </cacheField>
    <cacheField name="[DimDate].[Fiscal Year].[Fiscal Year]" caption="Fiscal Year" numFmtId="0" hierarchy="15" level="1">
      <sharedItems containsSemiMixedTypes="0" containsNonDate="0" containsString="0"/>
    </cacheField>
    <cacheField name="[DimDate].[Fiscal Quarter].[Fiscal Quarter]" caption="Fiscal Quarter" numFmtId="0" hierarchy="17" level="1">
      <sharedItems count="4">
        <s v="Q1"/>
        <s v="Q2"/>
        <s v="Q3"/>
        <s v="Q4"/>
      </sharedItems>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6"/>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2" memberValueDatatype="130" unbalanced="0">
      <fieldsUsage count="2">
        <fieldUsage x="-1"/>
        <fieldUsage x="7"/>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7638891" backgroundQuery="1" createdVersion="8" refreshedVersion="8" minRefreshableVersion="3" recordCount="0" supportSubquery="1" supportAdvancedDrill="1" xr:uid="{3B83DA79-C720-4690-9CB9-2298AEDD3C41}">
  <cacheSource type="external" connectionId="8"/>
  <cacheFields count="7">
    <cacheField name="[Measures].[Sum of Total Profit]" caption="Sum of Total Profit" numFmtId="0" hierarchy="70" level="32767"/>
    <cacheField name="[FactInternetSales].[OrderDate (Year)].[OrderDate (Year)]" caption="OrderDate (Year)" numFmtId="0" hierarchy="46" level="1">
      <sharedItems containsSemiMixedTypes="0" containsNonDate="0" containsString="0"/>
    </cacheField>
    <cacheField name="[Measures].[Sum of Total Revenue]" caption="Sum of Total Revenue" numFmtId="0" hierarchy="68" level="32767"/>
    <cacheField name="[DimDate].[Year].[Year]" caption="Year" numFmtId="0" hierarchy="8" level="1">
      <sharedItems containsSemiMixedTypes="0" containsNonDate="0" containsString="0"/>
    </cacheField>
    <cacheField name="[Measures].[% Profit Margin]" caption="% Profit Margin" numFmtId="0" hierarchy="54" level="32767"/>
    <cacheField name="[DimGeography].[Country].[Country]" caption="Country" numFmtId="0" hierarchy="20" level="1">
      <sharedItems count="6">
        <s v="Australia"/>
        <s v="Canada"/>
        <s v="France"/>
        <s v="Germany"/>
        <s v="United Kingdom"/>
        <s v="United States"/>
      </sharedItems>
    </cacheField>
    <cacheField name="[DimDate].[Fiscal Year].[Fiscal Year]" caption="Fiscal Year" numFmtId="0" hierarchy="15"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6"/>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3.61430833333" backgroundQuery="1" createdVersion="8" refreshedVersion="8" minRefreshableVersion="3" recordCount="0" supportSubquery="1" supportAdvancedDrill="1" xr:uid="{9F518C12-810C-419F-B280-D9EA7F74D984}">
  <cacheSource type="external" connectionId="8"/>
  <cacheFields count="7">
    <cacheField name="[Measures].[Sum of Total Profit]" caption="Sum of Total Profit" numFmtId="0" hierarchy="70" level="32767"/>
    <cacheField name="[FactInternetSales].[OrderDate (Year)].[OrderDate (Year)]" caption="OrderDate (Year)" numFmtId="0" hierarchy="46" level="1">
      <sharedItems containsSemiMixedTypes="0" containsNonDate="0" containsString="0"/>
    </cacheField>
    <cacheField name="[Measures].[Sum of Total Revenue]" caption="Sum of Total Revenue" numFmtId="0" hierarchy="68" level="32767"/>
    <cacheField name="[DimDate].[Year].[Year]" caption="Year" numFmtId="0" hierarchy="8" level="1">
      <sharedItems containsSemiMixedTypes="0" containsNonDate="0" containsString="0"/>
    </cacheField>
    <cacheField name="[Measures].[% Profit Margin]" caption="% Profit Margin" numFmtId="0" hierarchy="54" level="32767"/>
    <cacheField name="[DimDate].[Fiscal Year].[Fiscal Year]" caption="Fiscal Year" numFmtId="0" hierarchy="15" level="1">
      <sharedItems containsSemiMixedTypes="0" containsNonDate="0" containsString="0"/>
    </cacheField>
    <cacheField name="[DimProduct].[Category].[Category]" caption="Category" numFmtId="0" hierarchy="27" level="1">
      <sharedItems count="4">
        <s v="Mountain"/>
        <s v="Road"/>
        <s v="Standard"/>
        <s v="Touring"/>
      </sharedItems>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fieldsUsage count="2">
        <fieldUsage x="-1"/>
        <fieldUsage x="5"/>
      </fieldsUsage>
    </cacheHierarchy>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6"/>
      </fieldsUsage>
    </cacheHierarchy>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1"/>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Lee" refreshedDate="45832.483242939816" backgroundQuery="1" createdVersion="3" refreshedVersion="8" minRefreshableVersion="3" recordCount="0" supportSubquery="1" supportAdvancedDrill="1" xr:uid="{9AD1250F-B22E-40B7-A6D3-1D2C84E7606C}">
  <cacheSource type="external" connectionId="8">
    <extLst>
      <ext xmlns:x14="http://schemas.microsoft.com/office/spreadsheetml/2009/9/main" uri="{F057638F-6D5F-4e77-A914-E7F072B9BCA8}">
        <x14:sourceConnection name="ThisWorkbookDataModel"/>
      </ext>
    </extLst>
  </cacheSource>
  <cacheFields count="0"/>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Fiscal Year]" caption="Fiscal Year" attribute="1" defaultMemberUniqueName="[DimDate].[Fiscal Year].[All]" allUniqueName="[DimDate].[Fiscal Year].[All]" dimensionUniqueName="[DimDate]" displayFolder="" count="2" memberValueDatatype="20" unbalanced="0"/>
    <cacheHierarchy uniqueName="[DimDate].[Fiscal Month Number]" caption="Fiscal Month Number" attribute="1" defaultMemberUniqueName="[DimDate].[Fiscal Month Number].[All]" allUniqueName="[DimDate].[Fiscal Month Number].[All]" dimensionUniqueName="[DimDate]" displayFolder="" count="0" memberValueDatatype="20" unbalanced="0"/>
    <cacheHierarchy uniqueName="[DimDate].[Fiscal Quarter]" caption="Fiscal Quarter" attribute="1" defaultMemberUniqueName="[DimDate].[Fiscal Quarter].[All]" allUniqueName="[DimDate].[Fiscal 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StandardCost]" caption="StandardCost" attribute="1" defaultMemberUniqueName="[DimProduct].[StandardCost].[All]" allUniqueName="[DimProduct].[StandardCost].[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Product].[ProductLine]" caption="ProductLine" attribute="1" defaultMemberUniqueName="[DimProduct].[ProductLine].[All]" allUniqueName="[DimProduct].[ProductLin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CostCategory]" caption="CostCategory" attribute="1" defaultMemberUniqueName="[DimProduct].[CostCategory].[All]" allUniqueName="[DimProduct].[CostCategory].[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DueDate]" caption="DueDate" attribute="1" time="1" defaultMemberUniqueName="[FactInternetSales].[DueDate].[All]" allUniqueName="[FactInternetSales].[DueDate].[All]" dimensionUniqueName="[FactInternetSales]" displayFolder="" count="0" memberValueDatatype="7" unbalanced="0"/>
    <cacheHierarchy uniqueName="[FactInternetSales].[ShipDate]" caption="ShipDate" attribute="1" time="1" defaultMemberUniqueName="[FactInternetSales].[ShipDate].[All]" allUniqueName="[FactInternetSales].[Ship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 Orders]" caption="# Order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AOV]" caption="AOV" measure="1" displayFolder="" measureGroup="All Measures" count="0"/>
    <cacheHierarchy uniqueName="[Measures].[PY Revenue]" caption="PY Revenue" measure="1" displayFolder="" measureGroup="FactInternetSales" count="0"/>
    <cacheHierarchy uniqueName="[Measures].[PY Profit]" caption="PY Profit" measure="1" displayFolder="" measureGroup="FactInternetSales" count="0"/>
    <cacheHierarchy uniqueName="[Measures].[PY COGS]" caption="PY COGS"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caption="Sum of Cost"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4"/>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5"/>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UnitPrice]" caption="Sum of UnitPrice" measure="1" displayFolder="" measureGroup="FactInternetSales" count="0" hidden="1">
      <extLst>
        <ext xmlns:x15="http://schemas.microsoft.com/office/spreadsheetml/2010/11/main" uri="{B97F6D7D-B522-45F9-BDA1-12C45D357490}">
          <x15:cacheHierarchy aggregatedColumn="38"/>
        </ext>
      </extLst>
    </cacheHierarchy>
  </cacheHierarchies>
  <kpis count="0"/>
  <extLst>
    <ext xmlns:x14="http://schemas.microsoft.com/office/spreadsheetml/2009/9/main" uri="{725AE2AE-9491-48be-B2B4-4EB974FC3084}">
      <x14:pivotCacheDefinition slicerData="1" pivotCacheId="55162941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8140FD-338D-4BF7-9044-DCBA00E33DE2}" name="PivotTable3" cacheId="607" applyNumberFormats="0" applyBorderFormats="0" applyFontFormats="0" applyPatternFormats="0" applyAlignmentFormats="0" applyWidthHeightFormats="1" dataCaption="Values" tag="7a883c50-27da-4b68-a4f0-0765c9e1a552" updatedVersion="8" minRefreshableVersion="3" useAutoFormatting="1" subtotalHiddenItems="1" itemPrintTitles="1" createdVersion="8" indent="0" outline="1" outlineData="1" multipleFieldFilters="0">
  <location ref="B13:L15"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items count="1">
        <item s="1" x="0"/>
      </items>
    </pivotField>
    <pivotField allDrilled="1" subtotalTop="0" showAll="0" dataSourceSort="1" defaultSubtotal="0" defaultAttributeDrillState="1">
      <items count="1">
        <item s="1" x="0"/>
      </items>
    </pivotField>
    <pivotField axis="axisRow" allDrilled="1" subtotalTop="0" showAll="0" dataSourceSort="1" defaultSubtotal="0" defaultAttributeDrillState="1">
      <items count="1">
        <item s="1" x="0"/>
      </items>
    </pivotField>
  </pivotFields>
  <rowFields count="1">
    <field x="12"/>
  </rowFields>
  <rowItems count="2">
    <i>
      <x/>
    </i>
    <i t="grand">
      <x/>
    </i>
  </rowItems>
  <colFields count="1">
    <field x="-2"/>
  </colFields>
  <colItems count="10">
    <i>
      <x/>
    </i>
    <i i="1">
      <x v="1"/>
    </i>
    <i i="2">
      <x v="2"/>
    </i>
    <i i="3">
      <x v="3"/>
    </i>
    <i i="4">
      <x v="4"/>
    </i>
    <i i="5">
      <x v="5"/>
    </i>
    <i i="6">
      <x v="6"/>
    </i>
    <i i="7">
      <x v="7"/>
    </i>
    <i i="8">
      <x v="8"/>
    </i>
    <i i="9">
      <x v="9"/>
    </i>
  </colItems>
  <dataFields count="10">
    <dataField name=" Total Revenue" fld="1" baseField="0" baseItem="0" numFmtId="166"/>
    <dataField fld="8" subtotal="count" baseField="0" baseItem="0"/>
    <dataField name=" Total Profit" fld="3" baseField="0" baseItem="0" numFmtId="166"/>
    <dataField name=" COGS" fld="2" baseField="0" baseItem="0" numFmtId="166"/>
    <dataField fld="9" subtotal="count" baseField="0" baseItem="0" numFmtId="167"/>
    <dataField name=" OrderQuantity" fld="4" baseField="0" baseItem="0" numFmtId="165"/>
    <dataField fld="0" subtotal="count" baseField="0" baseItem="0" numFmtId="165"/>
    <dataField fld="5" subtotal="count" baseField="0" baseItem="0"/>
    <dataField fld="6" subtotal="count" baseField="0" baseItem="0"/>
    <dataField fld="7" subtotal="count" baseField="0" baseItem="0"/>
  </dataFields>
  <formats count="4">
    <format dxfId="63">
      <pivotArea outline="0" collapsedLevelsAreSubtotals="1" fieldPosition="0">
        <references count="1">
          <reference field="4294967294" count="4" selected="0">
            <x v="0"/>
            <x v="2"/>
            <x v="3"/>
            <x v="6"/>
          </reference>
        </references>
      </pivotArea>
    </format>
    <format dxfId="62">
      <pivotArea outline="0" collapsedLevelsAreSubtotals="1" fieldPosition="0">
        <references count="1">
          <reference field="4294967294" count="1" selected="0">
            <x v="5"/>
          </reference>
        </references>
      </pivotArea>
    </format>
    <format dxfId="61">
      <pivotArea outline="0" collapsedLevelsAreSubtotals="1" fieldPosition="0">
        <references count="1">
          <reference field="4294967294" count="3" selected="0">
            <x v="0"/>
            <x v="2"/>
            <x v="3"/>
          </reference>
        </references>
      </pivotArea>
    </format>
    <format dxfId="60">
      <pivotArea outline="0" collapsedLevelsAreSubtotals="1" fieldPosition="0">
        <references count="1">
          <reference field="4294967294" count="1" selected="0">
            <x v="4"/>
          </reference>
        </references>
      </pivotArea>
    </format>
  </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529DB5-C57B-4341-B77C-DE667E492750}" name="PivotTable6" cacheId="619" applyNumberFormats="0" applyBorderFormats="0" applyFontFormats="0" applyPatternFormats="0" applyAlignmentFormats="0" applyWidthHeightFormats="1" dataCaption="Values" tag="f03adaf6-7c75-4df4-8aca-485faaf42abc" updatedVersion="8" minRefreshableVersion="3" visualTotals="0" useAutoFormatting="1" subtotalHiddenItems="1" colGrandTotals="0" itemPrintTitles="1" createdVersion="8" indent="0" compact="0" outline="1" outlineData="1" compactData="0" multipleFieldFilters="0" chartFormat="34">
  <location ref="B71:E78" firstHeaderRow="0" firstDataRow="1" firstDataCol="1"/>
  <pivotFields count="7">
    <pivotField dataField="1" compact="0" showAll="0" defaultSubtotal="0"/>
    <pivotField compact="0" allDrilled="1" showAll="0" dataSourceSort="1" defaultSubtotal="0" defaultAttributeDrillState="1"/>
    <pivotField dataField="1" compact="0" showAll="0" defaultSubtotal="0"/>
    <pivotField compact="0" allDrilled="1" showAll="0" dataSourceSort="1" defaultSubtotal="0" defaultAttributeDrillState="1"/>
    <pivotField dataField="1" compact="0" showAll="0" defaultSubtotal="0"/>
    <pivotField axis="axisRow" compact="0" allDrilled="1" subtotalTop="0" showAll="0" dataSourceSort="1" defaultSubtotal="0" defaultAttributeDrillState="1">
      <items count="6">
        <item x="0"/>
        <item x="1"/>
        <item x="2"/>
        <item x="3"/>
        <item x="4"/>
        <item x="5"/>
      </items>
    </pivotField>
    <pivotField compact="0" allDrilled="1" subtotalTop="0" showAll="0" dataSourceSort="1" defaultSubtotal="0" defaultAttributeDrillState="1"/>
  </pivotFields>
  <rowFields count="1">
    <field x="5"/>
  </rowFields>
  <rowItems count="7">
    <i>
      <x/>
    </i>
    <i>
      <x v="1"/>
    </i>
    <i>
      <x v="2"/>
    </i>
    <i>
      <x v="3"/>
    </i>
    <i>
      <x v="4"/>
    </i>
    <i>
      <x v="5"/>
    </i>
    <i t="grand">
      <x/>
    </i>
  </rowItems>
  <colFields count="1">
    <field x="-2"/>
  </colFields>
  <colItems count="3">
    <i>
      <x/>
    </i>
    <i i="1">
      <x v="1"/>
    </i>
    <i i="2">
      <x v="2"/>
    </i>
  </colItems>
  <dataFields count="3">
    <dataField name=" Total Revenue" fld="2" baseField="0" baseItem="0" numFmtId="166"/>
    <dataField name=" Total Profit" fld="0" baseField="0" baseItem="0" numFmtId="166"/>
    <dataField fld="4" subtotal="count" baseField="0" baseItem="0" numFmtId="172"/>
  </dataFields>
  <formats count="5">
    <format dxfId="68">
      <pivotArea outline="0" collapsedLevelsAreSubtotals="1" fieldPosition="0">
        <references count="1">
          <reference field="4294967294" count="1" selected="0">
            <x v="1"/>
          </reference>
        </references>
      </pivotArea>
    </format>
    <format dxfId="67">
      <pivotArea outline="0" collapsedLevelsAreSubtotals="1" fieldPosition="0">
        <references count="1">
          <reference field="4294967294" count="1" selected="0">
            <x v="1"/>
          </reference>
        </references>
      </pivotArea>
    </format>
    <format dxfId="66">
      <pivotArea outline="0" collapsedLevelsAreSubtotals="1" fieldPosition="0">
        <references count="1">
          <reference field="4294967294" count="1" selected="0">
            <x v="0"/>
          </reference>
        </references>
      </pivotArea>
    </format>
    <format dxfId="65">
      <pivotArea outline="0" collapsedLevelsAreSubtotals="1" fieldPosition="0"/>
    </format>
    <format dxfId="64">
      <pivotArea outline="0" collapsedLevelsAreSubtotals="1" fieldPosition="0">
        <references count="1">
          <reference field="4294967294" count="1" selected="0">
            <x v="2"/>
          </reference>
        </references>
      </pivotArea>
    </format>
  </formats>
  <chartFormats count="6">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2"/>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2"/>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24]"/>
      </members>
    </pivotHierarchy>
    <pivotHierarchy dragToData="1"/>
    <pivotHierarchy dragToData="1"/>
    <pivotHierarchy dragToData="1"/>
    <pivotHierarchy dragToData="1"/>
    <pivotHierarchy dragToData="1"/>
    <pivotHierarchy dragToData="1"/>
    <pivotHierarchy multipleItemSelectionAllowed="1" dragToData="1">
      <members count="1" level="1">
        <member name="[DimDate].[Fiscal Year].&amp;[2024]"/>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22]"/>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E83C0C-1DF1-4FA0-AB40-A5DBF8F20803}" name="PivotTable5" cacheId="616" applyNumberFormats="0" applyBorderFormats="0" applyFontFormats="0" applyPatternFormats="0" applyAlignmentFormats="0" applyWidthHeightFormats="1" dataCaption="Values" tag="41aa32dc-4a47-447b-a7c2-3ce866101872" updatedVersion="8" minRefreshableVersion="3" visualTotals="0" useAutoFormatting="1" subtotalHiddenItems="1" colGrandTotals="0" itemPrintTitles="1" createdVersion="8" indent="0" compact="0" outline="1" outlineData="1" compactData="0" multipleFieldFilters="0" chartFormat="28">
  <location ref="B63:E68" firstHeaderRow="0" firstDataRow="1" firstDataCol="1"/>
  <pivotFields count="8">
    <pivotField dataField="1" compact="0" showAll="0" defaultSubtotal="0"/>
    <pivotField compact="0" allDrilled="1" showAll="0" dataSourceSort="1" defaultSubtotal="0" defaultAttributeDrillState="1"/>
    <pivotField dataField="1" compact="0" showAll="0" defaultSubtotal="0"/>
    <pivotField compact="0" allDrilled="1" showAll="0" dataSourceSort="1" defaultSubtotal="0" defaultAttributeDrillState="1"/>
    <pivotField dataField="1" compact="0" showAll="0" defaultSubtotal="0"/>
    <pivotField compact="0" allDrilled="1" subtotalTop="0" showAll="0" dataSourceSort="1" defaultSubtotal="0" defaultAttributeDrillState="1"/>
    <pivotField compact="0" allDrilled="1" subtotalTop="0" showAll="0" dataSourceSort="1" defaultSubtotal="0" defaultAttributeDrillState="1"/>
    <pivotField axis="axisRow" compact="0" allDrilled="1" subtotalTop="0" showAll="0" dataSourceSort="1" defaultSubtotal="0" defaultAttributeDrillState="1">
      <items count="4">
        <item x="0"/>
        <item x="1"/>
        <item x="2"/>
        <item x="3"/>
      </items>
    </pivotField>
  </pivotFields>
  <rowFields count="1">
    <field x="7"/>
  </rowFields>
  <rowItems count="5">
    <i>
      <x/>
    </i>
    <i>
      <x v="1"/>
    </i>
    <i>
      <x v="2"/>
    </i>
    <i>
      <x v="3"/>
    </i>
    <i t="grand">
      <x/>
    </i>
  </rowItems>
  <colFields count="1">
    <field x="-2"/>
  </colFields>
  <colItems count="3">
    <i>
      <x/>
    </i>
    <i i="1">
      <x v="1"/>
    </i>
    <i i="2">
      <x v="2"/>
    </i>
  </colItems>
  <dataFields count="3">
    <dataField name=" Total Revenue" fld="2" baseField="0" baseItem="0" numFmtId="166"/>
    <dataField name=" Total Profit" fld="0" baseField="0" baseItem="0" numFmtId="166"/>
    <dataField fld="4" subtotal="count" baseField="0" baseItem="0" numFmtId="172"/>
  </dataFields>
  <formats count="5">
    <format dxfId="73">
      <pivotArea outline="0" collapsedLevelsAreSubtotals="1" fieldPosition="0">
        <references count="1">
          <reference field="4294967294" count="1" selected="0">
            <x v="1"/>
          </reference>
        </references>
      </pivotArea>
    </format>
    <format dxfId="72">
      <pivotArea outline="0" collapsedLevelsAreSubtotals="1" fieldPosition="0">
        <references count="1">
          <reference field="4294967294" count="1" selected="0">
            <x v="1"/>
          </reference>
        </references>
      </pivotArea>
    </format>
    <format dxfId="71">
      <pivotArea outline="0" collapsedLevelsAreSubtotals="1" fieldPosition="0">
        <references count="1">
          <reference field="4294967294" count="1" selected="0">
            <x v="0"/>
          </reference>
        </references>
      </pivotArea>
    </format>
    <format dxfId="70">
      <pivotArea outline="0" collapsedLevelsAreSubtotals="1" fieldPosition="0"/>
    </format>
    <format dxfId="69">
      <pivotArea outline="0" collapsedLevelsAreSubtotals="1" fieldPosition="0">
        <references count="1">
          <reference field="4294967294" count="1" selected="0">
            <x v="2"/>
          </reference>
        </references>
      </pivotArea>
    </format>
  </formats>
  <chartFormats count="3">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2"/>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24]"/>
      </members>
    </pivotHierarchy>
    <pivotHierarchy dragToData="1"/>
    <pivotHierarchy dragToData="1"/>
    <pivotHierarchy dragToData="1"/>
    <pivotHierarchy dragToData="1"/>
    <pivotHierarchy dragToData="1"/>
    <pivotHierarchy dragToData="1"/>
    <pivotHierarchy multipleItemSelectionAllowed="1" dragToData="1">
      <members count="1" level="1">
        <member name="[DimDate].[Fiscal Year].&amp;[2024]"/>
      </members>
    </pivotHierarchy>
    <pivotHierarchy dragToData="1"/>
    <pivotHierarchy dragToData="1"/>
    <pivotHierarchy dragToData="1"/>
    <pivotHierarchy dragToData="1"/>
    <pivotHierarchy multipleItemSelectionAllowed="1" dragToData="1">
      <members count="1" level="1">
        <member name="[DimGeography].[Country].&amp;[Canad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22]"/>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A627C7-FD10-4681-9C1C-E5A73BFD3176}" name="PivotTable11" cacheId="1" applyNumberFormats="0" applyBorderFormats="0" applyFontFormats="0" applyPatternFormats="0" applyAlignmentFormats="0" applyWidthHeightFormats="1" dataCaption="Values" tag="78ca76a1-feaf-42ff-aa84-8cf9412bfb6a" updatedVersion="8" minRefreshableVersion="3" useAutoFormatting="1" subtotalHiddenItems="1" colGrandTotals="0" itemPrintTitles="1" createdVersion="8" indent="0" outline="1" outlineData="1" multipleFieldFilters="0">
  <location ref="B106:E111" firstHeaderRow="1" firstDataRow="2" firstDataCol="1"/>
  <pivotFields count="3">
    <pivotField axis="axisCol" allDrilled="1" subtotalTop="0" showAll="0" dataSourceSort="1" defaultSubtotal="0" defaultAttributeDrillState="1">
      <items count="3">
        <item s="1" x="0"/>
        <item s="1" x="1"/>
        <item s="1" x="2"/>
      </items>
    </pivotField>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0"/>
  </colFields>
  <colItems count="3">
    <i>
      <x/>
    </i>
    <i>
      <x v="1"/>
    </i>
    <i>
      <x v="2"/>
    </i>
  </colItems>
  <dataFields count="1">
    <dataField name="Sum of OrderQuantity" fld="2" baseField="0" baseItem="0" numFmtId="171"/>
  </dataFields>
  <formats count="1">
    <format dxfId="74">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D4E39A-ADAB-4DF9-878B-F500813771A6}" name="PivotTable10" cacheId="3" applyNumberFormats="0" applyBorderFormats="0" applyFontFormats="0" applyPatternFormats="0" applyAlignmentFormats="0" applyWidthHeightFormats="1" dataCaption="Values" tag="78ca76a1-feaf-42ff-aa84-8cf9412bfb6a" updatedVersion="8" minRefreshableVersion="3" useAutoFormatting="1" subtotalHiddenItems="1" colGrandTotals="0" itemPrintTitles="1" createdVersion="8" indent="0" compact="0" outline="1" outlineData="1" compactData="0" multipleFieldFilters="0">
  <location ref="B98:E103" firstHeaderRow="1" firstDataRow="2" firstDataCol="1"/>
  <pivotFields count="3">
    <pivotField axis="axisCol" compact="0" allDrilled="1" showAll="0" dataSourceSort="1" defaultSubtotal="0" defaultAttributeDrillState="1">
      <items count="3">
        <item s="1" x="0"/>
        <item s="1" x="1"/>
        <item s="1" x="2"/>
      </items>
    </pivotField>
    <pivotField axis="axisRow" compact="0" allDrilled="1" showAll="0" dataSourceSort="1" defaultSubtotal="0" defaultAttributeDrillState="1">
      <items count="3">
        <item x="0"/>
        <item x="1"/>
        <item x="2"/>
      </items>
    </pivotField>
    <pivotField dataField="1" compact="0" showAll="0" defaultSubtotal="0"/>
  </pivotFields>
  <rowFields count="1">
    <field x="1"/>
  </rowFields>
  <rowItems count="4">
    <i>
      <x/>
    </i>
    <i>
      <x v="1"/>
    </i>
    <i>
      <x v="2"/>
    </i>
    <i t="grand">
      <x/>
    </i>
  </rowItems>
  <colFields count="1">
    <field x="0"/>
  </colFields>
  <colItems count="3">
    <i>
      <x/>
    </i>
    <i>
      <x v="1"/>
    </i>
    <i>
      <x v="2"/>
    </i>
  </colItems>
  <dataFields count="1">
    <dataField name="Sum of Total Profit" fld="2" baseField="0" baseItem="0" numFmtId="171"/>
  </dataFields>
  <formats count="1">
    <format dxfId="75">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61D9BAD-5D84-41A8-A9DD-2ED9235C5B9F}" name="PivotTable1" cacheId="0" applyNumberFormats="0" applyBorderFormats="0" applyFontFormats="0" applyPatternFormats="0" applyAlignmentFormats="0" applyWidthHeightFormats="1" dataCaption="Values" tag="78ca76a1-feaf-42ff-aa84-8cf9412bfb6a" updatedVersion="8" minRefreshableVersion="3" useAutoFormatting="1" subtotalHiddenItems="1" itemPrintTitles="1" createdVersion="8" indent="0" outline="1" outlineData="1" multipleFieldFilters="0">
  <location ref="B4:L9" firstHeaderRow="0" firstDataRow="1" firstDataCol="1"/>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s>
  <rowFields count="1">
    <field x="10"/>
  </rowFields>
  <rowItems count="5">
    <i>
      <x/>
    </i>
    <i>
      <x v="1"/>
    </i>
    <i>
      <x v="2"/>
    </i>
    <i>
      <x v="3"/>
    </i>
    <i t="grand">
      <x/>
    </i>
  </rowItems>
  <colFields count="1">
    <field x="-2"/>
  </colFields>
  <colItems count="10">
    <i>
      <x/>
    </i>
    <i i="1">
      <x v="1"/>
    </i>
    <i i="2">
      <x v="2"/>
    </i>
    <i i="3">
      <x v="3"/>
    </i>
    <i i="4">
      <x v="4"/>
    </i>
    <i i="5">
      <x v="5"/>
    </i>
    <i i="6">
      <x v="6"/>
    </i>
    <i i="7">
      <x v="7"/>
    </i>
    <i i="8">
      <x v="8"/>
    </i>
    <i i="9">
      <x v="9"/>
    </i>
  </colItems>
  <dataFields count="10">
    <dataField name=" Total Revenue" fld="1" baseField="0" baseItem="0" numFmtId="166"/>
    <dataField fld="8" subtotal="count" baseField="0" baseItem="0"/>
    <dataField name=" Total Profit" fld="3" baseField="0" baseItem="0" numFmtId="166"/>
    <dataField name=" COGS" fld="2" baseField="0" baseItem="0" numFmtId="166"/>
    <dataField fld="9" subtotal="count" baseField="0" baseItem="0" numFmtId="167"/>
    <dataField name=" OrderQuantity" fld="4" baseField="0" baseItem="0" numFmtId="165"/>
    <dataField fld="0" subtotal="count" baseField="0" baseItem="0" numFmtId="165"/>
    <dataField fld="5" subtotal="count" baseField="0" baseItem="0"/>
    <dataField fld="6" subtotal="count" baseField="0" baseItem="0"/>
    <dataField fld="7" subtotal="count" baseField="0" baseItem="0"/>
  </dataFields>
  <formats count="4">
    <format dxfId="79">
      <pivotArea outline="0" collapsedLevelsAreSubtotals="1" fieldPosition="0">
        <references count="1">
          <reference field="4294967294" count="4" selected="0">
            <x v="0"/>
            <x v="2"/>
            <x v="3"/>
            <x v="6"/>
          </reference>
        </references>
      </pivotArea>
    </format>
    <format dxfId="78">
      <pivotArea outline="0" collapsedLevelsAreSubtotals="1" fieldPosition="0">
        <references count="1">
          <reference field="4294967294" count="1" selected="0">
            <x v="5"/>
          </reference>
        </references>
      </pivotArea>
    </format>
    <format dxfId="77">
      <pivotArea outline="0" collapsedLevelsAreSubtotals="1" fieldPosition="0">
        <references count="1">
          <reference field="4294967294" count="3" selected="0">
            <x v="0"/>
            <x v="2"/>
            <x v="3"/>
          </reference>
        </references>
      </pivotArea>
    </format>
    <format dxfId="76">
      <pivotArea outline="0" collapsedLevelsAreSubtotals="1" fieldPosition="0">
        <references count="1">
          <reference field="4294967294" count="1" selected="0">
            <x v="4"/>
          </reference>
        </references>
      </pivotArea>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37CAE89-DE72-4C3A-8487-59DD1CFB4FBF}" name="PivotTable9" cacheId="2" applyNumberFormats="0" applyBorderFormats="0" applyFontFormats="0" applyPatternFormats="0" applyAlignmentFormats="0" applyWidthHeightFormats="1" dataCaption="Values" tag="78ca76a1-feaf-42ff-aa84-8cf9412bfb6a" updatedVersion="8" minRefreshableVersion="3" useAutoFormatting="1" subtotalHiddenItems="1" colGrandTotals="0" itemPrintTitles="1" createdVersion="8" indent="0" compact="0" outline="1" outlineData="1" compactData="0" multipleFieldFilters="0">
  <location ref="B89:E95" firstHeaderRow="1" firstDataRow="2" firstDataCol="1"/>
  <pivotFields count="3">
    <pivotField axis="axisCol" compact="0" allDrilled="1" showAll="0" dataSourceSort="1" defaultSubtotal="0" defaultAttributeDrillState="1">
      <items count="3">
        <item s="1" x="0"/>
        <item s="1" x="1"/>
        <item s="1" x="2"/>
      </items>
    </pivotField>
    <pivotField axis="axisRow" compact="0" allDrilled="1" showAll="0" dataSourceSort="1" defaultSubtotal="0" defaultAttributeDrillState="1">
      <items count="4">
        <item x="0"/>
        <item x="1"/>
        <item x="2"/>
        <item x="3"/>
      </items>
    </pivotField>
    <pivotField dataField="1" compact="0" showAll="0" defaultSubtotal="0"/>
  </pivotFields>
  <rowFields count="1">
    <field x="1"/>
  </rowFields>
  <rowItems count="5">
    <i>
      <x/>
    </i>
    <i>
      <x v="1"/>
    </i>
    <i>
      <x v="2"/>
    </i>
    <i>
      <x v="3"/>
    </i>
    <i t="grand">
      <x/>
    </i>
  </rowItems>
  <colFields count="1">
    <field x="0"/>
  </colFields>
  <colItems count="3">
    <i>
      <x/>
    </i>
    <i>
      <x v="1"/>
    </i>
    <i>
      <x v="2"/>
    </i>
  </colItems>
  <dataFields count="1">
    <dataField name="Sum of Total Profit" fld="2" baseField="0" baseItem="0" numFmtId="171"/>
  </dataFields>
  <formats count="1">
    <format dxfId="80">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204F41-1469-42D6-8BAF-5A262B26C673}" name="PivotTable4" cacheId="613" applyNumberFormats="0" applyBorderFormats="0" applyFontFormats="0" applyPatternFormats="0" applyAlignmentFormats="0" applyWidthHeightFormats="1" dataCaption="Values" tag="ddfb95a0-c5c7-4af0-a922-a972001cf1a3" updatedVersion="8" minRefreshableVersion="3" visualTotals="0" useAutoFormatting="1" subtotalHiddenItems="1" colGrandTotals="0" itemPrintTitles="1" createdVersion="8" indent="0" compact="0" compactData="0" multipleFieldFilters="0" chartFormat="6">
  <location ref="B52:E60" firstHeaderRow="0" firstDataRow="1" firstDataCol="1"/>
  <pivotFields count="7">
    <pivotField dataField="1" compact="0" outline="0" showAll="0" defaultSubtotal="0"/>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5"/>
  </rowFields>
  <rowItems count="8">
    <i>
      <x/>
    </i>
    <i>
      <x v="1"/>
    </i>
    <i>
      <x v="2"/>
    </i>
    <i>
      <x v="3"/>
    </i>
    <i>
      <x v="4"/>
    </i>
    <i>
      <x v="5"/>
    </i>
    <i>
      <x v="6"/>
    </i>
    <i t="grand">
      <x/>
    </i>
  </rowItems>
  <colFields count="1">
    <field x="-2"/>
  </colFields>
  <colItems count="3">
    <i>
      <x/>
    </i>
    <i i="1">
      <x v="1"/>
    </i>
    <i i="2">
      <x v="2"/>
    </i>
  </colItems>
  <dataFields count="3">
    <dataField name=" Total Revenue" fld="3" baseField="0" baseItem="0" numFmtId="166"/>
    <dataField name=" Total Profit" fld="0" baseField="0" baseItem="0" numFmtId="166"/>
    <dataField name=" COGS" fld="2" baseField="0" baseItem="0" numFmtId="166"/>
  </dataFields>
  <formats count="5">
    <format dxfId="85">
      <pivotArea outline="0" collapsedLevelsAreSubtotals="1" fieldPosition="0">
        <references count="1">
          <reference field="4294967294" count="1" selected="0">
            <x v="1"/>
          </reference>
        </references>
      </pivotArea>
    </format>
    <format dxfId="84">
      <pivotArea outline="0" collapsedLevelsAreSubtotals="1" fieldPosition="0">
        <references count="1">
          <reference field="4294967294" count="1" selected="0">
            <x v="1"/>
          </reference>
        </references>
      </pivotArea>
    </format>
    <format dxfId="83">
      <pivotArea outline="0" collapsedLevelsAreSubtotals="1" fieldPosition="0">
        <references count="1">
          <reference field="4294967294" count="1" selected="0">
            <x v="0"/>
          </reference>
        </references>
      </pivotArea>
    </format>
    <format dxfId="82">
      <pivotArea outline="0" collapsedLevelsAreSubtotals="1" fieldPosition="0">
        <references count="1">
          <reference field="4294967294" count="1" selected="0">
            <x v="2"/>
          </reference>
        </references>
      </pivotArea>
    </format>
    <format dxfId="81">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24]"/>
      </members>
    </pivotHierarchy>
    <pivotHierarchy dragToData="1"/>
    <pivotHierarchy dragToData="1"/>
    <pivotHierarchy dragToData="1"/>
    <pivotHierarchy dragToData="1"/>
    <pivotHierarchy dragToData="1"/>
    <pivotHierarchy dragToData="1"/>
    <pivotHierarchy multipleItemSelectionAllowed="1" dragToData="1">
      <members count="1" level="1">
        <member name="[DimDate].[Fiscal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22]"/>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378940-DC09-4328-986A-5EAE1743DA86}" name="PivotTable2" cacheId="610" applyNumberFormats="0" applyBorderFormats="0" applyFontFormats="0" applyPatternFormats="0" applyAlignmentFormats="0" applyWidthHeightFormats="1" dataCaption="Values" tag="ee182031-35a7-4c14-9213-352aa57f0736" updatedVersion="8" minRefreshableVersion="3" visualTotals="0" useAutoFormatting="1" subtotalHiddenItems="1" colGrandTotals="0" itemPrintTitles="1" createdVersion="8" indent="0" showEmptyRow="1" showEmptyCol="1" compact="0" outline="1" outlineData="1" compactData="0" multipleFieldFilters="0" chartFormat="6">
  <location ref="B36:H49" firstHeaderRow="0" firstDataRow="1" firstDataCol="1"/>
  <pivotFields count="10">
    <pivotField dataField="1" compact="0" showAll="0" defaultSubtotal="0"/>
    <pivotField compact="0" allDrilled="1" showAll="0" dataSourceSort="1" defaultSubtotal="0" defaultAttributeDrillState="1"/>
    <pivotField dataField="1" compact="0" showAll="0" defaultSubtotal="0"/>
    <pivotField dataField="1" compact="0" showAll="0" defaultSubtotal="0"/>
    <pivotField dataField="1" compact="0" showAll="0" defaultSubtotal="0"/>
    <pivotField compact="0" allDrilled="1" showAll="0" dataSourceSort="1" defaultSubtotal="0" defaultAttributeDrillState="1"/>
    <pivotField dataField="1" compact="0" showAll="0" defaultSubtotal="0"/>
    <pivotField dataField="1" compact="0" showAll="0" defaultSubtotal="0"/>
    <pivotField axis="axisRow" compact="0" allDrilled="1" showAll="0" dataSourceSort="1" defaultSubtotal="0" defaultAttributeDrillState="1">
      <items count="12">
        <item x="0"/>
        <item x="1"/>
        <item x="2"/>
        <item x="3"/>
        <item x="4"/>
        <item x="5"/>
        <item x="6"/>
        <item x="7"/>
        <item x="8"/>
        <item x="9"/>
        <item x="10"/>
        <item x="11"/>
      </items>
    </pivotField>
    <pivotField compact="0" allDrilled="1" showAll="0" dataSourceSort="1" defaultSubtotal="0" defaultAttributeDrillState="1"/>
  </pivotFields>
  <rowFields count="1">
    <field x="8"/>
  </rowFields>
  <rowItems count="13">
    <i>
      <x/>
    </i>
    <i>
      <x v="1"/>
    </i>
    <i>
      <x v="2"/>
    </i>
    <i>
      <x v="3"/>
    </i>
    <i>
      <x v="4"/>
    </i>
    <i>
      <x v="5"/>
    </i>
    <i>
      <x v="6"/>
    </i>
    <i>
      <x v="7"/>
    </i>
    <i>
      <x v="8"/>
    </i>
    <i>
      <x v="9"/>
    </i>
    <i>
      <x v="10"/>
    </i>
    <i>
      <x v="11"/>
    </i>
    <i t="grand">
      <x/>
    </i>
  </rowItems>
  <colFields count="1">
    <field x="-2"/>
  </colFields>
  <colItems count="6">
    <i>
      <x/>
    </i>
    <i i="1">
      <x v="1"/>
    </i>
    <i i="2">
      <x v="2"/>
    </i>
    <i i="3">
      <x v="3"/>
    </i>
    <i i="4">
      <x v="4"/>
    </i>
    <i i="5">
      <x v="5"/>
    </i>
  </colItems>
  <dataFields count="6">
    <dataField fld="4" subtotal="count" baseField="0" baseItem="0"/>
    <dataField name=" Total Revenue" fld="3" baseField="0" baseItem="0" numFmtId="166"/>
    <dataField fld="6" subtotal="count" baseField="0" baseItem="0"/>
    <dataField name=" Total Profit" fld="0" baseField="0" baseItem="0" numFmtId="166"/>
    <dataField fld="7" subtotal="count" baseField="0" baseItem="0"/>
    <dataField name=" COGS" fld="2" baseField="0" baseItem="0" numFmtId="166"/>
  </dataFields>
  <formats count="5">
    <format dxfId="90">
      <pivotArea outline="0" collapsedLevelsAreSubtotals="1" fieldPosition="0">
        <references count="1">
          <reference field="4294967294" count="1" selected="0">
            <x v="3"/>
          </reference>
        </references>
      </pivotArea>
    </format>
    <format dxfId="89">
      <pivotArea outline="0" collapsedLevelsAreSubtotals="1" fieldPosition="0">
        <references count="1">
          <reference field="4294967294" count="1" selected="0">
            <x v="3"/>
          </reference>
        </references>
      </pivotArea>
    </format>
    <format dxfId="88">
      <pivotArea outline="0" collapsedLevelsAreSubtotals="1" fieldPosition="0">
        <references count="1">
          <reference field="4294967294" count="1" selected="0">
            <x v="1"/>
          </reference>
        </references>
      </pivotArea>
    </format>
    <format dxfId="87">
      <pivotArea outline="0" collapsedLevelsAreSubtotals="1" fieldPosition="0">
        <references count="1">
          <reference field="4294967294" count="1" selected="0">
            <x v="5"/>
          </reference>
        </references>
      </pivotArea>
    </format>
    <format dxfId="86">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24]"/>
      </members>
    </pivotHierarchy>
    <pivotHierarchy dragToData="1"/>
    <pivotHierarchy dragToData="1"/>
    <pivotHierarchy dragToData="1"/>
    <pivotHierarchy dragToData="1"/>
    <pivotHierarchy dragToData="1"/>
    <pivotHierarchy dragToData="1"/>
    <pivotHierarchy multipleItemSelectionAllowed="1" dragToData="1">
      <members count="1" level="1">
        <member name="[DimDate].[Fiscal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22]"/>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D2AFC54-86F7-4C21-AF4E-5C28AEF9D602}" name="PivotTable7" cacheId="622" applyNumberFormats="0" applyBorderFormats="0" applyFontFormats="0" applyPatternFormats="0" applyAlignmentFormats="0" applyWidthHeightFormats="1" dataCaption="Values" tag="f03adaf6-7c75-4df4-8aca-485faaf42abc" updatedVersion="8" minRefreshableVersion="3" visualTotals="0" useAutoFormatting="1" subtotalHiddenItems="1" colGrandTotals="0" itemPrintTitles="1" createdVersion="8" indent="0" compact="0" outline="1" outlineData="1" compactData="0" multipleFieldFilters="0" chartFormat="34">
  <location ref="B81:E86" firstHeaderRow="0" firstDataRow="1" firstDataCol="1"/>
  <pivotFields count="7">
    <pivotField dataField="1" compact="0" showAll="0" defaultSubtotal="0"/>
    <pivotField compact="0" allDrilled="1" showAll="0" dataSourceSort="1" defaultSubtotal="0" defaultAttributeDrillState="1"/>
    <pivotField dataField="1" compact="0" showAll="0" defaultSubtotal="0"/>
    <pivotField compact="0" allDrilled="1" showAll="0" dataSourceSort="1" defaultSubtotal="0" defaultAttributeDrillState="1"/>
    <pivotField dataField="1" compact="0" showAll="0" defaultSubtotal="0"/>
    <pivotField compact="0" allDrilled="1" subtotalTop="0" showAll="0" dataSourceSort="1" defaultSubtotal="0" defaultAttributeDrillState="1"/>
    <pivotField axis="axisRow" compact="0" allDrilled="1" subtotalTop="0" showAll="0" dataSourceSort="1" defaultSubtotal="0" defaultAttributeDrillState="1">
      <items count="4">
        <item x="0"/>
        <item x="1"/>
        <item x="2"/>
        <item x="3"/>
      </items>
    </pivotField>
  </pivotFields>
  <rowFields count="1">
    <field x="6"/>
  </rowFields>
  <rowItems count="5">
    <i>
      <x/>
    </i>
    <i>
      <x v="1"/>
    </i>
    <i>
      <x v="2"/>
    </i>
    <i>
      <x v="3"/>
    </i>
    <i t="grand">
      <x/>
    </i>
  </rowItems>
  <colFields count="1">
    <field x="-2"/>
  </colFields>
  <colItems count="3">
    <i>
      <x/>
    </i>
    <i i="1">
      <x v="1"/>
    </i>
    <i i="2">
      <x v="2"/>
    </i>
  </colItems>
  <dataFields count="3">
    <dataField name=" Total Revenue" fld="2" baseField="0" baseItem="0" numFmtId="166"/>
    <dataField name=" Total Profit" fld="0" baseField="0" baseItem="0" numFmtId="166"/>
    <dataField fld="4" subtotal="count" baseField="0" baseItem="0" numFmtId="172"/>
  </dataFields>
  <formats count="5">
    <format dxfId="95">
      <pivotArea outline="0" collapsedLevelsAreSubtotals="1" fieldPosition="0">
        <references count="1">
          <reference field="4294967294" count="1" selected="0">
            <x v="1"/>
          </reference>
        </references>
      </pivotArea>
    </format>
    <format dxfId="94">
      <pivotArea outline="0" collapsedLevelsAreSubtotals="1" fieldPosition="0">
        <references count="1">
          <reference field="4294967294" count="1" selected="0">
            <x v="1"/>
          </reference>
        </references>
      </pivotArea>
    </format>
    <format dxfId="93">
      <pivotArea outline="0" collapsedLevelsAreSubtotals="1" fieldPosition="0">
        <references count="1">
          <reference field="4294967294" count="1" selected="0">
            <x v="0"/>
          </reference>
        </references>
      </pivotArea>
    </format>
    <format dxfId="92">
      <pivotArea outline="0" collapsedLevelsAreSubtotals="1" fieldPosition="0"/>
    </format>
    <format dxfId="91">
      <pivotArea outline="0" collapsedLevelsAreSubtotals="1" fieldPosition="0">
        <references count="1">
          <reference field="4294967294" count="1" selected="0">
            <x v="2"/>
          </reference>
        </references>
      </pivotArea>
    </format>
  </formats>
  <chartFormats count="9">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2"/>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2"/>
          </reference>
        </references>
      </pivotArea>
    </chartFormat>
    <chartFormat chart="33" format="12" series="1">
      <pivotArea type="data" outline="0" fieldPosition="0">
        <references count="1">
          <reference field="4294967294" count="1" selected="0">
            <x v="0"/>
          </reference>
        </references>
      </pivotArea>
    </chartFormat>
    <chartFormat chart="33" format="13" series="1">
      <pivotArea type="data" outline="0" fieldPosition="0">
        <references count="1">
          <reference field="4294967294" count="1" selected="0">
            <x v="1"/>
          </reference>
        </references>
      </pivotArea>
    </chartFormat>
    <chartFormat chart="33" format="14" series="1">
      <pivotArea type="data" outline="0" fieldPosition="0">
        <references count="1">
          <reference field="4294967294" count="1" selected="0">
            <x v="2"/>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24]"/>
      </members>
    </pivotHierarchy>
    <pivotHierarchy dragToData="1"/>
    <pivotHierarchy dragToData="1"/>
    <pivotHierarchy dragToData="1"/>
    <pivotHierarchy dragToData="1"/>
    <pivotHierarchy dragToData="1"/>
    <pivotHierarchy dragToData="1"/>
    <pivotHierarchy multipleItemSelectionAllowed="1" dragToData="1">
      <members count="1" level="1">
        <member name="[DimDate].[Fiscal Year].&amp;[2024]"/>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Date (Year)].&amp;[2022]"/>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Revenue"/>
    <pivotHierarchy dragToData="1" caption=" COGS"/>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3C8DD766-6739-49F9-91BD-E157AAAA508C}" sourceName="[DimDate].[Fiscal Year]">
  <pivotTables>
    <pivotTable tabId="3" name="PivotTable3"/>
    <pivotTable tabId="3" name="PivotTable2"/>
    <pivotTable tabId="3" name="PivotTable4"/>
    <pivotTable tabId="3" name="PivotTable5"/>
    <pivotTable tabId="3" name="PivotTable6"/>
    <pivotTable tabId="3" name="PivotTable7"/>
  </pivotTables>
  <data>
    <olap pivotCacheId="551629411">
      <levels count="2">
        <level uniqueName="[DimDate].[Fiscal Year].[(All)]" sourceCaption="(All)" count="0"/>
        <level uniqueName="[DimDate].[Fiscal Year].[Fiscal Year]" sourceCaption="Fiscal Year" count="4">
          <ranges>
            <range startItem="0">
              <i n="[DimDate].[Fiscal Year].&amp;[2022]" c="2022"/>
              <i n="[DimDate].[Fiscal Year].&amp;[2023]" c="2023"/>
              <i n="[DimDate].[Fiscal Year].&amp;[2024]" c="2024"/>
              <i n="[DimDate].[Fiscal Year].&amp;[2025]" c="2025"/>
            </range>
          </ranges>
        </level>
      </levels>
      <selections count="1">
        <selection n="[DimDate].[Fiscal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 Year 1" xr10:uid="{E2D52820-C53C-40F9-AB58-F8A65DBFE885}" cache="Slicer_Fiscal_Year" caption="Fiscal Year" columnCount="4" showCaption="0" level="1" style="SlicerStyleDark1 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 Year 2" xr10:uid="{FED1AA32-14E9-4E2A-A8A7-8475D8094A1B}" cache="Slicer_Fiscal_Year" caption="Fiscal Year" columnCount="4" showCaption="0" level="1" style="SlicerStyleDark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AF06B-CB7A-4E17-8EA6-A4AB60C7B140}">
  <sheetPr codeName="Sheet2"/>
  <dimension ref="B2:P122"/>
  <sheetViews>
    <sheetView zoomScale="55" zoomScaleNormal="55" workbookViewId="0">
      <selection activeCell="T18" sqref="T18"/>
    </sheetView>
  </sheetViews>
  <sheetFormatPr defaultRowHeight="14.5" x14ac:dyDescent="0.35"/>
  <cols>
    <col min="1" max="1" width="6.26953125" customWidth="1"/>
    <col min="2" max="2" width="12.6328125" bestFit="1" customWidth="1"/>
    <col min="3" max="3" width="13" bestFit="1" customWidth="1"/>
    <col min="4" max="4" width="10.36328125" bestFit="1" customWidth="1"/>
    <col min="5" max="5" width="13.6328125" bestFit="1" customWidth="1"/>
    <col min="6" max="6" width="10.36328125" bestFit="1" customWidth="1"/>
    <col min="7" max="7" width="8.54296875" bestFit="1" customWidth="1"/>
    <col min="8" max="8" width="7.36328125" bestFit="1" customWidth="1"/>
    <col min="9" max="9" width="8" bestFit="1" customWidth="1"/>
    <col min="10" max="10" width="11" bestFit="1" customWidth="1"/>
    <col min="11" max="11" width="12.36328125" bestFit="1" customWidth="1"/>
    <col min="12" max="12" width="14.6328125" bestFit="1" customWidth="1"/>
    <col min="13" max="13" width="7" bestFit="1" customWidth="1"/>
    <col min="14" max="14" width="8" bestFit="1" customWidth="1"/>
    <col min="15" max="15" width="17.6328125" bestFit="1" customWidth="1"/>
    <col min="16" max="16" width="12.36328125" bestFit="1" customWidth="1"/>
    <col min="17" max="17" width="5.36328125" customWidth="1"/>
    <col min="18" max="18" width="6.7265625" customWidth="1"/>
    <col min="19" max="19" width="10.08984375" customWidth="1"/>
    <col min="20" max="21" width="6.36328125" bestFit="1" customWidth="1"/>
    <col min="22" max="23" width="7.1796875" bestFit="1" customWidth="1"/>
    <col min="24" max="24" width="12.36328125" bestFit="1" customWidth="1"/>
    <col min="25" max="25" width="15.453125" bestFit="1" customWidth="1"/>
    <col min="26" max="26" width="17" bestFit="1" customWidth="1"/>
    <col min="27" max="27" width="19.1796875" bestFit="1" customWidth="1"/>
    <col min="28" max="28" width="17.6328125" bestFit="1" customWidth="1"/>
    <col min="29" max="29" width="12.26953125" bestFit="1" customWidth="1"/>
    <col min="30" max="30" width="15.36328125" bestFit="1" customWidth="1"/>
    <col min="31" max="31" width="17" bestFit="1" customWidth="1"/>
    <col min="32" max="32" width="19.1796875" bestFit="1" customWidth="1"/>
    <col min="33" max="33" width="17.6328125" bestFit="1" customWidth="1"/>
    <col min="34" max="34" width="12.26953125" bestFit="1" customWidth="1"/>
    <col min="35" max="35" width="15.36328125" bestFit="1" customWidth="1"/>
    <col min="36" max="36" width="17" bestFit="1" customWidth="1"/>
    <col min="37" max="37" width="19.1796875" bestFit="1" customWidth="1"/>
    <col min="38" max="38" width="17.6328125" bestFit="1" customWidth="1"/>
    <col min="39" max="39" width="12.26953125" bestFit="1" customWidth="1"/>
    <col min="40" max="40" width="15.36328125" bestFit="1" customWidth="1"/>
    <col min="41" max="41" width="17" bestFit="1" customWidth="1"/>
    <col min="42" max="42" width="19.1796875" bestFit="1" customWidth="1"/>
  </cols>
  <sheetData>
    <row r="2" spans="2:13" x14ac:dyDescent="0.35">
      <c r="G2" t="s">
        <v>68</v>
      </c>
    </row>
    <row r="3" spans="2:13" x14ac:dyDescent="0.35">
      <c r="B3" s="9" t="s">
        <v>38</v>
      </c>
    </row>
    <row r="4" spans="2:13" x14ac:dyDescent="0.35">
      <c r="B4" s="6" t="s">
        <v>10</v>
      </c>
      <c r="C4" t="s">
        <v>6</v>
      </c>
      <c r="D4" t="s">
        <v>3</v>
      </c>
      <c r="E4" t="s">
        <v>5</v>
      </c>
      <c r="F4" t="s">
        <v>7</v>
      </c>
      <c r="G4" t="s">
        <v>9</v>
      </c>
      <c r="H4" t="s">
        <v>8</v>
      </c>
      <c r="I4" t="s">
        <v>4</v>
      </c>
      <c r="J4" t="s">
        <v>0</v>
      </c>
      <c r="K4" t="s">
        <v>1</v>
      </c>
      <c r="L4" t="s">
        <v>2</v>
      </c>
    </row>
    <row r="5" spans="2:13" x14ac:dyDescent="0.35">
      <c r="B5" s="7">
        <v>2022</v>
      </c>
      <c r="C5" s="4">
        <v>74138780.342000082</v>
      </c>
      <c r="D5" s="2">
        <v>0.40215515411048136</v>
      </c>
      <c r="E5" s="4">
        <v>29815292.634000171</v>
      </c>
      <c r="F5" s="4">
        <v>44323487.708000079</v>
      </c>
      <c r="G5" s="5">
        <v>33607.788006346367</v>
      </c>
      <c r="H5" s="3">
        <v>23206</v>
      </c>
      <c r="I5" s="3">
        <v>2206</v>
      </c>
      <c r="J5" s="1">
        <v>606</v>
      </c>
      <c r="K5" s="1">
        <v>25</v>
      </c>
      <c r="L5" s="1">
        <v>581</v>
      </c>
      <c r="M5" s="1"/>
    </row>
    <row r="6" spans="2:13" x14ac:dyDescent="0.35">
      <c r="B6" s="7">
        <v>2023</v>
      </c>
      <c r="C6" s="4">
        <v>59749209.846099928</v>
      </c>
      <c r="D6" s="2">
        <v>0.41520947199135882</v>
      </c>
      <c r="E6" s="4">
        <v>24808437.872100048</v>
      </c>
      <c r="F6" s="4">
        <v>34940771.973999962</v>
      </c>
      <c r="G6" s="5">
        <v>18544.137134109227</v>
      </c>
      <c r="H6" s="3">
        <v>33479</v>
      </c>
      <c r="I6" s="3">
        <v>3222</v>
      </c>
      <c r="J6" s="1">
        <v>606</v>
      </c>
      <c r="K6" s="1">
        <v>31</v>
      </c>
      <c r="L6" s="1">
        <v>575</v>
      </c>
      <c r="M6" s="1"/>
    </row>
    <row r="7" spans="2:13" x14ac:dyDescent="0.35">
      <c r="B7" s="7">
        <v>2024</v>
      </c>
      <c r="C7" s="4">
        <v>172672731.99999896</v>
      </c>
      <c r="D7" s="2">
        <v>0.41332710236611525</v>
      </c>
      <c r="E7" s="4">
        <v>71370319.975200355</v>
      </c>
      <c r="F7" s="4">
        <v>101302412.02480315</v>
      </c>
      <c r="G7" s="5">
        <v>3272.7342544681383</v>
      </c>
      <c r="H7" s="3">
        <v>552480</v>
      </c>
      <c r="I7" s="3">
        <v>52761</v>
      </c>
      <c r="J7" s="1">
        <v>606</v>
      </c>
      <c r="K7" s="1">
        <v>102</v>
      </c>
      <c r="L7" s="1">
        <v>504</v>
      </c>
      <c r="M7" s="1"/>
    </row>
    <row r="8" spans="2:13" x14ac:dyDescent="0.35">
      <c r="B8" s="7">
        <v>2025</v>
      </c>
      <c r="C8" s="4">
        <v>532223.0099999985</v>
      </c>
      <c r="D8" s="2">
        <v>0.55714833655914442</v>
      </c>
      <c r="E8" s="4">
        <v>296527.16470000002</v>
      </c>
      <c r="F8" s="4">
        <v>235695.84529999984</v>
      </c>
      <c r="G8" s="5">
        <v>240.93391127206812</v>
      </c>
      <c r="H8" s="3">
        <v>22755</v>
      </c>
      <c r="I8" s="3">
        <v>2209</v>
      </c>
      <c r="J8" s="1">
        <v>606</v>
      </c>
      <c r="K8" s="1">
        <v>42</v>
      </c>
      <c r="L8" s="1">
        <v>564</v>
      </c>
      <c r="M8" s="1"/>
    </row>
    <row r="9" spans="2:13" x14ac:dyDescent="0.35">
      <c r="B9" s="7" t="s">
        <v>11</v>
      </c>
      <c r="C9" s="4">
        <v>307092945.1980952</v>
      </c>
      <c r="D9" s="2">
        <v>0.41124545392774847</v>
      </c>
      <c r="E9" s="4">
        <v>126290577.64599985</v>
      </c>
      <c r="F9" s="4">
        <v>180802367.55209637</v>
      </c>
      <c r="G9" s="5">
        <v>5084.4886452878436</v>
      </c>
      <c r="H9" s="3">
        <v>631920</v>
      </c>
      <c r="I9" s="3">
        <v>60398</v>
      </c>
      <c r="J9" s="1">
        <v>606</v>
      </c>
      <c r="K9" s="1">
        <v>158</v>
      </c>
      <c r="L9" s="1">
        <v>448</v>
      </c>
    </row>
    <row r="12" spans="2:13" x14ac:dyDescent="0.35">
      <c r="B12" s="8" t="s">
        <v>21</v>
      </c>
    </row>
    <row r="13" spans="2:13" x14ac:dyDescent="0.35">
      <c r="B13" s="6" t="s">
        <v>10</v>
      </c>
      <c r="C13" t="s">
        <v>6</v>
      </c>
      <c r="D13" t="s">
        <v>3</v>
      </c>
      <c r="E13" t="s">
        <v>5</v>
      </c>
      <c r="F13" t="s">
        <v>7</v>
      </c>
      <c r="G13" t="s">
        <v>9</v>
      </c>
      <c r="H13" t="s">
        <v>8</v>
      </c>
      <c r="I13" t="s">
        <v>4</v>
      </c>
      <c r="J13" t="s">
        <v>0</v>
      </c>
      <c r="K13" t="s">
        <v>1</v>
      </c>
      <c r="L13" t="s">
        <v>2</v>
      </c>
    </row>
    <row r="14" spans="2:13" x14ac:dyDescent="0.35">
      <c r="B14" s="7">
        <v>2024</v>
      </c>
      <c r="C14" s="4">
        <v>172672731.99999896</v>
      </c>
      <c r="D14" s="2">
        <v>0.41332710236611525</v>
      </c>
      <c r="E14" s="4">
        <v>71370319.975200355</v>
      </c>
      <c r="F14" s="4">
        <v>101302412.02480315</v>
      </c>
      <c r="G14" s="5">
        <v>3272.7342544682429</v>
      </c>
      <c r="H14" s="3">
        <v>552480</v>
      </c>
      <c r="I14" s="3">
        <v>52761</v>
      </c>
      <c r="J14" s="1">
        <v>606</v>
      </c>
      <c r="K14" s="1">
        <v>102</v>
      </c>
      <c r="L14" s="1">
        <v>504</v>
      </c>
    </row>
    <row r="15" spans="2:13" x14ac:dyDescent="0.35">
      <c r="B15" s="7" t="s">
        <v>11</v>
      </c>
      <c r="C15" s="4">
        <v>172672731.99999896</v>
      </c>
      <c r="D15" s="2">
        <v>0.41332710236611525</v>
      </c>
      <c r="E15" s="4">
        <v>71370319.975200355</v>
      </c>
      <c r="F15" s="4">
        <v>101302412.02480315</v>
      </c>
      <c r="G15" s="5">
        <v>3272.7342544682429</v>
      </c>
      <c r="H15" s="3">
        <v>552480</v>
      </c>
      <c r="I15" s="3">
        <v>52761</v>
      </c>
      <c r="J15" s="1">
        <v>606</v>
      </c>
      <c r="K15" s="1">
        <v>102</v>
      </c>
      <c r="L15" s="1">
        <v>504</v>
      </c>
    </row>
    <row r="20" spans="2:8" x14ac:dyDescent="0.35">
      <c r="B20" s="8" t="s">
        <v>20</v>
      </c>
    </row>
    <row r="21" spans="2:8" x14ac:dyDescent="0.35">
      <c r="B21" s="17" t="s">
        <v>12</v>
      </c>
      <c r="C21" s="11" t="s">
        <v>17</v>
      </c>
      <c r="D21" s="11" t="s">
        <v>16</v>
      </c>
      <c r="E21" s="11" t="s">
        <v>15</v>
      </c>
      <c r="F21" s="11" t="s">
        <v>18</v>
      </c>
      <c r="G21" s="11" t="s">
        <v>9</v>
      </c>
      <c r="H21" s="11" t="s">
        <v>19</v>
      </c>
    </row>
    <row r="22" spans="2:8" x14ac:dyDescent="0.35">
      <c r="B22" s="13">
        <f>B23-1</f>
        <v>2023</v>
      </c>
      <c r="C22" s="29">
        <f>IFERROR(VLOOKUP($B22,LookupTable,2,0),0)</f>
        <v>59749209.846099928</v>
      </c>
      <c r="D22" s="12">
        <f>IFERROR(VLOOKUP($B22,LookupTable,3,0),0)</f>
        <v>0.41520947199135882</v>
      </c>
      <c r="E22" s="29">
        <f>IFERROR(VLOOKUP($B22,LookupTable,4,0),0)</f>
        <v>24808437.872100048</v>
      </c>
      <c r="F22" s="29">
        <f>IFERROR(VLOOKUP($B22,LookupTable,5,0),0)</f>
        <v>34940771.973999962</v>
      </c>
      <c r="G22" s="29">
        <f>IFERROR(VLOOKUP($B22,LookupTable,6,0),0)</f>
        <v>18544.137134109227</v>
      </c>
      <c r="H22" s="30">
        <f>IFERROR(VLOOKUP($B22,LookupTable,7,0),0)</f>
        <v>33479</v>
      </c>
    </row>
    <row r="23" spans="2:8" x14ac:dyDescent="0.35">
      <c r="B23" s="13">
        <f>B14</f>
        <v>2024</v>
      </c>
      <c r="C23" s="29">
        <f>VLOOKUP($B23,LookupTable,2,0)</f>
        <v>172672731.99999896</v>
      </c>
      <c r="D23" s="12">
        <f>VLOOKUP($B23,LookupTable,3,0)</f>
        <v>0.41332710236611525</v>
      </c>
      <c r="E23" s="29">
        <f>VLOOKUP($B23,LookupTable,4,0)</f>
        <v>71370319.975200355</v>
      </c>
      <c r="F23" s="29">
        <f>VLOOKUP($B23,LookupTable,5,0)</f>
        <v>101302412.02480315</v>
      </c>
      <c r="G23" s="29">
        <f>VLOOKUP($B23,LookupTable,6,0)</f>
        <v>3272.7342544681383</v>
      </c>
      <c r="H23" s="30">
        <f>VLOOKUP($B23,LookupTable,7,0)</f>
        <v>552480</v>
      </c>
    </row>
    <row r="24" spans="2:8" x14ac:dyDescent="0.35">
      <c r="B24" s="13" t="s">
        <v>25</v>
      </c>
      <c r="C24" s="16">
        <f>IF(C22=0,0,(C23-C22)/C22)</f>
        <v>1.8899584186094471</v>
      </c>
      <c r="D24" s="16">
        <f t="shared" ref="D24:H24" si="0">IF(D22=0,0,(D23-D22)/D22)</f>
        <v>-4.5335421087955071E-3</v>
      </c>
      <c r="E24" s="16">
        <f t="shared" si="0"/>
        <v>1.8768566704260135</v>
      </c>
      <c r="F24" s="16">
        <f t="shared" si="0"/>
        <v>1.8992608434691722</v>
      </c>
      <c r="G24" s="16">
        <f t="shared" si="0"/>
        <v>-0.82351649845985975</v>
      </c>
      <c r="H24" s="16">
        <f t="shared" si="0"/>
        <v>15.502285014486693</v>
      </c>
    </row>
    <row r="26" spans="2:8" x14ac:dyDescent="0.35">
      <c r="B26" s="9" t="s">
        <v>42</v>
      </c>
    </row>
    <row r="27" spans="2:8" x14ac:dyDescent="0.35">
      <c r="B27" s="8" t="s">
        <v>13</v>
      </c>
      <c r="C27" s="10">
        <v>1</v>
      </c>
      <c r="D27" s="15" t="str" cm="1">
        <f t="array" ref="D27">_xlfn.IFS($C$27=1,"Revenue",$C$27=2,"Profit",$C$27=3,"Cost")</f>
        <v>Revenue</v>
      </c>
    </row>
    <row r="28" spans="2:8" x14ac:dyDescent="0.35">
      <c r="B28" s="13" t="s">
        <v>12</v>
      </c>
      <c r="C28" s="13" t="s">
        <v>24</v>
      </c>
      <c r="D28" s="13" t="s">
        <v>22</v>
      </c>
      <c r="E28" s="13" t="s">
        <v>23</v>
      </c>
    </row>
    <row r="29" spans="2:8" x14ac:dyDescent="0.35">
      <c r="B29" s="13">
        <f>B5</f>
        <v>2022</v>
      </c>
      <c r="C29" s="14" cm="1">
        <f t="array" ref="C29">_xlfn.IFS($C$27=1,C5,$C$27=2,E5,$C$27=3,F5)</f>
        <v>74138780.342000082</v>
      </c>
      <c r="D29" s="14">
        <f>AVERAGE($C$29:$C$31)</f>
        <v>102186907.39603299</v>
      </c>
      <c r="E29" s="14">
        <f>IF(C29&gt;D29,C29,0)</f>
        <v>0</v>
      </c>
    </row>
    <row r="30" spans="2:8" x14ac:dyDescent="0.35">
      <c r="B30" s="13">
        <f>B6</f>
        <v>2023</v>
      </c>
      <c r="C30" s="14" cm="1">
        <f t="array" ref="C30">_xlfn.IFS($C$27=1,C6,$C$27=2,E6,$C$27=3,F6)</f>
        <v>59749209.846099928</v>
      </c>
      <c r="D30" s="14">
        <f t="shared" ref="D30:D32" si="1">AVERAGE($C$29:$C$31)</f>
        <v>102186907.39603299</v>
      </c>
      <c r="E30" s="14">
        <f t="shared" ref="E30:E32" si="2">IF(C30&gt;D30,C30,0)</f>
        <v>0</v>
      </c>
    </row>
    <row r="31" spans="2:8" x14ac:dyDescent="0.35">
      <c r="B31" s="13">
        <f>B7</f>
        <v>2024</v>
      </c>
      <c r="C31" s="14" cm="1">
        <f t="array" ref="C31">_xlfn.IFS($C$27=1,C7,$C$27=2,E7,$C$27=3,F7)</f>
        <v>172672731.99999896</v>
      </c>
      <c r="D31" s="14">
        <f t="shared" si="1"/>
        <v>102186907.39603299</v>
      </c>
      <c r="E31" s="14">
        <f t="shared" si="2"/>
        <v>172672731.99999896</v>
      </c>
    </row>
    <row r="32" spans="2:8" x14ac:dyDescent="0.35">
      <c r="B32" s="13">
        <f>B8</f>
        <v>2025</v>
      </c>
      <c r="C32" s="14" cm="1">
        <f t="array" ref="C32">_xlfn.IFS($C$27=1,C8,$C$27=2,E8,$C$27=3,F8)</f>
        <v>532223.0099999985</v>
      </c>
      <c r="D32" s="14">
        <f t="shared" si="1"/>
        <v>102186907.39603299</v>
      </c>
      <c r="E32" s="14">
        <f t="shared" si="2"/>
        <v>0</v>
      </c>
    </row>
    <row r="34" spans="2:12" x14ac:dyDescent="0.35">
      <c r="B34" s="9" t="s">
        <v>43</v>
      </c>
    </row>
    <row r="35" spans="2:12" x14ac:dyDescent="0.35">
      <c r="B35" t="s">
        <v>14</v>
      </c>
      <c r="C35" s="15">
        <f>B14</f>
        <v>2024</v>
      </c>
    </row>
    <row r="36" spans="2:12" x14ac:dyDescent="0.35">
      <c r="B36" s="6" t="s">
        <v>67</v>
      </c>
      <c r="C36" t="s">
        <v>39</v>
      </c>
      <c r="D36" t="s">
        <v>6</v>
      </c>
      <c r="E36" t="s">
        <v>40</v>
      </c>
      <c r="F36" t="s">
        <v>5</v>
      </c>
      <c r="G36" t="s">
        <v>41</v>
      </c>
      <c r="H36" t="s">
        <v>7</v>
      </c>
      <c r="J36" s="15" t="str" cm="1">
        <f t="array" ref="J36">_xlfn.IFS($C$27=1,"Revenue",$C$27=2,"Profit",$C$27=3,"Cost")</f>
        <v>Revenue</v>
      </c>
      <c r="K36" s="19">
        <f>$C$35-1</f>
        <v>2023</v>
      </c>
      <c r="L36" s="19">
        <f>$C$35</f>
        <v>2024</v>
      </c>
    </row>
    <row r="37" spans="2:12" x14ac:dyDescent="0.35">
      <c r="B37" t="s">
        <v>32</v>
      </c>
      <c r="C37" s="18">
        <v>5221664.0228000004</v>
      </c>
      <c r="D37" s="18">
        <v>9288353.6400000174</v>
      </c>
      <c r="E37" s="18">
        <v>2110072.8856000002</v>
      </c>
      <c r="F37" s="18">
        <v>3781241.7557999999</v>
      </c>
      <c r="G37" s="18">
        <v>3111591.1372000007</v>
      </c>
      <c r="H37" s="18">
        <v>5507111.8842000067</v>
      </c>
      <c r="J37" t="s">
        <v>32</v>
      </c>
      <c r="K37" s="18" cm="1">
        <f t="array" ref="K37">_xlfn.IFS($C$27=1,_xlfn.IFNA(VLOOKUP($J37,MthLookupTable,2,0),""),$C$27=2,_xlfn.IFNA(VLOOKUP($J37,MthLookupTable,4,0),""),$C$27=3,_xlfn.IFNA(VLOOKUP($J37,MthLookupTable,6,0),""))</f>
        <v>5221664.0228000004</v>
      </c>
      <c r="L37" s="18" cm="1">
        <f t="array" ref="L37">_xlfn.IFS($C$27=1,_xlfn.IFNA(VLOOKUP($J37,MthLookupTable,3,0),""),$C$27=2,_xlfn.IFNA(VLOOKUP($J37,MthLookupTable,5,0),""),$C$27=3,_xlfn.IFNA(VLOOKUP($J37,MthLookupTable,7,0),""))</f>
        <v>9288353.6400000174</v>
      </c>
    </row>
    <row r="38" spans="2:12" x14ac:dyDescent="0.35">
      <c r="B38" t="s">
        <v>33</v>
      </c>
      <c r="C38" s="18">
        <v>5729915.441899999</v>
      </c>
      <c r="D38" s="18">
        <v>8744056.7300000563</v>
      </c>
      <c r="E38" s="18">
        <v>2324468.8939000005</v>
      </c>
      <c r="F38" s="18">
        <v>3651438.9383000112</v>
      </c>
      <c r="G38" s="18">
        <v>3405446.548</v>
      </c>
      <c r="H38" s="18">
        <v>5092617.7916999906</v>
      </c>
      <c r="J38" t="s">
        <v>33</v>
      </c>
      <c r="K38" s="18" cm="1">
        <f t="array" ref="K38">_xlfn.IFS($C$27=1,_xlfn.IFNA(VLOOKUP($J38,MthLookupTable,2,0),""),$C$27=2,_xlfn.IFNA(VLOOKUP($J38,MthLookupTable,4,0),""),$C$27=3,_xlfn.IFNA(VLOOKUP($J38,MthLookupTable,6,0),""))</f>
        <v>5729915.441899999</v>
      </c>
      <c r="L38" s="18" cm="1">
        <f t="array" ref="L38">_xlfn.IFS($C$27=1,_xlfn.IFNA(VLOOKUP($J38,MthLookupTable,3,0),""),$C$27=2,_xlfn.IFNA(VLOOKUP($J38,MthLookupTable,5,0),""),$C$27=3,_xlfn.IFNA(VLOOKUP($J38,MthLookupTable,7,0),""))</f>
        <v>8744056.7300000563</v>
      </c>
    </row>
    <row r="39" spans="2:12" x14ac:dyDescent="0.35">
      <c r="B39" t="s">
        <v>34</v>
      </c>
      <c r="C39" s="18">
        <v>3897526.6459000004</v>
      </c>
      <c r="D39" s="18">
        <v>10708999.990000127</v>
      </c>
      <c r="E39" s="18">
        <v>1589198.2703</v>
      </c>
      <c r="F39" s="18">
        <v>4442947.8940999974</v>
      </c>
      <c r="G39" s="18">
        <v>2308328.3755999999</v>
      </c>
      <c r="H39" s="18">
        <v>6266052.0959000131</v>
      </c>
      <c r="J39" t="s">
        <v>34</v>
      </c>
      <c r="K39" s="18" cm="1">
        <f t="array" ref="K39">_xlfn.IFS($C$27=1,_xlfn.IFNA(VLOOKUP($J39,MthLookupTable,2,0),""),$C$27=2,_xlfn.IFNA(VLOOKUP($J39,MthLookupTable,4,0),""),$C$27=3,_xlfn.IFNA(VLOOKUP($J39,MthLookupTable,6,0),""))</f>
        <v>3897526.6459000004</v>
      </c>
      <c r="L39" s="18" cm="1">
        <f t="array" ref="L39">_xlfn.IFS($C$27=1,_xlfn.IFNA(VLOOKUP($J39,MthLookupTable,3,0),""),$C$27=2,_xlfn.IFNA(VLOOKUP($J39,MthLookupTable,5,0),""),$C$27=3,_xlfn.IFNA(VLOOKUP($J39,MthLookupTable,7,0),""))</f>
        <v>10708999.990000127</v>
      </c>
    </row>
    <row r="40" spans="2:12" x14ac:dyDescent="0.35">
      <c r="B40" t="s">
        <v>35</v>
      </c>
      <c r="C40" s="18">
        <v>4235194.8893999998</v>
      </c>
      <c r="D40" s="18">
        <v>11587932.870000133</v>
      </c>
      <c r="E40" s="18">
        <v>1755539.9450000001</v>
      </c>
      <c r="F40" s="18">
        <v>4817409.9899000134</v>
      </c>
      <c r="G40" s="18">
        <v>2479654.9444000004</v>
      </c>
      <c r="H40" s="18">
        <v>6770522.8801000183</v>
      </c>
      <c r="J40" t="s">
        <v>35</v>
      </c>
      <c r="K40" s="18" cm="1">
        <f t="array" ref="K40">_xlfn.IFS($C$27=1,_xlfn.IFNA(VLOOKUP($J40,MthLookupTable,2,0),""),$C$27=2,_xlfn.IFNA(VLOOKUP($J40,MthLookupTable,4,0),""),$C$27=3,_xlfn.IFNA(VLOOKUP($J40,MthLookupTable,6,0),""))</f>
        <v>4235194.8893999998</v>
      </c>
      <c r="L40" s="18" cm="1">
        <f t="array" ref="L40">_xlfn.IFS($C$27=1,_xlfn.IFNA(VLOOKUP($J40,MthLookupTable,3,0),""),$C$27=2,_xlfn.IFNA(VLOOKUP($J40,MthLookupTable,5,0),""),$C$27=3,_xlfn.IFNA(VLOOKUP($J40,MthLookupTable,7,0),""))</f>
        <v>11587932.870000133</v>
      </c>
    </row>
    <row r="41" spans="2:12" x14ac:dyDescent="0.35">
      <c r="B41" t="s">
        <v>36</v>
      </c>
      <c r="C41" s="18">
        <v>3479942.2291000001</v>
      </c>
      <c r="D41" s="18">
        <v>12586008.540000184</v>
      </c>
      <c r="E41" s="18">
        <v>1415578.3239</v>
      </c>
      <c r="F41" s="18">
        <v>5237857.4058000129</v>
      </c>
      <c r="G41" s="18">
        <v>2064363.9052000002</v>
      </c>
      <c r="H41" s="18">
        <v>7348151.134200016</v>
      </c>
      <c r="J41" t="s">
        <v>36</v>
      </c>
      <c r="K41" s="18" cm="1">
        <f t="array" ref="K41">_xlfn.IFS($C$27=1,_xlfn.IFNA(VLOOKUP($J41,MthLookupTable,2,0),""),$C$27=2,_xlfn.IFNA(VLOOKUP($J41,MthLookupTable,4,0),""),$C$27=3,_xlfn.IFNA(VLOOKUP($J41,MthLookupTable,6,0),""))</f>
        <v>3479942.2291000001</v>
      </c>
      <c r="L41" s="18" cm="1">
        <f t="array" ref="L41">_xlfn.IFS($C$27=1,_xlfn.IFNA(VLOOKUP($J41,MthLookupTable,3,0),""),$C$27=2,_xlfn.IFNA(VLOOKUP($J41,MthLookupTable,5,0),""),$C$27=3,_xlfn.IFNA(VLOOKUP($J41,MthLookupTable,7,0),""))</f>
        <v>12586008.540000184</v>
      </c>
    </row>
    <row r="42" spans="2:12" x14ac:dyDescent="0.35">
      <c r="B42" t="s">
        <v>37</v>
      </c>
      <c r="C42" s="18">
        <v>6151691.8006999996</v>
      </c>
      <c r="D42" s="18">
        <v>18430986.530000251</v>
      </c>
      <c r="E42" s="18">
        <v>2571252.0333999996</v>
      </c>
      <c r="F42" s="18">
        <v>7573887.1603000155</v>
      </c>
      <c r="G42" s="18">
        <v>3580439.7672999999</v>
      </c>
      <c r="H42" s="18">
        <v>10857099.369700063</v>
      </c>
      <c r="J42" t="s">
        <v>37</v>
      </c>
      <c r="K42" s="18" cm="1">
        <f t="array" ref="K42">_xlfn.IFS($C$27=1,_xlfn.IFNA(VLOOKUP($J42,MthLookupTable,2,0),""),$C$27=2,_xlfn.IFNA(VLOOKUP($J42,MthLookupTable,4,0),""),$C$27=3,_xlfn.IFNA(VLOOKUP($J42,MthLookupTable,6,0),""))</f>
        <v>6151691.8006999996</v>
      </c>
      <c r="L42" s="18" cm="1">
        <f t="array" ref="L42">_xlfn.IFS($C$27=1,_xlfn.IFNA(VLOOKUP($J42,MthLookupTable,3,0),""),$C$27=2,_xlfn.IFNA(VLOOKUP($J42,MthLookupTable,5,0),""),$C$27=3,_xlfn.IFNA(VLOOKUP($J42,MthLookupTable,7,0),""))</f>
        <v>18430986.530000251</v>
      </c>
    </row>
    <row r="43" spans="2:12" x14ac:dyDescent="0.35">
      <c r="B43" t="s">
        <v>26</v>
      </c>
      <c r="C43" s="18">
        <v>4562516.584999999</v>
      </c>
      <c r="D43" s="18">
        <v>13901555.480000231</v>
      </c>
      <c r="E43" s="18">
        <v>1897575.5263000003</v>
      </c>
      <c r="F43" s="18">
        <v>5767055.735800012</v>
      </c>
      <c r="G43" s="18">
        <v>2664941.0586999999</v>
      </c>
      <c r="H43" s="18">
        <v>8134499.7441999996</v>
      </c>
      <c r="J43" t="s">
        <v>26</v>
      </c>
      <c r="K43" s="18" cm="1">
        <f t="array" ref="K43">_xlfn.IFS($C$27=1,_xlfn.IFNA(VLOOKUP($J43,MthLookupTable,2,0),""),$C$27=2,_xlfn.IFNA(VLOOKUP($J43,MthLookupTable,4,0),""),$C$27=3,_xlfn.IFNA(VLOOKUP($J43,MthLookupTable,6,0),""))</f>
        <v>4562516.584999999</v>
      </c>
      <c r="L43" s="18" cm="1">
        <f t="array" ref="L43">_xlfn.IFS($C$27=1,_xlfn.IFNA(VLOOKUP($J43,MthLookupTable,3,0),""),$C$27=2,_xlfn.IFNA(VLOOKUP($J43,MthLookupTable,5,0),""),$C$27=3,_xlfn.IFNA(VLOOKUP($J43,MthLookupTable,7,0),""))</f>
        <v>13901555.480000231</v>
      </c>
    </row>
    <row r="44" spans="2:12" x14ac:dyDescent="0.35">
      <c r="B44" t="s">
        <v>27</v>
      </c>
      <c r="C44" s="18">
        <v>5032586.7455000002</v>
      </c>
      <c r="D44" s="18">
        <v>15327678.27000018</v>
      </c>
      <c r="E44" s="18">
        <v>2118816.2384000001</v>
      </c>
      <c r="F44" s="18">
        <v>6347589.4002000038</v>
      </c>
      <c r="G44" s="18">
        <v>2913770.5071</v>
      </c>
      <c r="H44" s="18">
        <v>8980088.8698000088</v>
      </c>
      <c r="J44" t="s">
        <v>27</v>
      </c>
      <c r="K44" s="18" cm="1">
        <f t="array" ref="K44">_xlfn.IFS($C$27=1,_xlfn.IFNA(VLOOKUP($J44,MthLookupTable,2,0),""),$C$27=2,_xlfn.IFNA(VLOOKUP($J44,MthLookupTable,4,0),""),$C$27=3,_xlfn.IFNA(VLOOKUP($J44,MthLookupTable,6,0),""))</f>
        <v>5032586.7455000002</v>
      </c>
      <c r="L44" s="18" cm="1">
        <f t="array" ref="L44">_xlfn.IFS($C$27=1,_xlfn.IFNA(VLOOKUP($J44,MthLookupTable,3,0),""),$C$27=2,_xlfn.IFNA(VLOOKUP($J44,MthLookupTable,5,0),""),$C$27=3,_xlfn.IFNA(VLOOKUP($J44,MthLookupTable,7,0),""))</f>
        <v>15327678.27000018</v>
      </c>
    </row>
    <row r="45" spans="2:12" x14ac:dyDescent="0.35">
      <c r="B45" t="s">
        <v>28</v>
      </c>
      <c r="C45" s="18">
        <v>4964857.9693999998</v>
      </c>
      <c r="D45" s="18">
        <v>15304380.98000019</v>
      </c>
      <c r="E45" s="18">
        <v>2087663.5864000001</v>
      </c>
      <c r="F45" s="18">
        <v>6321911.1677999934</v>
      </c>
      <c r="G45" s="18">
        <v>2877194.382999999</v>
      </c>
      <c r="H45" s="18">
        <v>8982469.8122000229</v>
      </c>
      <c r="J45" t="s">
        <v>28</v>
      </c>
      <c r="K45" s="18" cm="1">
        <f t="array" ref="K45">_xlfn.IFS($C$27=1,_xlfn.IFNA(VLOOKUP($J45,MthLookupTable,2,0),""),$C$27=2,_xlfn.IFNA(VLOOKUP($J45,MthLookupTable,4,0),""),$C$27=3,_xlfn.IFNA(VLOOKUP($J45,MthLookupTable,6,0),""))</f>
        <v>4964857.9693999998</v>
      </c>
      <c r="L45" s="18" cm="1">
        <f t="array" ref="L45">_xlfn.IFS($C$27=1,_xlfn.IFNA(VLOOKUP($J45,MthLookupTable,3,0),""),$C$27=2,_xlfn.IFNA(VLOOKUP($J45,MthLookupTable,5,0),""),$C$27=3,_xlfn.IFNA(VLOOKUP($J45,MthLookupTable,7,0),""))</f>
        <v>15304380.98000019</v>
      </c>
    </row>
    <row r="46" spans="2:12" x14ac:dyDescent="0.35">
      <c r="B46" t="s">
        <v>29</v>
      </c>
      <c r="C46" s="18">
        <v>5304878.1284000007</v>
      </c>
      <c r="D46" s="18">
        <v>16794232.980000261</v>
      </c>
      <c r="E46" s="18">
        <v>2216974.4109000005</v>
      </c>
      <c r="F46" s="18">
        <v>6899665.643599987</v>
      </c>
      <c r="G46" s="18">
        <v>3087903.7174999989</v>
      </c>
      <c r="H46" s="18">
        <v>9894567.3364000153</v>
      </c>
      <c r="J46" t="s">
        <v>29</v>
      </c>
      <c r="K46" s="18" cm="1">
        <f t="array" ref="K46">_xlfn.IFS($C$27=1,_xlfn.IFNA(VLOOKUP($J46,MthLookupTable,2,0),""),$C$27=2,_xlfn.IFNA(VLOOKUP($J46,MthLookupTable,4,0),""),$C$27=3,_xlfn.IFNA(VLOOKUP($J46,MthLookupTable,6,0),""))</f>
        <v>5304878.1284000007</v>
      </c>
      <c r="L46" s="18" cm="1">
        <f t="array" ref="L46">_xlfn.IFS($C$27=1,_xlfn.IFNA(VLOOKUP($J46,MthLookupTable,3,0),""),$C$27=2,_xlfn.IFNA(VLOOKUP($J46,MthLookupTable,5,0),""),$C$27=3,_xlfn.IFNA(VLOOKUP($J46,MthLookupTable,7,0),""))</f>
        <v>16794232.980000261</v>
      </c>
    </row>
    <row r="47" spans="2:12" x14ac:dyDescent="0.35">
      <c r="B47" t="s">
        <v>30</v>
      </c>
      <c r="C47" s="18">
        <v>5626108.9785000002</v>
      </c>
      <c r="D47" s="18">
        <v>19944264.190000225</v>
      </c>
      <c r="E47" s="18">
        <v>2385932.3568999995</v>
      </c>
      <c r="F47" s="18">
        <v>8252983.0976000046</v>
      </c>
      <c r="G47" s="18">
        <v>3240176.6216000002</v>
      </c>
      <c r="H47" s="18">
        <v>11691281.092400067</v>
      </c>
      <c r="J47" t="s">
        <v>30</v>
      </c>
      <c r="K47" s="18" cm="1">
        <f t="array" ref="K47">_xlfn.IFS($C$27=1,_xlfn.IFNA(VLOOKUP($J47,MthLookupTable,2,0),""),$C$27=2,_xlfn.IFNA(VLOOKUP($J47,MthLookupTable,4,0),""),$C$27=3,_xlfn.IFNA(VLOOKUP($J47,MthLookupTable,6,0),""))</f>
        <v>5626108.9785000002</v>
      </c>
      <c r="L47" s="18" cm="1">
        <f t="array" ref="L47">_xlfn.IFS($C$27=1,_xlfn.IFNA(VLOOKUP($J47,MthLookupTable,3,0),""),$C$27=2,_xlfn.IFNA(VLOOKUP($J47,MthLookupTable,5,0),""),$C$27=3,_xlfn.IFNA(VLOOKUP($J47,MthLookupTable,7,0),""))</f>
        <v>19944264.190000225</v>
      </c>
    </row>
    <row r="48" spans="2:12" x14ac:dyDescent="0.35">
      <c r="B48" t="s">
        <v>31</v>
      </c>
      <c r="C48" s="18">
        <v>5542326.4095000019</v>
      </c>
      <c r="D48" s="18">
        <v>20054281.800000228</v>
      </c>
      <c r="E48" s="18">
        <v>2335365.4011000004</v>
      </c>
      <c r="F48" s="18">
        <v>8276331.7860000152</v>
      </c>
      <c r="G48" s="18">
        <v>3206961.0083999997</v>
      </c>
      <c r="H48" s="18">
        <v>11777950.014000088</v>
      </c>
      <c r="J48" t="s">
        <v>31</v>
      </c>
      <c r="K48" s="18" cm="1">
        <f t="array" ref="K48">_xlfn.IFS($C$27=1,_xlfn.IFNA(VLOOKUP($J48,MthLookupTable,2,0),""),$C$27=2,_xlfn.IFNA(VLOOKUP($J48,MthLookupTable,4,0),""),$C$27=3,_xlfn.IFNA(VLOOKUP($J48,MthLookupTable,6,0),""))</f>
        <v>5542326.4095000019</v>
      </c>
      <c r="L48" s="18" cm="1">
        <f t="array" ref="L48">_xlfn.IFS($C$27=1,_xlfn.IFNA(VLOOKUP($J48,MthLookupTable,3,0),""),$C$27=2,_xlfn.IFNA(VLOOKUP($J48,MthLookupTable,5,0),""),$C$27=3,_xlfn.IFNA(VLOOKUP($J48,MthLookupTable,7,0),""))</f>
        <v>20054281.800000228</v>
      </c>
    </row>
    <row r="49" spans="2:12" x14ac:dyDescent="0.35">
      <c r="B49" s="22" t="s">
        <v>11</v>
      </c>
      <c r="C49" s="18">
        <v>59749209.846099921</v>
      </c>
      <c r="D49" s="18">
        <v>172672731.99999896</v>
      </c>
      <c r="E49" s="18">
        <v>24808437.872099988</v>
      </c>
      <c r="F49" s="18">
        <v>71370319.975200355</v>
      </c>
      <c r="G49" s="18">
        <v>34940771.974000014</v>
      </c>
      <c r="H49" s="18">
        <v>101302412.02480315</v>
      </c>
      <c r="K49" s="20">
        <f>SUM(K37:K48)</f>
        <v>59749209.846099995</v>
      </c>
      <c r="L49" s="20">
        <f>SUM(L37:L48)</f>
        <v>172672732.00000209</v>
      </c>
    </row>
    <row r="51" spans="2:12" x14ac:dyDescent="0.35">
      <c r="B51" s="9" t="s">
        <v>44</v>
      </c>
    </row>
    <row r="52" spans="2:12" x14ac:dyDescent="0.35">
      <c r="B52" s="6" t="s">
        <v>66</v>
      </c>
      <c r="C52" t="s">
        <v>6</v>
      </c>
      <c r="D52" t="s">
        <v>5</v>
      </c>
      <c r="E52" t="s">
        <v>7</v>
      </c>
      <c r="J52" s="15" t="str" cm="1">
        <f t="array" ref="J52">_xlfn.IFS($C$27=1,"Revenue",$C$27=2,"Profut",$C$27=3,"Cost")</f>
        <v>Revenue</v>
      </c>
      <c r="K52" s="19">
        <f>$C$35</f>
        <v>2024</v>
      </c>
    </row>
    <row r="53" spans="2:12" x14ac:dyDescent="0.35">
      <c r="B53" t="s">
        <v>45</v>
      </c>
      <c r="C53" s="18">
        <v>23840642.450000204</v>
      </c>
      <c r="D53" s="18">
        <v>9831590.4807000142</v>
      </c>
      <c r="E53" s="18">
        <v>14009051.969300173</v>
      </c>
      <c r="J53" t="s">
        <v>45</v>
      </c>
      <c r="K53" s="18" cm="1">
        <f t="array" ref="K53">_xlfn.IFS($C$27=1,VLOOKUP($J53,WeekLookupTable,2,0),$C$27=2,VLOOKUP($J53,WeekLookupTable,3,0),$C$27=3,VLOOKUP($J53,WeekLookupTable,4,0))</f>
        <v>23840642.450000204</v>
      </c>
    </row>
    <row r="54" spans="2:12" x14ac:dyDescent="0.35">
      <c r="B54" t="s">
        <v>46</v>
      </c>
      <c r="C54" s="18">
        <v>26136302.560000144</v>
      </c>
      <c r="D54" s="18">
        <v>10855030.968299981</v>
      </c>
      <c r="E54" s="18">
        <v>15281271.591700118</v>
      </c>
      <c r="J54" t="s">
        <v>46</v>
      </c>
      <c r="K54" s="18" cm="1">
        <f t="array" ref="K54">_xlfn.IFS($C$27=1,VLOOKUP($J54,WeekLookupTable,2,0),$C$27=2,VLOOKUP($J54,WeekLookupTable,3,0),$C$27=3,VLOOKUP($J54,WeekLookupTable,4,0))</f>
        <v>26136302.560000144</v>
      </c>
    </row>
    <row r="55" spans="2:12" x14ac:dyDescent="0.35">
      <c r="B55" t="s">
        <v>47</v>
      </c>
      <c r="C55" s="18">
        <v>26097954.350000121</v>
      </c>
      <c r="D55" s="18">
        <v>10749256.875100026</v>
      </c>
      <c r="E55" s="18">
        <v>15348697.474900197</v>
      </c>
      <c r="J55" t="s">
        <v>47</v>
      </c>
      <c r="K55" s="18" cm="1">
        <f t="array" ref="K55">_xlfn.IFS($C$27=1,VLOOKUP($J55,WeekLookupTable,2,0),$C$27=2,VLOOKUP($J55,WeekLookupTable,3,0),$C$27=3,VLOOKUP($J55,WeekLookupTable,4,0))</f>
        <v>26097954.350000121</v>
      </c>
    </row>
    <row r="56" spans="2:12" x14ac:dyDescent="0.35">
      <c r="B56" t="s">
        <v>48</v>
      </c>
      <c r="C56" s="18">
        <v>24264189.970000252</v>
      </c>
      <c r="D56" s="18">
        <v>10006963.751299981</v>
      </c>
      <c r="E56" s="18">
        <v>14257226.21870015</v>
      </c>
      <c r="J56" t="s">
        <v>48</v>
      </c>
      <c r="K56" s="18" cm="1">
        <f t="array" ref="K56">_xlfn.IFS($C$27=1,VLOOKUP($J56,WeekLookupTable,2,0),$C$27=2,VLOOKUP($J56,WeekLookupTable,3,0),$C$27=3,VLOOKUP($J56,WeekLookupTable,4,0))</f>
        <v>24264189.970000252</v>
      </c>
    </row>
    <row r="57" spans="2:12" x14ac:dyDescent="0.35">
      <c r="B57" t="s">
        <v>49</v>
      </c>
      <c r="C57" s="18">
        <v>24792491.910000235</v>
      </c>
      <c r="D57" s="18">
        <v>10239454.583100008</v>
      </c>
      <c r="E57" s="18">
        <v>14553037.326900112</v>
      </c>
      <c r="J57" t="s">
        <v>49</v>
      </c>
      <c r="K57" s="18" cm="1">
        <f t="array" ref="K57">_xlfn.IFS($C$27=1,VLOOKUP($J57,WeekLookupTable,2,0),$C$27=2,VLOOKUP($J57,WeekLookupTable,3,0),$C$27=3,VLOOKUP($J57,WeekLookupTable,4,0))</f>
        <v>24792491.910000235</v>
      </c>
    </row>
    <row r="58" spans="2:12" x14ac:dyDescent="0.35">
      <c r="B58" t="s">
        <v>50</v>
      </c>
      <c r="C58" s="18">
        <v>24071961.670000233</v>
      </c>
      <c r="D58" s="18">
        <v>9939554.6047000047</v>
      </c>
      <c r="E58" s="18">
        <v>14132407.065300127</v>
      </c>
      <c r="J58" t="s">
        <v>50</v>
      </c>
      <c r="K58" s="18" cm="1">
        <f t="array" ref="K58">_xlfn.IFS($C$27=1,VLOOKUP($J58,WeekLookupTable,2,0),$C$27=2,VLOOKUP($J58,WeekLookupTable,3,0),$C$27=3,VLOOKUP($J58,WeekLookupTable,4,0))</f>
        <v>24071961.670000233</v>
      </c>
    </row>
    <row r="59" spans="2:12" x14ac:dyDescent="0.35">
      <c r="B59" t="s">
        <v>51</v>
      </c>
      <c r="C59" s="18">
        <v>23469189.090000287</v>
      </c>
      <c r="D59" s="18">
        <v>9748468.7119999975</v>
      </c>
      <c r="E59" s="18">
        <v>13720720.378000138</v>
      </c>
      <c r="J59" t="s">
        <v>51</v>
      </c>
      <c r="K59" s="18" cm="1">
        <f t="array" ref="K59">_xlfn.IFS($C$27=1,VLOOKUP($J59,WeekLookupTable,2,0),$C$27=2,VLOOKUP($J59,WeekLookupTable,3,0),$C$27=3,VLOOKUP($J59,WeekLookupTable,4,0))</f>
        <v>23469189.090000287</v>
      </c>
    </row>
    <row r="60" spans="2:12" x14ac:dyDescent="0.35">
      <c r="B60" s="22" t="s">
        <v>11</v>
      </c>
      <c r="C60" s="18">
        <v>172672731.99999896</v>
      </c>
      <c r="D60" s="18">
        <v>71370319.975200355</v>
      </c>
      <c r="E60" s="18">
        <v>101302412.02480315</v>
      </c>
      <c r="J60" s="26"/>
      <c r="K60" s="20">
        <f>SUM(K53:K59)</f>
        <v>172672732.00000149</v>
      </c>
    </row>
    <row r="62" spans="2:12" x14ac:dyDescent="0.35">
      <c r="B62" s="9" t="s">
        <v>52</v>
      </c>
    </row>
    <row r="63" spans="2:12" x14ac:dyDescent="0.35">
      <c r="B63" s="6" t="s">
        <v>65</v>
      </c>
      <c r="C63" t="s">
        <v>6</v>
      </c>
      <c r="D63" t="s">
        <v>5</v>
      </c>
      <c r="E63" t="s">
        <v>3</v>
      </c>
    </row>
    <row r="64" spans="2:12" x14ac:dyDescent="0.35">
      <c r="B64" t="s">
        <v>63</v>
      </c>
      <c r="C64" s="18">
        <v>28741410.360000003</v>
      </c>
      <c r="D64" s="18">
        <v>11875628.588200066</v>
      </c>
      <c r="E64" s="21">
        <v>0.41318879064917485</v>
      </c>
    </row>
    <row r="65" spans="2:11" x14ac:dyDescent="0.35">
      <c r="B65" t="s">
        <v>64</v>
      </c>
      <c r="C65" s="18">
        <v>42604927.93999961</v>
      </c>
      <c r="D65" s="18">
        <v>17629154.556000076</v>
      </c>
      <c r="E65" s="21">
        <v>0.41378205311899979</v>
      </c>
    </row>
    <row r="66" spans="2:11" x14ac:dyDescent="0.35">
      <c r="B66" t="s">
        <v>53</v>
      </c>
      <c r="C66" s="18">
        <v>44533614.729999311</v>
      </c>
      <c r="D66" s="18">
        <v>18436556.303799897</v>
      </c>
      <c r="E66" s="21">
        <v>0.4139919118530575</v>
      </c>
    </row>
    <row r="67" spans="2:11" x14ac:dyDescent="0.35">
      <c r="B67" t="s">
        <v>54</v>
      </c>
      <c r="C67" s="18">
        <v>56792778.969999075</v>
      </c>
      <c r="D67" s="18">
        <v>23428980.527200114</v>
      </c>
      <c r="E67" s="21">
        <v>0.41253449737996672</v>
      </c>
    </row>
    <row r="68" spans="2:11" x14ac:dyDescent="0.35">
      <c r="B68" s="22" t="s">
        <v>11</v>
      </c>
      <c r="C68" s="18">
        <v>172672731.99999896</v>
      </c>
      <c r="D68" s="18">
        <v>71370319.975200355</v>
      </c>
      <c r="E68" s="21">
        <v>0.41332710236611525</v>
      </c>
    </row>
    <row r="70" spans="2:11" x14ac:dyDescent="0.35">
      <c r="B70" s="9" t="s">
        <v>55</v>
      </c>
    </row>
    <row r="71" spans="2:11" x14ac:dyDescent="0.35">
      <c r="B71" s="6" t="s">
        <v>56</v>
      </c>
      <c r="C71" t="s">
        <v>6</v>
      </c>
      <c r="D71" t="s">
        <v>5</v>
      </c>
      <c r="E71" t="s">
        <v>3</v>
      </c>
      <c r="J71" s="15" t="str" cm="1">
        <f t="array" ref="J71">_xlfn.IFS($C$27=1,"Revenue",$C$27=2,"Profut",$C$27=3,"Cost")</f>
        <v>Revenue</v>
      </c>
      <c r="K71" s="19">
        <f>$C$35</f>
        <v>2024</v>
      </c>
    </row>
    <row r="72" spans="2:11" x14ac:dyDescent="0.35">
      <c r="B72" t="s">
        <v>58</v>
      </c>
      <c r="C72" s="18">
        <v>46526508.119999617</v>
      </c>
      <c r="D72" s="18">
        <v>18655834.203800149</v>
      </c>
      <c r="E72" s="21">
        <v>0.40097215453357565</v>
      </c>
      <c r="J72" t="s">
        <v>58</v>
      </c>
      <c r="K72" s="18" cm="1">
        <f t="array" ref="K72">_xlfn.IFS($C$27=1,VLOOKUP($J72,CtryLookupTable,2,0),$C$27=2,VLOOKUP($J72,CtryLookupTable,3,0),$C$27=3,VLOOKUP($J72,CtryLookupTable,4,0))</f>
        <v>46526508.119999617</v>
      </c>
    </row>
    <row r="73" spans="2:11" x14ac:dyDescent="0.35">
      <c r="B73" t="s">
        <v>57</v>
      </c>
      <c r="C73" s="18">
        <v>11089361.650000395</v>
      </c>
      <c r="D73" s="18">
        <v>4793776.9281000504</v>
      </c>
      <c r="E73" s="21">
        <v>0.43228610260897027</v>
      </c>
      <c r="J73" t="s">
        <v>57</v>
      </c>
      <c r="K73" s="18" cm="1">
        <f t="array" ref="K73">_xlfn.IFS($C$27=1,VLOOKUP($J73,CtryLookupTable,2,0),$C$27=2,VLOOKUP($J73,CtryLookupTable,3,0),$C$27=3,VLOOKUP($J73,CtryLookupTable,4,0))</f>
        <v>11089361.650000395</v>
      </c>
    </row>
    <row r="74" spans="2:11" x14ac:dyDescent="0.35">
      <c r="B74" t="s">
        <v>59</v>
      </c>
      <c r="C74" s="18">
        <v>16470303.810000159</v>
      </c>
      <c r="D74" s="18">
        <v>6815232.8737999778</v>
      </c>
      <c r="E74" s="21">
        <v>0.4137891415009613</v>
      </c>
      <c r="J74" t="s">
        <v>59</v>
      </c>
      <c r="K74" s="18" cm="1">
        <f t="array" ref="K74">_xlfn.IFS($C$27=1,VLOOKUP($J74,CtryLookupTable,2,0),$C$27=2,VLOOKUP($J74,CtryLookupTable,3,0),$C$27=3,VLOOKUP($J74,CtryLookupTable,4,0))</f>
        <v>16470303.810000159</v>
      </c>
    </row>
    <row r="75" spans="2:11" x14ac:dyDescent="0.35">
      <c r="B75" t="s">
        <v>60</v>
      </c>
      <c r="C75" s="18">
        <v>18634298.079999868</v>
      </c>
      <c r="D75" s="18">
        <v>7677731.5600000015</v>
      </c>
      <c r="E75" s="21">
        <v>0.41202150609796706</v>
      </c>
      <c r="J75" t="s">
        <v>60</v>
      </c>
      <c r="K75" s="18" cm="1">
        <f t="array" ref="K75">_xlfn.IFS($C$27=1,VLOOKUP($J75,CtryLookupTable,2,0),$C$27=2,VLOOKUP($J75,CtryLookupTable,3,0),$C$27=3,VLOOKUP($J75,CtryLookupTable,4,0))</f>
        <v>18634298.079999868</v>
      </c>
    </row>
    <row r="76" spans="2:11" x14ac:dyDescent="0.35">
      <c r="B76" t="s">
        <v>61</v>
      </c>
      <c r="C76" s="18">
        <v>22684475.539999943</v>
      </c>
      <c r="D76" s="18">
        <v>9327721.7485000342</v>
      </c>
      <c r="E76" s="21">
        <v>0.41119406671105507</v>
      </c>
      <c r="J76" t="s">
        <v>61</v>
      </c>
      <c r="K76" s="18" cm="1">
        <f t="array" ref="K76">_xlfn.IFS($C$27=1,VLOOKUP($J76,CtryLookupTable,2,0),$C$27=2,VLOOKUP($J76,CtryLookupTable,3,0),$C$27=3,VLOOKUP($J76,CtryLookupTable,4,0))</f>
        <v>22684475.539999943</v>
      </c>
    </row>
    <row r="77" spans="2:11" x14ac:dyDescent="0.35">
      <c r="B77" t="s">
        <v>62</v>
      </c>
      <c r="C77" s="18">
        <v>57267784.799999356</v>
      </c>
      <c r="D77" s="18">
        <v>24100022.660999924</v>
      </c>
      <c r="E77" s="21">
        <v>0.4208303629198557</v>
      </c>
      <c r="J77" t="s">
        <v>62</v>
      </c>
      <c r="K77" s="18" cm="1">
        <f t="array" ref="K77">_xlfn.IFS($C$27=1,VLOOKUP($J77,CtryLookupTable,2,0),$C$27=2,VLOOKUP($J77,CtryLookupTable,3,0),$C$27=3,VLOOKUP($J77,CtryLookupTable,4,0))</f>
        <v>57267784.799999356</v>
      </c>
    </row>
    <row r="78" spans="2:11" x14ac:dyDescent="0.35">
      <c r="B78" s="22" t="s">
        <v>11</v>
      </c>
      <c r="C78" s="18">
        <v>172672731.99999896</v>
      </c>
      <c r="D78" s="18">
        <v>71370319.975200355</v>
      </c>
      <c r="E78" s="21">
        <v>0.41332710236611525</v>
      </c>
      <c r="J78" s="26"/>
      <c r="K78" s="20">
        <f>SUM(K72:K77)</f>
        <v>172672731.99999934</v>
      </c>
    </row>
    <row r="79" spans="2:11" x14ac:dyDescent="0.35">
      <c r="J79" s="9"/>
      <c r="K79" s="9"/>
    </row>
    <row r="80" spans="2:11" x14ac:dyDescent="0.35">
      <c r="B80" s="9" t="s">
        <v>55</v>
      </c>
    </row>
    <row r="81" spans="2:16" x14ac:dyDescent="0.35">
      <c r="B81" s="6" t="s">
        <v>75</v>
      </c>
      <c r="C81" t="s">
        <v>6</v>
      </c>
      <c r="D81" t="s">
        <v>5</v>
      </c>
      <c r="E81" t="s">
        <v>3</v>
      </c>
    </row>
    <row r="82" spans="2:16" x14ac:dyDescent="0.35">
      <c r="B82" t="s">
        <v>71</v>
      </c>
      <c r="C82" s="18">
        <v>69231720.929999828</v>
      </c>
      <c r="D82" s="18">
        <v>31973854.579999786</v>
      </c>
      <c r="E82" s="21">
        <v>0.46183821737334163</v>
      </c>
    </row>
    <row r="83" spans="2:16" x14ac:dyDescent="0.35">
      <c r="B83" t="s">
        <v>72</v>
      </c>
      <c r="C83" s="18">
        <v>56053054.709999666</v>
      </c>
      <c r="D83" s="18">
        <v>20651714.485000044</v>
      </c>
      <c r="E83" s="21">
        <v>0.36843156170248564</v>
      </c>
    </row>
    <row r="84" spans="2:16" x14ac:dyDescent="0.35">
      <c r="B84" t="s">
        <v>73</v>
      </c>
      <c r="C84" s="18">
        <v>6051862.040000028</v>
      </c>
      <c r="D84" s="18">
        <v>3018811.8690000162</v>
      </c>
      <c r="E84" s="21">
        <v>0.4988236428800023</v>
      </c>
    </row>
    <row r="85" spans="2:16" x14ac:dyDescent="0.35">
      <c r="B85" t="s">
        <v>74</v>
      </c>
      <c r="C85" s="18">
        <v>41336094.320000224</v>
      </c>
      <c r="D85" s="18">
        <v>15725939.041200042</v>
      </c>
      <c r="E85" s="21">
        <v>0.38044085441306774</v>
      </c>
    </row>
    <row r="86" spans="2:16" x14ac:dyDescent="0.35">
      <c r="B86" s="22" t="s">
        <v>11</v>
      </c>
      <c r="C86" s="18">
        <v>172672731.99999896</v>
      </c>
      <c r="D86" s="18">
        <v>71370319.975200355</v>
      </c>
      <c r="E86" s="21">
        <v>0.41332710236611525</v>
      </c>
    </row>
    <row r="89" spans="2:16" x14ac:dyDescent="0.35">
      <c r="B89" s="6" t="s">
        <v>79</v>
      </c>
      <c r="C89" s="6" t="s">
        <v>80</v>
      </c>
    </row>
    <row r="90" spans="2:16" x14ac:dyDescent="0.35">
      <c r="B90" s="6" t="s">
        <v>75</v>
      </c>
      <c r="C90">
        <v>2022</v>
      </c>
      <c r="D90">
        <v>2023</v>
      </c>
      <c r="E90">
        <v>2024</v>
      </c>
      <c r="J90" s="9" t="s">
        <v>15</v>
      </c>
      <c r="K90" s="19">
        <f>$C$35</f>
        <v>2024</v>
      </c>
      <c r="L90" s="19">
        <f>$C$35-1</f>
        <v>2023</v>
      </c>
      <c r="M90" t="s">
        <v>83</v>
      </c>
      <c r="N90" t="s">
        <v>83</v>
      </c>
      <c r="O90" t="s">
        <v>85</v>
      </c>
      <c r="P90" t="s">
        <v>85</v>
      </c>
    </row>
    <row r="91" spans="2:16" x14ac:dyDescent="0.35">
      <c r="B91" t="s">
        <v>71</v>
      </c>
      <c r="C91" s="18">
        <v>6237050.5203999979</v>
      </c>
      <c r="D91" s="18">
        <v>10430324.142800013</v>
      </c>
      <c r="E91" s="18">
        <v>31973854.579999741</v>
      </c>
      <c r="J91" t="s">
        <v>71</v>
      </c>
      <c r="K91" s="18">
        <f>INDEX($C$91:$E$94,MATCH($J91,$B$91:$B$94,0),MATCH(K$90,$C$90:$E$90,0))</f>
        <v>31973854.579999741</v>
      </c>
      <c r="L91" s="18">
        <f t="shared" ref="L91:L94" si="3">INDEX($C$91:$E$94,MATCH($J91,$B$91:$B$94,0),MATCH(L$90,$C$90:$E$90,0))</f>
        <v>10430324.142800013</v>
      </c>
      <c r="M91" s="27">
        <f>K91/K$95</f>
        <v>0.44799931667828036</v>
      </c>
      <c r="N91" s="27">
        <f>L91/L$95</f>
        <v>0.42043453911018597</v>
      </c>
      <c r="O91" t="str">
        <f t="shared" ref="O91:O92" si="4">IF(K91=0,"",IF(K91&gt;=1000000,TEXT(K91/1000000,"0.0")&amp;"M",IF(K91&gt;1000,TEXT(K91/1000,"0.0")&amp;"K",K91))&amp;" ("&amp;ROUND(M91*100,0)&amp;"%)")</f>
        <v>32.0M (45%)</v>
      </c>
      <c r="P91" t="str">
        <f>IF(L91=0,"",IF(L91&gt;=1000000,TEXT(L91/1000000,"0.0")&amp;"M",IF(L91&gt;1000,TEXT(L91/1000,"0.0")&amp;"K",L91))&amp;" ("&amp;ROUND(N91*100,0)&amp;"%)")</f>
        <v>10.4M (42%)</v>
      </c>
    </row>
    <row r="92" spans="2:16" x14ac:dyDescent="0.35">
      <c r="B92" t="s">
        <v>72</v>
      </c>
      <c r="C92" s="18">
        <v>23578242.113600153</v>
      </c>
      <c r="D92" s="18">
        <v>14378113.72929991</v>
      </c>
      <c r="E92" s="18">
        <v>20651714.484999835</v>
      </c>
      <c r="J92" t="s">
        <v>72</v>
      </c>
      <c r="K92" s="18">
        <f t="shared" ref="K92:K94" si="5">INDEX($C$91:$E$94,MATCH($J92,$B$91:$B$94,0),MATCH(K$90,$C$90:$E$90,0))</f>
        <v>20651714.484999835</v>
      </c>
      <c r="L92" s="18">
        <f t="shared" si="3"/>
        <v>14378113.72929991</v>
      </c>
      <c r="M92" s="27">
        <f t="shared" ref="M92:M94" si="6">K92/K$95</f>
        <v>0.28935998174277511</v>
      </c>
      <c r="N92" s="27">
        <f t="shared" ref="N92:N94" si="7">L92/L$95</f>
        <v>0.57956546088981409</v>
      </c>
      <c r="O92" t="str">
        <f t="shared" si="4"/>
        <v>20.7M (29%)</v>
      </c>
      <c r="P92" t="str">
        <f t="shared" ref="P92:P94" si="8">IF(L92=0,"",IF(L92&gt;=1000000,TEXT(L92/1000000,"0.0")&amp;"M",IF(L92&gt;1000,TEXT(L92/1000,"0.0")&amp;"K",L92))&amp;" ("&amp;ROUND(N92*100,0)&amp;"%)")</f>
        <v>14.4M (58%)</v>
      </c>
    </row>
    <row r="93" spans="2:16" x14ac:dyDescent="0.35">
      <c r="B93" t="s">
        <v>73</v>
      </c>
      <c r="C93" s="18"/>
      <c r="D93" s="18"/>
      <c r="E93" s="18">
        <v>3018811.8690001494</v>
      </c>
      <c r="J93" t="s">
        <v>74</v>
      </c>
      <c r="K93" s="18">
        <f t="shared" si="5"/>
        <v>15725939.041200092</v>
      </c>
      <c r="L93" s="18">
        <f t="shared" si="3"/>
        <v>0</v>
      </c>
      <c r="M93" s="27">
        <f t="shared" si="6"/>
        <v>0.22034284064670909</v>
      </c>
      <c r="N93" s="27">
        <f t="shared" si="7"/>
        <v>0</v>
      </c>
      <c r="O93" t="str">
        <f>IF(K93=0,"",IF(K93&gt;=1000000,TEXT(K93/1000000,"0.0")&amp;"M",IF(K93&gt;1000,TEXT(K93/1000,"0.0")&amp;"K",K93))&amp;" ("&amp;ROUND(M93*100,0)&amp;"%)")</f>
        <v>15.7M (22%)</v>
      </c>
      <c r="P93" t="str">
        <f t="shared" si="8"/>
        <v/>
      </c>
    </row>
    <row r="94" spans="2:16" x14ac:dyDescent="0.35">
      <c r="B94" t="s">
        <v>74</v>
      </c>
      <c r="C94" s="18"/>
      <c r="D94" s="18"/>
      <c r="E94" s="18">
        <v>15725939.041200092</v>
      </c>
      <c r="J94" t="s">
        <v>73</v>
      </c>
      <c r="K94" s="18">
        <f t="shared" si="5"/>
        <v>3018811.8690001494</v>
      </c>
      <c r="L94" s="18">
        <f t="shared" si="3"/>
        <v>0</v>
      </c>
      <c r="M94" s="27">
        <f t="shared" si="6"/>
        <v>4.2297860932235476E-2</v>
      </c>
      <c r="N94" s="27">
        <f t="shared" si="7"/>
        <v>0</v>
      </c>
      <c r="O94" t="str">
        <f>IF(K94=0,"",IF(K94&gt;=1000000,TEXT(K94/1000000,"0.0")&amp;"M",IF(K94&gt;1000,TEXT(K94/1000,"0.0")&amp;"K",K94))&amp;" ("&amp;ROUND(M94*100,0)&amp;"%)")</f>
        <v>3.0M (4%)</v>
      </c>
      <c r="P94" t="str">
        <f t="shared" si="8"/>
        <v/>
      </c>
    </row>
    <row r="95" spans="2:16" x14ac:dyDescent="0.35">
      <c r="B95" t="s">
        <v>11</v>
      </c>
      <c r="C95" s="18">
        <v>29815292.634000171</v>
      </c>
      <c r="D95" s="18">
        <v>24808437.872100048</v>
      </c>
      <c r="E95" s="18">
        <v>71370319.975200802</v>
      </c>
      <c r="K95" s="20">
        <f>SUM(K91:K94)</f>
        <v>71370319.975199819</v>
      </c>
      <c r="L95" s="20">
        <f>SUM(L91:L94)</f>
        <v>24808437.872099921</v>
      </c>
      <c r="M95" s="28">
        <f>SUM(M91:M94)</f>
        <v>1</v>
      </c>
      <c r="N95" s="28">
        <f>SUM(N91:N94)</f>
        <v>1</v>
      </c>
    </row>
    <row r="98" spans="2:16" x14ac:dyDescent="0.35">
      <c r="B98" s="6" t="s">
        <v>79</v>
      </c>
      <c r="C98" s="6" t="s">
        <v>80</v>
      </c>
      <c r="K98" s="27"/>
      <c r="M98" s="27"/>
      <c r="N98" s="27"/>
    </row>
    <row r="99" spans="2:16" x14ac:dyDescent="0.35">
      <c r="B99" s="6" t="s">
        <v>81</v>
      </c>
      <c r="C99">
        <v>2022</v>
      </c>
      <c r="D99">
        <v>2023</v>
      </c>
      <c r="E99">
        <v>2024</v>
      </c>
      <c r="J99" s="9" t="s">
        <v>15</v>
      </c>
      <c r="K99" s="19">
        <f>$C$35</f>
        <v>2024</v>
      </c>
      <c r="L99" s="19">
        <f>$C$35-1</f>
        <v>2023</v>
      </c>
      <c r="M99" t="s">
        <v>83</v>
      </c>
      <c r="N99" t="s">
        <v>83</v>
      </c>
      <c r="O99" t="s">
        <v>85</v>
      </c>
      <c r="P99" t="s">
        <v>85</v>
      </c>
    </row>
    <row r="100" spans="2:16" x14ac:dyDescent="0.35">
      <c r="B100" t="s">
        <v>76</v>
      </c>
      <c r="C100" s="18">
        <v>29011767.795000136</v>
      </c>
      <c r="D100" s="18">
        <v>21508563.151499946</v>
      </c>
      <c r="E100" s="18">
        <v>51629329.254499778</v>
      </c>
      <c r="G100" s="27"/>
      <c r="H100" s="27"/>
      <c r="I100" s="31" t="s">
        <v>86</v>
      </c>
      <c r="J100" t="s">
        <v>76</v>
      </c>
      <c r="K100" s="18">
        <f>INDEX($C$100:$E$102,MATCH($J100,$B$100:$B$102,0),MATCH(K$99,$C$99:$E$99,0))</f>
        <v>51629329.254499778</v>
      </c>
      <c r="L100" s="18">
        <f t="shared" ref="L100:L102" si="9">INDEX($C$100:$E$102,MATCH($J100,$B$100:$B$102,0),MATCH(L$99,$C$99:$E$99,0))</f>
        <v>21508563.151499946</v>
      </c>
      <c r="M100" s="27">
        <f>K100/K$103</f>
        <v>0.72340055743676424</v>
      </c>
      <c r="N100" s="27">
        <f t="shared" ref="N100:N102" si="10">L100/L$103</f>
        <v>0.86698579178533852</v>
      </c>
      <c r="O100" t="str">
        <f t="shared" ref="O100:O101" si="11">IF(K100=0,"",IF(K100&gt;=1000000,TEXT(K100/1000000,"0.0")&amp;"M",IF(K100&gt;1000,TEXT(K100/1000,"0.0")&amp;"K",K100))&amp;" ("&amp;ROUND(M100*100,0)&amp;"%)")</f>
        <v>51.6M (72%)</v>
      </c>
      <c r="P100" t="str">
        <f>IF(L100=0,"",IF(L100&gt;=1000000,TEXT(L100/1000000,"0.0")&amp;"M",IF(L100&gt;1000,TEXT(L100/1000,"0.0")&amp;"K",L100))&amp;" ("&amp;ROUND(N100*100,0)&amp;"%)")</f>
        <v>21.5M (87%)</v>
      </c>
    </row>
    <row r="101" spans="2:16" x14ac:dyDescent="0.35">
      <c r="B101" t="s">
        <v>77</v>
      </c>
      <c r="C101" s="18"/>
      <c r="D101" s="18"/>
      <c r="E101" s="18">
        <v>5739388.9364999393</v>
      </c>
      <c r="G101" s="27"/>
      <c r="H101" s="27"/>
      <c r="I101" s="31" t="s">
        <v>88</v>
      </c>
      <c r="J101" t="s">
        <v>78</v>
      </c>
      <c r="K101" s="18">
        <f t="shared" ref="K101:K102" si="12">INDEX($C$100:$E$102,MATCH($J101,$B$100:$B$102,0),MATCH(K$99,$C$99:$E$99,0))</f>
        <v>14001601.784200097</v>
      </c>
      <c r="L101" s="18">
        <f t="shared" si="9"/>
        <v>3299874.7205999955</v>
      </c>
      <c r="M101" s="27">
        <f t="shared" ref="M101:M102" si="13">K101/K$103</f>
        <v>0.196182415730593</v>
      </c>
      <c r="N101" s="27">
        <f t="shared" si="10"/>
        <v>0.13301420821466151</v>
      </c>
      <c r="O101" t="str">
        <f t="shared" si="11"/>
        <v>14.0M (20%)</v>
      </c>
      <c r="P101" t="str">
        <f t="shared" ref="P101:P102" si="14">IF(L101=0,"",IF(L101&gt;=1000000,TEXT(L101/1000000,"0.0")&amp;"M",IF(L101&gt;1000,TEXT(L101/1000,"0.0")&amp;"K",L101))&amp;" ("&amp;ROUND(N101*100,0)&amp;"%)")</f>
        <v>3.3M (13%)</v>
      </c>
    </row>
    <row r="102" spans="2:16" x14ac:dyDescent="0.35">
      <c r="B102" t="s">
        <v>78</v>
      </c>
      <c r="C102" s="18">
        <v>803524.83899999806</v>
      </c>
      <c r="D102" s="18">
        <v>3299874.7205999955</v>
      </c>
      <c r="E102" s="18">
        <v>14001601.784200097</v>
      </c>
      <c r="G102" s="27"/>
      <c r="H102" s="27"/>
      <c r="I102" s="31" t="s">
        <v>87</v>
      </c>
      <c r="J102" t="s">
        <v>77</v>
      </c>
      <c r="K102" s="18">
        <f t="shared" si="12"/>
        <v>5739388.9364999393</v>
      </c>
      <c r="L102" s="18">
        <f t="shared" si="9"/>
        <v>0</v>
      </c>
      <c r="M102" s="27">
        <f t="shared" si="13"/>
        <v>8.0417026832642707E-2</v>
      </c>
      <c r="N102" s="27">
        <f t="shared" si="10"/>
        <v>0</v>
      </c>
      <c r="O102" t="str">
        <f>IF(K102=0,"",IF(K102&gt;=1000000,TEXT(K102/1000000,"0.0")&amp;"M",IF(K102&gt;1000,TEXT(K102/1000,"0.0")&amp;"K",K102))&amp;" ("&amp;ROUND(M102*100,0)&amp;"%)")</f>
        <v>5.7M (8%)</v>
      </c>
      <c r="P102" t="str">
        <f t="shared" si="14"/>
        <v/>
      </c>
    </row>
    <row r="103" spans="2:16" x14ac:dyDescent="0.35">
      <c r="B103" t="s">
        <v>11</v>
      </c>
      <c r="C103" s="18">
        <v>29815292.634000171</v>
      </c>
      <c r="D103" s="18">
        <v>24808437.872100048</v>
      </c>
      <c r="E103" s="18">
        <v>71370319.975200802</v>
      </c>
      <c r="G103" s="27"/>
      <c r="H103" s="27"/>
      <c r="I103" s="27"/>
      <c r="K103" s="20">
        <f>SUM(K100:K102)</f>
        <v>71370319.975199819</v>
      </c>
      <c r="L103" s="20">
        <f>SUM(L100:L102)</f>
        <v>24808437.87209994</v>
      </c>
      <c r="M103" s="28">
        <f>SUM(M100:M102)</f>
        <v>1</v>
      </c>
      <c r="N103" s="28">
        <f>SUM(N100:N102)</f>
        <v>1</v>
      </c>
    </row>
    <row r="106" spans="2:16" x14ac:dyDescent="0.35">
      <c r="B106" s="6" t="s">
        <v>70</v>
      </c>
      <c r="C106" s="6" t="s">
        <v>69</v>
      </c>
    </row>
    <row r="107" spans="2:16" x14ac:dyDescent="0.35">
      <c r="B107" s="6" t="s">
        <v>10</v>
      </c>
      <c r="C107">
        <v>2022</v>
      </c>
      <c r="D107">
        <v>2023</v>
      </c>
      <c r="E107">
        <v>2024</v>
      </c>
      <c r="J107" s="9" t="s">
        <v>82</v>
      </c>
      <c r="K107" s="19">
        <f>$C$35</f>
        <v>2024</v>
      </c>
      <c r="L107" s="19">
        <f>$C$35-1</f>
        <v>2023</v>
      </c>
      <c r="M107" t="s">
        <v>84</v>
      </c>
      <c r="N107" t="s">
        <v>84</v>
      </c>
      <c r="O107" t="s">
        <v>85</v>
      </c>
      <c r="P107" t="s">
        <v>85</v>
      </c>
    </row>
    <row r="108" spans="2:16" x14ac:dyDescent="0.35">
      <c r="B108" s="7" t="s">
        <v>76</v>
      </c>
      <c r="C108" s="18">
        <v>20396</v>
      </c>
      <c r="D108" s="18">
        <v>23535</v>
      </c>
      <c r="E108" s="18">
        <v>56324</v>
      </c>
      <c r="I108" s="31" t="s">
        <v>86</v>
      </c>
      <c r="J108" t="s">
        <v>76</v>
      </c>
      <c r="K108" s="18">
        <f>INDEX($C$108:$E$110,MATCH($J108,$B$108:$B$110,0),MATCH(K$107,$C$107:$E$107,0))</f>
        <v>56324</v>
      </c>
      <c r="L108" s="18">
        <f t="shared" ref="L108:L110" si="15">INDEX($C$108:$E$110,MATCH($J108,$B$108:$B$110,0),MATCH(L$107,$C$107:$E$107,0))</f>
        <v>23535</v>
      </c>
      <c r="M108" s="27">
        <f>K108/K$111</f>
        <v>0.1019475818129163</v>
      </c>
      <c r="N108" s="27">
        <f t="shared" ref="N108:N110" si="16">L108/L$111</f>
        <v>0.70297798620030472</v>
      </c>
      <c r="O108" t="str">
        <f t="shared" ref="O108:O109" si="17">IF(K108=0,"",IF(K108&gt;=1000000,TEXT(K108/1000000,"0.0")&amp;"M",IF(K108&gt;1000,TEXT(K108/1000,"0.0")&amp;"K",K108))&amp;" ("&amp;ROUND(M108*100,0)&amp;"%)")</f>
        <v>56.3K (10%)</v>
      </c>
      <c r="P108" t="str">
        <f>IF(L108=0,"",IF(L108&gt;=1000000,TEXT(L108/1000000,"0.0")&amp;"M",IF(L108&gt;1000,TEXT(L108/1000,"0.0")&amp;"K",L108))&amp;" ("&amp;ROUND(N108*100,0)&amp;"%)")</f>
        <v>23.5K (70%)</v>
      </c>
    </row>
    <row r="109" spans="2:16" x14ac:dyDescent="0.35">
      <c r="B109" s="7" t="s">
        <v>77</v>
      </c>
      <c r="C109" s="18"/>
      <c r="D109" s="18"/>
      <c r="E109" s="18">
        <v>450046</v>
      </c>
      <c r="I109" s="31" t="s">
        <v>88</v>
      </c>
      <c r="J109" t="s">
        <v>78</v>
      </c>
      <c r="K109" s="18">
        <f t="shared" ref="K109:K110" si="18">INDEX($C$108:$E$110,MATCH($J109,$B$108:$B$110,0),MATCH(K$107,$C$107:$E$107,0))</f>
        <v>46110</v>
      </c>
      <c r="L109" s="18">
        <f t="shared" si="15"/>
        <v>9944</v>
      </c>
      <c r="M109" s="27">
        <f t="shared" ref="M109:M110" si="19">K109/K$111</f>
        <v>8.3460034752389223E-2</v>
      </c>
      <c r="N109" s="27">
        <f t="shared" si="16"/>
        <v>0.29702201379969534</v>
      </c>
      <c r="O109" t="str">
        <f t="shared" si="17"/>
        <v>46.1K (8%)</v>
      </c>
      <c r="P109" t="str">
        <f t="shared" ref="P109:P110" si="20">IF(L109=0,"",IF(L109&gt;=1000000,TEXT(L109/1000000,"0.0")&amp;"M",IF(L109&gt;1000,TEXT(L109/1000,"0.0")&amp;"K",L109))&amp;" ("&amp;ROUND(N109*100,0)&amp;"%)")</f>
        <v>9.9K (30%)</v>
      </c>
    </row>
    <row r="110" spans="2:16" x14ac:dyDescent="0.35">
      <c r="B110" s="7" t="s">
        <v>78</v>
      </c>
      <c r="C110" s="18">
        <v>2810</v>
      </c>
      <c r="D110" s="18">
        <v>9944</v>
      </c>
      <c r="E110" s="18">
        <v>46110</v>
      </c>
      <c r="I110" s="31" t="s">
        <v>87</v>
      </c>
      <c r="J110" t="s">
        <v>77</v>
      </c>
      <c r="K110" s="18">
        <f t="shared" si="18"/>
        <v>450046</v>
      </c>
      <c r="L110" s="18">
        <f t="shared" si="15"/>
        <v>0</v>
      </c>
      <c r="M110" s="27">
        <f t="shared" si="19"/>
        <v>0.81459238343469442</v>
      </c>
      <c r="N110" s="27">
        <f t="shared" si="16"/>
        <v>0</v>
      </c>
      <c r="O110" t="str">
        <f>IF(K110=0,"",IF(K110&gt;=1000000,TEXT(K110/1000000,"0.0")&amp;"M",IF(K110&gt;1000,TEXT(K110/1000,"0.0")&amp;"K",K110))&amp;" ("&amp;ROUND(M110*100,0)&amp;"%)")</f>
        <v>450.0K (81%)</v>
      </c>
      <c r="P110" t="str">
        <f t="shared" si="20"/>
        <v/>
      </c>
    </row>
    <row r="111" spans="2:16" x14ac:dyDescent="0.35">
      <c r="B111" s="7" t="s">
        <v>11</v>
      </c>
      <c r="C111" s="18">
        <v>23206</v>
      </c>
      <c r="D111" s="18">
        <v>33479</v>
      </c>
      <c r="E111" s="18">
        <v>552480</v>
      </c>
      <c r="G111" s="27"/>
      <c r="H111" s="27"/>
      <c r="I111" s="27"/>
      <c r="K111" s="20">
        <f>SUM(K108:K110)</f>
        <v>552480</v>
      </c>
      <c r="L111" s="20">
        <f>SUM(L108:L110)</f>
        <v>33479</v>
      </c>
      <c r="M111" s="28">
        <f>SUM(M108:M110)</f>
        <v>1</v>
      </c>
      <c r="N111" s="28">
        <f>SUM(N108:N110)</f>
        <v>1</v>
      </c>
    </row>
    <row r="112" spans="2:16" x14ac:dyDescent="0.35">
      <c r="G112" s="27"/>
      <c r="H112" s="27"/>
      <c r="I112" s="27"/>
    </row>
    <row r="113" spans="7:9" x14ac:dyDescent="0.35">
      <c r="G113" s="27"/>
      <c r="H113" s="27"/>
      <c r="I113" s="27"/>
    </row>
    <row r="114" spans="7:9" x14ac:dyDescent="0.35">
      <c r="G114" s="27"/>
      <c r="H114" s="27"/>
      <c r="I114" s="27"/>
    </row>
    <row r="119" spans="7:9" x14ac:dyDescent="0.35">
      <c r="G119" s="27"/>
      <c r="H119" s="27"/>
      <c r="I119" s="27"/>
    </row>
    <row r="120" spans="7:9" x14ac:dyDescent="0.35">
      <c r="G120" s="27"/>
      <c r="H120" s="27"/>
      <c r="I120" s="27"/>
    </row>
    <row r="121" spans="7:9" x14ac:dyDescent="0.35">
      <c r="G121" s="27"/>
      <c r="H121" s="27"/>
      <c r="I121" s="27"/>
    </row>
    <row r="122" spans="7:9" x14ac:dyDescent="0.35">
      <c r="G122" s="27"/>
      <c r="H122" s="27"/>
      <c r="I122" s="27"/>
    </row>
  </sheetData>
  <conditionalFormatting sqref="C24:H24">
    <cfRule type="cellIs" dxfId="59" priority="1" operator="lessThan">
      <formula>0</formula>
    </cfRule>
    <cfRule type="cellIs" dxfId="58" priority="2" operator="greater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BAE1-409C-4AA5-83E3-D060994DD005}">
  <sheetPr codeName="Sheet1"/>
  <dimension ref="R10:V12"/>
  <sheetViews>
    <sheetView showGridLines="0" tabSelected="1" zoomScale="55" zoomScaleNormal="55" workbookViewId="0">
      <selection activeCell="R22" sqref="R22"/>
    </sheetView>
  </sheetViews>
  <sheetFormatPr defaultRowHeight="14.5" x14ac:dyDescent="0.35"/>
  <cols>
    <col min="1" max="1" width="12.6328125" bestFit="1" customWidth="1"/>
    <col min="2" max="2" width="14.26953125" bestFit="1" customWidth="1"/>
    <col min="3" max="3" width="14.90625" bestFit="1" customWidth="1"/>
    <col min="4" max="4" width="10.90625" bestFit="1" customWidth="1"/>
    <col min="5" max="5" width="17.6328125" bestFit="1" customWidth="1"/>
    <col min="6" max="6" width="11.6328125" bestFit="1" customWidth="1"/>
    <col min="7" max="7" width="10.36328125" bestFit="1" customWidth="1"/>
    <col min="8" max="8" width="10.81640625" bestFit="1" customWidth="1"/>
  </cols>
  <sheetData>
    <row r="10" spans="18:22" x14ac:dyDescent="0.35">
      <c r="S10" s="24"/>
    </row>
    <row r="11" spans="18:22" x14ac:dyDescent="0.35">
      <c r="R11" s="23"/>
    </row>
    <row r="12" spans="18:22" x14ac:dyDescent="0.35">
      <c r="V12" s="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0</xdr:col>
                    <xdr:colOff>717550</xdr:colOff>
                    <xdr:row>15</xdr:row>
                    <xdr:rowOff>127000</xdr:rowOff>
                  </from>
                  <to>
                    <xdr:col>1</xdr:col>
                    <xdr:colOff>546100</xdr:colOff>
                    <xdr:row>17</xdr:row>
                    <xdr:rowOff>19050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xdr:col>
                    <xdr:colOff>793750</xdr:colOff>
                    <xdr:row>15</xdr:row>
                    <xdr:rowOff>88900</xdr:rowOff>
                  </from>
                  <to>
                    <xdr:col>2</xdr:col>
                    <xdr:colOff>463550</xdr:colOff>
                    <xdr:row>17</xdr:row>
                    <xdr:rowOff>63500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xdr:col>
                    <xdr:colOff>546100</xdr:colOff>
                    <xdr:row>15</xdr:row>
                    <xdr:rowOff>88900</xdr:rowOff>
                  </from>
                  <to>
                    <xdr:col>3</xdr:col>
                    <xdr:colOff>469900</xdr:colOff>
                    <xdr:row>17</xdr:row>
                    <xdr:rowOff>57150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CF83D-1B2A-487D-8054-C4E1C7E7D99E}">
  <dimension ref="R10:V12"/>
  <sheetViews>
    <sheetView showGridLines="0" zoomScale="55" zoomScaleNormal="55" workbookViewId="0">
      <selection activeCell="W35" sqref="W35"/>
    </sheetView>
  </sheetViews>
  <sheetFormatPr defaultRowHeight="14.5" x14ac:dyDescent="0.35"/>
  <cols>
    <col min="1" max="1" width="12.6328125" bestFit="1" customWidth="1"/>
    <col min="2" max="2" width="14.26953125" bestFit="1" customWidth="1"/>
    <col min="3" max="3" width="14.90625" bestFit="1" customWidth="1"/>
    <col min="4" max="4" width="10.90625" bestFit="1" customWidth="1"/>
    <col min="5" max="5" width="17.6328125" bestFit="1" customWidth="1"/>
    <col min="6" max="6" width="11.6328125" bestFit="1" customWidth="1"/>
    <col min="7" max="7" width="10.36328125" bestFit="1" customWidth="1"/>
    <col min="8" max="8" width="10.81640625" bestFit="1" customWidth="1"/>
  </cols>
  <sheetData>
    <row r="10" spans="18:22" x14ac:dyDescent="0.35">
      <c r="S10" s="24"/>
    </row>
    <row r="11" spans="18:22" x14ac:dyDescent="0.35">
      <c r="R11" s="23"/>
    </row>
    <row r="12" spans="18:22" x14ac:dyDescent="0.35">
      <c r="V12" s="2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27B0EC85-9E1D-400C-9EF5-C3F19907A889}">
  <ds:schemaRefs/>
</ds:datastoreItem>
</file>

<file path=customXml/itemProps2.xml><?xml version="1.0" encoding="utf-8"?>
<ds:datastoreItem xmlns:ds="http://schemas.openxmlformats.org/officeDocument/2006/customXml" ds:itemID="{9F6A9BED-F193-41D8-97C3-7B40B776773C}">
  <ds:schemaRefs/>
</ds:datastoreItem>
</file>

<file path=customXml/itemProps3.xml><?xml version="1.0" encoding="utf-8"?>
<ds:datastoreItem xmlns:ds="http://schemas.openxmlformats.org/officeDocument/2006/customXml" ds:itemID="{EEB2304C-4F12-4BCE-8AFA-BBCCA24390DC}">
  <ds:schemaRefs/>
</ds:datastoreItem>
</file>

<file path=customXml/itemProps4.xml><?xml version="1.0" encoding="utf-8"?>
<ds:datastoreItem xmlns:ds="http://schemas.openxmlformats.org/officeDocument/2006/customXml" ds:itemID="{E92C8E84-F836-4C2D-9221-9411FA8098F3}">
  <ds:schemaRefs/>
</ds:datastoreItem>
</file>

<file path=customXml/itemProps5.xml><?xml version="1.0" encoding="utf-8"?>
<ds:datastoreItem xmlns:ds="http://schemas.openxmlformats.org/officeDocument/2006/customXml" ds:itemID="{7AEEBBA8-5C29-4214-A2B1-1600B19D4FF2}">
  <ds:schemaRefs/>
</ds:datastoreItem>
</file>

<file path=customXml/itemProps6.xml><?xml version="1.0" encoding="utf-8"?>
<ds:datastoreItem xmlns:ds="http://schemas.openxmlformats.org/officeDocument/2006/customXml" ds:itemID="{465F98B8-6A25-4653-93F0-B978E168E53E}">
  <ds:schemaRefs/>
</ds:datastoreItem>
</file>

<file path=customXml/itemProps7.xml><?xml version="1.0" encoding="utf-8"?>
<ds:datastoreItem xmlns:ds="http://schemas.openxmlformats.org/officeDocument/2006/customXml" ds:itemID="{214D3484-5977-4136-A859-6D2FCB527653}">
  <ds:schemaRefs/>
</ds:datastoreItem>
</file>

<file path=customXml/itemProps8.xml><?xml version="1.0" encoding="utf-8"?>
<ds:datastoreItem xmlns:ds="http://schemas.openxmlformats.org/officeDocument/2006/customXml" ds:itemID="{D55B48C4-4FF9-4CE6-95F1-F86F2CEAD3FD}">
  <ds:schemaRefs>
    <ds:schemaRef ds:uri="http://schemas.microsoft.com/DataMashup"/>
  </ds:schemaRefs>
</ds:datastoreItem>
</file>

<file path=customXml/itemProps9.xml><?xml version="1.0" encoding="utf-8"?>
<ds:datastoreItem xmlns:ds="http://schemas.openxmlformats.org/officeDocument/2006/customXml" ds:itemID="{C6EEC926-862C-4484-874A-A691B95BCC16}">
  <ds:schemaRefs/>
</ds:datastoreItem>
</file>

<file path=customXml/itemProps10.xml><?xml version="1.0" encoding="utf-8"?>
<ds:datastoreItem xmlns:ds="http://schemas.openxmlformats.org/officeDocument/2006/customXml" ds:itemID="{F79C7036-9343-476F-BE02-B7E6FEB7F64E}">
  <ds:schemaRefs/>
</ds:datastoreItem>
</file>

<file path=customXml/itemProps11.xml><?xml version="1.0" encoding="utf-8"?>
<ds:datastoreItem xmlns:ds="http://schemas.openxmlformats.org/officeDocument/2006/customXml" ds:itemID="{68D556A4-3EF9-42A1-8F18-009C01A68F40}">
  <ds:schemaRefs/>
</ds:datastoreItem>
</file>

<file path=customXml/itemProps12.xml><?xml version="1.0" encoding="utf-8"?>
<ds:datastoreItem xmlns:ds="http://schemas.openxmlformats.org/officeDocument/2006/customXml" ds:itemID="{01281E39-05EB-4233-B1B5-5EF61D1682AE}">
  <ds:schemaRefs/>
</ds:datastoreItem>
</file>

<file path=customXml/itemProps13.xml><?xml version="1.0" encoding="utf-8"?>
<ds:datastoreItem xmlns:ds="http://schemas.openxmlformats.org/officeDocument/2006/customXml" ds:itemID="{9B290F3F-CE08-4228-BEF9-0D9C63CD3240}">
  <ds:schemaRefs/>
</ds:datastoreItem>
</file>

<file path=customXml/itemProps14.xml><?xml version="1.0" encoding="utf-8"?>
<ds:datastoreItem xmlns:ds="http://schemas.openxmlformats.org/officeDocument/2006/customXml" ds:itemID="{86377821-BC06-4744-9F33-FCCAD5F0887A}">
  <ds:schemaRefs/>
</ds:datastoreItem>
</file>

<file path=customXml/itemProps15.xml><?xml version="1.0" encoding="utf-8"?>
<ds:datastoreItem xmlns:ds="http://schemas.openxmlformats.org/officeDocument/2006/customXml" ds:itemID="{FCDCF134-84F1-491B-A7C7-85FFCD8BF8A0}">
  <ds:schemaRefs/>
</ds:datastoreItem>
</file>

<file path=customXml/itemProps16.xml><?xml version="1.0" encoding="utf-8"?>
<ds:datastoreItem xmlns:ds="http://schemas.openxmlformats.org/officeDocument/2006/customXml" ds:itemID="{1328CE54-1759-4F01-A972-4BA091DB35B2}">
  <ds:schemaRefs/>
</ds:datastoreItem>
</file>

<file path=customXml/itemProps17.xml><?xml version="1.0" encoding="utf-8"?>
<ds:datastoreItem xmlns:ds="http://schemas.openxmlformats.org/officeDocument/2006/customXml" ds:itemID="{6578C32D-1E2F-4E99-A02C-318A907853B6}">
  <ds:schemaRefs/>
</ds:datastoreItem>
</file>

<file path=customXml/itemProps18.xml><?xml version="1.0" encoding="utf-8"?>
<ds:datastoreItem xmlns:ds="http://schemas.openxmlformats.org/officeDocument/2006/customXml" ds:itemID="{6AEE1380-1CB9-4F4D-BF6E-02284F15B10E}">
  <ds:schemaRefs/>
</ds:datastoreItem>
</file>

<file path=customXml/itemProps19.xml><?xml version="1.0" encoding="utf-8"?>
<ds:datastoreItem xmlns:ds="http://schemas.openxmlformats.org/officeDocument/2006/customXml" ds:itemID="{E57EA972-8353-4925-8462-D6337375E1E1}">
  <ds:schemaRefs/>
</ds:datastoreItem>
</file>

<file path=customXml/itemProps20.xml><?xml version="1.0" encoding="utf-8"?>
<ds:datastoreItem xmlns:ds="http://schemas.openxmlformats.org/officeDocument/2006/customXml" ds:itemID="{87A10FD5-7E9A-4FF2-B34C-EC9A32F4D31D}">
  <ds:schemaRefs/>
</ds:datastoreItem>
</file>

<file path=customXml/itemProps21.xml><?xml version="1.0" encoding="utf-8"?>
<ds:datastoreItem xmlns:ds="http://schemas.openxmlformats.org/officeDocument/2006/customXml" ds:itemID="{13E04FC2-FB81-425A-9203-6B2B63B576A5}">
  <ds:schemaRefs/>
</ds:datastoreItem>
</file>

<file path=customXml/itemProps22.xml><?xml version="1.0" encoding="utf-8"?>
<ds:datastoreItem xmlns:ds="http://schemas.openxmlformats.org/officeDocument/2006/customXml" ds:itemID="{9F1F4580-E3F0-4B1E-8B62-9E26278F4B40}">
  <ds:schemaRefs/>
</ds:datastoreItem>
</file>

<file path=customXml/itemProps23.xml><?xml version="1.0" encoding="utf-8"?>
<ds:datastoreItem xmlns:ds="http://schemas.openxmlformats.org/officeDocument/2006/customXml" ds:itemID="{20EAD16C-0085-4D15-AE03-6AF91A94EB1B}">
  <ds:schemaRefs/>
</ds:datastoreItem>
</file>

<file path=customXml/itemProps24.xml><?xml version="1.0" encoding="utf-8"?>
<ds:datastoreItem xmlns:ds="http://schemas.openxmlformats.org/officeDocument/2006/customXml" ds:itemID="{8B73134F-0B97-47C8-A395-F81635135033}">
  <ds:schemaRefs/>
</ds:datastoreItem>
</file>

<file path=customXml/itemProps25.xml><?xml version="1.0" encoding="utf-8"?>
<ds:datastoreItem xmlns:ds="http://schemas.openxmlformats.org/officeDocument/2006/customXml" ds:itemID="{4B3848A9-B214-4B4E-B96B-751CF27EC4C7}">
  <ds:schemaRefs/>
</ds:datastoreItem>
</file>

<file path=customXml/itemProps26.xml><?xml version="1.0" encoding="utf-8"?>
<ds:datastoreItem xmlns:ds="http://schemas.openxmlformats.org/officeDocument/2006/customXml" ds:itemID="{90D7A68D-76BF-4744-90CD-43422895C53D}">
  <ds:schemaRefs/>
</ds:datastoreItem>
</file>

<file path=customXml/itemProps27.xml><?xml version="1.0" encoding="utf-8"?>
<ds:datastoreItem xmlns:ds="http://schemas.openxmlformats.org/officeDocument/2006/customXml" ds:itemID="{F38D3A6F-4869-4543-A2B7-8A2C78597D5C}">
  <ds:schemaRefs/>
</ds:datastoreItem>
</file>

<file path=customXml/itemProps28.xml><?xml version="1.0" encoding="utf-8"?>
<ds:datastoreItem xmlns:ds="http://schemas.openxmlformats.org/officeDocument/2006/customXml" ds:itemID="{43F4CB81-A222-41EB-9E6A-E6B540C86397}">
  <ds:schemaRefs/>
</ds:datastoreItem>
</file>

<file path=customXml/itemProps29.xml><?xml version="1.0" encoding="utf-8"?>
<ds:datastoreItem xmlns:ds="http://schemas.openxmlformats.org/officeDocument/2006/customXml" ds:itemID="{F30AD1E5-8270-488C-8153-973EF9939BA6}">
  <ds:schemaRefs/>
</ds:datastoreItem>
</file>

<file path=customXml/itemProps30.xml><?xml version="1.0" encoding="utf-8"?>
<ds:datastoreItem xmlns:ds="http://schemas.openxmlformats.org/officeDocument/2006/customXml" ds:itemID="{60E9FAE6-87D8-4EE3-A177-9DDE9570F79D}">
  <ds:schemaRefs/>
</ds:datastoreItem>
</file>

<file path=customXml/itemProps31.xml><?xml version="1.0" encoding="utf-8"?>
<ds:datastoreItem xmlns:ds="http://schemas.openxmlformats.org/officeDocument/2006/customXml" ds:itemID="{C3D1E65C-A9CA-4F92-AE25-DFBDE9B211E6}">
  <ds:schemaRefs/>
</ds:datastoreItem>
</file>

<file path=customXml/itemProps32.xml><?xml version="1.0" encoding="utf-8"?>
<ds:datastoreItem xmlns:ds="http://schemas.openxmlformats.org/officeDocument/2006/customXml" ds:itemID="{D349827E-A590-44AC-B555-B31172879828}">
  <ds:schemaRefs/>
</ds:datastoreItem>
</file>

<file path=customXml/itemProps33.xml><?xml version="1.0" encoding="utf-8"?>
<ds:datastoreItem xmlns:ds="http://schemas.openxmlformats.org/officeDocument/2006/customXml" ds:itemID="{3AC1C4CD-5E47-4230-9E5C-5187776411F6}">
  <ds:schemaRefs/>
</ds:datastoreItem>
</file>

<file path=customXml/itemProps34.xml><?xml version="1.0" encoding="utf-8"?>
<ds:datastoreItem xmlns:ds="http://schemas.openxmlformats.org/officeDocument/2006/customXml" ds:itemID="{C317B061-6C8D-4581-A213-902C6F0D5B46}">
  <ds:schemaRefs/>
</ds:datastoreItem>
</file>

<file path=customXml/itemProps35.xml><?xml version="1.0" encoding="utf-8"?>
<ds:datastoreItem xmlns:ds="http://schemas.openxmlformats.org/officeDocument/2006/customXml" ds:itemID="{7914A1C2-42FD-4059-B108-E15748BD211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Analysis</vt:lpstr>
      <vt:lpstr>Dashboard</vt:lpstr>
      <vt:lpstr>Product</vt:lpstr>
      <vt:lpstr>CtryLookupTable</vt:lpstr>
      <vt:lpstr>LookupTable</vt:lpstr>
      <vt:lpstr>MthLookupTable</vt:lpstr>
      <vt:lpstr>WeekLookupTable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Lee</dc:creator>
  <cp:lastModifiedBy>Karen Lee</cp:lastModifiedBy>
  <dcterms:created xsi:type="dcterms:W3CDTF">2025-06-19T06:22:22Z</dcterms:created>
  <dcterms:modified xsi:type="dcterms:W3CDTF">2025-06-25T04:44:43Z</dcterms:modified>
</cp:coreProperties>
</file>